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OWNER\Desktop\김준희(기타)\26년 공사\공사\인도정비\2026년 국도59호선 하진부지구 일원 보도 정비공사-260605\4 설계서\"/>
    </mc:Choice>
  </mc:AlternateContent>
  <bookViews>
    <workbookView xWindow="32760" yWindow="32760" windowWidth="32760" windowHeight="16920" tabRatio="716" activeTab="7"/>
  </bookViews>
  <sheets>
    <sheet name="목차" sheetId="42" r:id="rId1"/>
    <sheet name="간지(1)" sheetId="43" r:id="rId2"/>
    <sheet name="설명서" sheetId="40" r:id="rId3"/>
    <sheet name="간지(2)" sheetId="45" r:id="rId4"/>
    <sheet name="간지(3)" sheetId="48" r:id="rId5"/>
    <sheet name="예정동원" sheetId="39" r:id="rId6"/>
    <sheet name="간지(4)" sheetId="47" r:id="rId7"/>
    <sheet name="갑지" sheetId="41" r:id="rId8"/>
    <sheet name="원가" sheetId="38" r:id="rId9"/>
    <sheet name="제경비" sheetId="33" r:id="rId10"/>
    <sheet name="간지(5)" sheetId="49" r:id="rId11"/>
    <sheet name="간지(6)" sheetId="50" r:id="rId12"/>
    <sheet name="간지(7)" sheetId="51" r:id="rId13"/>
  </sheets>
  <externalReferences>
    <externalReference r:id="rId14"/>
  </externalReferences>
  <definedNames>
    <definedName name="_xlnm.Print_Area" localSheetId="1">'간지(1)'!$A$1:$H$10</definedName>
    <definedName name="_xlnm.Print_Area" localSheetId="3">'간지(2)'!$A$1:$H$10</definedName>
    <definedName name="_xlnm.Print_Area" localSheetId="4">'간지(3)'!$A$1:$H$10</definedName>
    <definedName name="_xlnm.Print_Area" localSheetId="6">'간지(4)'!$A$1:$H$10</definedName>
    <definedName name="_xlnm.Print_Area" localSheetId="10">'간지(5)'!$A$1:$H$10</definedName>
    <definedName name="_xlnm.Print_Area" localSheetId="11">'간지(6)'!$A$1:$H$10</definedName>
    <definedName name="_xlnm.Print_Area" localSheetId="12">'간지(7)'!$A$1:$H$10</definedName>
    <definedName name="_xlnm.Print_Area" localSheetId="7">갑지!$A$1:$AJ$29</definedName>
    <definedName name="_xlnm.Print_Area" localSheetId="0">목차!$A$1:$H$13</definedName>
    <definedName name="_xlnm.Print_Area" localSheetId="2">설명서!$A$1:$L$76</definedName>
    <definedName name="_xlnm.Print_Area" localSheetId="5">예정동원!$A$1:$K$46</definedName>
    <definedName name="_xlnm.Print_Area" localSheetId="8">원가!$A$1:$J$39</definedName>
    <definedName name="_xlnm.Print_Area" localSheetId="9">제경비!$A$1:$V$50</definedName>
    <definedName name="_xlnm.Print_Area">#REF!</definedName>
  </definedNames>
  <calcPr calcId="191029"/>
  <fileRecoveryPr autoRecover="0"/>
</workbook>
</file>

<file path=xl/calcChain.xml><?xml version="1.0" encoding="utf-8"?>
<calcChain xmlns="http://schemas.openxmlformats.org/spreadsheetml/2006/main">
  <c r="H83" i="33" l="1"/>
  <c r="K41" i="33"/>
  <c r="R41" i="33"/>
  <c r="K39" i="33"/>
  <c r="R39" i="33"/>
  <c r="F34" i="38"/>
  <c r="D18" i="41"/>
  <c r="N43" i="33"/>
  <c r="M23" i="33"/>
  <c r="R25" i="33"/>
  <c r="K23" i="33"/>
  <c r="L25" i="33"/>
  <c r="E27" i="33"/>
  <c r="H84" i="33"/>
  <c r="O23" i="39"/>
  <c r="P4" i="39"/>
  <c r="B22" i="39"/>
  <c r="B19" i="39"/>
  <c r="B16" i="39"/>
  <c r="B13" i="39"/>
  <c r="F33" i="38"/>
  <c r="D17" i="41"/>
  <c r="L47" i="33"/>
  <c r="F27" i="38"/>
  <c r="F26" i="38"/>
  <c r="P25" i="33"/>
  <c r="I25" i="33"/>
  <c r="F25" i="33"/>
  <c r="M19" i="33"/>
  <c r="I19" i="33"/>
  <c r="F19" i="33"/>
  <c r="E21" i="33"/>
  <c r="E64" i="33"/>
  <c r="R19" i="33"/>
  <c r="Q19" i="33"/>
  <c r="O19" i="33"/>
  <c r="Q25" i="33"/>
  <c r="D15" i="41"/>
  <c r="D16" i="41"/>
  <c r="B10" i="39"/>
  <c r="J36" i="39"/>
  <c r="J39" i="39"/>
  <c r="H56" i="33"/>
  <c r="J29" i="33"/>
  <c r="P29" i="33"/>
  <c r="E65" i="33"/>
  <c r="F20" i="38"/>
  <c r="M31" i="33"/>
  <c r="S31" i="33"/>
  <c r="E66" i="33"/>
  <c r="F18" i="38"/>
  <c r="P35" i="33"/>
  <c r="O3" i="33"/>
  <c r="D14" i="41"/>
  <c r="E91" i="33"/>
  <c r="R47" i="33"/>
  <c r="B7" i="39"/>
  <c r="B2" i="38"/>
  <c r="C2" i="39"/>
  <c r="C31" i="39"/>
  <c r="D13" i="41"/>
  <c r="D9" i="41"/>
  <c r="I34" i="39"/>
  <c r="H34" i="39"/>
  <c r="G34" i="39"/>
  <c r="F34" i="39"/>
  <c r="E34" i="39"/>
  <c r="D34" i="39"/>
  <c r="I33" i="39"/>
  <c r="H33" i="39"/>
  <c r="G33" i="39"/>
  <c r="F33" i="39"/>
  <c r="E33" i="39"/>
  <c r="D33" i="39"/>
  <c r="B31" i="39"/>
  <c r="J3" i="39"/>
  <c r="I3" i="39"/>
  <c r="H3" i="39"/>
  <c r="G3" i="39"/>
  <c r="F3" i="39"/>
  <c r="B30" i="38"/>
  <c r="N37" i="33"/>
  <c r="Q31" i="33"/>
  <c r="F12" i="38"/>
  <c r="O15" i="33"/>
  <c r="F32" i="38"/>
  <c r="R7" i="33"/>
  <c r="N29" i="33"/>
  <c r="B31" i="38"/>
  <c r="L35" i="33"/>
  <c r="F35" i="33"/>
  <c r="E85" i="33"/>
  <c r="F38" i="38"/>
  <c r="M26" i="41"/>
  <c r="W26" i="41"/>
  <c r="K15" i="33"/>
  <c r="R15" i="33"/>
  <c r="E63" i="33"/>
  <c r="F22" i="38"/>
  <c r="O13" i="33"/>
  <c r="K11" i="33"/>
  <c r="R11" i="33"/>
  <c r="E61" i="33"/>
  <c r="F16" i="38"/>
  <c r="O11" i="33"/>
  <c r="K9" i="33"/>
  <c r="R9" i="33"/>
  <c r="E60" i="33"/>
  <c r="O9" i="33"/>
  <c r="K7" i="33"/>
  <c r="K5" i="33"/>
  <c r="R5" i="33"/>
  <c r="K3" i="33"/>
  <c r="R3" i="33"/>
  <c r="E57" i="33"/>
  <c r="F9" i="38"/>
  <c r="F5" i="38"/>
  <c r="F8" i="38"/>
  <c r="P47" i="33"/>
  <c r="N19" i="33"/>
  <c r="J37" i="33"/>
  <c r="P37" i="33"/>
  <c r="E68" i="33"/>
  <c r="F21" i="38"/>
  <c r="F15" i="38"/>
  <c r="K13" i="33"/>
  <c r="R13" i="33"/>
  <c r="E62" i="33"/>
  <c r="F17" i="38"/>
  <c r="J42" i="39"/>
  <c r="I35" i="33"/>
  <c r="R35" i="33"/>
  <c r="E67" i="33"/>
  <c r="F23" i="38"/>
  <c r="N41" i="33"/>
  <c r="T41" i="33"/>
  <c r="E70" i="33"/>
  <c r="F25" i="38"/>
  <c r="N7" i="33"/>
  <c r="T7" i="33"/>
  <c r="E59" i="33"/>
  <c r="F14" i="38"/>
  <c r="F10" i="38"/>
  <c r="N5" i="33"/>
  <c r="T5" i="33"/>
  <c r="E58" i="33"/>
  <c r="F13" i="38"/>
  <c r="N39" i="33"/>
  <c r="T39" i="33"/>
  <c r="E69" i="33"/>
  <c r="F24" i="38"/>
  <c r="F11" i="38"/>
  <c r="P16" i="39"/>
  <c r="P6" i="39"/>
  <c r="D16" i="39"/>
  <c r="G15" i="39"/>
  <c r="P14" i="39"/>
  <c r="D13" i="39"/>
  <c r="G12" i="39"/>
  <c r="D19" i="39"/>
  <c r="G18" i="39"/>
  <c r="P19" i="39"/>
  <c r="P12" i="39"/>
  <c r="P10" i="39"/>
  <c r="H18" i="39"/>
  <c r="I12" i="39"/>
  <c r="P15" i="39"/>
  <c r="D22" i="39"/>
  <c r="J15" i="39"/>
  <c r="P20" i="39"/>
  <c r="F18" i="39"/>
  <c r="P8" i="39"/>
  <c r="P11" i="39"/>
  <c r="D10" i="39"/>
  <c r="P9" i="39"/>
  <c r="I15" i="39"/>
  <c r="P22" i="39"/>
  <c r="E12" i="39"/>
  <c r="P13" i="39"/>
  <c r="I18" i="39"/>
  <c r="J12" i="39"/>
  <c r="E18" i="39"/>
  <c r="P17" i="39"/>
  <c r="P5" i="39"/>
  <c r="P7" i="39"/>
  <c r="P3" i="39"/>
  <c r="P18" i="39"/>
  <c r="P21" i="39"/>
  <c r="D7" i="39"/>
  <c r="E73" i="33"/>
  <c r="F19" i="38"/>
  <c r="H21" i="33"/>
  <c r="H27" i="33"/>
  <c r="L19" i="39"/>
  <c r="J18" i="39"/>
  <c r="H12" i="39"/>
  <c r="F15" i="39"/>
  <c r="F12" i="39"/>
  <c r="E15" i="39"/>
  <c r="H15" i="39"/>
  <c r="J9" i="39"/>
  <c r="G9" i="39"/>
  <c r="E9" i="39"/>
  <c r="H9" i="39"/>
  <c r="I9" i="39"/>
  <c r="F9" i="39"/>
  <c r="F21" i="39"/>
  <c r="E21" i="39"/>
  <c r="H21" i="39"/>
  <c r="I21" i="39"/>
  <c r="J21" i="39"/>
  <c r="G21" i="39"/>
  <c r="L13" i="39"/>
  <c r="P23" i="39"/>
  <c r="I6" i="39"/>
  <c r="F6" i="39"/>
  <c r="G6" i="39"/>
  <c r="D25" i="39"/>
  <c r="D28" i="39"/>
  <c r="J6" i="39"/>
  <c r="H6" i="39"/>
  <c r="E6" i="39"/>
  <c r="L18" i="39"/>
  <c r="L12" i="39"/>
  <c r="F29" i="38"/>
  <c r="L29" i="38"/>
  <c r="J43" i="33"/>
  <c r="P43" i="33"/>
  <c r="E74" i="33"/>
  <c r="F47" i="33"/>
  <c r="L21" i="39"/>
  <c r="L15" i="39"/>
  <c r="H25" i="39"/>
  <c r="G39" i="39"/>
  <c r="L16" i="39"/>
  <c r="G36" i="39"/>
  <c r="L7" i="39"/>
  <c r="E25" i="39"/>
  <c r="L6" i="39"/>
  <c r="I25" i="39"/>
  <c r="L22" i="39"/>
  <c r="J25" i="39"/>
  <c r="G25" i="39"/>
  <c r="L10" i="39"/>
  <c r="F25" i="39"/>
  <c r="L9" i="39"/>
  <c r="I47" i="33"/>
  <c r="E49" i="33"/>
  <c r="E75" i="33"/>
  <c r="F30" i="38"/>
  <c r="M29" i="38"/>
  <c r="G42" i="39"/>
  <c r="I39" i="39"/>
  <c r="I36" i="39"/>
  <c r="I42" i="39"/>
  <c r="H39" i="39"/>
  <c r="H36" i="39"/>
  <c r="H42" i="39"/>
  <c r="E39" i="39"/>
  <c r="E36" i="39"/>
  <c r="E42" i="39"/>
  <c r="F39" i="39"/>
  <c r="F36" i="39"/>
  <c r="F42" i="39"/>
  <c r="D36" i="39"/>
  <c r="D39" i="39"/>
  <c r="E28" i="39"/>
  <c r="F28" i="39"/>
  <c r="G28" i="39"/>
  <c r="H28" i="39"/>
  <c r="I28" i="39"/>
  <c r="J28" i="39"/>
  <c r="F31" i="38"/>
  <c r="E79" i="33"/>
  <c r="E89" i="33"/>
  <c r="E90" i="33"/>
  <c r="D42" i="39"/>
  <c r="D45" i="39"/>
  <c r="E45" i="39"/>
  <c r="F45" i="39"/>
  <c r="G45" i="39"/>
  <c r="H45" i="39"/>
  <c r="I45" i="39"/>
  <c r="E80" i="33"/>
  <c r="F36" i="38"/>
  <c r="F35" i="38"/>
  <c r="F37" i="38"/>
  <c r="K35" i="38"/>
  <c r="E81" i="33"/>
  <c r="E86" i="33"/>
  <c r="K37" i="38"/>
  <c r="H10" i="38"/>
  <c r="H12" i="38"/>
  <c r="H15" i="38"/>
  <c r="H16" i="38"/>
  <c r="H32" i="38"/>
  <c r="H14" i="38"/>
  <c r="H28" i="38"/>
  <c r="H34" i="38"/>
  <c r="H13" i="38"/>
  <c r="H9" i="38"/>
  <c r="H11" i="38"/>
  <c r="H27" i="38"/>
  <c r="H37" i="38"/>
  <c r="H26" i="38"/>
  <c r="H33" i="38"/>
  <c r="H25" i="38"/>
  <c r="H22" i="38"/>
  <c r="H17" i="38"/>
  <c r="F39" i="38"/>
  <c r="M22" i="41"/>
  <c r="W22" i="41"/>
  <c r="M24" i="41"/>
  <c r="W24" i="41"/>
  <c r="H24" i="38"/>
  <c r="H21" i="38"/>
  <c r="H23" i="38"/>
  <c r="H5" i="38"/>
  <c r="H8" i="38"/>
  <c r="H20" i="38"/>
  <c r="H18" i="38"/>
  <c r="H19" i="38"/>
  <c r="H30" i="38"/>
  <c r="H31" i="38"/>
  <c r="H36" i="38"/>
  <c r="H29" i="38"/>
  <c r="H35" i="38"/>
</calcChain>
</file>

<file path=xl/sharedStrings.xml><?xml version="1.0" encoding="utf-8"?>
<sst xmlns="http://schemas.openxmlformats.org/spreadsheetml/2006/main" count="476" uniqueCount="278">
  <si>
    <t>기타경비</t>
    <phoneticPr fontId="2" type="noConversion"/>
  </si>
  <si>
    <t>환경보전비</t>
    <phoneticPr fontId="2" type="noConversion"/>
  </si>
  <si>
    <t>안전관리비</t>
    <phoneticPr fontId="2" type="noConversion"/>
  </si>
  <si>
    <t>간 접 노 무 비</t>
    <phoneticPr fontId="2" type="noConversion"/>
  </si>
  <si>
    <t>경          비</t>
    <phoneticPr fontId="2" type="noConversion"/>
  </si>
  <si>
    <t>노인장기요양보험료</t>
    <phoneticPr fontId="2" type="noConversion"/>
  </si>
  <si>
    <t>구     분</t>
    <phoneticPr fontId="2" type="noConversion"/>
  </si>
  <si>
    <t>금     액</t>
    <phoneticPr fontId="2" type="noConversion"/>
  </si>
  <si>
    <t>1.간접노무비 :</t>
    <phoneticPr fontId="2" type="noConversion"/>
  </si>
  <si>
    <t>[직접노무비] ×</t>
    <phoneticPr fontId="2" type="noConversion"/>
  </si>
  <si>
    <t>=</t>
    <phoneticPr fontId="2" type="noConversion"/>
  </si>
  <si>
    <t>[</t>
    <phoneticPr fontId="2" type="noConversion"/>
  </si>
  <si>
    <t>]</t>
    <phoneticPr fontId="2" type="noConversion"/>
  </si>
  <si>
    <t>×</t>
    <phoneticPr fontId="2" type="noConversion"/>
  </si>
  <si>
    <t>노    무    비</t>
    <phoneticPr fontId="2" type="noConversion"/>
  </si>
  <si>
    <t>재    료    비</t>
    <phoneticPr fontId="2" type="noConversion"/>
  </si>
  <si>
    <t>2.산재보험료 :</t>
    <phoneticPr fontId="2" type="noConversion"/>
  </si>
  <si>
    <t xml:space="preserve">[직접+간접노무비] × </t>
    <phoneticPr fontId="2" type="noConversion"/>
  </si>
  <si>
    <t>+</t>
    <phoneticPr fontId="2" type="noConversion"/>
  </si>
  <si>
    <t>: 직접공사비</t>
    <phoneticPr fontId="2" type="noConversion"/>
  </si>
  <si>
    <t>3.고용보험료 :</t>
    <phoneticPr fontId="2" type="noConversion"/>
  </si>
  <si>
    <t>산 재 보 험 료</t>
    <phoneticPr fontId="2" type="noConversion"/>
  </si>
  <si>
    <t>고 용 보 험 료</t>
    <phoneticPr fontId="2" type="noConversion"/>
  </si>
  <si>
    <t>4.건강보험료 :</t>
    <phoneticPr fontId="2" type="noConversion"/>
  </si>
  <si>
    <t>건 강 보 험 료</t>
    <phoneticPr fontId="2" type="noConversion"/>
  </si>
  <si>
    <t>연 금 보 험 료</t>
    <phoneticPr fontId="2" type="noConversion"/>
  </si>
  <si>
    <t>5.연금보험료 :</t>
    <phoneticPr fontId="2" type="noConversion"/>
  </si>
  <si>
    <t>퇴직 공제 부금</t>
    <phoneticPr fontId="2" type="noConversion"/>
  </si>
  <si>
    <t>6.노인요양보험료 :</t>
    <phoneticPr fontId="2" type="noConversion"/>
  </si>
  <si>
    <t>[건강보험료] ×</t>
    <phoneticPr fontId="2" type="noConversion"/>
  </si>
  <si>
    <t>안 전 관 리 비</t>
    <phoneticPr fontId="2" type="noConversion"/>
  </si>
  <si>
    <t>하도대금지급수수료</t>
    <phoneticPr fontId="2" type="noConversion"/>
  </si>
  <si>
    <t>7.퇴직공제부금비:</t>
    <phoneticPr fontId="2" type="noConversion"/>
  </si>
  <si>
    <t>건설기계대여금보증</t>
    <phoneticPr fontId="2" type="noConversion"/>
  </si>
  <si>
    <t>기  타  경  비</t>
    <phoneticPr fontId="2" type="noConversion"/>
  </si>
  <si>
    <t>[직접노무비+재료비] ×</t>
    <phoneticPr fontId="2" type="noConversion"/>
  </si>
  <si>
    <t>환 경 보 전 비</t>
    <phoneticPr fontId="2" type="noConversion"/>
  </si>
  <si>
    <t>순  공  사  비</t>
    <phoneticPr fontId="2" type="noConversion"/>
  </si>
  <si>
    <t>[ [</t>
    <phoneticPr fontId="2" type="noConversion"/>
  </si>
  <si>
    <t>일 반 관 리 비</t>
    <phoneticPr fontId="2" type="noConversion"/>
  </si>
  <si>
    <t>이          윤</t>
    <phoneticPr fontId="2" type="noConversion"/>
  </si>
  <si>
    <t>공  급  가  액</t>
    <phoneticPr fontId="2" type="noConversion"/>
  </si>
  <si>
    <t>부 가 가 치 세</t>
    <phoneticPr fontId="2" type="noConversion"/>
  </si>
  <si>
    <t>도 급 공 사 비</t>
    <phoneticPr fontId="2" type="noConversion"/>
  </si>
  <si>
    <t>한전수탁공사비</t>
    <phoneticPr fontId="2" type="noConversion"/>
  </si>
  <si>
    <t>관급자재대(도급자)</t>
    <phoneticPr fontId="2" type="noConversion"/>
  </si>
  <si>
    <t>: 조달수수료 제외 금액</t>
    <phoneticPr fontId="2" type="noConversion"/>
  </si>
  <si>
    <t>관급자재대(관급자)</t>
    <phoneticPr fontId="2" type="noConversion"/>
  </si>
  <si>
    <t>관 급 자 재 대</t>
    <phoneticPr fontId="2" type="noConversion"/>
  </si>
  <si>
    <t>총  공  사  비</t>
    <phoneticPr fontId="2" type="noConversion"/>
  </si>
  <si>
    <t>9.하도대금수수료 :</t>
    <phoneticPr fontId="2" type="noConversion"/>
  </si>
  <si>
    <t>[직접공사비] ×</t>
    <phoneticPr fontId="2" type="noConversion"/>
  </si>
  <si>
    <t>이윤량조정</t>
    <phoneticPr fontId="2" type="noConversion"/>
  </si>
  <si>
    <t>10.건설기계대여대금 지급보증서발급금액 :</t>
    <phoneticPr fontId="2" type="noConversion"/>
  </si>
  <si>
    <t>1.비율된이윤</t>
    <phoneticPr fontId="2" type="noConversion"/>
  </si>
  <si>
    <t>2.계</t>
    <phoneticPr fontId="2" type="noConversion"/>
  </si>
  <si>
    <t>3.조정율</t>
    <phoneticPr fontId="2" type="noConversion"/>
  </si>
  <si>
    <t>11.기 타 경 비 :</t>
    <phoneticPr fontId="2" type="noConversion"/>
  </si>
  <si>
    <t>[직접노무비+간접노무비+재료비] ×</t>
    <phoneticPr fontId="2" type="noConversion"/>
  </si>
  <si>
    <t>12.환경보전비 :</t>
    <phoneticPr fontId="2" type="noConversion"/>
  </si>
  <si>
    <t>[순공사원가] ×</t>
    <phoneticPr fontId="2" type="noConversion"/>
  </si>
  <si>
    <t>[순공사원가 + 일반관리비-재료비] ×</t>
    <phoneticPr fontId="2" type="noConversion"/>
  </si>
  <si>
    <t>-</t>
    <phoneticPr fontId="2" type="noConversion"/>
  </si>
  <si>
    <t>제경비 산출근거</t>
    <phoneticPr fontId="2" type="noConversion"/>
  </si>
  <si>
    <t>공 사 원 가 계 산 서</t>
    <phoneticPr fontId="2" type="noConversion"/>
  </si>
  <si>
    <t>공사명 :</t>
    <phoneticPr fontId="2" type="noConversion"/>
  </si>
  <si>
    <t xml:space="preserve">                                구분
   비목</t>
    <phoneticPr fontId="2" type="noConversion"/>
  </si>
  <si>
    <t>설 계 금 액</t>
    <phoneticPr fontId="2" type="noConversion"/>
  </si>
  <si>
    <t>구 성 비</t>
    <phoneticPr fontId="2" type="noConversion"/>
  </si>
  <si>
    <t>비    고</t>
    <phoneticPr fontId="2" type="noConversion"/>
  </si>
  <si>
    <t>순   공   사   원   가</t>
    <phoneticPr fontId="2" type="noConversion"/>
  </si>
  <si>
    <t>직 접 재 료 비</t>
    <phoneticPr fontId="2" type="noConversion"/>
  </si>
  <si>
    <t>간 접 재 료 비</t>
    <phoneticPr fontId="2" type="noConversion"/>
  </si>
  <si>
    <t>작업설·부산물 등(△)</t>
    <phoneticPr fontId="2" type="noConversion"/>
  </si>
  <si>
    <t>소계</t>
    <phoneticPr fontId="2" type="noConversion"/>
  </si>
  <si>
    <t>노무비</t>
    <phoneticPr fontId="2" type="noConversion"/>
  </si>
  <si>
    <t>직 접 노 무 비</t>
    <phoneticPr fontId="2" type="noConversion"/>
  </si>
  <si>
    <t>건설기계대여대금지급보증서</t>
    <phoneticPr fontId="2" type="noConversion"/>
  </si>
  <si>
    <t>산업안전보건관리비</t>
    <phoneticPr fontId="2" type="noConversion"/>
  </si>
  <si>
    <t>하도급대금지급보증수수료</t>
    <phoneticPr fontId="2" type="noConversion"/>
  </si>
  <si>
    <t>건설근로자퇴직공제부금비</t>
    <phoneticPr fontId="2" type="noConversion"/>
  </si>
  <si>
    <t>순공사원가</t>
    <phoneticPr fontId="2" type="noConversion"/>
  </si>
  <si>
    <t>A.</t>
    <phoneticPr fontId="2" type="noConversion"/>
  </si>
  <si>
    <t>B.</t>
    <phoneticPr fontId="2" type="noConversion"/>
  </si>
  <si>
    <t>부가가치세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</si>
  <si>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</si>
  <si>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</si>
  <si>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</si>
  <si>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</si>
  <si>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</si>
  <si>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노인장기요양보험료</t>
    <phoneticPr fontId="2" type="noConversion"/>
  </si>
  <si>
    <t>도급예정액</t>
    <phoneticPr fontId="2" type="noConversion"/>
  </si>
  <si>
    <t>관급자재대</t>
    <phoneticPr fontId="2" type="noConversion"/>
  </si>
  <si>
    <t>총공사비</t>
    <phoneticPr fontId="2" type="noConversion"/>
  </si>
  <si>
    <t>예   정   공   정   표</t>
    <phoneticPr fontId="2" type="noConversion"/>
  </si>
  <si>
    <t>공사명:</t>
    <phoneticPr fontId="2" type="noConversion"/>
  </si>
  <si>
    <t>착수</t>
    <phoneticPr fontId="2" type="noConversion"/>
  </si>
  <si>
    <t>공    종</t>
    <phoneticPr fontId="2" type="noConversion"/>
  </si>
  <si>
    <t>보   할</t>
    <phoneticPr fontId="2" type="noConversion"/>
  </si>
  <si>
    <t>비  고</t>
    <phoneticPr fontId="2" type="noConversion"/>
  </si>
  <si>
    <t>계</t>
    <phoneticPr fontId="2" type="noConversion"/>
  </si>
  <si>
    <t>소    계</t>
    <phoneticPr fontId="2" type="noConversion"/>
  </si>
  <si>
    <t>누    계</t>
    <phoneticPr fontId="2" type="noConversion"/>
  </si>
  <si>
    <t>동 원 인 력 산 출 표</t>
    <phoneticPr fontId="2" type="noConversion"/>
  </si>
  <si>
    <t>착수</t>
    <phoneticPr fontId="2" type="noConversion"/>
  </si>
  <si>
    <t>공    종</t>
    <phoneticPr fontId="2" type="noConversion"/>
  </si>
  <si>
    <t>계</t>
    <phoneticPr fontId="2" type="noConversion"/>
  </si>
  <si>
    <t>비  고</t>
    <phoneticPr fontId="2" type="noConversion"/>
  </si>
  <si>
    <t>보통인부</t>
    <phoneticPr fontId="2" type="noConversion"/>
  </si>
  <si>
    <t>기능공</t>
    <phoneticPr fontId="2" type="noConversion"/>
  </si>
  <si>
    <t>소    계</t>
    <phoneticPr fontId="2" type="noConversion"/>
  </si>
  <si>
    <t>누    계</t>
    <phoneticPr fontId="2" type="noConversion"/>
  </si>
  <si>
    <t>설    계    설    명    서</t>
    <phoneticPr fontId="2" type="noConversion"/>
  </si>
  <si>
    <t xml:space="preserve">           </t>
    <phoneticPr fontId="2" type="noConversion"/>
  </si>
  <si>
    <t>품     명</t>
    <phoneticPr fontId="2" type="noConversion"/>
  </si>
  <si>
    <t>규       격</t>
    <phoneticPr fontId="2" type="noConversion"/>
  </si>
  <si>
    <t>단위</t>
    <phoneticPr fontId="2" type="noConversion"/>
  </si>
  <si>
    <t>수        량</t>
    <phoneticPr fontId="2" type="noConversion"/>
  </si>
  <si>
    <t>비       고</t>
    <phoneticPr fontId="2" type="noConversion"/>
  </si>
  <si>
    <t xml:space="preserve">    가.공사기간중 강우일수가 과거 5년간의 년평균 강우일수보다 많을때</t>
  </si>
  <si>
    <t xml:space="preserve">    나.천재지변으로 인하여 작업이 중단되었을때</t>
  </si>
  <si>
    <t xml:space="preserve">    다.관의 지시에 의하여 작업이 중단되었을 때 (단, 부적당한 시공시 작업중지는 제외)</t>
  </si>
  <si>
    <t>년</t>
    <phoneticPr fontId="48" type="noConversion"/>
  </si>
  <si>
    <t>월</t>
    <phoneticPr fontId="48" type="noConversion"/>
  </si>
  <si>
    <t>일</t>
    <phoneticPr fontId="48" type="noConversion"/>
  </si>
  <si>
    <t>설계</t>
    <phoneticPr fontId="48" type="noConversion"/>
  </si>
  <si>
    <t>설
계
자</t>
    <phoneticPr fontId="48" type="noConversion"/>
  </si>
  <si>
    <t>심
사
자</t>
    <phoneticPr fontId="48" type="noConversion"/>
  </si>
  <si>
    <t>【공사개요】</t>
    <phoneticPr fontId="48" type="noConversion"/>
  </si>
  <si>
    <t>○총 공 사 비 :</t>
    <phoneticPr fontId="48" type="noConversion"/>
  </si>
  <si>
    <t xml:space="preserve">-도 급 예 정 액  : </t>
    <phoneticPr fontId="48" type="noConversion"/>
  </si>
  <si>
    <t xml:space="preserve">-관 급 자 재 대  : </t>
    <phoneticPr fontId="48" type="noConversion"/>
  </si>
  <si>
    <t xml:space="preserve"> 1.공  사  명</t>
    <phoneticPr fontId="2" type="noConversion"/>
  </si>
  <si>
    <t xml:space="preserve"> 2.공 사 위 치</t>
    <phoneticPr fontId="2" type="noConversion"/>
  </si>
  <si>
    <t xml:space="preserve"> 5.설계변경조건</t>
    <phoneticPr fontId="2" type="noConversion"/>
  </si>
  <si>
    <t xml:space="preserve"> 6.주요자재</t>
    <phoneticPr fontId="2" type="noConversion"/>
  </si>
  <si>
    <t xml:space="preserve"> 7.설계적용기준</t>
    <phoneticPr fontId="2" type="noConversion"/>
  </si>
  <si>
    <r>
      <t xml:space="preserve"> 8.</t>
    </r>
    <r>
      <rPr>
        <sz val="9"/>
        <rFont val="굴림체"/>
        <family val="3"/>
        <charset val="129"/>
      </rPr>
      <t xml:space="preserve"> 본공사 시공중 수급자의 고의 또는 과실로 인하여 발생되는 모든 피해보상은 수급자가 책임처리한다.</t>
    </r>
    <phoneticPr fontId="2" type="noConversion"/>
  </si>
  <si>
    <r>
      <t xml:space="preserve"> 9.</t>
    </r>
    <r>
      <rPr>
        <sz val="9"/>
        <rFont val="굴림체"/>
        <family val="3"/>
        <charset val="129"/>
      </rPr>
      <t xml:space="preserve"> 본공사에 적용되지않은 경미한 사항에 대하여는 도급자가 부담한다</t>
    </r>
    <phoneticPr fontId="2" type="noConversion"/>
  </si>
  <si>
    <t>가.보상협의 지연으로 공사연장이 불가피할 때</t>
    <phoneticPr fontId="2" type="noConversion"/>
  </si>
  <si>
    <t>나.공사기간중 연평균 강우일보다 많은 강우로 인하여 공사진행에 현저한 지장을 주었을 때</t>
    <phoneticPr fontId="2" type="noConversion"/>
  </si>
  <si>
    <t>다.천재지변으로 인하여 작업이 불가피할 때</t>
    <phoneticPr fontId="2" type="noConversion"/>
  </si>
  <si>
    <t>목              차</t>
    <phoneticPr fontId="48" type="noConversion"/>
  </si>
  <si>
    <t>1.</t>
    <phoneticPr fontId="48" type="noConversion"/>
  </si>
  <si>
    <t>설계설명서</t>
    <phoneticPr fontId="48" type="noConversion"/>
  </si>
  <si>
    <t>2.</t>
    <phoneticPr fontId="48" type="noConversion"/>
  </si>
  <si>
    <t>3.</t>
    <phoneticPr fontId="48" type="noConversion"/>
  </si>
  <si>
    <t>1.</t>
    <phoneticPr fontId="48" type="noConversion"/>
  </si>
  <si>
    <t>설계설명서</t>
    <phoneticPr fontId="48" type="noConversion"/>
  </si>
  <si>
    <t>예정공정표</t>
    <phoneticPr fontId="48" type="noConversion"/>
  </si>
  <si>
    <t>동원인력산출표</t>
    <phoneticPr fontId="48" type="noConversion"/>
  </si>
  <si>
    <t>설계예산서</t>
    <phoneticPr fontId="48" type="noConversion"/>
  </si>
  <si>
    <t>2.</t>
    <phoneticPr fontId="48" type="noConversion"/>
  </si>
  <si>
    <t>3.</t>
    <phoneticPr fontId="48" type="noConversion"/>
  </si>
  <si>
    <t>4.</t>
    <phoneticPr fontId="48" type="noConversion"/>
  </si>
  <si>
    <t xml:space="preserve"> 3.사업의 목적</t>
    <phoneticPr fontId="2" type="noConversion"/>
  </si>
  <si>
    <t>재료비</t>
    <phoneticPr fontId="2" type="noConversion"/>
  </si>
  <si>
    <t xml:space="preserve"> 4.공 사 개 요</t>
    <phoneticPr fontId="2" type="noConversion"/>
  </si>
  <si>
    <t>라.발주처의 지시에 따라 작업을 중단하였을 떄</t>
    <phoneticPr fontId="2" type="noConversion"/>
  </si>
  <si>
    <t>마.기타 민원제기 등으로 인한 불가피한 상황이 발생되었을 때</t>
    <phoneticPr fontId="2" type="noConversion"/>
  </si>
  <si>
    <t>0 0 0 공</t>
    <phoneticPr fontId="2" type="noConversion"/>
  </si>
  <si>
    <t>부대공</t>
    <phoneticPr fontId="2" type="noConversion"/>
  </si>
  <si>
    <t>[직접노무비+재료비+관급자재대(부가세제외)]  x</t>
    <phoneticPr fontId="2" type="noConversion"/>
  </si>
  <si>
    <t>5.</t>
  </si>
  <si>
    <t>공사시방사</t>
    <phoneticPr fontId="48" type="noConversion"/>
  </si>
  <si>
    <t>6.</t>
  </si>
  <si>
    <t>단가산출서</t>
    <phoneticPr fontId="48" type="noConversion"/>
  </si>
  <si>
    <t>7.</t>
  </si>
  <si>
    <t>수량산출서</t>
    <phoneticPr fontId="48" type="noConversion"/>
  </si>
  <si>
    <t>5.</t>
    <phoneticPr fontId="48" type="noConversion"/>
  </si>
  <si>
    <t>공사시방서</t>
    <phoneticPr fontId="48" type="noConversion"/>
  </si>
  <si>
    <t>6.</t>
    <phoneticPr fontId="48" type="noConversion"/>
  </si>
  <si>
    <t>7.</t>
    <phoneticPr fontId="48" type="noConversion"/>
  </si>
  <si>
    <t>사급</t>
    <phoneticPr fontId="2" type="noConversion"/>
  </si>
  <si>
    <t>관급</t>
    <phoneticPr fontId="2" type="noConversion"/>
  </si>
  <si>
    <t>레미콘</t>
    <phoneticPr fontId="2" type="noConversion"/>
  </si>
  <si>
    <t>M3</t>
    <phoneticPr fontId="2" type="noConversion"/>
  </si>
  <si>
    <t>＂</t>
    <phoneticPr fontId="2" type="noConversion"/>
  </si>
  <si>
    <t>팀
장</t>
    <phoneticPr fontId="48" type="noConversion"/>
  </si>
  <si>
    <t>품 질 관 리 비</t>
    <phoneticPr fontId="2" type="noConversion"/>
  </si>
  <si>
    <t>품질관리비</t>
    <phoneticPr fontId="2" type="noConversion"/>
  </si>
  <si>
    <t>C.</t>
    <phoneticPr fontId="2" type="noConversion"/>
  </si>
  <si>
    <t>특허권사용료</t>
    <phoneticPr fontId="2" type="noConversion"/>
  </si>
  <si>
    <t>특허권사용료</t>
    <phoneticPr fontId="2" type="noConversion"/>
  </si>
  <si>
    <t>고재대</t>
    <phoneticPr fontId="2" type="noConversion"/>
  </si>
  <si>
    <t>D.</t>
    <phoneticPr fontId="2" type="noConversion"/>
  </si>
  <si>
    <t>경간</t>
    <phoneticPr fontId="2" type="noConversion"/>
  </si>
  <si>
    <t>TON</t>
    <phoneticPr fontId="2" type="noConversion"/>
  </si>
  <si>
    <t>토공</t>
    <phoneticPr fontId="2" type="noConversion"/>
  </si>
  <si>
    <t>비탈공</t>
    <phoneticPr fontId="2" type="noConversion"/>
  </si>
  <si>
    <t>포장공</t>
    <phoneticPr fontId="2" type="noConversion"/>
  </si>
  <si>
    <t>시멘트</t>
    <phoneticPr fontId="2" type="noConversion"/>
  </si>
  <si>
    <t>40kg</t>
    <phoneticPr fontId="2" type="noConversion"/>
  </si>
  <si>
    <t>대</t>
    <phoneticPr fontId="2" type="noConversion"/>
  </si>
  <si>
    <t>소
장</t>
    <phoneticPr fontId="48" type="noConversion"/>
  </si>
  <si>
    <t>아스팔트유제</t>
    <phoneticPr fontId="2" type="noConversion"/>
  </si>
  <si>
    <t>D/M</t>
    <phoneticPr fontId="2" type="noConversion"/>
  </si>
  <si>
    <t>아스팔트콘크리트</t>
    <phoneticPr fontId="2" type="noConversion"/>
  </si>
  <si>
    <t>표층용, WC-2</t>
    <phoneticPr fontId="2" type="noConversion"/>
  </si>
  <si>
    <t>이형철근</t>
    <phoneticPr fontId="2" type="noConversion"/>
  </si>
  <si>
    <t>구조물공</t>
    <phoneticPr fontId="2" type="noConversion"/>
  </si>
  <si>
    <t>8.산업안전보건관리비 :</t>
    <phoneticPr fontId="2" type="noConversion"/>
  </si>
  <si>
    <t>시험비</t>
    <phoneticPr fontId="2" type="noConversion"/>
  </si>
  <si>
    <t>5.부 대 공 : 1식</t>
    <phoneticPr fontId="2" type="noConversion"/>
  </si>
  <si>
    <t>보조기층재</t>
    <phoneticPr fontId="2" type="noConversion"/>
  </si>
  <si>
    <t>SB-2</t>
    <phoneticPr fontId="2" type="noConversion"/>
  </si>
  <si>
    <t>25-21-80</t>
    <phoneticPr fontId="2" type="noConversion"/>
  </si>
  <si>
    <t>SD400, HD13</t>
    <phoneticPr fontId="2" type="noConversion"/>
  </si>
  <si>
    <t>배수공</t>
    <phoneticPr fontId="2" type="noConversion"/>
  </si>
  <si>
    <t>2026년</t>
    <phoneticPr fontId="48" type="noConversion"/>
  </si>
  <si>
    <t>나.자재시세 : 2026년 상반기 조달청 가격정보지 및 2026년 싱반기(물가정보,물가자료)에 의거 산정</t>
    <phoneticPr fontId="2" type="noConversion"/>
  </si>
  <si>
    <t>다.노임 및 품셈 : 2026년 상반기 노임 기준 및 2026년 건설표준품셈 적용</t>
    <phoneticPr fontId="2" type="noConversion"/>
  </si>
  <si>
    <t>E.</t>
    <phoneticPr fontId="2" type="noConversion"/>
  </si>
  <si>
    <t>공급가액(A+B+C+D+E)</t>
    <phoneticPr fontId="2" type="noConversion"/>
  </si>
  <si>
    <t>15.일반관리비 :</t>
    <phoneticPr fontId="2" type="noConversion"/>
  </si>
  <si>
    <t>16.이     윤 :</t>
    <phoneticPr fontId="2" type="noConversion"/>
  </si>
  <si>
    <t>13.석면분담금 :</t>
    <phoneticPr fontId="2" type="noConversion"/>
  </si>
  <si>
    <t>14.임금채권부담금 :</t>
    <phoneticPr fontId="2" type="noConversion"/>
  </si>
  <si>
    <t>석 면 분 담 금</t>
    <phoneticPr fontId="2" type="noConversion"/>
  </si>
  <si>
    <t>임금채권부담금</t>
    <phoneticPr fontId="2" type="noConversion"/>
  </si>
  <si>
    <t>석면분담금</t>
    <phoneticPr fontId="2" type="noConversion"/>
  </si>
  <si>
    <t>강원특별자치도 평창군 진부면 하진부리 421-3번지 일원</t>
    <phoneticPr fontId="2" type="noConversion"/>
  </si>
  <si>
    <t>보도 정비 : 연장 L=600m, 폭 B=1.5~2.0m</t>
    <phoneticPr fontId="2" type="noConversion"/>
  </si>
  <si>
    <t>1.토    공 : 기존구조물깨기 363㎥, 벌개제근 914㎡, 흙깎기 401㎥, 구조물터파기 779㎥, 비탈면보호 1,514㎡</t>
    <phoneticPr fontId="2" type="noConversion"/>
  </si>
  <si>
    <t>2.배 수 공 : L형측구 607m, 우수관 102m, 우수맨홀 8개소, 우수받이 28개소, 집수정 2개소, V형측구 45m</t>
    <phoneticPr fontId="2" type="noConversion"/>
  </si>
  <si>
    <t>3.포 장 공 : 아스팔트포장 46㎡, 보도포장 1,131㎡, 도로경계블럭 600m</t>
    <phoneticPr fontId="2" type="noConversion"/>
  </si>
  <si>
    <t>4.구조물공 : 전석쌓기 26㎡, 돌망태형옹벽 108㎥</t>
    <phoneticPr fontId="2" type="noConversion"/>
  </si>
  <si>
    <t>가.환    율 : 2026년 5월 평균매매기준 환율 1$=1.507.00원 적용</t>
    <phoneticPr fontId="2" type="noConversion"/>
  </si>
  <si>
    <r>
      <t>10.</t>
    </r>
    <r>
      <rPr>
        <sz val="9"/>
        <rFont val="굴림체"/>
        <family val="3"/>
        <charset val="129"/>
      </rPr>
      <t xml:space="preserve"> 본공사에 소요되는 공사기간은 착공일로 부터 </t>
    </r>
    <r>
      <rPr>
        <b/>
        <sz val="9"/>
        <rFont val="굴림체"/>
        <family val="3"/>
        <charset val="129"/>
      </rPr>
      <t>4개월(120일)</t>
    </r>
    <r>
      <rPr>
        <sz val="9"/>
        <rFont val="굴림체"/>
        <family val="3"/>
        <charset val="129"/>
      </rPr>
      <t>간으로 하며 다음의 경우에 한하여 관의 승인을 득한후 공사를 연장할수 있다.</t>
    </r>
    <phoneticPr fontId="2" type="noConversion"/>
  </si>
  <si>
    <t>일</t>
    <phoneticPr fontId="2" type="noConversion"/>
  </si>
  <si>
    <t>RSC-4,3</t>
    <phoneticPr fontId="2" type="noConversion"/>
  </si>
  <si>
    <t>모래</t>
    <phoneticPr fontId="2" type="noConversion"/>
  </si>
  <si>
    <t>잡석</t>
    <phoneticPr fontId="2" type="noConversion"/>
  </si>
  <si>
    <t>개비온석</t>
    <phoneticPr fontId="2" type="noConversion"/>
  </si>
  <si>
    <t>40mm이하</t>
    <phoneticPr fontId="2" type="noConversion"/>
  </si>
  <si>
    <t>100~300mm이하</t>
    <phoneticPr fontId="2" type="noConversion"/>
  </si>
  <si>
    <t>SD400, HD29</t>
    <phoneticPr fontId="2" type="noConversion"/>
  </si>
  <si>
    <t>P E 코팅사다리</t>
    <phoneticPr fontId="2" type="noConversion"/>
  </si>
  <si>
    <t>D22</t>
    <phoneticPr fontId="2" type="noConversion"/>
  </si>
  <si>
    <t>개</t>
    <phoneticPr fontId="2" type="noConversion"/>
  </si>
  <si>
    <t xml:space="preserve"> 우수받이</t>
    <phoneticPr fontId="2" type="noConversion"/>
  </si>
  <si>
    <t>410x510x640</t>
    <phoneticPr fontId="2" type="noConversion"/>
  </si>
  <si>
    <t>스틸그레이팅</t>
    <phoneticPr fontId="2" type="noConversion"/>
  </si>
  <si>
    <t>1190x990x50</t>
    <phoneticPr fontId="2" type="noConversion"/>
  </si>
  <si>
    <t>1190x1390x50</t>
    <phoneticPr fontId="2" type="noConversion"/>
  </si>
  <si>
    <t>25-18-80</t>
    <phoneticPr fontId="2" type="noConversion"/>
  </si>
  <si>
    <t>기층용, BB-3</t>
    <phoneticPr fontId="2" type="noConversion"/>
  </si>
  <si>
    <t>자연석경계석</t>
    <phoneticPr fontId="2" type="noConversion"/>
  </si>
  <si>
    <t>직선형, 200x250x1000</t>
    <phoneticPr fontId="2" type="noConversion"/>
  </si>
  <si>
    <t>곡선형, 200x250x1000</t>
    <phoneticPr fontId="2" type="noConversion"/>
  </si>
  <si>
    <t>곡선형, 200x250(100)x1000</t>
    <phoneticPr fontId="2" type="noConversion"/>
  </si>
  <si>
    <t>곡선형, 200x100x1000</t>
    <phoneticPr fontId="2" type="noConversion"/>
  </si>
  <si>
    <t>직선형, 150x150x1000</t>
    <phoneticPr fontId="2" type="noConversion"/>
  </si>
  <si>
    <t>보차도용콘크리트블록</t>
    <phoneticPr fontId="2" type="noConversion"/>
  </si>
  <si>
    <t>T60mm</t>
    <phoneticPr fontId="2" type="noConversion"/>
  </si>
  <si>
    <t>M2</t>
    <phoneticPr fontId="2" type="noConversion"/>
  </si>
  <si>
    <t>원심력철근콘크리트관</t>
    <phoneticPr fontId="2" type="noConversion"/>
  </si>
  <si>
    <t>Φ1000x2500mm</t>
    <phoneticPr fontId="2" type="noConversion"/>
  </si>
  <si>
    <t>본</t>
    <phoneticPr fontId="2" type="noConversion"/>
  </si>
  <si>
    <t>Φ600x2500mm</t>
    <phoneticPr fontId="2" type="noConversion"/>
  </si>
  <si>
    <t>Φ500x2500mm</t>
    <phoneticPr fontId="2" type="noConversion"/>
  </si>
  <si>
    <t>P E 이중벽관</t>
    <phoneticPr fontId="2" type="noConversion"/>
  </si>
  <si>
    <t>D250</t>
    <phoneticPr fontId="2" type="noConversion"/>
  </si>
  <si>
    <t>M</t>
    <phoneticPr fontId="2" type="noConversion"/>
  </si>
  <si>
    <t>환봉지지결합형연결구</t>
    <phoneticPr fontId="2" type="noConversion"/>
  </si>
  <si>
    <t>콘크리트맨홀블록</t>
    <phoneticPr fontId="2" type="noConversion"/>
  </si>
  <si>
    <t>Φ900x400, 상부구체</t>
    <phoneticPr fontId="2" type="noConversion"/>
  </si>
  <si>
    <t>Φ900x500, 연직구체</t>
    <phoneticPr fontId="2" type="noConversion"/>
  </si>
  <si>
    <t>Φ900x700, 하부구체</t>
    <phoneticPr fontId="2" type="noConversion"/>
  </si>
  <si>
    <t>주철맨홀뚜껑</t>
    <phoneticPr fontId="2" type="noConversion"/>
  </si>
  <si>
    <t>Φ648x110mm</t>
    <phoneticPr fontId="2" type="noConversion"/>
  </si>
  <si>
    <t>조경석</t>
    <phoneticPr fontId="2" type="noConversion"/>
  </si>
  <si>
    <t>금속돌망태</t>
    <phoneticPr fontId="2" type="noConversion"/>
  </si>
  <si>
    <t>600x700x850</t>
    <phoneticPr fontId="2" type="noConversion"/>
  </si>
  <si>
    <t>1000x1000x1000</t>
    <phoneticPr fontId="2" type="noConversion"/>
  </si>
  <si>
    <t>1500x1000x1000</t>
    <phoneticPr fontId="2" type="noConversion"/>
  </si>
  <si>
    <t>2026년 국도59호선 하진부지구 일원 보도 정비공사</t>
    <phoneticPr fontId="2" type="noConversion"/>
  </si>
  <si>
    <t>본 현장은 지방도내 도로안전 및 환경 불량으로 이용자 불편 발생에 따른 지방도내 하진부지구 보도 정비를 통해 안전하고 쾌적한 도로환경 조성하고자 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</si>
</sst>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0">
    <numFmt numFmtId="5" formatCode="&quot;₩&quot;#,##0;\-&quot;₩&quot;#,##0"/>
    <numFmt numFmtId="41" formatCode="_-* #,##0_-;\-* #,##0_-;_-* &quot;-&quot;_-;_-@_-"/>
    <numFmt numFmtId="176" formatCode="#,##0;[Red]#,##0"/>
    <numFmt numFmtId="177" formatCode="0.0%"/>
    <numFmt numFmtId="178" formatCode="#,##0_);[Red]\(#,##0\)"/>
    <numFmt numFmtId="179" formatCode="#,##0_ "/>
    <numFmt numFmtId="181" formatCode="_ * #,##0_ ;_ * \-#,##0_ ;_ * &quot;-&quot;_ ;_ @_ "/>
    <numFmt numFmtId="182" formatCode="_ * #,##0.00_ ;_ * \-#,##0.00_ ;_ * &quot;-&quot;??_ ;_ @_ "/>
    <numFmt numFmtId="183" formatCode="0.00_)"/>
    <numFmt numFmtId="184" formatCode="#,##0;\(#,##0\)"/>
    <numFmt numFmtId="185" formatCode="#,##0.00000;[Red]\-#,##0.00000"/>
    <numFmt numFmtId="186" formatCode="#,##0.0000000;[Red]\-#,##0.0000000"/>
    <numFmt numFmtId="188" formatCode="#,##0_ ;[Red]\-#,##0\ "/>
    <numFmt numFmtId="189" formatCode="0.000%"/>
    <numFmt numFmtId="190" formatCode="#,##0.00;[Red]#,##0.00"/>
    <numFmt numFmtId="191" formatCode="0.000"/>
    <numFmt numFmtId="192" formatCode="0.0"/>
    <numFmt numFmtId="193" formatCode="#,##0.0000_);\(#,##0.0000\)"/>
    <numFmt numFmtId="194" formatCode="0E+00"/>
    <numFmt numFmtId="195" formatCode="yyyy\.mm\.dd"/>
    <numFmt numFmtId="196" formatCode="#,##0&quot; &quot;;[Red]&quot;△&quot;#,##0&quot; &quot;"/>
    <numFmt numFmtId="197" formatCode="* #,##0&quot; &quot;;[Red]* &quot;△&quot;#,##0&quot; &quot;;* @"/>
    <numFmt numFmtId="198" formatCode="#,##0.####;[Red]&quot;△&quot;#,##0.####"/>
    <numFmt numFmtId="199" formatCode="#,##0.00##;[Red]&quot;△&quot;#,##0.00##"/>
    <numFmt numFmtId="201" formatCode="&quot;금&quot;\ #,##0\ &quot;원&quot;"/>
    <numFmt numFmtId="202" formatCode="&quot;₩&quot;#,##0_);&quot;₩&quot;\!\(&quot;₩&quot;#,##0&quot;₩&quot;\!\)"/>
    <numFmt numFmtId="203" formatCode="\(\ &quot;₩&quot;\ #,##0\ \)"/>
    <numFmt numFmtId="204" formatCode="\(&quot;₩&quot;#,##0\)"/>
    <numFmt numFmtId="209" formatCode="#,##0.000_ "/>
    <numFmt numFmtId="212" formatCode="@\ &quot;설계예산서&quot;"/>
  </numFmts>
  <fonts count="7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b/>
      <sz val="11"/>
      <name val="굴림체"/>
      <family val="3"/>
      <charset val="129"/>
    </font>
    <font>
      <u/>
      <sz val="11"/>
      <color indexed="36"/>
      <name val="돋움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b/>
      <i/>
      <sz val="16"/>
      <name val="Helv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Courier New"/>
      <family val="3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0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10"/>
      <name val="명조"/>
      <family val="3"/>
      <charset val="129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12"/>
      <name val="굴림체"/>
      <family val="3"/>
      <charset val="129"/>
    </font>
    <font>
      <sz val="12"/>
      <name val="Arial"/>
      <family val="2"/>
    </font>
    <font>
      <i/>
      <sz val="1"/>
      <color indexed="8"/>
      <name val="Courier"/>
      <family val="3"/>
    </font>
    <font>
      <sz val="10"/>
      <name val="바탕체"/>
      <family val="1"/>
      <charset val="129"/>
    </font>
    <font>
      <b/>
      <sz val="18"/>
      <name val="Arial"/>
      <family val="2"/>
    </font>
    <font>
      <sz val="7"/>
      <name val="Small Fonts"/>
      <family val="2"/>
    </font>
    <font>
      <b/>
      <u/>
      <sz val="13"/>
      <name val="굴림체"/>
      <family val="3"/>
      <charset val="129"/>
    </font>
    <font>
      <sz val="9"/>
      <color indexed="10"/>
      <name val="굴림체"/>
      <family val="3"/>
      <charset val="129"/>
    </font>
    <font>
      <b/>
      <sz val="16"/>
      <name val="굴림체"/>
      <family val="3"/>
      <charset val="129"/>
    </font>
    <font>
      <b/>
      <sz val="9"/>
      <name val="굴림체"/>
      <family val="3"/>
      <charset val="129"/>
    </font>
    <font>
      <sz val="9"/>
      <color indexed="12"/>
      <name val="굴림체"/>
      <family val="3"/>
      <charset val="129"/>
    </font>
    <font>
      <b/>
      <sz val="18"/>
      <name val="굴림체"/>
      <family val="3"/>
      <charset val="129"/>
    </font>
    <font>
      <b/>
      <sz val="9"/>
      <color indexed="10"/>
      <name val="굴림체"/>
      <family val="3"/>
      <charset val="129"/>
    </font>
    <font>
      <b/>
      <sz val="20"/>
      <name val="굴림체"/>
      <family val="3"/>
      <charset val="129"/>
    </font>
    <font>
      <b/>
      <sz val="9"/>
      <color indexed="12"/>
      <name val="굴림체"/>
      <family val="3"/>
      <charset val="129"/>
    </font>
    <font>
      <sz val="8"/>
      <name val="굴림체"/>
      <family val="3"/>
      <charset val="129"/>
    </font>
    <font>
      <sz val="8"/>
      <color indexed="10"/>
      <name val="굴림체"/>
      <family val="3"/>
      <charset val="129"/>
    </font>
    <font>
      <b/>
      <sz val="8"/>
      <name val="굴림체"/>
      <family val="3"/>
      <charset val="129"/>
    </font>
    <font>
      <sz val="9"/>
      <name val="HY헤드라인M"/>
      <family val="1"/>
      <charset val="129"/>
    </font>
    <font>
      <b/>
      <sz val="9"/>
      <name val="HY헤드라인M"/>
      <family val="1"/>
      <charset val="129"/>
    </font>
    <font>
      <sz val="10"/>
      <name val="HY헤드라인M"/>
      <family val="1"/>
      <charset val="129"/>
    </font>
    <font>
      <sz val="14"/>
      <name val="HY헤드라인M"/>
      <family val="1"/>
      <charset val="129"/>
    </font>
    <font>
      <b/>
      <sz val="20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4"/>
      <name val="굴림체"/>
      <family val="3"/>
      <charset val="129"/>
    </font>
    <font>
      <sz val="11"/>
      <name val="HY헤드라인M"/>
      <family val="1"/>
      <charset val="129"/>
    </font>
    <font>
      <b/>
      <sz val="10"/>
      <name val="HY헤드라인M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24"/>
      <name val="HY헤드라인M"/>
      <family val="1"/>
      <charset val="129"/>
    </font>
    <font>
      <b/>
      <sz val="17"/>
      <name val="HY헤드라인M"/>
      <family val="1"/>
      <charset val="129"/>
    </font>
    <font>
      <sz val="9"/>
      <color rgb="FFFF0000"/>
      <name val="굴림체"/>
      <family val="3"/>
      <charset val="129"/>
    </font>
    <font>
      <b/>
      <sz val="8"/>
      <color rgb="FF0047D6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9"/>
      <color theme="6" tint="-0.499984740745262"/>
      <name val="굴림체"/>
      <family val="3"/>
      <charset val="129"/>
    </font>
    <font>
      <sz val="9"/>
      <color theme="6" tint="-0.499984740745262"/>
      <name val="굴림체"/>
      <family val="3"/>
      <charset val="129"/>
    </font>
    <font>
      <b/>
      <sz val="9"/>
      <color rgb="FF0033CC"/>
      <name val="굴림체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74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hair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hair">
        <color indexed="64"/>
      </right>
      <top/>
      <bottom style="thin">
        <color indexed="64"/>
      </bottom>
      <diagonal style="thin">
        <color indexed="64"/>
      </diagonal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0">
    <xf numFmtId="0" fontId="0" fillId="0" borderId="0"/>
    <xf numFmtId="0" fontId="19" fillId="0" borderId="0"/>
    <xf numFmtId="0" fontId="19" fillId="0" borderId="0"/>
    <xf numFmtId="0" fontId="11" fillId="0" borderId="0"/>
    <xf numFmtId="0" fontId="16" fillId="0" borderId="0"/>
    <xf numFmtId="0" fontId="11" fillId="0" borderId="0"/>
    <xf numFmtId="0" fontId="16" fillId="0" borderId="0"/>
    <xf numFmtId="3" fontId="20" fillId="0" borderId="1">
      <alignment horizontal="right" vertical="center"/>
    </xf>
    <xf numFmtId="2" fontId="20" fillId="0" borderId="1">
      <alignment horizontal="right" vertical="center"/>
    </xf>
    <xf numFmtId="0" fontId="19" fillId="0" borderId="2">
      <alignment horizontal="center"/>
    </xf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3" fillId="0" borderId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/>
    <xf numFmtId="0" fontId="31" fillId="0" borderId="0"/>
    <xf numFmtId="0" fontId="16" fillId="0" borderId="0" applyFill="0" applyBorder="0" applyAlignment="0"/>
    <xf numFmtId="0" fontId="9" fillId="0" borderId="0"/>
    <xf numFmtId="192" fontId="33" fillId="0" borderId="0">
      <protection locked="0"/>
    </xf>
    <xf numFmtId="41" fontId="34" fillId="0" borderId="0" applyFont="0" applyFill="0" applyBorder="0" applyAlignment="0" applyProtection="0"/>
    <xf numFmtId="184" fontId="10" fillId="0" borderId="0"/>
    <xf numFmtId="184" fontId="10" fillId="0" borderId="0"/>
    <xf numFmtId="195" fontId="16" fillId="0" borderId="0"/>
    <xf numFmtId="0" fontId="11" fillId="0" borderId="0" applyFont="0" applyFill="0" applyBorder="0" applyAlignment="0" applyProtection="0"/>
    <xf numFmtId="3" fontId="11" fillId="0" borderId="0" applyFont="0" applyFill="0" applyBorder="0" applyAlignment="0" applyProtection="0"/>
    <xf numFmtId="192" fontId="33" fillId="0" borderId="0">
      <protection locked="0"/>
    </xf>
    <xf numFmtId="0" fontId="34" fillId="0" borderId="0" applyFont="0" applyFill="0" applyBorder="0" applyAlignment="0" applyProtection="0"/>
    <xf numFmtId="0" fontId="19" fillId="0" borderId="0" applyFont="0" applyFill="0" applyBorder="0" applyAlignment="0" applyProtection="0"/>
    <xf numFmtId="5" fontId="11" fillId="0" borderId="0" applyFont="0" applyFill="0" applyBorder="0" applyAlignment="0" applyProtection="0"/>
    <xf numFmtId="185" fontId="11" fillId="0" borderId="0"/>
    <xf numFmtId="185" fontId="11" fillId="0" borderId="0"/>
    <xf numFmtId="194" fontId="16" fillId="0" borderId="0"/>
    <xf numFmtId="193" fontId="19" fillId="0" borderId="0">
      <protection locked="0"/>
    </xf>
    <xf numFmtId="186" fontId="11" fillId="0" borderId="0"/>
    <xf numFmtId="186" fontId="11" fillId="0" borderId="0"/>
    <xf numFmtId="190" fontId="16" fillId="0" borderId="0"/>
    <xf numFmtId="0" fontId="22" fillId="0" borderId="0">
      <protection locked="0"/>
    </xf>
    <xf numFmtId="0" fontId="22" fillId="0" borderId="0">
      <protection locked="0"/>
    </xf>
    <xf numFmtId="0" fontId="35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35" fillId="0" borderId="0">
      <protection locked="0"/>
    </xf>
    <xf numFmtId="193" fontId="19" fillId="0" borderId="0">
      <protection locked="0"/>
    </xf>
    <xf numFmtId="38" fontId="12" fillId="2" borderId="0" applyNumberFormat="0" applyBorder="0" applyAlignment="0" applyProtection="0"/>
    <xf numFmtId="38" fontId="12" fillId="2" borderId="0" applyNumberFormat="0" applyBorder="0" applyAlignment="0" applyProtection="0"/>
    <xf numFmtId="38" fontId="12" fillId="3" borderId="0" applyNumberFormat="0" applyBorder="0" applyAlignment="0" applyProtection="0"/>
    <xf numFmtId="3" fontId="36" fillId="0" borderId="3">
      <alignment horizontal="right" vertical="center"/>
    </xf>
    <xf numFmtId="4" fontId="36" fillId="0" borderId="3">
      <alignment horizontal="right" vertical="center"/>
    </xf>
    <xf numFmtId="0" fontId="13" fillId="0" borderId="0">
      <alignment horizontal="left"/>
    </xf>
    <xf numFmtId="0" fontId="17" fillId="0" borderId="4" applyNumberFormat="0" applyAlignment="0" applyProtection="0">
      <alignment horizontal="left" vertical="center"/>
    </xf>
    <xf numFmtId="0" fontId="17" fillId="0" borderId="5">
      <alignment horizontal="left" vertical="center"/>
    </xf>
    <xf numFmtId="0" fontId="3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93" fontId="19" fillId="0" borderId="0">
      <protection locked="0"/>
    </xf>
    <xf numFmtId="193" fontId="19" fillId="0" borderId="0">
      <protection locked="0"/>
    </xf>
    <xf numFmtId="10" fontId="12" fillId="2" borderId="6" applyNumberFormat="0" applyBorder="0" applyAlignment="0" applyProtection="0"/>
    <xf numFmtId="10" fontId="12" fillId="2" borderId="6" applyNumberFormat="0" applyBorder="0" applyAlignment="0" applyProtection="0"/>
    <xf numFmtId="10" fontId="12" fillId="4" borderId="6" applyNumberFormat="0" applyBorder="0" applyAlignment="0" applyProtection="0"/>
    <xf numFmtId="181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0" fontId="14" fillId="0" borderId="7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7" fontId="38" fillId="0" borderId="0"/>
    <xf numFmtId="183" fontId="15" fillId="0" borderId="0"/>
    <xf numFmtId="183" fontId="15" fillId="0" borderId="0"/>
    <xf numFmtId="0" fontId="16" fillId="0" borderId="0"/>
    <xf numFmtId="0" fontId="11" fillId="0" borderId="0"/>
    <xf numFmtId="192" fontId="33" fillId="0" borderId="0">
      <protection locked="0"/>
    </xf>
    <xf numFmtId="10" fontId="11" fillId="0" borderId="0" applyFont="0" applyFill="0" applyBorder="0" applyAlignment="0" applyProtection="0"/>
    <xf numFmtId="0" fontId="22" fillId="0" borderId="0">
      <protection locked="0"/>
    </xf>
    <xf numFmtId="0" fontId="14" fillId="0" borderId="0"/>
    <xf numFmtId="0" fontId="39" fillId="0" borderId="0" applyFill="0" applyBorder="0" applyProtection="0">
      <alignment horizontal="centerContinuous" vertical="center"/>
    </xf>
    <xf numFmtId="0" fontId="33" fillId="2" borderId="0" applyFill="0" applyBorder="0" applyProtection="0">
      <alignment horizontal="center" vertical="center"/>
    </xf>
    <xf numFmtId="193" fontId="19" fillId="0" borderId="8">
      <protection locked="0"/>
    </xf>
    <xf numFmtId="0" fontId="19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0" borderId="0">
      <protection locked="0"/>
    </xf>
    <xf numFmtId="3" fontId="23" fillId="0" borderId="9">
      <alignment horizontal="center"/>
    </xf>
    <xf numFmtId="0" fontId="22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2" borderId="0" applyFill="0" applyBorder="0" applyProtection="0">
      <alignment horizontal="right"/>
    </xf>
    <xf numFmtId="10" fontId="4" fillId="0" borderId="0" applyFill="0" applyBorder="0" applyProtection="0">
      <alignment horizontal="right"/>
    </xf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5" fillId="0" borderId="0"/>
    <xf numFmtId="0" fontId="18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0" fontId="26" fillId="0" borderId="0" applyNumberFormat="0" applyFont="0" applyFill="0" applyBorder="0" applyProtection="0">
      <alignment horizontal="centerContinuous" vertical="center"/>
    </xf>
    <xf numFmtId="0" fontId="27" fillId="0" borderId="6" applyFont="0" applyFill="0" applyBorder="0" applyAlignment="0" applyProtection="0">
      <alignment horizontal="centerContinuous" vertical="center"/>
    </xf>
    <xf numFmtId="0" fontId="19" fillId="0" borderId="0">
      <alignment vertical="center"/>
    </xf>
    <xf numFmtId="192" fontId="26" fillId="0" borderId="0" applyFont="0" applyFill="0" applyBorder="0" applyAlignment="0" applyProtection="0">
      <alignment horizontal="centerContinuous" vertical="center"/>
    </xf>
    <xf numFmtId="19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/>
    <xf numFmtId="0" fontId="11" fillId="0" borderId="0"/>
    <xf numFmtId="0" fontId="28" fillId="0" borderId="10"/>
    <xf numFmtId="0" fontId="29" fillId="0" borderId="0">
      <alignment vertical="center"/>
    </xf>
    <xf numFmtId="0" fontId="18" fillId="0" borderId="0" applyNumberFormat="0" applyFont="0" applyFill="0" applyBorder="0" applyProtection="0">
      <alignment vertical="center"/>
    </xf>
    <xf numFmtId="4" fontId="22" fillId="0" borderId="0">
      <protection locked="0"/>
    </xf>
    <xf numFmtId="3" fontId="30" fillId="0" borderId="0" applyFont="0" applyFill="0" applyBorder="0" applyAlignment="0" applyProtection="0"/>
    <xf numFmtId="0" fontId="19" fillId="0" borderId="0"/>
    <xf numFmtId="181" fontId="19" fillId="0" borderId="11">
      <alignment horizontal="center" vertical="center"/>
    </xf>
    <xf numFmtId="181" fontId="19" fillId="0" borderId="0" applyFont="0" applyFill="0" applyBorder="0" applyAlignment="0" applyProtection="0"/>
    <xf numFmtId="0" fontId="11" fillId="0" borderId="6"/>
    <xf numFmtId="181" fontId="19" fillId="0" borderId="11">
      <alignment horizontal="center" vertical="center"/>
    </xf>
    <xf numFmtId="196" fontId="23" fillId="0" borderId="0" applyFont="0" applyFill="0" applyBorder="0" applyAlignment="0" applyProtection="0"/>
    <xf numFmtId="197" fontId="23" fillId="0" borderId="0" applyFont="0" applyFill="0" applyBorder="0" applyAlignment="0" applyProtection="0"/>
    <xf numFmtId="19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82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>
      <protection locked="0"/>
    </xf>
    <xf numFmtId="0" fontId="4" fillId="0" borderId="0"/>
    <xf numFmtId="0" fontId="16" fillId="0" borderId="0"/>
    <xf numFmtId="0" fontId="6" fillId="0" borderId="0"/>
    <xf numFmtId="0" fontId="16" fillId="0" borderId="0"/>
    <xf numFmtId="0" fontId="3" fillId="0" borderId="0"/>
    <xf numFmtId="0" fontId="1" fillId="0" borderId="0">
      <alignment vertical="center"/>
    </xf>
    <xf numFmtId="0" fontId="3" fillId="0" borderId="0"/>
    <xf numFmtId="0" fontId="3" fillId="0" borderId="0" applyProtection="0"/>
    <xf numFmtId="0" fontId="22" fillId="0" borderId="12">
      <protection locked="0"/>
    </xf>
    <xf numFmtId="0" fontId="19" fillId="0" borderId="0">
      <protection locked="0"/>
    </xf>
    <xf numFmtId="0" fontId="19" fillId="0" borderId="0">
      <protection locked="0"/>
    </xf>
  </cellStyleXfs>
  <cellXfs count="402">
    <xf numFmtId="0" fontId="0" fillId="0" borderId="0" xfId="0"/>
    <xf numFmtId="0" fontId="6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42" fillId="0" borderId="14" xfId="0" applyFont="1" applyBorder="1" applyAlignment="1">
      <alignment vertical="center"/>
    </xf>
    <xf numFmtId="0" fontId="6" fillId="0" borderId="0" xfId="134" applyFont="1">
      <alignment vertical="center"/>
    </xf>
    <xf numFmtId="0" fontId="4" fillId="0" borderId="0" xfId="134" applyFont="1">
      <alignment vertical="center"/>
    </xf>
    <xf numFmtId="0" fontId="42" fillId="0" borderId="0" xfId="134" applyFont="1" applyAlignment="1">
      <alignment horizontal="right" vertical="center"/>
    </xf>
    <xf numFmtId="0" fontId="42" fillId="0" borderId="15" xfId="134" applyFont="1" applyBorder="1" applyAlignment="1">
      <alignment horizontal="left" vertical="center"/>
    </xf>
    <xf numFmtId="0" fontId="42" fillId="0" borderId="15" xfId="134" applyFont="1" applyBorder="1">
      <alignment vertical="center"/>
    </xf>
    <xf numFmtId="0" fontId="42" fillId="0" borderId="0" xfId="134" applyFont="1">
      <alignment vertical="center"/>
    </xf>
    <xf numFmtId="0" fontId="42" fillId="5" borderId="0" xfId="134" applyFont="1" applyFill="1">
      <alignment vertical="center"/>
    </xf>
    <xf numFmtId="0" fontId="7" fillId="5" borderId="0" xfId="134" applyFont="1" applyFill="1">
      <alignment vertical="center"/>
    </xf>
    <xf numFmtId="0" fontId="6" fillId="0" borderId="16" xfId="134" applyFont="1" applyBorder="1" applyAlignment="1">
      <alignment horizontal="center" vertical="center" textRotation="255"/>
    </xf>
    <xf numFmtId="0" fontId="6" fillId="0" borderId="17" xfId="134" applyFont="1" applyBorder="1" applyAlignment="1">
      <alignment horizontal="distributed" vertical="center"/>
    </xf>
    <xf numFmtId="0" fontId="6" fillId="0" borderId="18" xfId="134" applyFont="1" applyBorder="1" applyAlignment="1">
      <alignment horizontal="distributed" vertical="center"/>
    </xf>
    <xf numFmtId="179" fontId="6" fillId="0" borderId="16" xfId="107" applyNumberFormat="1" applyFont="1" applyBorder="1" applyAlignment="1">
      <alignment vertical="center"/>
    </xf>
    <xf numFmtId="179" fontId="6" fillId="0" borderId="18" xfId="107" applyNumberFormat="1" applyFont="1" applyBorder="1" applyAlignment="1">
      <alignment vertical="center"/>
    </xf>
    <xf numFmtId="179" fontId="6" fillId="0" borderId="19" xfId="134" applyNumberFormat="1" applyFont="1" applyBorder="1">
      <alignment vertical="center"/>
    </xf>
    <xf numFmtId="0" fontId="6" fillId="0" borderId="20" xfId="134" applyFont="1" applyBorder="1" applyAlignment="1">
      <alignment horizontal="center" vertical="center" textRotation="255"/>
    </xf>
    <xf numFmtId="0" fontId="6" fillId="0" borderId="21" xfId="134" applyFont="1" applyBorder="1" applyAlignment="1">
      <alignment horizontal="distributed" vertical="center"/>
    </xf>
    <xf numFmtId="0" fontId="6" fillId="0" borderId="22" xfId="134" applyFont="1" applyBorder="1" applyAlignment="1">
      <alignment horizontal="distributed" vertical="center"/>
    </xf>
    <xf numFmtId="179" fontId="6" fillId="0" borderId="20" xfId="107" applyNumberFormat="1" applyFont="1" applyBorder="1" applyAlignment="1">
      <alignment vertical="center"/>
    </xf>
    <xf numFmtId="179" fontId="6" fillId="0" borderId="22" xfId="107" applyNumberFormat="1" applyFont="1" applyBorder="1" applyAlignment="1">
      <alignment vertical="center"/>
    </xf>
    <xf numFmtId="179" fontId="6" fillId="0" borderId="23" xfId="134" applyNumberFormat="1" applyFont="1" applyBorder="1">
      <alignment vertical="center"/>
    </xf>
    <xf numFmtId="0" fontId="42" fillId="6" borderId="0" xfId="134" applyFont="1" applyFill="1">
      <alignment vertical="center"/>
    </xf>
    <xf numFmtId="0" fontId="7" fillId="6" borderId="0" xfId="134" applyFont="1" applyFill="1">
      <alignment vertical="center"/>
    </xf>
    <xf numFmtId="0" fontId="42" fillId="6" borderId="0" xfId="134" applyFont="1" applyFill="1" applyAlignment="1">
      <alignment horizontal="right" vertical="center"/>
    </xf>
    <xf numFmtId="179" fontId="42" fillId="6" borderId="0" xfId="134" applyNumberFormat="1" applyFont="1" applyFill="1">
      <alignment vertical="center"/>
    </xf>
    <xf numFmtId="0" fontId="45" fillId="6" borderId="0" xfId="134" applyFont="1" applyFill="1">
      <alignment vertical="center"/>
    </xf>
    <xf numFmtId="0" fontId="6" fillId="0" borderId="24" xfId="134" applyFont="1" applyBorder="1" applyAlignment="1">
      <alignment horizontal="right" vertical="center"/>
    </xf>
    <xf numFmtId="0" fontId="6" fillId="0" borderId="25" xfId="134" applyFont="1" applyBorder="1" applyAlignment="1">
      <alignment horizontal="left" vertical="center"/>
    </xf>
    <xf numFmtId="179" fontId="6" fillId="0" borderId="26" xfId="107" applyNumberFormat="1" applyFont="1" applyBorder="1" applyAlignment="1">
      <alignment vertical="center"/>
    </xf>
    <xf numFmtId="179" fontId="6" fillId="0" borderId="25" xfId="107" applyNumberFormat="1" applyFont="1" applyBorder="1" applyAlignment="1">
      <alignment vertical="center"/>
    </xf>
    <xf numFmtId="179" fontId="6" fillId="0" borderId="27" xfId="134" applyNumberFormat="1" applyFont="1" applyBorder="1">
      <alignment vertical="center"/>
    </xf>
    <xf numFmtId="0" fontId="45" fillId="5" borderId="0" xfId="134" applyFont="1" applyFill="1">
      <alignment vertical="center"/>
    </xf>
    <xf numFmtId="0" fontId="40" fillId="0" borderId="0" xfId="134" applyFont="1">
      <alignment vertical="center"/>
    </xf>
    <xf numFmtId="0" fontId="4" fillId="0" borderId="0" xfId="134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42" fillId="0" borderId="0" xfId="0" applyNumberFormat="1" applyFont="1" applyAlignment="1">
      <alignment vertical="center"/>
    </xf>
    <xf numFmtId="0" fontId="42" fillId="0" borderId="0" xfId="0" applyFont="1" applyAlignment="1">
      <alignment vertical="center"/>
    </xf>
    <xf numFmtId="0" fontId="42" fillId="0" borderId="0" xfId="0" applyFont="1" applyAlignment="1">
      <alignment horizontal="left" vertical="center"/>
    </xf>
    <xf numFmtId="0" fontId="6" fillId="0" borderId="28" xfId="0" applyFont="1" applyBorder="1" applyAlignment="1">
      <alignment vertical="center"/>
    </xf>
    <xf numFmtId="0" fontId="42" fillId="0" borderId="28" xfId="0" applyFont="1" applyBorder="1" applyAlignment="1">
      <alignment vertical="center"/>
    </xf>
    <xf numFmtId="0" fontId="6" fillId="0" borderId="29" xfId="0" applyFont="1" applyBorder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30" xfId="0" applyFont="1" applyBorder="1" applyAlignment="1">
      <alignment vertical="center"/>
    </xf>
    <xf numFmtId="0" fontId="42" fillId="0" borderId="14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10" fontId="6" fillId="0" borderId="0" xfId="0" applyNumberFormat="1" applyFont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4" fillId="0" borderId="30" xfId="0" applyFont="1" applyBorder="1" applyAlignment="1">
      <alignment vertical="center"/>
    </xf>
    <xf numFmtId="176" fontId="42" fillId="0" borderId="0" xfId="0" applyNumberFormat="1" applyFont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2" fillId="0" borderId="30" xfId="0" applyFont="1" applyBorder="1" applyAlignment="1">
      <alignment vertical="center"/>
    </xf>
    <xf numFmtId="49" fontId="43" fillId="0" borderId="0" xfId="0" applyNumberFormat="1" applyFont="1" applyAlignment="1">
      <alignment vertical="center"/>
    </xf>
    <xf numFmtId="179" fontId="47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9" fontId="42" fillId="0" borderId="0" xfId="0" applyNumberFormat="1" applyFont="1" applyAlignment="1">
      <alignment vertical="center"/>
    </xf>
    <xf numFmtId="49" fontId="40" fillId="0" borderId="0" xfId="0" applyNumberFormat="1" applyFont="1" applyAlignment="1">
      <alignment vertical="center"/>
    </xf>
    <xf numFmtId="179" fontId="45" fillId="0" borderId="0" xfId="0" applyNumberFormat="1" applyFont="1" applyAlignment="1">
      <alignment vertical="center"/>
    </xf>
    <xf numFmtId="0" fontId="6" fillId="0" borderId="3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0" borderId="31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32" xfId="0" applyFont="1" applyBorder="1" applyAlignment="1">
      <alignment vertical="center"/>
    </xf>
    <xf numFmtId="41" fontId="42" fillId="0" borderId="0" xfId="0" applyNumberFormat="1" applyFont="1" applyAlignment="1">
      <alignment horizontal="left" vertical="center"/>
    </xf>
    <xf numFmtId="0" fontId="43" fillId="0" borderId="0" xfId="0" applyFont="1" applyAlignment="1">
      <alignment horizontal="center" vertical="center"/>
    </xf>
    <xf numFmtId="0" fontId="42" fillId="7" borderId="20" xfId="134" applyFont="1" applyFill="1" applyBorder="1" applyAlignment="1">
      <alignment horizontal="center" vertical="center" textRotation="255"/>
    </xf>
    <xf numFmtId="0" fontId="42" fillId="7" borderId="21" xfId="134" applyFont="1" applyFill="1" applyBorder="1" applyAlignment="1">
      <alignment horizontal="distributed" vertical="center"/>
    </xf>
    <xf numFmtId="0" fontId="42" fillId="7" borderId="22" xfId="134" applyFont="1" applyFill="1" applyBorder="1" applyAlignment="1">
      <alignment horizontal="distributed" vertical="center"/>
    </xf>
    <xf numFmtId="179" fontId="42" fillId="7" borderId="20" xfId="107" applyNumberFormat="1" applyFont="1" applyFill="1" applyBorder="1" applyAlignment="1">
      <alignment vertical="center"/>
    </xf>
    <xf numFmtId="179" fontId="42" fillId="7" borderId="22" xfId="107" applyNumberFormat="1" applyFont="1" applyFill="1" applyBorder="1" applyAlignment="1">
      <alignment vertical="center"/>
    </xf>
    <xf numFmtId="179" fontId="42" fillId="7" borderId="23" xfId="134" applyNumberFormat="1" applyFont="1" applyFill="1" applyBorder="1">
      <alignment vertical="center"/>
    </xf>
    <xf numFmtId="0" fontId="42" fillId="7" borderId="33" xfId="134" applyFont="1" applyFill="1" applyBorder="1" applyAlignment="1">
      <alignment horizontal="center" vertical="center" textRotation="255"/>
    </xf>
    <xf numFmtId="0" fontId="42" fillId="7" borderId="34" xfId="134" applyFont="1" applyFill="1" applyBorder="1" applyAlignment="1">
      <alignment horizontal="distributed" vertical="center"/>
    </xf>
    <xf numFmtId="0" fontId="42" fillId="7" borderId="35" xfId="134" applyFont="1" applyFill="1" applyBorder="1" applyAlignment="1">
      <alignment horizontal="distributed" vertical="center"/>
    </xf>
    <xf numFmtId="179" fontId="42" fillId="7" borderId="33" xfId="107" applyNumberFormat="1" applyFont="1" applyFill="1" applyBorder="1" applyAlignment="1">
      <alignment vertical="center"/>
    </xf>
    <xf numFmtId="179" fontId="42" fillId="7" borderId="35" xfId="107" applyNumberFormat="1" applyFont="1" applyFill="1" applyBorder="1" applyAlignment="1">
      <alignment vertical="center"/>
    </xf>
    <xf numFmtId="179" fontId="42" fillId="7" borderId="36" xfId="134" applyNumberFormat="1" applyFont="1" applyFill="1" applyBorder="1">
      <alignment vertical="center"/>
    </xf>
    <xf numFmtId="0" fontId="42" fillId="7" borderId="24" xfId="134" applyFont="1" applyFill="1" applyBorder="1" applyAlignment="1">
      <alignment horizontal="right" vertical="center"/>
    </xf>
    <xf numFmtId="0" fontId="42" fillId="7" borderId="25" xfId="134" applyFont="1" applyFill="1" applyBorder="1" applyAlignment="1">
      <alignment horizontal="left" vertical="center"/>
    </xf>
    <xf numFmtId="179" fontId="42" fillId="7" borderId="26" xfId="107" applyNumberFormat="1" applyFont="1" applyFill="1" applyBorder="1" applyAlignment="1">
      <alignment vertical="center"/>
    </xf>
    <xf numFmtId="179" fontId="42" fillId="7" borderId="25" xfId="107" applyNumberFormat="1" applyFont="1" applyFill="1" applyBorder="1" applyAlignment="1">
      <alignment vertical="center"/>
    </xf>
    <xf numFmtId="10" fontId="6" fillId="7" borderId="26" xfId="134" applyNumberFormat="1" applyFont="1" applyFill="1" applyBorder="1" applyAlignment="1">
      <alignment horizontal="right" vertical="center"/>
    </xf>
    <xf numFmtId="10" fontId="6" fillId="7" borderId="25" xfId="134" applyNumberFormat="1" applyFont="1" applyFill="1" applyBorder="1" applyAlignment="1">
      <alignment horizontal="right" vertical="center"/>
    </xf>
    <xf numFmtId="179" fontId="42" fillId="7" borderId="27" xfId="134" applyNumberFormat="1" applyFont="1" applyFill="1" applyBorder="1">
      <alignment vertical="center"/>
    </xf>
    <xf numFmtId="0" fontId="42" fillId="7" borderId="25" xfId="134" applyFont="1" applyFill="1" applyBorder="1" applyAlignment="1">
      <alignment horizontal="center" vertical="center"/>
    </xf>
    <xf numFmtId="0" fontId="7" fillId="7" borderId="0" xfId="134" applyFont="1" applyFill="1">
      <alignment vertical="center"/>
    </xf>
    <xf numFmtId="0" fontId="7" fillId="0" borderId="0" xfId="134" applyFont="1">
      <alignment vertical="center"/>
    </xf>
    <xf numFmtId="178" fontId="6" fillId="0" borderId="0" xfId="0" applyNumberFormat="1" applyFont="1" applyAlignment="1">
      <alignment vertical="center"/>
    </xf>
    <xf numFmtId="0" fontId="4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8" fillId="0" borderId="13" xfId="0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48" fillId="0" borderId="0" xfId="0" applyFont="1" applyAlignment="1">
      <alignment vertical="center"/>
    </xf>
    <xf numFmtId="179" fontId="48" fillId="0" borderId="0" xfId="0" applyNumberFormat="1" applyFont="1" applyAlignment="1">
      <alignment horizontal="distributed" vertical="center"/>
    </xf>
    <xf numFmtId="0" fontId="48" fillId="0" borderId="14" xfId="0" applyFont="1" applyBorder="1" applyAlignment="1">
      <alignment vertical="center"/>
    </xf>
    <xf numFmtId="0" fontId="3" fillId="0" borderId="0" xfId="0" applyFont="1" applyAlignment="1">
      <alignment horizontal="distributed" vertical="center"/>
    </xf>
    <xf numFmtId="0" fontId="3" fillId="0" borderId="30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48" fillId="0" borderId="31" xfId="0" applyFont="1" applyBorder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9" fontId="3" fillId="0" borderId="37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/>
    </xf>
    <xf numFmtId="9" fontId="3" fillId="0" borderId="39" xfId="0" applyNumberFormat="1" applyFont="1" applyBorder="1" applyAlignment="1">
      <alignment horizontal="center" vertical="center"/>
    </xf>
    <xf numFmtId="0" fontId="49" fillId="0" borderId="0" xfId="0" applyFont="1" applyAlignment="1">
      <alignment vertical="center"/>
    </xf>
    <xf numFmtId="179" fontId="3" fillId="0" borderId="30" xfId="0" applyNumberFormat="1" applyFont="1" applyBorder="1" applyAlignment="1">
      <alignment horizontal="center" vertical="center"/>
    </xf>
    <xf numFmtId="177" fontId="3" fillId="0" borderId="40" xfId="0" applyNumberFormat="1" applyFont="1" applyBorder="1" applyAlignment="1">
      <alignment horizontal="center" vertical="center"/>
    </xf>
    <xf numFmtId="9" fontId="3" fillId="0" borderId="41" xfId="0" applyNumberFormat="1" applyFont="1" applyBorder="1" applyAlignment="1">
      <alignment horizontal="center" vertical="center"/>
    </xf>
    <xf numFmtId="9" fontId="3" fillId="0" borderId="42" xfId="0" applyNumberFormat="1" applyFont="1" applyBorder="1" applyAlignment="1">
      <alignment horizontal="center" vertical="center"/>
    </xf>
    <xf numFmtId="10" fontId="48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9" fontId="3" fillId="0" borderId="40" xfId="0" applyNumberFormat="1" applyFont="1" applyBorder="1" applyAlignment="1">
      <alignment horizontal="center" vertical="center"/>
    </xf>
    <xf numFmtId="0" fontId="48" fillId="0" borderId="46" xfId="0" applyFont="1" applyBorder="1" applyAlignment="1">
      <alignment vertical="center"/>
    </xf>
    <xf numFmtId="0" fontId="3" fillId="0" borderId="47" xfId="0" applyFont="1" applyBorder="1" applyAlignment="1">
      <alignment horizontal="center" vertical="center"/>
    </xf>
    <xf numFmtId="177" fontId="3" fillId="0" borderId="48" xfId="0" applyNumberFormat="1" applyFont="1" applyBorder="1" applyAlignment="1">
      <alignment horizontal="center" vertical="center"/>
    </xf>
    <xf numFmtId="177" fontId="3" fillId="0" borderId="49" xfId="0" applyNumberFormat="1" applyFont="1" applyBorder="1" applyAlignment="1">
      <alignment horizontal="center" vertical="center"/>
    </xf>
    <xf numFmtId="9" fontId="3" fillId="0" borderId="50" xfId="0" applyNumberFormat="1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178" fontId="50" fillId="0" borderId="0" xfId="0" applyNumberFormat="1" applyFont="1" applyAlignment="1">
      <alignment vertical="center"/>
    </xf>
    <xf numFmtId="177" fontId="50" fillId="0" borderId="0" xfId="0" applyNumberFormat="1" applyFont="1" applyAlignment="1">
      <alignment vertical="center"/>
    </xf>
    <xf numFmtId="178" fontId="3" fillId="0" borderId="30" xfId="0" applyNumberFormat="1" applyFont="1" applyBorder="1" applyAlignment="1">
      <alignment horizontal="center" vertical="center"/>
    </xf>
    <xf numFmtId="0" fontId="48" fillId="0" borderId="51" xfId="0" applyFont="1" applyBorder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9" fontId="3" fillId="0" borderId="3" xfId="0" applyNumberFormat="1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3" fillId="0" borderId="53" xfId="0" applyNumberFormat="1" applyFont="1" applyBorder="1" applyAlignment="1">
      <alignment horizontal="center" vertical="center"/>
    </xf>
    <xf numFmtId="9" fontId="3" fillId="0" borderId="38" xfId="0" applyNumberFormat="1" applyFont="1" applyBorder="1" applyAlignment="1">
      <alignment horizontal="center" vertical="center"/>
    </xf>
    <xf numFmtId="9" fontId="6" fillId="0" borderId="0" xfId="95" applyFont="1" applyAlignment="1">
      <alignment vertical="center"/>
    </xf>
    <xf numFmtId="177" fontId="3" fillId="0" borderId="41" xfId="0" applyNumberFormat="1" applyFont="1" applyBorder="1" applyAlignment="1">
      <alignment horizontal="center" vertical="center"/>
    </xf>
    <xf numFmtId="0" fontId="50" fillId="0" borderId="14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9" fontId="5" fillId="0" borderId="40" xfId="0" applyNumberFormat="1" applyFont="1" applyBorder="1" applyAlignment="1">
      <alignment horizontal="center" vertical="center"/>
    </xf>
    <xf numFmtId="9" fontId="5" fillId="0" borderId="41" xfId="0" applyNumberFormat="1" applyFont="1" applyBorder="1" applyAlignment="1">
      <alignment horizontal="center" vertical="center"/>
    </xf>
    <xf numFmtId="9" fontId="5" fillId="0" borderId="42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177" fontId="5" fillId="0" borderId="41" xfId="0" applyNumberFormat="1" applyFont="1" applyBorder="1" applyAlignment="1">
      <alignment horizontal="center" vertical="center"/>
    </xf>
    <xf numFmtId="0" fontId="50" fillId="0" borderId="31" xfId="0" applyFont="1" applyBorder="1" applyAlignment="1">
      <alignment vertical="center"/>
    </xf>
    <xf numFmtId="0" fontId="5" fillId="0" borderId="15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9" fontId="5" fillId="0" borderId="43" xfId="0" applyNumberFormat="1" applyFont="1" applyBorder="1" applyAlignment="1">
      <alignment horizontal="center" vertical="center"/>
    </xf>
    <xf numFmtId="9" fontId="5" fillId="0" borderId="44" xfId="0" applyNumberFormat="1" applyFont="1" applyBorder="1" applyAlignment="1">
      <alignment horizontal="center" vertical="center"/>
    </xf>
    <xf numFmtId="9" fontId="5" fillId="0" borderId="45" xfId="0" applyNumberFormat="1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179" fontId="43" fillId="0" borderId="0" xfId="0" applyNumberFormat="1" applyFont="1" applyAlignment="1">
      <alignment vertical="center"/>
    </xf>
    <xf numFmtId="179" fontId="6" fillId="0" borderId="0" xfId="0" applyNumberFormat="1" applyFont="1" applyAlignment="1">
      <alignment vertical="center"/>
    </xf>
    <xf numFmtId="0" fontId="5" fillId="0" borderId="41" xfId="0" applyFont="1" applyBorder="1" applyAlignment="1">
      <alignment horizontal="center" vertical="center"/>
    </xf>
    <xf numFmtId="0" fontId="6" fillId="0" borderId="31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/>
    </xf>
    <xf numFmtId="0" fontId="5" fillId="0" borderId="44" xfId="0" applyFont="1" applyBorder="1" applyAlignment="1">
      <alignment horizontal="center" vertical="center"/>
    </xf>
    <xf numFmtId="0" fontId="42" fillId="0" borderId="0" xfId="0" applyFont="1" applyAlignment="1">
      <alignment horizontal="distributed" vertical="center"/>
    </xf>
    <xf numFmtId="0" fontId="3" fillId="0" borderId="28" xfId="0" applyFont="1" applyBorder="1" applyAlignment="1">
      <alignment horizontal="distributed" vertical="center"/>
    </xf>
    <xf numFmtId="179" fontId="3" fillId="0" borderId="40" xfId="0" applyNumberFormat="1" applyFont="1" applyBorder="1" applyAlignment="1">
      <alignment horizontal="center" vertical="center"/>
    </xf>
    <xf numFmtId="179" fontId="3" fillId="0" borderId="41" xfId="0" applyNumberFormat="1" applyFont="1" applyBorder="1" applyAlignment="1">
      <alignment horizontal="center" vertical="center"/>
    </xf>
    <xf numFmtId="179" fontId="5" fillId="0" borderId="41" xfId="0" applyNumberFormat="1" applyFont="1" applyBorder="1" applyAlignment="1">
      <alignment horizontal="center" vertical="center"/>
    </xf>
    <xf numFmtId="0" fontId="40" fillId="0" borderId="0" xfId="0" applyFont="1" applyAlignment="1">
      <alignment vertical="center"/>
    </xf>
    <xf numFmtId="179" fontId="3" fillId="0" borderId="43" xfId="0" applyNumberFormat="1" applyFont="1" applyBorder="1" applyAlignment="1">
      <alignment horizontal="center" vertical="center"/>
    </xf>
    <xf numFmtId="179" fontId="3" fillId="0" borderId="44" xfId="0" applyNumberFormat="1" applyFont="1" applyBorder="1" applyAlignment="1">
      <alignment horizontal="center" vertical="center"/>
    </xf>
    <xf numFmtId="179" fontId="5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179" fontId="3" fillId="0" borderId="37" xfId="0" applyNumberFormat="1" applyFont="1" applyBorder="1" applyAlignment="1">
      <alignment horizontal="center" vertical="center"/>
    </xf>
    <xf numFmtId="179" fontId="3" fillId="0" borderId="38" xfId="0" applyNumberFormat="1" applyFont="1" applyBorder="1" applyAlignment="1">
      <alignment horizontal="center" vertical="center"/>
    </xf>
    <xf numFmtId="179" fontId="5" fillId="0" borderId="38" xfId="0" applyNumberFormat="1" applyFont="1" applyBorder="1" applyAlignment="1">
      <alignment horizontal="center" vertical="center"/>
    </xf>
    <xf numFmtId="179" fontId="5" fillId="0" borderId="40" xfId="0" applyNumberFormat="1" applyFont="1" applyBorder="1" applyAlignment="1">
      <alignment horizontal="center" vertical="center"/>
    </xf>
    <xf numFmtId="0" fontId="42" fillId="0" borderId="31" xfId="0" applyFont="1" applyBorder="1" applyAlignment="1">
      <alignment vertical="center"/>
    </xf>
    <xf numFmtId="0" fontId="5" fillId="0" borderId="15" xfId="0" applyFont="1" applyBorder="1" applyAlignment="1">
      <alignment horizontal="distributed" vertical="center"/>
    </xf>
    <xf numFmtId="179" fontId="5" fillId="0" borderId="43" xfId="0" applyNumberFormat="1" applyFont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10" fontId="40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189" fontId="6" fillId="0" borderId="0" xfId="92" applyNumberFormat="1" applyFont="1" applyAlignment="1">
      <alignment horizontal="left" vertical="center"/>
    </xf>
    <xf numFmtId="189" fontId="6" fillId="0" borderId="0" xfId="0" applyNumberFormat="1" applyFont="1" applyAlignment="1">
      <alignment horizontal="left" vertical="center"/>
    </xf>
    <xf numFmtId="0" fontId="6" fillId="0" borderId="0" xfId="131" applyAlignment="1">
      <alignment vertical="center"/>
    </xf>
    <xf numFmtId="0" fontId="6" fillId="0" borderId="0" xfId="130" applyFont="1" applyAlignment="1">
      <alignment vertical="center"/>
    </xf>
    <xf numFmtId="0" fontId="42" fillId="7" borderId="24" xfId="0" applyFont="1" applyFill="1" applyBorder="1" applyAlignment="1">
      <alignment horizontal="center" vertical="center"/>
    </xf>
    <xf numFmtId="0" fontId="53" fillId="0" borderId="0" xfId="133" applyFont="1" applyAlignment="1">
      <alignment vertical="center"/>
    </xf>
    <xf numFmtId="0" fontId="53" fillId="0" borderId="13" xfId="133" applyFont="1" applyBorder="1" applyAlignment="1">
      <alignment vertical="center"/>
    </xf>
    <xf numFmtId="0" fontId="53" fillId="0" borderId="28" xfId="133" applyFont="1" applyBorder="1" applyAlignment="1">
      <alignment vertical="center"/>
    </xf>
    <xf numFmtId="0" fontId="53" fillId="0" borderId="29" xfId="133" applyFont="1" applyBorder="1" applyAlignment="1">
      <alignment vertical="center"/>
    </xf>
    <xf numFmtId="0" fontId="53" fillId="0" borderId="14" xfId="133" applyFont="1" applyBorder="1" applyAlignment="1">
      <alignment vertical="center"/>
    </xf>
    <xf numFmtId="0" fontId="53" fillId="0" borderId="30" xfId="133" applyFont="1" applyBorder="1" applyAlignment="1">
      <alignment vertical="center"/>
    </xf>
    <xf numFmtId="0" fontId="55" fillId="0" borderId="0" xfId="133" applyFont="1" applyAlignment="1">
      <alignment horizontal="center" vertical="center"/>
    </xf>
    <xf numFmtId="0" fontId="55" fillId="0" borderId="0" xfId="133" applyFont="1" applyAlignment="1">
      <alignment horizontal="left" vertical="center"/>
    </xf>
    <xf numFmtId="0" fontId="53" fillId="0" borderId="14" xfId="129" applyFont="1" applyBorder="1" applyAlignment="1">
      <alignment vertical="center"/>
    </xf>
    <xf numFmtId="0" fontId="53" fillId="0" borderId="0" xfId="129" applyFont="1" applyAlignment="1">
      <alignment vertical="center"/>
    </xf>
    <xf numFmtId="0" fontId="56" fillId="0" borderId="0" xfId="133" applyFont="1" applyAlignment="1">
      <alignment vertical="center"/>
    </xf>
    <xf numFmtId="0" fontId="3" fillId="0" borderId="14" xfId="133" applyBorder="1" applyAlignment="1">
      <alignment vertical="center"/>
    </xf>
    <xf numFmtId="0" fontId="3" fillId="0" borderId="0" xfId="133" applyAlignment="1">
      <alignment vertical="center"/>
    </xf>
    <xf numFmtId="0" fontId="7" fillId="0" borderId="0" xfId="133" applyFont="1" applyAlignment="1">
      <alignment vertical="center"/>
    </xf>
    <xf numFmtId="0" fontId="57" fillId="0" borderId="0" xfId="133" applyFont="1" applyAlignment="1">
      <alignment horizontal="center" vertical="center"/>
    </xf>
    <xf numFmtId="0" fontId="3" fillId="0" borderId="30" xfId="133" applyBorder="1" applyAlignment="1">
      <alignment vertical="center"/>
    </xf>
    <xf numFmtId="0" fontId="5" fillId="0" borderId="0" xfId="133" applyFont="1" applyAlignment="1">
      <alignment vertical="center"/>
    </xf>
    <xf numFmtId="0" fontId="3" fillId="0" borderId="14" xfId="129" applyFont="1" applyBorder="1" applyAlignment="1">
      <alignment vertical="center"/>
    </xf>
    <xf numFmtId="0" fontId="3" fillId="0" borderId="0" xfId="129" applyFont="1" applyAlignment="1">
      <alignment vertical="center"/>
    </xf>
    <xf numFmtId="0" fontId="3" fillId="0" borderId="0" xfId="133" quotePrefix="1" applyAlignment="1">
      <alignment vertical="center"/>
    </xf>
    <xf numFmtId="0" fontId="3" fillId="0" borderId="0" xfId="133" applyAlignment="1">
      <alignment vertical="center" wrapText="1"/>
    </xf>
    <xf numFmtId="0" fontId="3" fillId="0" borderId="30" xfId="133" applyBorder="1" applyAlignment="1">
      <alignment vertical="center" wrapText="1"/>
    </xf>
    <xf numFmtId="0" fontId="3" fillId="0" borderId="0" xfId="133" applyAlignment="1">
      <alignment horizontal="left" vertical="center" wrapText="1"/>
    </xf>
    <xf numFmtId="0" fontId="3" fillId="0" borderId="30" xfId="133" applyBorder="1" applyAlignment="1">
      <alignment horizontal="left" vertical="center" wrapText="1"/>
    </xf>
    <xf numFmtId="0" fontId="58" fillId="0" borderId="0" xfId="129" applyFont="1" applyAlignment="1">
      <alignment vertical="center"/>
    </xf>
    <xf numFmtId="0" fontId="58" fillId="0" borderId="0" xfId="133" applyFont="1" applyAlignment="1">
      <alignment vertical="center"/>
    </xf>
    <xf numFmtId="0" fontId="53" fillId="0" borderId="30" xfId="129" applyFont="1" applyBorder="1" applyAlignment="1">
      <alignment vertical="center"/>
    </xf>
    <xf numFmtId="0" fontId="56" fillId="0" borderId="0" xfId="133" applyFont="1" applyAlignment="1">
      <alignment vertical="center" shrinkToFit="1"/>
    </xf>
    <xf numFmtId="0" fontId="53" fillId="0" borderId="0" xfId="133" applyFont="1" applyAlignment="1">
      <alignment horizontal="left" vertical="center"/>
    </xf>
    <xf numFmtId="0" fontId="59" fillId="0" borderId="14" xfId="133" applyFont="1" applyBorder="1" applyAlignment="1">
      <alignment vertical="center"/>
    </xf>
    <xf numFmtId="0" fontId="59" fillId="0" borderId="0" xfId="133" applyFont="1" applyAlignment="1">
      <alignment vertical="center"/>
    </xf>
    <xf numFmtId="0" fontId="60" fillId="0" borderId="0" xfId="133" quotePrefix="1" applyFont="1" applyAlignment="1">
      <alignment horizontal="distributed" vertical="center"/>
    </xf>
    <xf numFmtId="0" fontId="60" fillId="0" borderId="0" xfId="133" applyFont="1" applyAlignment="1">
      <alignment horizontal="distributed" vertical="center"/>
    </xf>
    <xf numFmtId="202" fontId="60" fillId="0" borderId="0" xfId="133" applyNumberFormat="1" applyFont="1" applyAlignment="1">
      <alignment horizontal="left" vertical="center" shrinkToFit="1"/>
    </xf>
    <xf numFmtId="0" fontId="59" fillId="0" borderId="30" xfId="133" applyFont="1" applyBorder="1" applyAlignment="1">
      <alignment vertical="center"/>
    </xf>
    <xf numFmtId="0" fontId="53" fillId="0" borderId="0" xfId="133" applyFont="1" applyAlignment="1">
      <alignment horizontal="distributed" vertical="center"/>
    </xf>
    <xf numFmtId="0" fontId="60" fillId="0" borderId="0" xfId="133" applyFont="1" applyAlignment="1">
      <alignment vertical="center" shrinkToFit="1"/>
    </xf>
    <xf numFmtId="0" fontId="56" fillId="0" borderId="0" xfId="133" applyFont="1" applyAlignment="1">
      <alignment horizontal="right" vertical="center" shrinkToFit="1"/>
    </xf>
    <xf numFmtId="0" fontId="60" fillId="0" borderId="0" xfId="133" applyFont="1" applyAlignment="1">
      <alignment horizontal="right" vertical="center" shrinkToFit="1"/>
    </xf>
    <xf numFmtId="204" fontId="56" fillId="0" borderId="0" xfId="133" applyNumberFormat="1" applyFont="1" applyAlignment="1">
      <alignment horizontal="right" vertical="center" shrinkToFit="1"/>
    </xf>
    <xf numFmtId="0" fontId="61" fillId="0" borderId="0" xfId="133" applyFont="1" applyAlignment="1">
      <alignment horizontal="right" vertical="center" shrinkToFit="1"/>
    </xf>
    <xf numFmtId="0" fontId="53" fillId="0" borderId="31" xfId="133" applyFont="1" applyBorder="1" applyAlignment="1">
      <alignment vertical="center"/>
    </xf>
    <xf numFmtId="0" fontId="53" fillId="0" borderId="15" xfId="133" applyFont="1" applyBorder="1" applyAlignment="1">
      <alignment vertical="center"/>
    </xf>
    <xf numFmtId="0" fontId="53" fillId="0" borderId="32" xfId="133" applyFont="1" applyBorder="1" applyAlignment="1">
      <alignment vertical="center"/>
    </xf>
    <xf numFmtId="0" fontId="57" fillId="0" borderId="0" xfId="133" applyFont="1" applyAlignment="1">
      <alignment vertical="center"/>
    </xf>
    <xf numFmtId="9" fontId="3" fillId="8" borderId="41" xfId="0" applyNumberFormat="1" applyFont="1" applyFill="1" applyBorder="1" applyAlignment="1">
      <alignment horizontal="center" vertical="center"/>
    </xf>
    <xf numFmtId="188" fontId="62" fillId="0" borderId="0" xfId="131" applyNumberFormat="1" applyFont="1" applyAlignment="1">
      <alignment horizontal="center" vertical="center"/>
    </xf>
    <xf numFmtId="188" fontId="51" fillId="0" borderId="0" xfId="131" applyNumberFormat="1" applyFont="1" applyAlignment="1">
      <alignment horizontal="center" vertical="center"/>
    </xf>
    <xf numFmtId="188" fontId="55" fillId="0" borderId="0" xfId="131" quotePrefix="1" applyNumberFormat="1" applyFont="1" applyAlignment="1">
      <alignment horizontal="center" vertical="center"/>
    </xf>
    <xf numFmtId="188" fontId="51" fillId="0" borderId="0" xfId="131" quotePrefix="1" applyNumberFormat="1" applyFont="1" applyAlignment="1">
      <alignment horizontal="center" vertical="center"/>
    </xf>
    <xf numFmtId="0" fontId="42" fillId="7" borderId="54" xfId="0" applyFont="1" applyFill="1" applyBorder="1" applyAlignment="1">
      <alignment horizontal="center" vertical="center"/>
    </xf>
    <xf numFmtId="0" fontId="42" fillId="0" borderId="0" xfId="130" applyFont="1" applyAlignment="1">
      <alignment vertical="center"/>
    </xf>
    <xf numFmtId="0" fontId="6" fillId="0" borderId="24" xfId="134" applyFont="1" applyBorder="1" applyAlignment="1">
      <alignment horizontal="center" vertical="center"/>
    </xf>
    <xf numFmtId="0" fontId="64" fillId="0" borderId="0" xfId="0" applyFont="1" applyAlignment="1">
      <alignment vertical="center"/>
    </xf>
    <xf numFmtId="0" fontId="6" fillId="0" borderId="0" xfId="0" applyFont="1" applyAlignment="1">
      <alignment horizontal="distributed" vertical="center" indent="1"/>
    </xf>
    <xf numFmtId="179" fontId="6" fillId="0" borderId="0" xfId="0" applyNumberFormat="1" applyFont="1" applyAlignment="1">
      <alignment horizontal="center" vertical="center"/>
    </xf>
    <xf numFmtId="177" fontId="64" fillId="7" borderId="0" xfId="0" applyNumberFormat="1" applyFont="1" applyFill="1" applyAlignment="1">
      <alignment horizontal="center" vertical="center"/>
    </xf>
    <xf numFmtId="10" fontId="64" fillId="7" borderId="0" xfId="0" applyNumberFormat="1" applyFont="1" applyFill="1" applyAlignment="1">
      <alignment horizontal="center" vertical="center"/>
    </xf>
    <xf numFmtId="189" fontId="64" fillId="7" borderId="0" xfId="0" applyNumberFormat="1" applyFont="1" applyFill="1" applyAlignment="1">
      <alignment horizontal="center" vertical="center"/>
    </xf>
    <xf numFmtId="188" fontId="65" fillId="0" borderId="0" xfId="0" applyNumberFormat="1" applyFont="1" applyAlignment="1">
      <alignment vertical="center"/>
    </xf>
    <xf numFmtId="179" fontId="66" fillId="0" borderId="41" xfId="0" applyNumberFormat="1" applyFont="1" applyBorder="1" applyAlignment="1">
      <alignment horizontal="center" vertical="center"/>
    </xf>
    <xf numFmtId="10" fontId="6" fillId="7" borderId="0" xfId="0" applyNumberFormat="1" applyFont="1" applyFill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56" xfId="0" applyFont="1" applyBorder="1" applyAlignment="1">
      <alignment horizontal="distributed" vertical="center" indent="1"/>
    </xf>
    <xf numFmtId="0" fontId="6" fillId="0" borderId="1" xfId="0" applyFont="1" applyBorder="1" applyAlignment="1">
      <alignment horizontal="center" vertical="center"/>
    </xf>
    <xf numFmtId="179" fontId="6" fillId="0" borderId="0" xfId="0" applyNumberFormat="1" applyFont="1" applyAlignment="1">
      <alignment horizontal="distributed" vertical="center"/>
    </xf>
    <xf numFmtId="177" fontId="6" fillId="0" borderId="16" xfId="134" applyNumberFormat="1" applyFont="1" applyBorder="1" applyAlignment="1">
      <alignment horizontal="right" vertical="center"/>
    </xf>
    <xf numFmtId="177" fontId="6" fillId="0" borderId="18" xfId="134" applyNumberFormat="1" applyFont="1" applyBorder="1" applyAlignment="1">
      <alignment horizontal="right" vertical="center"/>
    </xf>
    <xf numFmtId="177" fontId="6" fillId="0" borderId="20" xfId="134" applyNumberFormat="1" applyFont="1" applyBorder="1" applyAlignment="1">
      <alignment horizontal="right" vertical="center"/>
    </xf>
    <xf numFmtId="177" fontId="6" fillId="0" borderId="22" xfId="134" applyNumberFormat="1" applyFont="1" applyBorder="1" applyAlignment="1">
      <alignment horizontal="right" vertical="center"/>
    </xf>
    <xf numFmtId="177" fontId="42" fillId="7" borderId="57" xfId="134" applyNumberFormat="1" applyFont="1" applyFill="1" applyBorder="1" applyAlignment="1">
      <alignment horizontal="right" vertical="center"/>
    </xf>
    <xf numFmtId="177" fontId="42" fillId="7" borderId="22" xfId="134" applyNumberFormat="1" applyFont="1" applyFill="1" applyBorder="1" applyAlignment="1">
      <alignment horizontal="right" vertical="center"/>
    </xf>
    <xf numFmtId="177" fontId="6" fillId="0" borderId="58" xfId="134" applyNumberFormat="1" applyFont="1" applyBorder="1" applyAlignment="1">
      <alignment horizontal="right" vertical="center"/>
    </xf>
    <xf numFmtId="177" fontId="42" fillId="7" borderId="33" xfId="134" applyNumberFormat="1" applyFont="1" applyFill="1" applyBorder="1" applyAlignment="1">
      <alignment horizontal="right" vertical="center"/>
    </xf>
    <xf numFmtId="177" fontId="42" fillId="7" borderId="35" xfId="134" applyNumberFormat="1" applyFont="1" applyFill="1" applyBorder="1" applyAlignment="1">
      <alignment horizontal="right" vertical="center"/>
    </xf>
    <xf numFmtId="177" fontId="6" fillId="0" borderId="26" xfId="134" applyNumberFormat="1" applyFont="1" applyBorder="1" applyAlignment="1">
      <alignment horizontal="right" vertical="center"/>
    </xf>
    <xf numFmtId="177" fontId="6" fillId="0" borderId="25" xfId="134" applyNumberFormat="1" applyFont="1" applyBorder="1" applyAlignment="1">
      <alignment horizontal="right" vertical="center"/>
    </xf>
    <xf numFmtId="177" fontId="6" fillId="7" borderId="25" xfId="134" applyNumberFormat="1" applyFont="1" applyFill="1" applyBorder="1" applyAlignment="1">
      <alignment horizontal="right" vertical="center"/>
    </xf>
    <xf numFmtId="177" fontId="6" fillId="8" borderId="26" xfId="134" applyNumberFormat="1" applyFont="1" applyFill="1" applyBorder="1" applyAlignment="1">
      <alignment horizontal="right" vertical="center"/>
    </xf>
    <xf numFmtId="0" fontId="6" fillId="0" borderId="28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0" fontId="6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horizontal="distributed" vertical="center" indent="1"/>
    </xf>
    <xf numFmtId="189" fontId="6" fillId="0" borderId="0" xfId="0" applyNumberFormat="1" applyFont="1" applyAlignment="1">
      <alignment horizontal="center" vertical="center"/>
    </xf>
    <xf numFmtId="0" fontId="6" fillId="0" borderId="60" xfId="0" applyFont="1" applyBorder="1" applyAlignment="1">
      <alignment horizontal="distributed" vertical="center" indent="1"/>
    </xf>
    <xf numFmtId="0" fontId="6" fillId="0" borderId="9" xfId="0" applyFont="1" applyBorder="1" applyAlignment="1">
      <alignment horizontal="center" vertical="center"/>
    </xf>
    <xf numFmtId="188" fontId="62" fillId="0" borderId="0" xfId="131" applyNumberFormat="1" applyFont="1" applyAlignment="1">
      <alignment horizontal="center" vertical="center"/>
    </xf>
    <xf numFmtId="188" fontId="55" fillId="0" borderId="0" xfId="131" applyNumberFormat="1" applyFont="1" applyAlignment="1">
      <alignment horizontal="distributed" vertical="center"/>
    </xf>
    <xf numFmtId="0" fontId="41" fillId="0" borderId="0" xfId="0" applyFont="1" applyAlignment="1">
      <alignment horizontal="center" vertical="center"/>
    </xf>
    <xf numFmtId="0" fontId="42" fillId="7" borderId="54" xfId="0" applyFont="1" applyFill="1" applyBorder="1" applyAlignment="1">
      <alignment horizontal="center" vertical="center"/>
    </xf>
    <xf numFmtId="0" fontId="42" fillId="7" borderId="27" xfId="0" applyFont="1" applyFill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79" fontId="6" fillId="0" borderId="55" xfId="0" applyNumberFormat="1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209" fontId="6" fillId="0" borderId="55" xfId="0" applyNumberFormat="1" applyFont="1" applyBorder="1" applyAlignment="1">
      <alignment horizontal="center" vertical="center"/>
    </xf>
    <xf numFmtId="0" fontId="42" fillId="0" borderId="0" xfId="0" applyFont="1" applyAlignment="1">
      <alignment horizontal="right" vertical="center"/>
    </xf>
    <xf numFmtId="0" fontId="52" fillId="0" borderId="61" xfId="133" applyFont="1" applyBorder="1" applyAlignment="1">
      <alignment horizontal="center" vertical="center" wrapText="1"/>
    </xf>
    <xf numFmtId="0" fontId="52" fillId="0" borderId="62" xfId="133" applyFont="1" applyBorder="1" applyAlignment="1">
      <alignment horizontal="center" vertical="center"/>
    </xf>
    <xf numFmtId="0" fontId="52" fillId="0" borderId="63" xfId="133" applyFont="1" applyBorder="1" applyAlignment="1">
      <alignment horizontal="center" vertical="center"/>
    </xf>
    <xf numFmtId="0" fontId="51" fillId="0" borderId="13" xfId="133" applyFont="1" applyBorder="1" applyAlignment="1">
      <alignment horizontal="center" vertical="center"/>
    </xf>
    <xf numFmtId="0" fontId="51" fillId="0" borderId="28" xfId="133" applyFont="1" applyBorder="1" applyAlignment="1">
      <alignment horizontal="center" vertical="center"/>
    </xf>
    <xf numFmtId="0" fontId="51" fillId="0" borderId="29" xfId="133" applyFont="1" applyBorder="1" applyAlignment="1">
      <alignment horizontal="center" vertical="center"/>
    </xf>
    <xf numFmtId="0" fontId="51" fillId="0" borderId="14" xfId="133" applyFont="1" applyBorder="1" applyAlignment="1">
      <alignment horizontal="center" vertical="center"/>
    </xf>
    <xf numFmtId="0" fontId="51" fillId="0" borderId="0" xfId="133" applyFont="1" applyAlignment="1">
      <alignment horizontal="center" vertical="center"/>
    </xf>
    <xf numFmtId="0" fontId="51" fillId="0" borderId="30" xfId="133" applyFont="1" applyBorder="1" applyAlignment="1">
      <alignment horizontal="center" vertical="center"/>
    </xf>
    <xf numFmtId="0" fontId="51" fillId="0" borderId="31" xfId="133" applyFont="1" applyBorder="1" applyAlignment="1">
      <alignment horizontal="center" vertical="center"/>
    </xf>
    <xf numFmtId="0" fontId="51" fillId="0" borderId="15" xfId="133" applyFont="1" applyBorder="1" applyAlignment="1">
      <alignment horizontal="center" vertical="center"/>
    </xf>
    <xf numFmtId="0" fontId="51" fillId="0" borderId="32" xfId="133" applyFont="1" applyBorder="1" applyAlignment="1">
      <alignment horizontal="center" vertical="center"/>
    </xf>
    <xf numFmtId="0" fontId="51" fillId="0" borderId="13" xfId="133" applyFont="1" applyBorder="1" applyAlignment="1">
      <alignment horizontal="right" vertical="center"/>
    </xf>
    <xf numFmtId="0" fontId="51" fillId="0" borderId="28" xfId="133" applyFont="1" applyBorder="1" applyAlignment="1">
      <alignment horizontal="right" vertical="center"/>
    </xf>
    <xf numFmtId="0" fontId="51" fillId="0" borderId="14" xfId="133" applyFont="1" applyBorder="1" applyAlignment="1">
      <alignment horizontal="right" vertical="center"/>
    </xf>
    <xf numFmtId="0" fontId="51" fillId="0" borderId="0" xfId="133" applyFont="1" applyAlignment="1">
      <alignment horizontal="right" vertical="center"/>
    </xf>
    <xf numFmtId="0" fontId="51" fillId="0" borderId="31" xfId="133" applyFont="1" applyBorder="1" applyAlignment="1">
      <alignment horizontal="right" vertical="center"/>
    </xf>
    <xf numFmtId="0" fontId="51" fillId="0" borderId="15" xfId="133" applyFont="1" applyBorder="1" applyAlignment="1">
      <alignment horizontal="right" vertical="center"/>
    </xf>
    <xf numFmtId="0" fontId="51" fillId="0" borderId="28" xfId="133" quotePrefix="1" applyFont="1" applyBorder="1" applyAlignment="1">
      <alignment horizontal="right" vertical="center"/>
    </xf>
    <xf numFmtId="0" fontId="54" fillId="0" borderId="0" xfId="133" applyFont="1" applyAlignment="1">
      <alignment horizontal="center" vertical="center"/>
    </xf>
    <xf numFmtId="212" fontId="63" fillId="0" borderId="0" xfId="133" applyNumberFormat="1" applyFont="1" applyAlignment="1">
      <alignment horizontal="center" vertical="center"/>
    </xf>
    <xf numFmtId="0" fontId="52" fillId="0" borderId="28" xfId="133" applyFont="1" applyBorder="1" applyAlignment="1">
      <alignment horizontal="center" vertical="center"/>
    </xf>
    <xf numFmtId="0" fontId="52" fillId="0" borderId="0" xfId="133" applyFont="1" applyAlignment="1">
      <alignment horizontal="center" vertical="center"/>
    </xf>
    <xf numFmtId="0" fontId="52" fillId="0" borderId="15" xfId="133" applyFont="1" applyBorder="1" applyAlignment="1">
      <alignment horizontal="center" vertical="center"/>
    </xf>
    <xf numFmtId="0" fontId="52" fillId="0" borderId="28" xfId="133" applyFont="1" applyBorder="1" applyAlignment="1">
      <alignment horizontal="left" vertical="center"/>
    </xf>
    <xf numFmtId="0" fontId="52" fillId="0" borderId="29" xfId="133" applyFont="1" applyBorder="1" applyAlignment="1">
      <alignment horizontal="left" vertical="center"/>
    </xf>
    <xf numFmtId="0" fontId="52" fillId="0" borderId="0" xfId="133" applyFont="1" applyAlignment="1">
      <alignment horizontal="left" vertical="center"/>
    </xf>
    <xf numFmtId="0" fontId="52" fillId="0" borderId="30" xfId="133" applyFont="1" applyBorder="1" applyAlignment="1">
      <alignment horizontal="left" vertical="center"/>
    </xf>
    <xf numFmtId="0" fontId="52" fillId="0" borderId="15" xfId="133" applyFont="1" applyBorder="1" applyAlignment="1">
      <alignment horizontal="left" vertical="center"/>
    </xf>
    <xf numFmtId="0" fontId="52" fillId="0" borderId="32" xfId="133" applyFont="1" applyBorder="1" applyAlignment="1">
      <alignment horizontal="left" vertical="center"/>
    </xf>
    <xf numFmtId="0" fontId="56" fillId="0" borderId="0" xfId="133" applyFont="1" applyAlignment="1">
      <alignment horizontal="distributed" vertical="center"/>
    </xf>
    <xf numFmtId="201" fontId="56" fillId="0" borderId="0" xfId="133" applyNumberFormat="1" applyFont="1" applyAlignment="1">
      <alignment horizontal="left" vertical="center" shrinkToFit="1"/>
    </xf>
    <xf numFmtId="0" fontId="60" fillId="0" borderId="0" xfId="133" quotePrefix="1" applyFont="1" applyAlignment="1">
      <alignment horizontal="distributed" vertical="center"/>
    </xf>
    <xf numFmtId="0" fontId="60" fillId="0" borderId="0" xfId="133" applyFont="1" applyAlignment="1">
      <alignment horizontal="distributed" vertical="center"/>
    </xf>
    <xf numFmtId="203" fontId="56" fillId="0" borderId="0" xfId="133" applyNumberFormat="1" applyFont="1" applyAlignment="1">
      <alignment horizontal="left" vertical="center" shrinkToFit="1"/>
    </xf>
    <xf numFmtId="0" fontId="61" fillId="0" borderId="0" xfId="133" quotePrefix="1" applyFont="1" applyAlignment="1">
      <alignment horizontal="distributed" vertical="center"/>
    </xf>
    <xf numFmtId="0" fontId="61" fillId="0" borderId="0" xfId="133" applyFont="1" applyAlignment="1">
      <alignment horizontal="distributed" vertical="center"/>
    </xf>
    <xf numFmtId="0" fontId="61" fillId="0" borderId="0" xfId="133" applyFont="1" applyAlignment="1">
      <alignment horizontal="right" vertical="center" shrinkToFit="1"/>
    </xf>
    <xf numFmtId="204" fontId="61" fillId="0" borderId="0" xfId="133" applyNumberFormat="1" applyFont="1" applyAlignment="1">
      <alignment horizontal="right" vertical="center" shrinkToFit="1"/>
    </xf>
    <xf numFmtId="0" fontId="42" fillId="7" borderId="5" xfId="134" applyFont="1" applyFill="1" applyBorder="1" applyAlignment="1">
      <alignment horizontal="distributed" vertical="center"/>
    </xf>
    <xf numFmtId="0" fontId="44" fillId="0" borderId="0" xfId="134" applyFont="1" applyAlignment="1">
      <alignment horizontal="center" vertical="center"/>
    </xf>
    <xf numFmtId="0" fontId="5" fillId="0" borderId="19" xfId="134" applyFont="1" applyBorder="1" applyAlignment="1">
      <alignment horizontal="center" vertical="center"/>
    </xf>
    <xf numFmtId="0" fontId="5" fillId="0" borderId="36" xfId="134" applyFont="1" applyBorder="1" applyAlignment="1">
      <alignment horizontal="center" vertical="center"/>
    </xf>
    <xf numFmtId="0" fontId="42" fillId="0" borderId="0" xfId="134" applyFont="1" applyAlignment="1">
      <alignment horizontal="right" vertical="center"/>
    </xf>
    <xf numFmtId="0" fontId="5" fillId="0" borderId="71" xfId="134" applyFont="1" applyBorder="1" applyAlignment="1">
      <alignment horizontal="center" vertical="center"/>
    </xf>
    <xf numFmtId="0" fontId="5" fillId="0" borderId="37" xfId="134" applyFont="1" applyBorder="1" applyAlignment="1">
      <alignment horizontal="center" vertical="center"/>
    </xf>
    <xf numFmtId="0" fontId="5" fillId="0" borderId="72" xfId="134" applyFont="1" applyBorder="1" applyAlignment="1">
      <alignment horizontal="center" vertical="center"/>
    </xf>
    <xf numFmtId="0" fontId="5" fillId="0" borderId="43" xfId="134" applyFont="1" applyBorder="1" applyAlignment="1">
      <alignment horizontal="center" vertical="center"/>
    </xf>
    <xf numFmtId="0" fontId="6" fillId="0" borderId="5" xfId="134" applyFont="1" applyBorder="1" applyAlignment="1">
      <alignment horizontal="distributed" vertical="center"/>
    </xf>
    <xf numFmtId="0" fontId="6" fillId="0" borderId="64" xfId="134" applyFont="1" applyBorder="1" applyAlignment="1">
      <alignment horizontal="center" vertical="center" textRotation="255"/>
    </xf>
    <xf numFmtId="0" fontId="6" fillId="0" borderId="55" xfId="134" applyFont="1" applyBorder="1" applyAlignment="1">
      <alignment horizontal="center" vertical="center" textRotation="255"/>
    </xf>
    <xf numFmtId="0" fontId="6" fillId="0" borderId="49" xfId="134" applyFont="1" applyBorder="1" applyAlignment="1">
      <alignment horizontal="center" vertical="center" textRotation="255"/>
    </xf>
    <xf numFmtId="0" fontId="6" fillId="0" borderId="9" xfId="134" applyFont="1" applyBorder="1" applyAlignment="1">
      <alignment horizontal="center" vertical="center" textRotation="255"/>
    </xf>
    <xf numFmtId="0" fontId="5" fillId="0" borderId="65" xfId="134" applyFont="1" applyBorder="1" applyAlignment="1">
      <alignment horizontal="left" vertical="center" wrapText="1"/>
    </xf>
    <xf numFmtId="0" fontId="5" fillId="0" borderId="66" xfId="134" applyFont="1" applyBorder="1" applyAlignment="1">
      <alignment horizontal="left" vertical="center" wrapText="1"/>
    </xf>
    <xf numFmtId="0" fontId="5" fillId="0" borderId="67" xfId="134" applyFont="1" applyBorder="1" applyAlignment="1">
      <alignment horizontal="left" vertical="center" wrapText="1"/>
    </xf>
    <xf numFmtId="0" fontId="5" fillId="0" borderId="68" xfId="134" applyFont="1" applyBorder="1" applyAlignment="1">
      <alignment horizontal="left" vertical="center" wrapText="1"/>
    </xf>
    <xf numFmtId="0" fontId="5" fillId="0" borderId="69" xfId="134" applyFont="1" applyBorder="1" applyAlignment="1">
      <alignment horizontal="left" vertical="center" wrapText="1"/>
    </xf>
    <xf numFmtId="0" fontId="5" fillId="0" borderId="70" xfId="134" applyFont="1" applyBorder="1" applyAlignment="1">
      <alignment horizontal="left" vertical="center" wrapText="1"/>
    </xf>
    <xf numFmtId="0" fontId="6" fillId="0" borderId="13" xfId="134" applyFont="1" applyBorder="1" applyAlignment="1">
      <alignment horizontal="center" vertical="center" textRotation="255"/>
    </xf>
    <xf numFmtId="0" fontId="6" fillId="0" borderId="14" xfId="134" applyFont="1" applyBorder="1" applyAlignment="1">
      <alignment horizontal="center" vertical="center" textRotation="255"/>
    </xf>
    <xf numFmtId="0" fontId="6" fillId="0" borderId="31" xfId="134" applyFont="1" applyBorder="1" applyAlignment="1">
      <alignment horizontal="center" vertical="center" textRotation="255"/>
    </xf>
    <xf numFmtId="49" fontId="40" fillId="0" borderId="6" xfId="0" applyNumberFormat="1" applyFont="1" applyBorder="1" applyAlignment="1">
      <alignment horizontal="left" vertical="center"/>
    </xf>
    <xf numFmtId="179" fontId="45" fillId="0" borderId="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49" fontId="43" fillId="0" borderId="24" xfId="0" applyNumberFormat="1" applyFont="1" applyBorder="1" applyAlignment="1">
      <alignment horizontal="left" vertical="center"/>
    </xf>
    <xf numFmtId="49" fontId="43" fillId="0" borderId="5" xfId="0" applyNumberFormat="1" applyFont="1" applyBorder="1" applyAlignment="1">
      <alignment horizontal="left" vertical="center"/>
    </xf>
    <xf numFmtId="49" fontId="43" fillId="0" borderId="73" xfId="0" applyNumberFormat="1" applyFont="1" applyBorder="1" applyAlignment="1">
      <alignment horizontal="left" vertical="center"/>
    </xf>
    <xf numFmtId="0" fontId="42" fillId="0" borderId="24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73" xfId="0" applyFont="1" applyBorder="1" applyAlignment="1">
      <alignment horizontal="center" vertical="center"/>
    </xf>
    <xf numFmtId="49" fontId="43" fillId="0" borderId="6" xfId="0" applyNumberFormat="1" applyFont="1" applyBorder="1" applyAlignment="1">
      <alignment horizontal="left" vertical="center"/>
    </xf>
    <xf numFmtId="176" fontId="42" fillId="7" borderId="0" xfId="0" applyNumberFormat="1" applyFont="1" applyFill="1" applyAlignment="1">
      <alignment horizontal="center" vertical="center"/>
    </xf>
    <xf numFmtId="0" fontId="42" fillId="0" borderId="0" xfId="0" applyFont="1" applyAlignment="1">
      <alignment horizontal="center" vertical="center"/>
    </xf>
    <xf numFmtId="179" fontId="47" fillId="0" borderId="24" xfId="0" applyNumberFormat="1" applyFont="1" applyBorder="1" applyAlignment="1">
      <alignment horizontal="right" vertical="center"/>
    </xf>
    <xf numFmtId="179" fontId="47" fillId="0" borderId="5" xfId="0" applyNumberFormat="1" applyFont="1" applyBorder="1" applyAlignment="1">
      <alignment horizontal="right" vertical="center"/>
    </xf>
    <xf numFmtId="179" fontId="47" fillId="0" borderId="73" xfId="0" applyNumberFormat="1" applyFont="1" applyBorder="1" applyAlignment="1">
      <alignment horizontal="right" vertical="center"/>
    </xf>
    <xf numFmtId="41" fontId="42" fillId="0" borderId="24" xfId="0" applyNumberFormat="1" applyFont="1" applyBorder="1" applyAlignment="1">
      <alignment horizontal="center" vertical="center"/>
    </xf>
    <xf numFmtId="41" fontId="42" fillId="0" borderId="5" xfId="0" applyNumberFormat="1" applyFont="1" applyBorder="1" applyAlignment="1">
      <alignment horizontal="center" vertical="center"/>
    </xf>
    <xf numFmtId="41" fontId="42" fillId="0" borderId="73" xfId="0" applyNumberFormat="1" applyFont="1" applyBorder="1" applyAlignment="1">
      <alignment horizontal="center" vertical="center"/>
    </xf>
    <xf numFmtId="179" fontId="40" fillId="0" borderId="6" xfId="0" applyNumberFormat="1" applyFont="1" applyBorder="1" applyAlignment="1">
      <alignment horizontal="right" vertical="center"/>
    </xf>
    <xf numFmtId="179" fontId="47" fillId="0" borderId="14" xfId="0" applyNumberFormat="1" applyFont="1" applyBorder="1" applyAlignment="1">
      <alignment horizontal="right" vertical="center"/>
    </xf>
    <xf numFmtId="179" fontId="47" fillId="0" borderId="0" xfId="0" applyNumberFormat="1" applyFont="1" applyAlignment="1">
      <alignment horizontal="right" vertical="center"/>
    </xf>
    <xf numFmtId="179" fontId="67" fillId="0" borderId="14" xfId="0" applyNumberFormat="1" applyFont="1" applyBorder="1" applyAlignment="1">
      <alignment horizontal="right" vertical="center"/>
    </xf>
    <xf numFmtId="179" fontId="67" fillId="0" borderId="0" xfId="0" applyNumberFormat="1" applyFont="1" applyAlignment="1">
      <alignment horizontal="right" vertical="center"/>
    </xf>
    <xf numFmtId="179" fontId="70" fillId="0" borderId="14" xfId="0" applyNumberFormat="1" applyFont="1" applyBorder="1" applyAlignment="1">
      <alignment horizontal="right" vertical="center"/>
    </xf>
    <xf numFmtId="179" fontId="70" fillId="0" borderId="0" xfId="0" applyNumberFormat="1" applyFont="1" applyAlignment="1">
      <alignment horizontal="right" vertical="center"/>
    </xf>
    <xf numFmtId="179" fontId="68" fillId="0" borderId="6" xfId="0" applyNumberFormat="1" applyFont="1" applyBorder="1" applyAlignment="1">
      <alignment horizontal="right" vertical="center"/>
    </xf>
    <xf numFmtId="49" fontId="43" fillId="0" borderId="0" xfId="0" applyNumberFormat="1" applyFont="1" applyAlignment="1">
      <alignment horizontal="center" vertical="center"/>
    </xf>
    <xf numFmtId="0" fontId="40" fillId="0" borderId="6" xfId="0" applyFont="1" applyBorder="1" applyAlignment="1">
      <alignment horizontal="left" vertical="center"/>
    </xf>
    <xf numFmtId="0" fontId="45" fillId="0" borderId="6" xfId="0" applyFont="1" applyBorder="1" applyAlignment="1">
      <alignment horizontal="left" vertical="center"/>
    </xf>
    <xf numFmtId="0" fontId="40" fillId="0" borderId="0" xfId="0" applyFont="1" applyAlignment="1">
      <alignment horizontal="center" vertical="center"/>
    </xf>
    <xf numFmtId="49" fontId="69" fillId="0" borderId="6" xfId="0" applyNumberFormat="1" applyFont="1" applyBorder="1" applyAlignment="1">
      <alignment horizontal="left" vertical="center"/>
    </xf>
    <xf numFmtId="179" fontId="47" fillId="0" borderId="6" xfId="0" applyNumberFormat="1" applyFont="1" applyBorder="1" applyAlignment="1">
      <alignment horizontal="right" vertical="center"/>
    </xf>
    <xf numFmtId="10" fontId="6" fillId="0" borderId="0" xfId="0" applyNumberFormat="1" applyFont="1" applyAlignment="1">
      <alignment horizontal="center" vertical="center"/>
    </xf>
    <xf numFmtId="176" fontId="42" fillId="7" borderId="0" xfId="107" applyNumberFormat="1" applyFont="1" applyFill="1" applyAlignment="1">
      <alignment horizontal="center" vertical="center"/>
    </xf>
    <xf numFmtId="188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79" fontId="42" fillId="7" borderId="0" xfId="107" applyNumberFormat="1" applyFont="1" applyFill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176" fontId="42" fillId="7" borderId="0" xfId="0" applyNumberFormat="1" applyFont="1" applyFill="1" applyAlignment="1">
      <alignment vertical="center"/>
    </xf>
    <xf numFmtId="41" fontId="6" fillId="0" borderId="0" xfId="107" applyFont="1" applyAlignment="1">
      <alignment horizontal="center" vertical="center"/>
    </xf>
    <xf numFmtId="41" fontId="67" fillId="0" borderId="24" xfId="107" applyFont="1" applyBorder="1" applyAlignment="1">
      <alignment horizontal="center" vertical="center"/>
    </xf>
    <xf numFmtId="41" fontId="67" fillId="0" borderId="73" xfId="107" applyFont="1" applyBorder="1" applyAlignment="1">
      <alignment horizontal="center" vertical="center"/>
    </xf>
    <xf numFmtId="0" fontId="46" fillId="0" borderId="24" xfId="0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/>
    </xf>
    <xf numFmtId="0" fontId="46" fillId="0" borderId="73" xfId="0" applyFont="1" applyBorder="1" applyAlignment="1">
      <alignment horizontal="center" vertical="center"/>
    </xf>
  </cellXfs>
  <cellStyles count="140">
    <cellStyle name="??&amp;O?&amp;H?_x0008__x000f__x0007_?_x0007__x0001__x0001_" xfId="1"/>
    <cellStyle name="??&amp;O?&amp;H?_x0008_??_x0007__x0001__x0001_" xfId="2"/>
    <cellStyle name="_03.배수공" xfId="3"/>
    <cellStyle name="_BOX수량산출서" xfId="4"/>
    <cellStyle name="_배수공" xfId="5"/>
    <cellStyle name="_큰골천BOX2" xfId="6"/>
    <cellStyle name="1" xfId="7"/>
    <cellStyle name="2" xfId="8"/>
    <cellStyle name="2)" xfId="9"/>
    <cellStyle name="ÅëÈ­ [0]_»óºÎ¼ö·®Áý°è " xfId="10"/>
    <cellStyle name="AeE­ [0]_INQUIRY ¿μ¾÷AßAø " xfId="11"/>
    <cellStyle name="ÅëÈ­_»óºÎ¼ö·®Áý°è " xfId="12"/>
    <cellStyle name="AeE­_INQUIRY ¿μ¾÷AßAø " xfId="13"/>
    <cellStyle name="ALIGNMENT" xfId="14"/>
    <cellStyle name="ÄÞ¸¶ [0]_»óºÎ¼ö·®Áý°è " xfId="15"/>
    <cellStyle name="AÞ¸¶ [0]_INQUIRY ¿μ¾÷AßAø " xfId="16"/>
    <cellStyle name="ÄÞ¸¶_»óºÎ¼ö·®Áý°è " xfId="17"/>
    <cellStyle name="AÞ¸¶_INQUIRY ¿μ¾÷AßAø " xfId="18"/>
    <cellStyle name="C￥AØ_¿μ¾÷CoE² " xfId="19"/>
    <cellStyle name="Ç¥ÁØ_»óºÎ¼ö·®Áý°è " xfId="20"/>
    <cellStyle name="Calc Currency (0)" xfId="21"/>
    <cellStyle name="category" xfId="22"/>
    <cellStyle name="Comma" xfId="23"/>
    <cellStyle name="Comma [0]" xfId="24"/>
    <cellStyle name="comma zerodec" xfId="25"/>
    <cellStyle name="comma zerodec 2" xfId="26"/>
    <cellStyle name="comma zerodec 3" xfId="27"/>
    <cellStyle name="Comma_ SG&amp;A Bridge " xfId="28"/>
    <cellStyle name="Comma0" xfId="29"/>
    <cellStyle name="Currency" xfId="30"/>
    <cellStyle name="Currency [0]" xfId="31"/>
    <cellStyle name="Currency_ SG&amp;A Bridge " xfId="32"/>
    <cellStyle name="Currency0" xfId="33"/>
    <cellStyle name="Currency1" xfId="34"/>
    <cellStyle name="Currency1 2" xfId="35"/>
    <cellStyle name="Currency1 3" xfId="36"/>
    <cellStyle name="Date" xfId="37"/>
    <cellStyle name="Dollar (zero dec)" xfId="38"/>
    <cellStyle name="Dollar (zero dec) 2" xfId="39"/>
    <cellStyle name="Dollar (zero dec) 3" xfId="40"/>
    <cellStyle name="F2" xfId="41"/>
    <cellStyle name="F3" xfId="42"/>
    <cellStyle name="F4" xfId="43"/>
    <cellStyle name="F5" xfId="44"/>
    <cellStyle name="F6" xfId="45"/>
    <cellStyle name="F7" xfId="46"/>
    <cellStyle name="F8" xfId="47"/>
    <cellStyle name="Fixed" xfId="48"/>
    <cellStyle name="Grey" xfId="49"/>
    <cellStyle name="Grey 2" xfId="50"/>
    <cellStyle name="Grey 3" xfId="51"/>
    <cellStyle name="H1" xfId="52"/>
    <cellStyle name="H2" xfId="53"/>
    <cellStyle name="HEADER" xfId="54"/>
    <cellStyle name="Header1" xfId="55"/>
    <cellStyle name="Header2" xfId="56"/>
    <cellStyle name="Heading 1" xfId="57"/>
    <cellStyle name="Heading 2" xfId="58"/>
    <cellStyle name="Heading1" xfId="59"/>
    <cellStyle name="Heading2" xfId="60"/>
    <cellStyle name="Input [yellow]" xfId="61"/>
    <cellStyle name="Input [yellow] 2" xfId="62"/>
    <cellStyle name="Input [yellow] 3" xfId="63"/>
    <cellStyle name="Milliers [0]_Arabian Spec" xfId="64"/>
    <cellStyle name="Milliers_Arabian Spec" xfId="65"/>
    <cellStyle name="Model" xfId="66"/>
    <cellStyle name="Mon?aire [0]_Arabian Spec" xfId="67"/>
    <cellStyle name="Mon?aire_Arabian Spec" xfId="68"/>
    <cellStyle name="no dec" xfId="69"/>
    <cellStyle name="Normal - Style1" xfId="70"/>
    <cellStyle name="Normal - Style1 2" xfId="71"/>
    <cellStyle name="Normal - Style1 3" xfId="72"/>
    <cellStyle name="Normal_ SG&amp;A Bridge " xfId="73"/>
    <cellStyle name="Percent" xfId="74"/>
    <cellStyle name="Percent [2]" xfId="75"/>
    <cellStyle name="Percent_00.총괄집계" xfId="76"/>
    <cellStyle name="subhead" xfId="77"/>
    <cellStyle name="title [1]" xfId="78"/>
    <cellStyle name="title [2]" xfId="79"/>
    <cellStyle name="Total" xfId="80"/>
    <cellStyle name="고정소숫점" xfId="81"/>
    <cellStyle name="고정출력1" xfId="82"/>
    <cellStyle name="고정출력2" xfId="83"/>
    <cellStyle name="날짜" xfId="84"/>
    <cellStyle name="내역서" xfId="85"/>
    <cellStyle name="달러" xfId="86"/>
    <cellStyle name="뒤에 오는 하이퍼링크" xfId="87"/>
    <cellStyle name="똿뗦먛귟 [0.00]_PRODUCT DETAIL Q1" xfId="88"/>
    <cellStyle name="똿뗦먛귟_PRODUCT DETAIL Q1" xfId="89"/>
    <cellStyle name="믅됞 [0.00]_PRODUCT DETAIL Q1" xfId="90"/>
    <cellStyle name="믅됞_PRODUCT DETAIL Q1" xfId="91"/>
    <cellStyle name="백분율" xfId="92" builtinId="5"/>
    <cellStyle name="백분율 [0]" xfId="93"/>
    <cellStyle name="백분율 [2]" xfId="94"/>
    <cellStyle name="백분율 2" xfId="95"/>
    <cellStyle name="백분율 3" xfId="96"/>
    <cellStyle name="백분율 4" xfId="97"/>
    <cellStyle name="백분율 5" xfId="98"/>
    <cellStyle name="뷭?_BOOKSHIP" xfId="99"/>
    <cellStyle name="선택영역" xfId="100"/>
    <cellStyle name="선택영역 가운데" xfId="101"/>
    <cellStyle name="선택영역의 가운데" xfId="102"/>
    <cellStyle name="숫자" xfId="103"/>
    <cellStyle name="숫자(R)" xfId="104"/>
    <cellStyle name="숫자1" xfId="105"/>
    <cellStyle name="숫자3" xfId="106"/>
    <cellStyle name="쉼표 [0]" xfId="107" builtinId="6"/>
    <cellStyle name="쉼표 [0] 2" xfId="108"/>
    <cellStyle name="쉼표 [0] 3" xfId="109"/>
    <cellStyle name="쉼표 [0] 4" xfId="110"/>
    <cellStyle name="스타일 1" xfId="111"/>
    <cellStyle name="안건회계법인" xfId="112"/>
    <cellStyle name="유1" xfId="113"/>
    <cellStyle name="일반" xfId="114"/>
    <cellStyle name="자리수" xfId="115"/>
    <cellStyle name="자리수0" xfId="116"/>
    <cellStyle name="지정되지 않음" xfId="117"/>
    <cellStyle name="콤마 [0.00]" xfId="118"/>
    <cellStyle name="콤마 [0]_ 4.하중계산  " xfId="119"/>
    <cellStyle name="콤마 [1]" xfId="120"/>
    <cellStyle name="콤마 [2]" xfId="121"/>
    <cellStyle name="콤마[ ]" xfId="122"/>
    <cellStyle name="콤마[*]" xfId="123"/>
    <cellStyle name="콤마[.]" xfId="124"/>
    <cellStyle name="콤마[0]" xfId="125"/>
    <cellStyle name="콤마_ 4.하중계산" xfId="126"/>
    <cellStyle name="통화 [0㉝〸" xfId="127"/>
    <cellStyle name="퍼센트" xfId="128"/>
    <cellStyle name="표준" xfId="0" builtinId="0"/>
    <cellStyle name="표준 2" xfId="129"/>
    <cellStyle name="표준 3" xfId="130"/>
    <cellStyle name="표준 4" xfId="131"/>
    <cellStyle name="標準_Akia(F）-8" xfId="132"/>
    <cellStyle name="표준_소초(204호)예산갑지" xfId="133"/>
    <cellStyle name="표준_원가계산" xfId="134"/>
    <cellStyle name="표준1" xfId="135"/>
    <cellStyle name="표준2" xfId="136"/>
    <cellStyle name="합산" xfId="137"/>
    <cellStyle name="화폐기호" xfId="138"/>
    <cellStyle name="화폐기호0" xfId="1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0</xdr:colOff>
      <xdr:row>0</xdr:row>
      <xdr:rowOff>0</xdr:rowOff>
    </xdr:from>
    <xdr:to>
      <xdr:col>48</xdr:col>
      <xdr:colOff>0</xdr:colOff>
      <xdr:row>0</xdr:row>
      <xdr:rowOff>0</xdr:rowOff>
    </xdr:to>
    <xdr:sp macro="" textlink="">
      <xdr:nvSpPr>
        <xdr:cNvPr id="1945" name="Line 1"/>
        <xdr:cNvSpPr>
          <a:spLocks noChangeShapeType="1"/>
        </xdr:cNvSpPr>
      </xdr:nvSpPr>
      <xdr:spPr bwMode="auto">
        <a:xfrm flipV="1">
          <a:off x="49815750" y="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0</xdr:row>
      <xdr:rowOff>0</xdr:rowOff>
    </xdr:from>
    <xdr:to>
      <xdr:col>33</xdr:col>
      <xdr:colOff>0</xdr:colOff>
      <xdr:row>0</xdr:row>
      <xdr:rowOff>0</xdr:rowOff>
    </xdr:to>
    <xdr:sp macro="" textlink="">
      <xdr:nvSpPr>
        <xdr:cNvPr id="1946" name="Line 2"/>
        <xdr:cNvSpPr>
          <a:spLocks noChangeShapeType="1"/>
        </xdr:cNvSpPr>
      </xdr:nvSpPr>
      <xdr:spPr bwMode="auto">
        <a:xfrm flipV="1">
          <a:off x="31813500" y="0"/>
          <a:ext cx="1200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med" len="med"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6&#45380;%20project/2016_0169.2017&#45380;%20&#51648;&#48169;&#49345;&#49688;&#46020;(&#46020;&#52285;&#47532;)%20&#49884;&#49444;&#44060;&#47049;&#49324;&#50629;%20&#49892;&#49884;&#49444;&#44228;&#50857;&#50669;/04.&#54224;&#44592;&#47932;/&#54224;&#44592;&#47932;&#50696;&#49328;&#49436;(&#46020;&#52285;&#4753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간지(1)"/>
      <sheetName val="설명서"/>
      <sheetName val="간지(2)"/>
      <sheetName val="간지(3)"/>
      <sheetName val="갑지"/>
      <sheetName val="간지(4)"/>
      <sheetName val="간지(5)"/>
      <sheetName val="간지(6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4"/>
  <sheetViews>
    <sheetView view="pageBreakPreview" zoomScaleNormal="100" workbookViewId="0">
      <selection activeCell="J8" sqref="J8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5" spans="2:7" ht="30" customHeight="1">
      <c r="B5" s="279" t="s">
        <v>142</v>
      </c>
      <c r="C5" s="279"/>
      <c r="D5" s="279"/>
      <c r="E5" s="279"/>
      <c r="F5" s="279"/>
      <c r="G5" s="279"/>
    </row>
    <row r="6" spans="2:7" ht="20.100000000000001" customHeight="1">
      <c r="B6" s="238"/>
      <c r="C6" s="238"/>
      <c r="D6" s="238"/>
      <c r="E6" s="238"/>
      <c r="F6" s="238"/>
      <c r="G6" s="238"/>
    </row>
    <row r="7" spans="2:7" ht="38.1" customHeight="1">
      <c r="B7" s="240" t="s">
        <v>143</v>
      </c>
      <c r="C7" s="280" t="s">
        <v>144</v>
      </c>
      <c r="D7" s="280"/>
      <c r="E7" s="280"/>
      <c r="F7" s="280"/>
      <c r="G7" s="280"/>
    </row>
    <row r="8" spans="2:7" ht="38.1" customHeight="1">
      <c r="B8" s="240" t="s">
        <v>145</v>
      </c>
      <c r="C8" s="280" t="s">
        <v>149</v>
      </c>
      <c r="D8" s="280"/>
      <c r="E8" s="280"/>
      <c r="F8" s="280"/>
      <c r="G8" s="280"/>
    </row>
    <row r="9" spans="2:7" ht="38.1" customHeight="1">
      <c r="B9" s="240" t="s">
        <v>146</v>
      </c>
      <c r="C9" s="280" t="s">
        <v>150</v>
      </c>
      <c r="D9" s="280"/>
      <c r="E9" s="280"/>
      <c r="F9" s="280"/>
      <c r="G9" s="280"/>
    </row>
    <row r="10" spans="2:7" ht="38.1" customHeight="1">
      <c r="B10" s="240" t="s">
        <v>154</v>
      </c>
      <c r="C10" s="280" t="s">
        <v>151</v>
      </c>
      <c r="D10" s="280"/>
      <c r="E10" s="280"/>
      <c r="F10" s="280"/>
      <c r="G10" s="280"/>
    </row>
    <row r="11" spans="2:7" ht="38.1" customHeight="1">
      <c r="B11" s="240" t="s">
        <v>163</v>
      </c>
      <c r="C11" s="280" t="s">
        <v>164</v>
      </c>
      <c r="D11" s="280"/>
      <c r="E11" s="280"/>
      <c r="F11" s="280"/>
      <c r="G11" s="280"/>
    </row>
    <row r="12" spans="2:7" ht="38.1" customHeight="1">
      <c r="B12" s="240" t="s">
        <v>165</v>
      </c>
      <c r="C12" s="280" t="s">
        <v>166</v>
      </c>
      <c r="D12" s="280"/>
      <c r="E12" s="280"/>
      <c r="F12" s="280"/>
      <c r="G12" s="280"/>
    </row>
    <row r="13" spans="2:7" ht="38.1" customHeight="1">
      <c r="B13" s="240" t="s">
        <v>167</v>
      </c>
      <c r="C13" s="280" t="s">
        <v>168</v>
      </c>
      <c r="D13" s="280"/>
      <c r="E13" s="280"/>
      <c r="F13" s="280"/>
      <c r="G13" s="280"/>
    </row>
    <row r="14" spans="2:7" ht="45" customHeight="1">
      <c r="B14" s="240"/>
      <c r="C14" s="280"/>
      <c r="D14" s="280"/>
      <c r="E14" s="280"/>
      <c r="F14" s="280"/>
      <c r="G14" s="280"/>
    </row>
  </sheetData>
  <mergeCells count="9">
    <mergeCell ref="B5:G5"/>
    <mergeCell ref="C7:G7"/>
    <mergeCell ref="C10:G10"/>
    <mergeCell ref="C12:G12"/>
    <mergeCell ref="C13:G13"/>
    <mergeCell ref="C14:G14"/>
    <mergeCell ref="C8:G8"/>
    <mergeCell ref="C9:G9"/>
    <mergeCell ref="C11:G11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147</v>
      </c>
      <c r="C10" s="280" t="s">
        <v>148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0.59999389629810485"/>
  </sheetPr>
  <dimension ref="A2:M79"/>
  <sheetViews>
    <sheetView view="pageBreakPreview" zoomScaleNormal="100" zoomScaleSheetLayoutView="100" workbookViewId="0">
      <selection activeCell="E61" sqref="E61:F61"/>
    </sheetView>
  </sheetViews>
  <sheetFormatPr defaultRowHeight="17.100000000000001" customHeight="1"/>
  <cols>
    <col min="1" max="1" width="2.77734375" style="95" customWidth="1"/>
    <col min="2" max="2" width="18.77734375" style="95" customWidth="1"/>
    <col min="3" max="3" width="17.77734375" style="95" customWidth="1"/>
    <col min="4" max="5" width="6.77734375" style="95" customWidth="1"/>
    <col min="6" max="6" width="10.77734375" style="95" customWidth="1"/>
    <col min="7" max="10" width="8.77734375" style="95" customWidth="1"/>
    <col min="11" max="12" width="6.77734375" style="95" customWidth="1"/>
    <col min="13" max="13" width="8.77734375" style="95" customWidth="1"/>
    <col min="14" max="16384" width="8.88671875" style="95"/>
  </cols>
  <sheetData>
    <row r="2" spans="1:13" ht="30" customHeight="1">
      <c r="A2" s="281" t="s">
        <v>112</v>
      </c>
      <c r="B2" s="281"/>
      <c r="C2" s="281"/>
      <c r="D2" s="281"/>
      <c r="E2" s="281"/>
      <c r="F2" s="281"/>
      <c r="G2" s="281"/>
      <c r="H2" s="281"/>
      <c r="I2" s="281"/>
      <c r="J2" s="281"/>
      <c r="K2" s="281"/>
      <c r="L2" s="281"/>
      <c r="M2" s="281"/>
    </row>
    <row r="3" spans="1:13" s="39" customFormat="1" ht="16.5" customHeight="1">
      <c r="A3" s="41" t="s">
        <v>132</v>
      </c>
    </row>
    <row r="4" spans="1:13" s="39" customFormat="1" ht="16.5" customHeight="1">
      <c r="B4" s="189" t="s">
        <v>276</v>
      </c>
    </row>
    <row r="5" spans="1:13" s="39" customFormat="1" ht="16.5" customHeight="1"/>
    <row r="6" spans="1:13" s="39" customFormat="1" ht="16.5" customHeight="1">
      <c r="A6" s="41" t="s">
        <v>133</v>
      </c>
    </row>
    <row r="7" spans="1:13" s="39" customFormat="1" ht="16.5" customHeight="1">
      <c r="B7" s="190" t="s">
        <v>221</v>
      </c>
    </row>
    <row r="8" spans="1:13" s="39" customFormat="1" ht="16.5" customHeight="1">
      <c r="B8" s="190"/>
    </row>
    <row r="9" spans="1:13" s="41" customFormat="1" ht="16.5" customHeight="1">
      <c r="A9" s="41" t="s">
        <v>155</v>
      </c>
      <c r="B9" s="243"/>
    </row>
    <row r="10" spans="1:13" s="39" customFormat="1" ht="16.5" customHeight="1">
      <c r="B10" s="190" t="s">
        <v>277</v>
      </c>
    </row>
    <row r="11" spans="1:13" s="39" customFormat="1" ht="16.5" customHeight="1">
      <c r="B11" s="190"/>
    </row>
    <row r="12" spans="1:13" s="39" customFormat="1" ht="16.5" customHeight="1">
      <c r="A12" s="41" t="s">
        <v>157</v>
      </c>
    </row>
    <row r="13" spans="1:13" s="39" customFormat="1" ht="16.5" customHeight="1">
      <c r="B13" s="39" t="s">
        <v>222</v>
      </c>
      <c r="C13" s="245"/>
      <c r="D13" s="245"/>
      <c r="E13" s="245"/>
      <c r="F13" s="245"/>
      <c r="G13" s="245"/>
      <c r="H13" s="245"/>
      <c r="I13" s="245"/>
    </row>
    <row r="14" spans="1:13" s="39" customFormat="1" ht="16.5" customHeight="1">
      <c r="B14" s="39" t="s">
        <v>223</v>
      </c>
      <c r="C14" s="245"/>
      <c r="D14" s="245"/>
      <c r="E14" s="245"/>
      <c r="F14" s="245"/>
      <c r="G14" s="245"/>
      <c r="H14" s="245"/>
      <c r="I14" s="245"/>
    </row>
    <row r="15" spans="1:13" s="39" customFormat="1" ht="16.5" customHeight="1">
      <c r="B15" s="39" t="s">
        <v>224</v>
      </c>
    </row>
    <row r="16" spans="1:13" s="39" customFormat="1" ht="16.5" customHeight="1">
      <c r="B16" s="39" t="s">
        <v>225</v>
      </c>
      <c r="G16" s="245"/>
      <c r="H16" s="245"/>
      <c r="I16" s="245"/>
    </row>
    <row r="17" spans="1:10" s="39" customFormat="1" ht="16.5" customHeight="1">
      <c r="B17" s="39" t="s">
        <v>226</v>
      </c>
      <c r="C17" s="245"/>
      <c r="D17" s="245"/>
      <c r="E17" s="245"/>
      <c r="F17" s="245"/>
    </row>
    <row r="18" spans="1:10" s="39" customFormat="1" ht="16.5" customHeight="1">
      <c r="B18" s="39" t="s">
        <v>203</v>
      </c>
      <c r="G18" s="245"/>
      <c r="H18" s="245"/>
      <c r="I18" s="245"/>
    </row>
    <row r="19" spans="1:10" s="39" customFormat="1" ht="16.5" customHeight="1">
      <c r="C19" s="245"/>
      <c r="D19" s="245"/>
      <c r="E19" s="245"/>
      <c r="F19" s="245"/>
    </row>
    <row r="20" spans="1:10" s="39" customFormat="1" ht="16.5" customHeight="1">
      <c r="A20" s="41" t="s">
        <v>134</v>
      </c>
    </row>
    <row r="21" spans="1:10" s="39" customFormat="1" ht="16.5" customHeight="1">
      <c r="B21" s="39" t="s">
        <v>139</v>
      </c>
      <c r="J21" s="39" t="s">
        <v>113</v>
      </c>
    </row>
    <row r="22" spans="1:10" s="39" customFormat="1" ht="16.5" customHeight="1">
      <c r="B22" s="39" t="s">
        <v>140</v>
      </c>
    </row>
    <row r="23" spans="1:10" s="39" customFormat="1" ht="16.5" customHeight="1">
      <c r="B23" s="39" t="s">
        <v>141</v>
      </c>
    </row>
    <row r="24" spans="1:10" s="39" customFormat="1" ht="16.5" customHeight="1">
      <c r="B24" s="39" t="s">
        <v>158</v>
      </c>
    </row>
    <row r="25" spans="1:10" s="39" customFormat="1" ht="16.5" customHeight="1">
      <c r="B25" s="39" t="s">
        <v>159</v>
      </c>
    </row>
    <row r="26" spans="1:10" s="39" customFormat="1" ht="16.5" customHeight="1"/>
    <row r="27" spans="1:10" s="39" customFormat="1" ht="17.100000000000001" customHeight="1">
      <c r="A27" s="41" t="s">
        <v>135</v>
      </c>
    </row>
    <row r="28" spans="1:10" s="39" customFormat="1" ht="15" customHeight="1">
      <c r="B28" s="191" t="s">
        <v>114</v>
      </c>
      <c r="C28" s="242" t="s">
        <v>115</v>
      </c>
      <c r="D28" s="242" t="s">
        <v>116</v>
      </c>
      <c r="E28" s="282" t="s">
        <v>117</v>
      </c>
      <c r="F28" s="282"/>
      <c r="G28" s="282" t="s">
        <v>118</v>
      </c>
      <c r="H28" s="283"/>
    </row>
    <row r="29" spans="1:10" s="39" customFormat="1" ht="12" customHeight="1">
      <c r="B29" s="255" t="s">
        <v>191</v>
      </c>
      <c r="C29" s="256" t="s">
        <v>192</v>
      </c>
      <c r="D29" s="254" t="s">
        <v>193</v>
      </c>
      <c r="E29" s="284">
        <v>6</v>
      </c>
      <c r="F29" s="284"/>
      <c r="G29" s="288" t="s">
        <v>173</v>
      </c>
      <c r="H29" s="289"/>
    </row>
    <row r="30" spans="1:10" s="39" customFormat="1" ht="12" customHeight="1">
      <c r="B30" s="275" t="s">
        <v>195</v>
      </c>
      <c r="C30" s="254" t="s">
        <v>230</v>
      </c>
      <c r="D30" s="254" t="s">
        <v>196</v>
      </c>
      <c r="E30" s="287">
        <v>2</v>
      </c>
      <c r="F30" s="287"/>
      <c r="G30" s="285" t="s">
        <v>177</v>
      </c>
      <c r="H30" s="286"/>
    </row>
    <row r="31" spans="1:10" s="39" customFormat="1" ht="12" customHeight="1">
      <c r="B31" s="275" t="s">
        <v>231</v>
      </c>
      <c r="C31" s="254"/>
      <c r="D31" s="254" t="s">
        <v>176</v>
      </c>
      <c r="E31" s="287">
        <v>250</v>
      </c>
      <c r="F31" s="287"/>
      <c r="G31" s="285" t="s">
        <v>177</v>
      </c>
      <c r="H31" s="286"/>
    </row>
    <row r="32" spans="1:10" s="39" customFormat="1" ht="12" customHeight="1">
      <c r="B32" s="275" t="s">
        <v>204</v>
      </c>
      <c r="C32" s="254" t="s">
        <v>205</v>
      </c>
      <c r="D32" s="254" t="s">
        <v>176</v>
      </c>
      <c r="E32" s="287">
        <v>146</v>
      </c>
      <c r="F32" s="287"/>
      <c r="G32" s="285" t="s">
        <v>177</v>
      </c>
      <c r="H32" s="286"/>
    </row>
    <row r="33" spans="2:8" s="39" customFormat="1" ht="12" customHeight="1">
      <c r="B33" s="275" t="s">
        <v>232</v>
      </c>
      <c r="C33" s="254" t="s">
        <v>234</v>
      </c>
      <c r="D33" s="254" t="s">
        <v>176</v>
      </c>
      <c r="E33" s="287">
        <v>24</v>
      </c>
      <c r="F33" s="287"/>
      <c r="G33" s="285" t="s">
        <v>177</v>
      </c>
      <c r="H33" s="286"/>
    </row>
    <row r="34" spans="2:8" s="39" customFormat="1" ht="12" customHeight="1">
      <c r="B34" s="275" t="s">
        <v>233</v>
      </c>
      <c r="C34" s="254" t="s">
        <v>235</v>
      </c>
      <c r="D34" s="254" t="s">
        <v>176</v>
      </c>
      <c r="E34" s="287">
        <v>108</v>
      </c>
      <c r="F34" s="287"/>
      <c r="G34" s="285" t="s">
        <v>177</v>
      </c>
      <c r="H34" s="286"/>
    </row>
    <row r="35" spans="2:8" s="39" customFormat="1" ht="12" customHeight="1">
      <c r="B35" s="275" t="s">
        <v>199</v>
      </c>
      <c r="C35" s="254" t="s">
        <v>207</v>
      </c>
      <c r="D35" s="254" t="s">
        <v>187</v>
      </c>
      <c r="E35" s="293">
        <v>9.1999999999999998E-2</v>
      </c>
      <c r="F35" s="293"/>
      <c r="G35" s="285" t="s">
        <v>177</v>
      </c>
      <c r="H35" s="286"/>
    </row>
    <row r="36" spans="2:8" s="39" customFormat="1" ht="12" customHeight="1">
      <c r="B36" s="275"/>
      <c r="C36" s="254" t="s">
        <v>236</v>
      </c>
      <c r="D36" s="254" t="s">
        <v>187</v>
      </c>
      <c r="E36" s="293">
        <v>7.3999999999999996E-2</v>
      </c>
      <c r="F36" s="293"/>
      <c r="G36" s="285" t="s">
        <v>177</v>
      </c>
      <c r="H36" s="286"/>
    </row>
    <row r="37" spans="2:8" s="39" customFormat="1" ht="12" customHeight="1">
      <c r="B37" s="275" t="s">
        <v>237</v>
      </c>
      <c r="C37" s="254" t="s">
        <v>238</v>
      </c>
      <c r="D37" s="254" t="s">
        <v>239</v>
      </c>
      <c r="E37" s="287">
        <v>32</v>
      </c>
      <c r="F37" s="287"/>
      <c r="G37" s="285" t="s">
        <v>177</v>
      </c>
      <c r="H37" s="286"/>
    </row>
    <row r="38" spans="2:8" s="39" customFormat="1" ht="12" customHeight="1">
      <c r="B38" s="275" t="s">
        <v>240</v>
      </c>
      <c r="C38" s="254" t="s">
        <v>241</v>
      </c>
      <c r="D38" s="254" t="s">
        <v>239</v>
      </c>
      <c r="E38" s="287">
        <v>28</v>
      </c>
      <c r="F38" s="287"/>
      <c r="G38" s="285" t="s">
        <v>177</v>
      </c>
      <c r="H38" s="286"/>
    </row>
    <row r="39" spans="2:8" s="39" customFormat="1" ht="12" customHeight="1">
      <c r="B39" s="275" t="s">
        <v>242</v>
      </c>
      <c r="C39" s="254" t="s">
        <v>243</v>
      </c>
      <c r="D39" s="254" t="s">
        <v>239</v>
      </c>
      <c r="E39" s="287">
        <v>2</v>
      </c>
      <c r="F39" s="287"/>
      <c r="G39" s="285" t="s">
        <v>177</v>
      </c>
      <c r="H39" s="286"/>
    </row>
    <row r="40" spans="2:8" s="39" customFormat="1" ht="12" customHeight="1">
      <c r="B40" s="275"/>
      <c r="C40" s="254" t="s">
        <v>244</v>
      </c>
      <c r="D40" s="254" t="s">
        <v>239</v>
      </c>
      <c r="E40" s="287">
        <v>2</v>
      </c>
      <c r="F40" s="287"/>
      <c r="G40" s="285" t="s">
        <v>177</v>
      </c>
      <c r="H40" s="286"/>
    </row>
    <row r="41" spans="2:8" s="39" customFormat="1" ht="12" customHeight="1">
      <c r="B41" s="275" t="s">
        <v>175</v>
      </c>
      <c r="C41" s="254" t="s">
        <v>206</v>
      </c>
      <c r="D41" s="254" t="s">
        <v>176</v>
      </c>
      <c r="E41" s="287">
        <v>153</v>
      </c>
      <c r="F41" s="287"/>
      <c r="G41" s="285" t="s">
        <v>174</v>
      </c>
      <c r="H41" s="286"/>
    </row>
    <row r="42" spans="2:8" s="39" customFormat="1" ht="12" customHeight="1">
      <c r="B42" s="275"/>
      <c r="C42" s="254" t="s">
        <v>245</v>
      </c>
      <c r="D42" s="254" t="s">
        <v>176</v>
      </c>
      <c r="E42" s="287">
        <v>6</v>
      </c>
      <c r="F42" s="287"/>
      <c r="G42" s="285" t="s">
        <v>177</v>
      </c>
      <c r="H42" s="286"/>
    </row>
    <row r="43" spans="2:8" s="39" customFormat="1" ht="12" customHeight="1">
      <c r="B43" s="275" t="s">
        <v>197</v>
      </c>
      <c r="C43" s="254" t="s">
        <v>198</v>
      </c>
      <c r="D43" s="254" t="s">
        <v>187</v>
      </c>
      <c r="E43" s="287">
        <v>6</v>
      </c>
      <c r="F43" s="287"/>
      <c r="G43" s="285" t="s">
        <v>177</v>
      </c>
      <c r="H43" s="286"/>
    </row>
    <row r="44" spans="2:8" s="39" customFormat="1" ht="12" customHeight="1">
      <c r="B44" s="275"/>
      <c r="C44" s="254" t="s">
        <v>246</v>
      </c>
      <c r="D44" s="254" t="s">
        <v>187</v>
      </c>
      <c r="E44" s="287">
        <v>14</v>
      </c>
      <c r="F44" s="287"/>
      <c r="G44" s="285" t="s">
        <v>177</v>
      </c>
      <c r="H44" s="286"/>
    </row>
    <row r="45" spans="2:8" s="39" customFormat="1" ht="12" customHeight="1">
      <c r="B45" s="275" t="s">
        <v>247</v>
      </c>
      <c r="C45" s="254" t="s">
        <v>248</v>
      </c>
      <c r="D45" s="254" t="s">
        <v>239</v>
      </c>
      <c r="E45" s="287">
        <v>605</v>
      </c>
      <c r="F45" s="287"/>
      <c r="G45" s="285" t="s">
        <v>177</v>
      </c>
      <c r="H45" s="286"/>
    </row>
    <row r="46" spans="2:8" s="39" customFormat="1" ht="12" customHeight="1">
      <c r="B46" s="275"/>
      <c r="C46" s="254" t="s">
        <v>249</v>
      </c>
      <c r="D46" s="254" t="s">
        <v>239</v>
      </c>
      <c r="E46" s="287">
        <v>6</v>
      </c>
      <c r="F46" s="287"/>
      <c r="G46" s="285" t="s">
        <v>177</v>
      </c>
      <c r="H46" s="286"/>
    </row>
    <row r="47" spans="2:8" s="39" customFormat="1" ht="12" customHeight="1">
      <c r="B47" s="275"/>
      <c r="C47" s="254" t="s">
        <v>250</v>
      </c>
      <c r="D47" s="254" t="s">
        <v>239</v>
      </c>
      <c r="E47" s="287">
        <v>6</v>
      </c>
      <c r="F47" s="287"/>
      <c r="G47" s="285" t="s">
        <v>177</v>
      </c>
      <c r="H47" s="286"/>
    </row>
    <row r="48" spans="2:8" s="39" customFormat="1" ht="12" customHeight="1">
      <c r="B48" s="275"/>
      <c r="C48" s="254" t="s">
        <v>251</v>
      </c>
      <c r="D48" s="254" t="s">
        <v>239</v>
      </c>
      <c r="E48" s="287">
        <v>11</v>
      </c>
      <c r="F48" s="287"/>
      <c r="G48" s="285" t="s">
        <v>177</v>
      </c>
      <c r="H48" s="286"/>
    </row>
    <row r="49" spans="1:8" s="39" customFormat="1" ht="12" customHeight="1">
      <c r="B49" s="275"/>
      <c r="C49" s="254" t="s">
        <v>252</v>
      </c>
      <c r="D49" s="254" t="s">
        <v>239</v>
      </c>
      <c r="E49" s="287">
        <v>618</v>
      </c>
      <c r="F49" s="287"/>
      <c r="G49" s="285" t="s">
        <v>177</v>
      </c>
      <c r="H49" s="286"/>
    </row>
    <row r="50" spans="1:8" s="39" customFormat="1" ht="12" customHeight="1">
      <c r="B50" s="275" t="s">
        <v>253</v>
      </c>
      <c r="C50" s="254" t="s">
        <v>254</v>
      </c>
      <c r="D50" s="254" t="s">
        <v>255</v>
      </c>
      <c r="E50" s="287">
        <v>1165</v>
      </c>
      <c r="F50" s="287"/>
      <c r="G50" s="285" t="s">
        <v>177</v>
      </c>
      <c r="H50" s="286"/>
    </row>
    <row r="51" spans="1:8" s="39" customFormat="1" ht="12" customHeight="1">
      <c r="B51" s="275" t="s">
        <v>256</v>
      </c>
      <c r="C51" s="254" t="s">
        <v>257</v>
      </c>
      <c r="D51" s="254" t="s">
        <v>258</v>
      </c>
      <c r="E51" s="287">
        <v>32</v>
      </c>
      <c r="F51" s="287"/>
      <c r="G51" s="285" t="s">
        <v>177</v>
      </c>
      <c r="H51" s="286"/>
    </row>
    <row r="52" spans="1:8" s="39" customFormat="1" ht="12" customHeight="1">
      <c r="B52" s="275"/>
      <c r="C52" s="254" t="s">
        <v>259</v>
      </c>
      <c r="D52" s="254" t="s">
        <v>258</v>
      </c>
      <c r="E52" s="287">
        <v>9</v>
      </c>
      <c r="F52" s="287"/>
      <c r="G52" s="285" t="s">
        <v>177</v>
      </c>
      <c r="H52" s="286"/>
    </row>
    <row r="53" spans="1:8" s="39" customFormat="1" ht="12" customHeight="1">
      <c r="B53" s="275"/>
      <c r="C53" s="254" t="s">
        <v>260</v>
      </c>
      <c r="D53" s="254" t="s">
        <v>258</v>
      </c>
      <c r="E53" s="287">
        <v>7</v>
      </c>
      <c r="F53" s="287"/>
      <c r="G53" s="285" t="s">
        <v>177</v>
      </c>
      <c r="H53" s="286"/>
    </row>
    <row r="54" spans="1:8" s="39" customFormat="1" ht="12" customHeight="1">
      <c r="B54" s="275" t="s">
        <v>261</v>
      </c>
      <c r="C54" s="254" t="s">
        <v>262</v>
      </c>
      <c r="D54" s="254" t="s">
        <v>263</v>
      </c>
      <c r="E54" s="287">
        <v>87</v>
      </c>
      <c r="F54" s="287"/>
      <c r="G54" s="285" t="s">
        <v>177</v>
      </c>
      <c r="H54" s="286"/>
    </row>
    <row r="55" spans="1:8" s="39" customFormat="1" ht="12" customHeight="1">
      <c r="B55" s="275" t="s">
        <v>264</v>
      </c>
      <c r="C55" s="254" t="s">
        <v>262</v>
      </c>
      <c r="D55" s="254" t="s">
        <v>186</v>
      </c>
      <c r="E55" s="287">
        <v>4</v>
      </c>
      <c r="F55" s="287"/>
      <c r="G55" s="285" t="s">
        <v>177</v>
      </c>
      <c r="H55" s="286"/>
    </row>
    <row r="56" spans="1:8" s="39" customFormat="1" ht="12" customHeight="1">
      <c r="B56" s="275" t="s">
        <v>265</v>
      </c>
      <c r="C56" s="254" t="s">
        <v>266</v>
      </c>
      <c r="D56" s="254" t="s">
        <v>239</v>
      </c>
      <c r="E56" s="287">
        <v>8</v>
      </c>
      <c r="F56" s="287"/>
      <c r="G56" s="285" t="s">
        <v>177</v>
      </c>
      <c r="H56" s="286"/>
    </row>
    <row r="57" spans="1:8" s="39" customFormat="1" ht="12" customHeight="1">
      <c r="B57" s="275"/>
      <c r="C57" s="254" t="s">
        <v>267</v>
      </c>
      <c r="D57" s="254" t="s">
        <v>239</v>
      </c>
      <c r="E57" s="287">
        <v>8</v>
      </c>
      <c r="F57" s="287"/>
      <c r="G57" s="285" t="s">
        <v>177</v>
      </c>
      <c r="H57" s="286"/>
    </row>
    <row r="58" spans="1:8" s="39" customFormat="1" ht="12" customHeight="1">
      <c r="B58" s="275"/>
      <c r="C58" s="254" t="s">
        <v>268</v>
      </c>
      <c r="D58" s="254" t="s">
        <v>239</v>
      </c>
      <c r="E58" s="287">
        <v>8</v>
      </c>
      <c r="F58" s="287"/>
      <c r="G58" s="285" t="s">
        <v>177</v>
      </c>
      <c r="H58" s="286"/>
    </row>
    <row r="59" spans="1:8" s="39" customFormat="1" ht="12" customHeight="1">
      <c r="B59" s="275" t="s">
        <v>269</v>
      </c>
      <c r="C59" s="254" t="s">
        <v>270</v>
      </c>
      <c r="D59" s="254" t="s">
        <v>239</v>
      </c>
      <c r="E59" s="287">
        <v>8</v>
      </c>
      <c r="F59" s="287"/>
      <c r="G59" s="285" t="s">
        <v>177</v>
      </c>
      <c r="H59" s="286"/>
    </row>
    <row r="60" spans="1:8" s="39" customFormat="1" ht="12" customHeight="1">
      <c r="B60" s="275" t="s">
        <v>271</v>
      </c>
      <c r="C60" s="254" t="s">
        <v>273</v>
      </c>
      <c r="D60" s="254" t="s">
        <v>187</v>
      </c>
      <c r="E60" s="287">
        <v>44</v>
      </c>
      <c r="F60" s="287"/>
      <c r="G60" s="285" t="s">
        <v>177</v>
      </c>
      <c r="H60" s="286"/>
    </row>
    <row r="61" spans="1:8" s="39" customFormat="1" ht="12" customHeight="1">
      <c r="B61" s="275" t="s">
        <v>272</v>
      </c>
      <c r="C61" s="254" t="s">
        <v>274</v>
      </c>
      <c r="D61" s="254" t="s">
        <v>239</v>
      </c>
      <c r="E61" s="287">
        <v>43</v>
      </c>
      <c r="F61" s="287"/>
      <c r="G61" s="285" t="s">
        <v>177</v>
      </c>
      <c r="H61" s="286"/>
    </row>
    <row r="62" spans="1:8" s="39" customFormat="1" ht="12" customHeight="1">
      <c r="B62" s="277"/>
      <c r="C62" s="278" t="s">
        <v>275</v>
      </c>
      <c r="D62" s="278" t="s">
        <v>239</v>
      </c>
      <c r="E62" s="290">
        <v>43</v>
      </c>
      <c r="F62" s="290"/>
      <c r="G62" s="291" t="s">
        <v>177</v>
      </c>
      <c r="H62" s="292"/>
    </row>
    <row r="63" spans="1:8" s="39" customFormat="1" ht="12" customHeight="1">
      <c r="B63" s="246"/>
      <c r="C63" s="1"/>
      <c r="D63" s="1"/>
      <c r="E63" s="247"/>
      <c r="F63" s="247"/>
      <c r="G63" s="1"/>
      <c r="H63" s="1"/>
    </row>
    <row r="64" spans="1:8" s="39" customFormat="1" ht="15.95" customHeight="1">
      <c r="A64" s="41" t="s">
        <v>136</v>
      </c>
    </row>
    <row r="65" spans="1:10" s="39" customFormat="1" ht="15.95" customHeight="1">
      <c r="B65" s="39" t="s">
        <v>227</v>
      </c>
    </row>
    <row r="66" spans="1:10" s="39" customFormat="1" ht="15.95" customHeight="1">
      <c r="B66" s="39" t="s">
        <v>210</v>
      </c>
    </row>
    <row r="67" spans="1:10" s="39" customFormat="1" ht="15.95" customHeight="1">
      <c r="B67" s="39" t="s">
        <v>211</v>
      </c>
    </row>
    <row r="68" spans="1:10" ht="15.95" customHeight="1">
      <c r="A68" s="39"/>
      <c r="B68" s="39"/>
      <c r="C68" s="39"/>
      <c r="D68" s="39"/>
      <c r="E68" s="39"/>
      <c r="F68" s="39"/>
      <c r="G68" s="39"/>
      <c r="H68" s="39"/>
      <c r="I68" s="39"/>
      <c r="J68" s="39"/>
    </row>
    <row r="69" spans="1:10" ht="15.95" customHeight="1">
      <c r="A69" s="41" t="s">
        <v>137</v>
      </c>
      <c r="B69" s="39"/>
      <c r="C69" s="39"/>
      <c r="D69" s="39"/>
      <c r="E69" s="39"/>
      <c r="F69" s="39"/>
      <c r="G69" s="39"/>
      <c r="H69" s="39"/>
      <c r="I69" s="39"/>
      <c r="J69" s="39"/>
    </row>
    <row r="70" spans="1:10" ht="15.95" customHeight="1">
      <c r="A70" s="41"/>
      <c r="B70" s="39"/>
      <c r="C70" s="39"/>
      <c r="D70" s="39"/>
      <c r="E70" s="39"/>
      <c r="F70" s="39"/>
      <c r="G70" s="39"/>
    </row>
    <row r="71" spans="1:10" ht="15.95" customHeight="1">
      <c r="A71" s="41" t="s">
        <v>138</v>
      </c>
      <c r="B71" s="39"/>
      <c r="C71" s="39"/>
      <c r="D71" s="39"/>
      <c r="E71" s="39"/>
      <c r="F71" s="39"/>
      <c r="G71" s="39"/>
    </row>
    <row r="72" spans="1:10" ht="15.95" customHeight="1">
      <c r="A72" s="41"/>
      <c r="B72" s="39"/>
      <c r="C72" s="39"/>
      <c r="D72" s="39"/>
      <c r="E72" s="39"/>
      <c r="F72" s="39"/>
      <c r="G72" s="39"/>
    </row>
    <row r="73" spans="1:10" ht="15.95" customHeight="1">
      <c r="A73" s="41" t="s">
        <v>228</v>
      </c>
      <c r="B73" s="39"/>
      <c r="C73" s="39"/>
      <c r="D73" s="39"/>
      <c r="E73" s="39"/>
      <c r="F73" s="39"/>
      <c r="G73" s="39"/>
    </row>
    <row r="74" spans="1:10" ht="15.95" customHeight="1">
      <c r="A74" s="39" t="s">
        <v>119</v>
      </c>
      <c r="B74" s="39"/>
      <c r="C74" s="39"/>
      <c r="D74" s="39"/>
      <c r="E74" s="39"/>
      <c r="F74" s="39"/>
      <c r="G74" s="39"/>
    </row>
    <row r="75" spans="1:10" ht="15.95" customHeight="1">
      <c r="A75" s="39" t="s">
        <v>120</v>
      </c>
      <c r="B75" s="39"/>
      <c r="C75" s="39"/>
      <c r="D75" s="39"/>
      <c r="E75" s="39"/>
      <c r="F75" s="39"/>
      <c r="G75" s="39"/>
    </row>
    <row r="76" spans="1:10" ht="15.95" customHeight="1">
      <c r="A76" s="39" t="s">
        <v>121</v>
      </c>
      <c r="B76" s="39"/>
      <c r="C76" s="39"/>
      <c r="D76" s="39"/>
      <c r="E76" s="39"/>
      <c r="F76" s="39"/>
      <c r="G76" s="39"/>
    </row>
    <row r="77" spans="1:10" ht="17.100000000000001" customHeight="1">
      <c r="C77" s="39"/>
      <c r="D77" s="39"/>
      <c r="E77" s="39"/>
    </row>
    <row r="78" spans="1:10" ht="17.100000000000001" customHeight="1">
      <c r="C78" s="39"/>
      <c r="D78" s="39"/>
      <c r="E78" s="39"/>
    </row>
    <row r="79" spans="1:10" ht="17.100000000000001" customHeight="1">
      <c r="C79" s="39"/>
      <c r="D79" s="39"/>
      <c r="E79" s="39"/>
    </row>
  </sheetData>
  <mergeCells count="71">
    <mergeCell ref="E61:F61"/>
    <mergeCell ref="G61:H61"/>
    <mergeCell ref="E58:F58"/>
    <mergeCell ref="G58:H58"/>
    <mergeCell ref="E59:F59"/>
    <mergeCell ref="G59:H59"/>
    <mergeCell ref="E60:F60"/>
    <mergeCell ref="G60:H60"/>
    <mergeCell ref="E40:F40"/>
    <mergeCell ref="G40:H40"/>
    <mergeCell ref="E56:F56"/>
    <mergeCell ref="G56:H56"/>
    <mergeCell ref="E57:F57"/>
    <mergeCell ref="G57:H57"/>
    <mergeCell ref="E52:F52"/>
    <mergeCell ref="G52:H52"/>
    <mergeCell ref="E53:F53"/>
    <mergeCell ref="G53:H53"/>
    <mergeCell ref="E32:F32"/>
    <mergeCell ref="G32:H32"/>
    <mergeCell ref="E33:F33"/>
    <mergeCell ref="G33:H33"/>
    <mergeCell ref="E34:F34"/>
    <mergeCell ref="G34:H34"/>
    <mergeCell ref="E51:F51"/>
    <mergeCell ref="G51:H51"/>
    <mergeCell ref="E35:F35"/>
    <mergeCell ref="G35:H35"/>
    <mergeCell ref="E36:F36"/>
    <mergeCell ref="G36:H36"/>
    <mergeCell ref="E38:F38"/>
    <mergeCell ref="G38:H38"/>
    <mergeCell ref="E39:F39"/>
    <mergeCell ref="G39:H39"/>
    <mergeCell ref="G47:H47"/>
    <mergeCell ref="E48:F48"/>
    <mergeCell ref="G48:H48"/>
    <mergeCell ref="E49:F49"/>
    <mergeCell ref="G49:H49"/>
    <mergeCell ref="E50:F50"/>
    <mergeCell ref="G50:H50"/>
    <mergeCell ref="E62:F62"/>
    <mergeCell ref="G62:H62"/>
    <mergeCell ref="G37:H37"/>
    <mergeCell ref="E42:F42"/>
    <mergeCell ref="G42:H42"/>
    <mergeCell ref="E45:F45"/>
    <mergeCell ref="G45:H45"/>
    <mergeCell ref="E46:F46"/>
    <mergeCell ref="G46:H46"/>
    <mergeCell ref="E54:F54"/>
    <mergeCell ref="G29:H29"/>
    <mergeCell ref="G41:H41"/>
    <mergeCell ref="E41:F41"/>
    <mergeCell ref="G31:H31"/>
    <mergeCell ref="G54:H54"/>
    <mergeCell ref="E31:F31"/>
    <mergeCell ref="E30:F30"/>
    <mergeCell ref="G30:H30"/>
    <mergeCell ref="E37:F37"/>
    <mergeCell ref="E47:F47"/>
    <mergeCell ref="A2:M2"/>
    <mergeCell ref="E28:F28"/>
    <mergeCell ref="G28:H28"/>
    <mergeCell ref="E29:F29"/>
    <mergeCell ref="G43:H43"/>
    <mergeCell ref="E55:F55"/>
    <mergeCell ref="G55:H55"/>
    <mergeCell ref="E44:F44"/>
    <mergeCell ref="G44:H44"/>
    <mergeCell ref="E43:F43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152</v>
      </c>
      <c r="C10" s="280" t="s">
        <v>149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153</v>
      </c>
      <c r="C10" s="280" t="s">
        <v>150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 tint="0.59999389629810485"/>
  </sheetPr>
  <dimension ref="A1:P49"/>
  <sheetViews>
    <sheetView showGridLines="0" view="pageBreakPreview" zoomScaleNormal="100" zoomScaleSheetLayoutView="100" workbookViewId="0">
      <selection activeCell="O14" sqref="O14"/>
    </sheetView>
  </sheetViews>
  <sheetFormatPr defaultColWidth="14" defaultRowHeight="11.25"/>
  <cols>
    <col min="1" max="1" width="1.77734375" style="39" customWidth="1"/>
    <col min="2" max="2" width="10.5546875" style="39" customWidth="1"/>
    <col min="3" max="3" width="1.77734375" style="39" customWidth="1"/>
    <col min="4" max="11" width="12" style="39" customWidth="1"/>
    <col min="12" max="12" width="5.33203125" style="39" customWidth="1"/>
    <col min="13" max="13" width="2.5546875" style="39" customWidth="1"/>
    <col min="14" max="14" width="10.44140625" style="92" customWidth="1"/>
    <col min="15" max="15" width="11.88671875" style="39" customWidth="1"/>
    <col min="16" max="16" width="6.77734375" style="39" customWidth="1"/>
    <col min="17" max="16384" width="14" style="39"/>
  </cols>
  <sheetData>
    <row r="1" spans="1:16" ht="30" customHeight="1">
      <c r="B1" s="281" t="s">
        <v>94</v>
      </c>
      <c r="C1" s="281"/>
      <c r="D1" s="281"/>
      <c r="E1" s="281"/>
      <c r="F1" s="281"/>
      <c r="G1" s="281"/>
      <c r="H1" s="281"/>
      <c r="I1" s="281"/>
      <c r="J1" s="281"/>
      <c r="K1" s="281"/>
    </row>
    <row r="2" spans="1:16" ht="16.5" customHeight="1">
      <c r="A2" s="294" t="s">
        <v>95</v>
      </c>
      <c r="B2" s="294"/>
      <c r="C2" s="42" t="str">
        <f>설명서!B4</f>
        <v>2026년 국도59호선 하진부지구 일원 보도 정비공사</v>
      </c>
      <c r="D2" s="94"/>
      <c r="E2" s="95"/>
      <c r="F2" s="95"/>
      <c r="G2" s="95"/>
      <c r="H2" s="95"/>
      <c r="I2" s="95"/>
      <c r="J2" s="95"/>
      <c r="K2" s="95"/>
    </row>
    <row r="3" spans="1:16" ht="20.100000000000001" customHeight="1">
      <c r="A3" s="96"/>
      <c r="B3" s="97"/>
      <c r="C3" s="98"/>
      <c r="D3" s="99"/>
      <c r="E3" s="100" t="s">
        <v>96</v>
      </c>
      <c r="F3" s="100" t="str">
        <f>$E$3</f>
        <v>착수</v>
      </c>
      <c r="G3" s="100" t="str">
        <f>$E$3</f>
        <v>착수</v>
      </c>
      <c r="H3" s="100" t="str">
        <f>$E$3</f>
        <v>착수</v>
      </c>
      <c r="I3" s="100" t="str">
        <f>$E$3</f>
        <v>착수</v>
      </c>
      <c r="J3" s="100" t="str">
        <f>$E$3</f>
        <v>착수</v>
      </c>
      <c r="K3" s="101"/>
      <c r="L3" s="102"/>
      <c r="N3" s="103" t="s">
        <v>188</v>
      </c>
      <c r="O3" s="251">
        <v>51303021</v>
      </c>
      <c r="P3" s="124">
        <f t="shared" ref="P3:P22" si="0">O3/$O$23</f>
        <v>0.3239745031545207</v>
      </c>
    </row>
    <row r="4" spans="1:16" ht="20.100000000000001" customHeight="1">
      <c r="A4" s="104"/>
      <c r="B4" s="105" t="s">
        <v>97</v>
      </c>
      <c r="C4" s="106"/>
      <c r="D4" s="107" t="s">
        <v>98</v>
      </c>
      <c r="E4" s="108">
        <v>20</v>
      </c>
      <c r="F4" s="108">
        <v>40</v>
      </c>
      <c r="G4" s="108">
        <v>60</v>
      </c>
      <c r="H4" s="108">
        <v>80</v>
      </c>
      <c r="I4" s="108">
        <v>100</v>
      </c>
      <c r="J4" s="108">
        <v>120</v>
      </c>
      <c r="K4" s="109" t="s">
        <v>99</v>
      </c>
      <c r="L4" s="102"/>
      <c r="N4" s="103" t="s">
        <v>189</v>
      </c>
      <c r="O4" s="251">
        <v>0</v>
      </c>
      <c r="P4" s="124">
        <f t="shared" si="0"/>
        <v>0</v>
      </c>
    </row>
    <row r="5" spans="1:16" ht="20.100000000000001" customHeight="1">
      <c r="A5" s="110"/>
      <c r="B5" s="111"/>
      <c r="C5" s="112"/>
      <c r="D5" s="113"/>
      <c r="E5" s="114" t="s">
        <v>229</v>
      </c>
      <c r="F5" s="114" t="s">
        <v>229</v>
      </c>
      <c r="G5" s="114" t="s">
        <v>229</v>
      </c>
      <c r="H5" s="114" t="s">
        <v>229</v>
      </c>
      <c r="I5" s="114" t="s">
        <v>229</v>
      </c>
      <c r="J5" s="114" t="s">
        <v>229</v>
      </c>
      <c r="K5" s="115"/>
      <c r="L5" s="102"/>
      <c r="N5" s="103" t="s">
        <v>208</v>
      </c>
      <c r="O5" s="251">
        <v>55936299</v>
      </c>
      <c r="P5" s="124">
        <f t="shared" si="0"/>
        <v>0.35323328575188023</v>
      </c>
    </row>
    <row r="6" spans="1:16" ht="14.1" customHeight="1">
      <c r="A6" s="96"/>
      <c r="B6" s="97"/>
      <c r="C6" s="98"/>
      <c r="D6" s="116"/>
      <c r="E6" s="117">
        <f t="shared" ref="E6:J6" si="1">$D$7/6</f>
        <v>5.3999999999999999E-2</v>
      </c>
      <c r="F6" s="117">
        <f t="shared" si="1"/>
        <v>5.3999999999999999E-2</v>
      </c>
      <c r="G6" s="117">
        <f t="shared" si="1"/>
        <v>5.3999999999999999E-2</v>
      </c>
      <c r="H6" s="117">
        <f t="shared" si="1"/>
        <v>5.3999999999999999E-2</v>
      </c>
      <c r="I6" s="117">
        <f t="shared" si="1"/>
        <v>5.3999999999999999E-2</v>
      </c>
      <c r="J6" s="117">
        <f t="shared" si="1"/>
        <v>5.3999999999999999E-2</v>
      </c>
      <c r="K6" s="118"/>
      <c r="L6" s="119" t="str">
        <f>IF(SUM(E6:J6)=D7,"ok","error")</f>
        <v>ok</v>
      </c>
      <c r="N6" s="103" t="s">
        <v>190</v>
      </c>
      <c r="O6" s="251">
        <v>21357968</v>
      </c>
      <c r="P6" s="124">
        <f t="shared" si="0"/>
        <v>0.13487387168077591</v>
      </c>
    </row>
    <row r="7" spans="1:16" ht="14.1" customHeight="1">
      <c r="A7" s="104"/>
      <c r="B7" s="257" t="str">
        <f>N3</f>
        <v>토공</v>
      </c>
      <c r="C7" s="120"/>
      <c r="D7" s="121">
        <f>ROUND(O3/$O$23,3)</f>
        <v>0.32400000000000001</v>
      </c>
      <c r="E7" s="237"/>
      <c r="F7" s="237"/>
      <c r="G7" s="237"/>
      <c r="H7" s="237"/>
      <c r="I7" s="237"/>
      <c r="J7" s="237"/>
      <c r="K7" s="123"/>
      <c r="L7" s="124">
        <f>SUM(E6:J6)</f>
        <v>0.32400000000000001</v>
      </c>
      <c r="N7" s="103" t="s">
        <v>200</v>
      </c>
      <c r="O7" s="251">
        <v>17436062</v>
      </c>
      <c r="P7" s="124">
        <f t="shared" si="0"/>
        <v>0.110107346766605</v>
      </c>
    </row>
    <row r="8" spans="1:16" ht="14.1" customHeight="1">
      <c r="A8" s="104"/>
      <c r="B8" s="125"/>
      <c r="C8" s="106"/>
      <c r="D8" s="126"/>
      <c r="E8" s="122"/>
      <c r="F8" s="122"/>
      <c r="G8" s="122"/>
      <c r="H8" s="122"/>
      <c r="I8" s="122"/>
      <c r="J8" s="122"/>
      <c r="K8" s="123"/>
      <c r="L8" s="102"/>
      <c r="N8" s="103" t="s">
        <v>161</v>
      </c>
      <c r="O8" s="251">
        <v>12321769</v>
      </c>
      <c r="P8" s="124">
        <f t="shared" si="0"/>
        <v>7.7810992646218144E-2</v>
      </c>
    </row>
    <row r="9" spans="1:16" ht="14.1" hidden="1" customHeight="1">
      <c r="A9" s="96"/>
      <c r="B9" s="97"/>
      <c r="C9" s="98"/>
      <c r="D9" s="116"/>
      <c r="E9" s="117">
        <f t="shared" ref="E9:J9" si="2">$D$10/6</f>
        <v>0</v>
      </c>
      <c r="F9" s="117">
        <f t="shared" si="2"/>
        <v>0</v>
      </c>
      <c r="G9" s="117">
        <f t="shared" si="2"/>
        <v>0</v>
      </c>
      <c r="H9" s="117">
        <f t="shared" si="2"/>
        <v>0</v>
      </c>
      <c r="I9" s="117">
        <f t="shared" si="2"/>
        <v>0</v>
      </c>
      <c r="J9" s="117">
        <f t="shared" si="2"/>
        <v>0</v>
      </c>
      <c r="K9" s="118"/>
      <c r="L9" s="119" t="str">
        <f>IF(SUM(E9:J9)=D10,"ok","error")</f>
        <v>ok</v>
      </c>
      <c r="N9" s="103" t="s">
        <v>160</v>
      </c>
      <c r="O9" s="251">
        <v>0</v>
      </c>
      <c r="P9" s="124">
        <f t="shared" si="0"/>
        <v>0</v>
      </c>
    </row>
    <row r="10" spans="1:16" ht="14.1" hidden="1" customHeight="1">
      <c r="A10" s="104"/>
      <c r="B10" s="257" t="str">
        <f>N4</f>
        <v>비탈공</v>
      </c>
      <c r="C10" s="120"/>
      <c r="D10" s="121">
        <f>ROUND(O4/$O$23,3)</f>
        <v>0</v>
      </c>
      <c r="E10" s="237"/>
      <c r="F10" s="237"/>
      <c r="G10" s="237"/>
      <c r="H10" s="237"/>
      <c r="I10" s="237"/>
      <c r="J10" s="237"/>
      <c r="K10" s="123"/>
      <c r="L10" s="124">
        <f>SUM(E9:J9)</f>
        <v>0</v>
      </c>
      <c r="N10" s="103" t="s">
        <v>160</v>
      </c>
      <c r="O10" s="251">
        <v>0</v>
      </c>
      <c r="P10" s="124">
        <f t="shared" si="0"/>
        <v>0</v>
      </c>
    </row>
    <row r="11" spans="1:16" ht="14.1" hidden="1" customHeight="1">
      <c r="A11" s="104"/>
      <c r="B11" s="1"/>
      <c r="C11" s="106"/>
      <c r="D11" s="126"/>
      <c r="E11" s="122"/>
      <c r="F11" s="122"/>
      <c r="G11" s="122"/>
      <c r="H11" s="122"/>
      <c r="I11" s="122"/>
      <c r="J11" s="122"/>
      <c r="K11" s="123"/>
      <c r="L11" s="102"/>
      <c r="N11" s="103" t="s">
        <v>160</v>
      </c>
      <c r="O11" s="251">
        <v>0</v>
      </c>
      <c r="P11" s="124">
        <f t="shared" si="0"/>
        <v>0</v>
      </c>
    </row>
    <row r="12" spans="1:16" ht="14.1" customHeight="1">
      <c r="A12" s="96"/>
      <c r="B12" s="271"/>
      <c r="C12" s="98"/>
      <c r="D12" s="116"/>
      <c r="E12" s="117">
        <f t="shared" ref="E12:J12" si="3">$D$13/6</f>
        <v>5.8833333333333328E-2</v>
      </c>
      <c r="F12" s="117">
        <f t="shared" si="3"/>
        <v>5.8833333333333328E-2</v>
      </c>
      <c r="G12" s="117">
        <f t="shared" si="3"/>
        <v>5.8833333333333328E-2</v>
      </c>
      <c r="H12" s="117">
        <f t="shared" si="3"/>
        <v>5.8833333333333328E-2</v>
      </c>
      <c r="I12" s="117">
        <f t="shared" si="3"/>
        <v>5.8833333333333328E-2</v>
      </c>
      <c r="J12" s="117">
        <f t="shared" si="3"/>
        <v>5.8833333333333328E-2</v>
      </c>
      <c r="K12" s="118"/>
      <c r="L12" s="119" t="str">
        <f>IF(SUM(E12:J12)=D13,"ok","error")</f>
        <v>ok</v>
      </c>
      <c r="N12" s="103" t="s">
        <v>160</v>
      </c>
      <c r="O12" s="251">
        <v>0</v>
      </c>
      <c r="P12" s="124">
        <f t="shared" si="0"/>
        <v>0</v>
      </c>
    </row>
    <row r="13" spans="1:16" ht="14.1" customHeight="1">
      <c r="A13" s="104"/>
      <c r="B13" s="257" t="str">
        <f>N5</f>
        <v>배수공</v>
      </c>
      <c r="C13" s="120"/>
      <c r="D13" s="121">
        <f>ROUND(O5/$O$23,3)</f>
        <v>0.35299999999999998</v>
      </c>
      <c r="E13" s="237"/>
      <c r="F13" s="237"/>
      <c r="G13" s="237"/>
      <c r="H13" s="237"/>
      <c r="I13" s="237"/>
      <c r="J13" s="237"/>
      <c r="K13" s="123"/>
      <c r="L13" s="124">
        <f>SUM(E12:J12)</f>
        <v>0.35299999999999998</v>
      </c>
      <c r="N13" s="103" t="s">
        <v>160</v>
      </c>
      <c r="O13" s="251">
        <v>0</v>
      </c>
      <c r="P13" s="124">
        <f t="shared" si="0"/>
        <v>0</v>
      </c>
    </row>
    <row r="14" spans="1:16" ht="14.1" customHeight="1">
      <c r="A14" s="104"/>
      <c r="B14" s="1"/>
      <c r="C14" s="106"/>
      <c r="D14" s="126"/>
      <c r="E14" s="122"/>
      <c r="F14" s="122"/>
      <c r="G14" s="122"/>
      <c r="H14" s="122"/>
      <c r="I14" s="122"/>
      <c r="J14" s="122"/>
      <c r="K14" s="123"/>
      <c r="L14" s="102"/>
      <c r="N14" s="103" t="s">
        <v>160</v>
      </c>
      <c r="O14" s="251">
        <v>0</v>
      </c>
      <c r="P14" s="124">
        <f t="shared" si="0"/>
        <v>0</v>
      </c>
    </row>
    <row r="15" spans="1:16" ht="14.1" customHeight="1">
      <c r="A15" s="96"/>
      <c r="B15" s="271"/>
      <c r="C15" s="98"/>
      <c r="D15" s="116"/>
      <c r="E15" s="117">
        <f t="shared" ref="E15:J15" si="4">$D$16/6</f>
        <v>2.2500000000000003E-2</v>
      </c>
      <c r="F15" s="117">
        <f t="shared" si="4"/>
        <v>2.2500000000000003E-2</v>
      </c>
      <c r="G15" s="117">
        <f t="shared" si="4"/>
        <v>2.2500000000000003E-2</v>
      </c>
      <c r="H15" s="117">
        <f t="shared" si="4"/>
        <v>2.2500000000000003E-2</v>
      </c>
      <c r="I15" s="117">
        <f t="shared" si="4"/>
        <v>2.2500000000000003E-2</v>
      </c>
      <c r="J15" s="117">
        <f t="shared" si="4"/>
        <v>2.2500000000000003E-2</v>
      </c>
      <c r="K15" s="118"/>
      <c r="L15" s="119" t="str">
        <f>IF(SUM(E15:J15)=D16,"ok","error")</f>
        <v>ok</v>
      </c>
      <c r="N15" s="103" t="s">
        <v>160</v>
      </c>
      <c r="O15" s="251">
        <v>0</v>
      </c>
      <c r="P15" s="124">
        <f t="shared" si="0"/>
        <v>0</v>
      </c>
    </row>
    <row r="16" spans="1:16" ht="14.1" customHeight="1">
      <c r="A16" s="104"/>
      <c r="B16" s="257" t="str">
        <f>N6</f>
        <v>포장공</v>
      </c>
      <c r="C16" s="120"/>
      <c r="D16" s="121">
        <f>ROUND(O6/$O$23,3)</f>
        <v>0.13500000000000001</v>
      </c>
      <c r="E16" s="237"/>
      <c r="F16" s="237"/>
      <c r="G16" s="237"/>
      <c r="H16" s="237"/>
      <c r="I16" s="237"/>
      <c r="J16" s="237"/>
      <c r="K16" s="123"/>
      <c r="L16" s="124">
        <f>SUM(E15:J15)</f>
        <v>0.13500000000000001</v>
      </c>
      <c r="N16" s="103" t="s">
        <v>160</v>
      </c>
      <c r="O16" s="251">
        <v>0</v>
      </c>
      <c r="P16" s="124">
        <f t="shared" si="0"/>
        <v>0</v>
      </c>
    </row>
    <row r="17" spans="1:16" ht="14.1" customHeight="1">
      <c r="A17" s="104"/>
      <c r="B17" s="1"/>
      <c r="C17" s="106"/>
      <c r="D17" s="126"/>
      <c r="E17" s="122"/>
      <c r="F17" s="122"/>
      <c r="G17" s="122"/>
      <c r="H17" s="122"/>
      <c r="I17" s="122"/>
      <c r="J17" s="122"/>
      <c r="K17" s="123"/>
      <c r="L17" s="102"/>
      <c r="N17" s="103" t="s">
        <v>160</v>
      </c>
      <c r="O17" s="251">
        <v>0</v>
      </c>
      <c r="P17" s="124">
        <f t="shared" si="0"/>
        <v>0</v>
      </c>
    </row>
    <row r="18" spans="1:16" ht="14.1" customHeight="1">
      <c r="A18" s="96"/>
      <c r="B18" s="271"/>
      <c r="C18" s="98"/>
      <c r="D18" s="116"/>
      <c r="E18" s="117">
        <f t="shared" ref="E18:J18" si="5">$D$19/6</f>
        <v>1.8333333333333333E-2</v>
      </c>
      <c r="F18" s="117">
        <f t="shared" si="5"/>
        <v>1.8333333333333333E-2</v>
      </c>
      <c r="G18" s="117">
        <f t="shared" si="5"/>
        <v>1.8333333333333333E-2</v>
      </c>
      <c r="H18" s="117">
        <f t="shared" si="5"/>
        <v>1.8333333333333333E-2</v>
      </c>
      <c r="I18" s="117">
        <f t="shared" si="5"/>
        <v>1.8333333333333333E-2</v>
      </c>
      <c r="J18" s="117">
        <f t="shared" si="5"/>
        <v>1.8333333333333333E-2</v>
      </c>
      <c r="K18" s="118"/>
      <c r="L18" s="119" t="str">
        <f>IF(SUM(E18:J18)=D19,"ok","error")</f>
        <v>ok</v>
      </c>
      <c r="N18" s="103" t="s">
        <v>160</v>
      </c>
      <c r="O18" s="251">
        <v>0</v>
      </c>
      <c r="P18" s="124">
        <f t="shared" si="0"/>
        <v>0</v>
      </c>
    </row>
    <row r="19" spans="1:16" ht="14.1" customHeight="1">
      <c r="A19" s="104"/>
      <c r="B19" s="257" t="str">
        <f>N7</f>
        <v>구조물공</v>
      </c>
      <c r="C19" s="120"/>
      <c r="D19" s="121">
        <f>ROUND(O7/$O$23,3)</f>
        <v>0.11</v>
      </c>
      <c r="E19" s="237"/>
      <c r="F19" s="237"/>
      <c r="G19" s="237"/>
      <c r="H19" s="237"/>
      <c r="I19" s="237"/>
      <c r="J19" s="237"/>
      <c r="K19" s="123"/>
      <c r="L19" s="124">
        <f>SUM(E18:J18)</f>
        <v>0.11000000000000001</v>
      </c>
      <c r="N19" s="103" t="s">
        <v>160</v>
      </c>
      <c r="O19" s="251">
        <v>0</v>
      </c>
      <c r="P19" s="124">
        <f t="shared" si="0"/>
        <v>0</v>
      </c>
    </row>
    <row r="20" spans="1:16" ht="14.1" customHeight="1">
      <c r="A20" s="104"/>
      <c r="B20" s="1"/>
      <c r="C20" s="106"/>
      <c r="D20" s="126"/>
      <c r="E20" s="122"/>
      <c r="F20" s="122"/>
      <c r="G20" s="122"/>
      <c r="H20" s="122"/>
      <c r="I20" s="122"/>
      <c r="J20" s="122"/>
      <c r="K20" s="123"/>
      <c r="L20" s="102"/>
      <c r="N20" s="103" t="s">
        <v>160</v>
      </c>
      <c r="O20" s="251">
        <v>0</v>
      </c>
      <c r="P20" s="124">
        <f t="shared" si="0"/>
        <v>0</v>
      </c>
    </row>
    <row r="21" spans="1:16" ht="14.1" customHeight="1">
      <c r="A21" s="127"/>
      <c r="B21" s="272"/>
      <c r="C21" s="128"/>
      <c r="D21" s="129"/>
      <c r="E21" s="130">
        <f t="shared" ref="E21:J21" si="6">$D$22/6</f>
        <v>1.2999999999999999E-2</v>
      </c>
      <c r="F21" s="130">
        <f t="shared" si="6"/>
        <v>1.2999999999999999E-2</v>
      </c>
      <c r="G21" s="130">
        <f t="shared" si="6"/>
        <v>1.2999999999999999E-2</v>
      </c>
      <c r="H21" s="130">
        <f t="shared" si="6"/>
        <v>1.2999999999999999E-2</v>
      </c>
      <c r="I21" s="130">
        <f t="shared" si="6"/>
        <v>1.2999999999999999E-2</v>
      </c>
      <c r="J21" s="130">
        <f t="shared" si="6"/>
        <v>1.2999999999999999E-2</v>
      </c>
      <c r="K21" s="131"/>
      <c r="L21" s="119" t="str">
        <f>IF(SUM(E21:J21)=D22,"ok","error")</f>
        <v>ok</v>
      </c>
      <c r="N21" s="103" t="s">
        <v>160</v>
      </c>
      <c r="O21" s="251">
        <v>0</v>
      </c>
      <c r="P21" s="124">
        <f t="shared" si="0"/>
        <v>0</v>
      </c>
    </row>
    <row r="22" spans="1:16" ht="14.1" customHeight="1">
      <c r="A22" s="104"/>
      <c r="B22" s="273" t="str">
        <f>N8</f>
        <v>부대공</v>
      </c>
      <c r="C22" s="135"/>
      <c r="D22" s="121">
        <f>ROUND(O8/$O$23,3)</f>
        <v>7.8E-2</v>
      </c>
      <c r="E22" s="237"/>
      <c r="F22" s="237"/>
      <c r="G22" s="237"/>
      <c r="H22" s="237"/>
      <c r="I22" s="237"/>
      <c r="J22" s="237"/>
      <c r="K22" s="123"/>
      <c r="L22" s="124">
        <f>SUM(E21:J21)</f>
        <v>7.8E-2</v>
      </c>
      <c r="N22" s="103" t="s">
        <v>160</v>
      </c>
      <c r="O22" s="251">
        <v>0</v>
      </c>
      <c r="P22" s="124">
        <f t="shared" si="0"/>
        <v>0</v>
      </c>
    </row>
    <row r="23" spans="1:16" ht="14.1" customHeight="1">
      <c r="A23" s="136"/>
      <c r="B23" s="274"/>
      <c r="C23" s="138"/>
      <c r="D23" s="139"/>
      <c r="E23" s="140"/>
      <c r="F23" s="140"/>
      <c r="G23" s="140"/>
      <c r="H23" s="140"/>
      <c r="I23" s="140"/>
      <c r="J23" s="140"/>
      <c r="K23" s="141"/>
      <c r="L23" s="102"/>
      <c r="N23" s="132" t="s">
        <v>100</v>
      </c>
      <c r="O23" s="133">
        <f>SUM(O3:O22)</f>
        <v>158355119</v>
      </c>
      <c r="P23" s="134">
        <f>SUM(P3:P22)</f>
        <v>1</v>
      </c>
    </row>
    <row r="24" spans="1:16" ht="14.1" customHeight="1">
      <c r="A24" s="96"/>
      <c r="B24" s="97"/>
      <c r="C24" s="98"/>
      <c r="D24" s="116"/>
      <c r="E24" s="142"/>
      <c r="F24" s="142"/>
      <c r="G24" s="142"/>
      <c r="H24" s="142"/>
      <c r="I24" s="142"/>
      <c r="J24" s="142"/>
      <c r="K24" s="118"/>
      <c r="L24" s="102"/>
      <c r="P24" s="143"/>
    </row>
    <row r="25" spans="1:16" ht="14.1" customHeight="1">
      <c r="A25" s="104"/>
      <c r="B25" s="105" t="s">
        <v>101</v>
      </c>
      <c r="C25" s="106"/>
      <c r="D25" s="126">
        <f>SUM(D7,D10,D13,D16,D19,D22)</f>
        <v>1</v>
      </c>
      <c r="E25" s="144">
        <f t="shared" ref="E25:J25" si="7">SUM(E6,E9,E12,E15,E18,E21)</f>
        <v>0.16666666666666669</v>
      </c>
      <c r="F25" s="144">
        <f t="shared" si="7"/>
        <v>0.16666666666666669</v>
      </c>
      <c r="G25" s="144">
        <f t="shared" si="7"/>
        <v>0.16666666666666669</v>
      </c>
      <c r="H25" s="144">
        <f t="shared" si="7"/>
        <v>0.16666666666666669</v>
      </c>
      <c r="I25" s="144">
        <f t="shared" si="7"/>
        <v>0.16666666666666669</v>
      </c>
      <c r="J25" s="144">
        <f t="shared" si="7"/>
        <v>0.16666666666666669</v>
      </c>
      <c r="K25" s="123"/>
      <c r="L25" s="102"/>
      <c r="P25" s="143"/>
    </row>
    <row r="26" spans="1:16" ht="14.1" customHeight="1">
      <c r="A26" s="136"/>
      <c r="B26" s="137"/>
      <c r="C26" s="138"/>
      <c r="D26" s="139"/>
      <c r="E26" s="140"/>
      <c r="F26" s="140"/>
      <c r="G26" s="140"/>
      <c r="H26" s="140"/>
      <c r="I26" s="140"/>
      <c r="J26" s="140"/>
      <c r="K26" s="141"/>
      <c r="L26" s="102"/>
    </row>
    <row r="27" spans="1:16" s="41" customFormat="1" ht="14.1" customHeight="1">
      <c r="A27" s="145"/>
      <c r="B27" s="146"/>
      <c r="C27" s="147"/>
      <c r="D27" s="148"/>
      <c r="E27" s="149"/>
      <c r="F27" s="149"/>
      <c r="G27" s="149"/>
      <c r="H27" s="149"/>
      <c r="I27" s="149"/>
      <c r="J27" s="149"/>
      <c r="K27" s="150"/>
      <c r="L27" s="132"/>
    </row>
    <row r="28" spans="1:16" s="41" customFormat="1" ht="14.1" customHeight="1">
      <c r="A28" s="145"/>
      <c r="B28" s="151" t="s">
        <v>102</v>
      </c>
      <c r="C28" s="147"/>
      <c r="D28" s="149">
        <f>D25</f>
        <v>1</v>
      </c>
      <c r="E28" s="152">
        <f>E25</f>
        <v>0.16666666666666669</v>
      </c>
      <c r="F28" s="152">
        <f>E28+F25</f>
        <v>0.33333333333333337</v>
      </c>
      <c r="G28" s="152">
        <f>F28+G25</f>
        <v>0.5</v>
      </c>
      <c r="H28" s="152">
        <f>G28+H25</f>
        <v>0.66666666666666674</v>
      </c>
      <c r="I28" s="152">
        <f>H28+I25</f>
        <v>0.83333333333333348</v>
      </c>
      <c r="J28" s="149">
        <f>I28+J25</f>
        <v>1.0000000000000002</v>
      </c>
      <c r="K28" s="150"/>
      <c r="L28" s="132"/>
    </row>
    <row r="29" spans="1:16" s="41" customFormat="1" ht="14.1" customHeight="1">
      <c r="A29" s="153"/>
      <c r="B29" s="154"/>
      <c r="C29" s="155"/>
      <c r="D29" s="156"/>
      <c r="E29" s="157"/>
      <c r="F29" s="157"/>
      <c r="G29" s="157"/>
      <c r="H29" s="157"/>
      <c r="I29" s="157"/>
      <c r="J29" s="157"/>
      <c r="K29" s="158"/>
      <c r="L29" s="132"/>
    </row>
    <row r="30" spans="1:16" ht="30" customHeight="1">
      <c r="B30" s="281" t="s">
        <v>103</v>
      </c>
      <c r="C30" s="281"/>
      <c r="D30" s="281"/>
      <c r="E30" s="281"/>
      <c r="F30" s="281"/>
      <c r="G30" s="281"/>
      <c r="H30" s="281"/>
      <c r="I30" s="281"/>
      <c r="J30" s="281"/>
      <c r="K30" s="281"/>
      <c r="N30" s="39"/>
    </row>
    <row r="31" spans="1:16" ht="21" customHeight="1">
      <c r="B31" s="93" t="str">
        <f>A2</f>
        <v>공사명:</v>
      </c>
      <c r="C31" s="42" t="str">
        <f>C2</f>
        <v>2026년 국도59호선 하진부지구 일원 보도 정비공사</v>
      </c>
      <c r="D31" s="41"/>
    </row>
    <row r="32" spans="1:16" ht="26.1" customHeight="1">
      <c r="A32" s="2"/>
      <c r="B32" s="97"/>
      <c r="C32" s="98"/>
      <c r="D32" s="99" t="s">
        <v>104</v>
      </c>
      <c r="E32" s="100" t="s">
        <v>104</v>
      </c>
      <c r="F32" s="100" t="s">
        <v>104</v>
      </c>
      <c r="G32" s="100" t="s">
        <v>104</v>
      </c>
      <c r="H32" s="100" t="s">
        <v>104</v>
      </c>
      <c r="I32" s="100" t="s">
        <v>104</v>
      </c>
      <c r="J32" s="159"/>
      <c r="K32" s="101"/>
      <c r="N32" s="160"/>
      <c r="O32" s="161"/>
      <c r="P32" s="162"/>
    </row>
    <row r="33" spans="1:16" ht="26.1" customHeight="1">
      <c r="A33" s="3"/>
      <c r="B33" s="105" t="s">
        <v>105</v>
      </c>
      <c r="C33" s="106"/>
      <c r="D33" s="107">
        <f t="shared" ref="D33:I34" si="8">E4</f>
        <v>20</v>
      </c>
      <c r="E33" s="107">
        <f t="shared" si="8"/>
        <v>40</v>
      </c>
      <c r="F33" s="107">
        <f t="shared" si="8"/>
        <v>60</v>
      </c>
      <c r="G33" s="107">
        <f t="shared" si="8"/>
        <v>80</v>
      </c>
      <c r="H33" s="107">
        <f t="shared" si="8"/>
        <v>100</v>
      </c>
      <c r="I33" s="107">
        <f t="shared" si="8"/>
        <v>120</v>
      </c>
      <c r="J33" s="163" t="s">
        <v>106</v>
      </c>
      <c r="K33" s="109" t="s">
        <v>107</v>
      </c>
      <c r="N33" s="160"/>
      <c r="O33" s="161"/>
      <c r="P33" s="162"/>
    </row>
    <row r="34" spans="1:16" ht="26.1" customHeight="1">
      <c r="A34" s="164"/>
      <c r="B34" s="165"/>
      <c r="C34" s="112"/>
      <c r="D34" s="113" t="str">
        <f t="shared" si="8"/>
        <v>일</v>
      </c>
      <c r="E34" s="113" t="str">
        <f t="shared" si="8"/>
        <v>일</v>
      </c>
      <c r="F34" s="113" t="str">
        <f t="shared" si="8"/>
        <v>일</v>
      </c>
      <c r="G34" s="113" t="str">
        <f t="shared" si="8"/>
        <v>일</v>
      </c>
      <c r="H34" s="113" t="str">
        <f t="shared" si="8"/>
        <v>일</v>
      </c>
      <c r="I34" s="113" t="str">
        <f t="shared" si="8"/>
        <v>일</v>
      </c>
      <c r="J34" s="166"/>
      <c r="K34" s="115"/>
      <c r="N34" s="167"/>
      <c r="O34" s="60"/>
      <c r="P34" s="162"/>
    </row>
    <row r="35" spans="1:16" ht="26.1" customHeight="1">
      <c r="A35" s="2"/>
      <c r="B35" s="168"/>
      <c r="C35" s="98"/>
      <c r="D35" s="99"/>
      <c r="E35" s="100"/>
      <c r="F35" s="100"/>
      <c r="G35" s="100"/>
      <c r="H35" s="100"/>
      <c r="I35" s="100"/>
      <c r="J35" s="159"/>
      <c r="K35" s="118"/>
      <c r="N35" s="39"/>
      <c r="O35" s="162"/>
      <c r="P35" s="162"/>
    </row>
    <row r="36" spans="1:16" ht="26.1" customHeight="1">
      <c r="A36" s="3"/>
      <c r="B36" s="105" t="s">
        <v>108</v>
      </c>
      <c r="C36" s="106"/>
      <c r="D36" s="169">
        <f t="shared" ref="D36:I36" si="9">E25*$J$36</f>
        <v>68.166666666666671</v>
      </c>
      <c r="E36" s="170">
        <f t="shared" si="9"/>
        <v>68.166666666666671</v>
      </c>
      <c r="F36" s="170">
        <f t="shared" si="9"/>
        <v>68.166666666666671</v>
      </c>
      <c r="G36" s="170">
        <f t="shared" si="9"/>
        <v>68.166666666666671</v>
      </c>
      <c r="H36" s="170">
        <f t="shared" si="9"/>
        <v>68.166666666666671</v>
      </c>
      <c r="I36" s="170">
        <f t="shared" si="9"/>
        <v>68.166666666666671</v>
      </c>
      <c r="J36" s="252">
        <f>ROUND(제경비!E54/109819*0.4,0)</f>
        <v>409</v>
      </c>
      <c r="K36" s="123"/>
      <c r="L36" s="161"/>
      <c r="M36" s="172"/>
    </row>
    <row r="37" spans="1:16" ht="26.1" customHeight="1">
      <c r="A37" s="164"/>
      <c r="B37" s="165"/>
      <c r="C37" s="112"/>
      <c r="D37" s="173"/>
      <c r="E37" s="174"/>
      <c r="F37" s="174"/>
      <c r="G37" s="174"/>
      <c r="H37" s="174"/>
      <c r="I37" s="174"/>
      <c r="J37" s="175"/>
      <c r="K37" s="176"/>
      <c r="L37" s="162"/>
    </row>
    <row r="38" spans="1:16" ht="26.1" customHeight="1">
      <c r="A38" s="3"/>
      <c r="B38" s="105"/>
      <c r="C38" s="106"/>
      <c r="D38" s="169"/>
      <c r="E38" s="170"/>
      <c r="F38" s="170"/>
      <c r="G38" s="170"/>
      <c r="H38" s="170"/>
      <c r="I38" s="170"/>
      <c r="J38" s="171"/>
      <c r="K38" s="123"/>
      <c r="L38" s="162"/>
    </row>
    <row r="39" spans="1:16" ht="26.1" customHeight="1">
      <c r="A39" s="3"/>
      <c r="B39" s="105" t="s">
        <v>109</v>
      </c>
      <c r="C39" s="106"/>
      <c r="D39" s="169">
        <f t="shared" ref="D39:I39" si="10">E25*$J$39</f>
        <v>72.666666666666671</v>
      </c>
      <c r="E39" s="170">
        <f t="shared" si="10"/>
        <v>72.666666666666671</v>
      </c>
      <c r="F39" s="170">
        <f t="shared" si="10"/>
        <v>72.666666666666671</v>
      </c>
      <c r="G39" s="170">
        <f t="shared" si="10"/>
        <v>72.666666666666671</v>
      </c>
      <c r="H39" s="170">
        <f t="shared" si="10"/>
        <v>72.666666666666671</v>
      </c>
      <c r="I39" s="170">
        <f t="shared" si="10"/>
        <v>72.666666666666671</v>
      </c>
      <c r="J39" s="252">
        <f>ROUND(제경비!E54/154530*0.6,0)</f>
        <v>436</v>
      </c>
      <c r="K39" s="123"/>
      <c r="L39" s="161"/>
      <c r="M39" s="172"/>
    </row>
    <row r="40" spans="1:16" ht="26.1" customHeight="1">
      <c r="A40" s="3"/>
      <c r="B40" s="105"/>
      <c r="C40" s="106"/>
      <c r="D40" s="169"/>
      <c r="E40" s="170"/>
      <c r="F40" s="170"/>
      <c r="G40" s="170"/>
      <c r="H40" s="170"/>
      <c r="I40" s="170"/>
      <c r="J40" s="171"/>
      <c r="K40" s="123"/>
      <c r="L40" s="162"/>
    </row>
    <row r="41" spans="1:16" ht="26.1" customHeight="1">
      <c r="A41" s="2"/>
      <c r="B41" s="168"/>
      <c r="C41" s="98"/>
      <c r="D41" s="177"/>
      <c r="E41" s="178"/>
      <c r="F41" s="178"/>
      <c r="G41" s="178"/>
      <c r="H41" s="178"/>
      <c r="I41" s="178"/>
      <c r="J41" s="179"/>
      <c r="K41" s="118"/>
    </row>
    <row r="42" spans="1:16" ht="26.1" customHeight="1">
      <c r="A42" s="3"/>
      <c r="B42" s="105" t="s">
        <v>110</v>
      </c>
      <c r="C42" s="106"/>
      <c r="D42" s="169">
        <f t="shared" ref="D42:J42" si="11">SUM(D36,D39)</f>
        <v>140.83333333333334</v>
      </c>
      <c r="E42" s="170">
        <f t="shared" si="11"/>
        <v>140.83333333333334</v>
      </c>
      <c r="F42" s="170">
        <f t="shared" si="11"/>
        <v>140.83333333333334</v>
      </c>
      <c r="G42" s="170">
        <f t="shared" si="11"/>
        <v>140.83333333333334</v>
      </c>
      <c r="H42" s="170">
        <f t="shared" si="11"/>
        <v>140.83333333333334</v>
      </c>
      <c r="I42" s="170">
        <f t="shared" si="11"/>
        <v>140.83333333333334</v>
      </c>
      <c r="J42" s="171">
        <f t="shared" si="11"/>
        <v>845</v>
      </c>
      <c r="K42" s="123"/>
      <c r="N42" s="39"/>
    </row>
    <row r="43" spans="1:16" ht="26.1" customHeight="1">
      <c r="A43" s="164"/>
      <c r="B43" s="165"/>
      <c r="C43" s="112"/>
      <c r="D43" s="173"/>
      <c r="E43" s="174"/>
      <c r="F43" s="174"/>
      <c r="G43" s="174"/>
      <c r="H43" s="174"/>
      <c r="I43" s="174"/>
      <c r="J43" s="175"/>
      <c r="K43" s="176"/>
      <c r="N43" s="39"/>
    </row>
    <row r="44" spans="1:16" s="41" customFormat="1" ht="26.1" customHeight="1">
      <c r="A44" s="4"/>
      <c r="B44" s="151"/>
      <c r="C44" s="147"/>
      <c r="D44" s="180"/>
      <c r="E44" s="171"/>
      <c r="F44" s="171"/>
      <c r="G44" s="171"/>
      <c r="H44" s="171"/>
      <c r="I44" s="171"/>
      <c r="J44" s="171"/>
      <c r="K44" s="150"/>
    </row>
    <row r="45" spans="1:16" s="41" customFormat="1" ht="26.1" customHeight="1">
      <c r="A45" s="4"/>
      <c r="B45" s="151" t="s">
        <v>111</v>
      </c>
      <c r="C45" s="147"/>
      <c r="D45" s="180">
        <f>D42</f>
        <v>140.83333333333334</v>
      </c>
      <c r="E45" s="171">
        <f>D45+E42</f>
        <v>281.66666666666669</v>
      </c>
      <c r="F45" s="171">
        <f>E45+F42</f>
        <v>422.5</v>
      </c>
      <c r="G45" s="171">
        <f>F45+G42</f>
        <v>563.33333333333337</v>
      </c>
      <c r="H45" s="171">
        <f>G45+H42</f>
        <v>704.16666666666674</v>
      </c>
      <c r="I45" s="171">
        <f>H45+I42</f>
        <v>845.00000000000011</v>
      </c>
      <c r="J45" s="171"/>
      <c r="K45" s="150"/>
    </row>
    <row r="46" spans="1:16" s="41" customFormat="1" ht="26.1" customHeight="1">
      <c r="A46" s="181"/>
      <c r="B46" s="182"/>
      <c r="C46" s="155"/>
      <c r="D46" s="183"/>
      <c r="E46" s="175"/>
      <c r="F46" s="175"/>
      <c r="G46" s="175"/>
      <c r="H46" s="175"/>
      <c r="I46" s="175"/>
      <c r="J46" s="175"/>
      <c r="K46" s="158"/>
    </row>
    <row r="47" spans="1:16">
      <c r="J47" s="41"/>
      <c r="K47" s="184"/>
      <c r="N47" s="39"/>
    </row>
    <row r="48" spans="1:16">
      <c r="K48" s="184"/>
      <c r="N48" s="39"/>
    </row>
    <row r="49" spans="11:16">
      <c r="K49" s="184"/>
      <c r="O49" s="185"/>
      <c r="P49" s="143"/>
    </row>
  </sheetData>
  <mergeCells count="3">
    <mergeCell ref="B1:K1"/>
    <mergeCell ref="A2:B2"/>
    <mergeCell ref="B30:K3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  <rowBreaks count="1" manualBreakCount="1">
    <brk id="29" max="1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154</v>
      </c>
      <c r="C10" s="280" t="s">
        <v>151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AM39"/>
  <sheetViews>
    <sheetView tabSelected="1" view="pageBreakPreview" zoomScaleNormal="100" zoomScaleSheetLayoutView="100" workbookViewId="0">
      <selection activeCell="M24" sqref="M24:V24"/>
    </sheetView>
  </sheetViews>
  <sheetFormatPr defaultColWidth="7.109375" defaultRowHeight="12"/>
  <cols>
    <col min="1" max="36" width="3.109375" style="204" customWidth="1"/>
    <col min="37" max="16384" width="7.109375" style="204"/>
  </cols>
  <sheetData>
    <row r="1" spans="1:39" s="192" customFormat="1" ht="12" customHeight="1">
      <c r="A1" s="307">
        <v>2026</v>
      </c>
      <c r="B1" s="308"/>
      <c r="C1" s="308"/>
      <c r="D1" s="308"/>
      <c r="E1" s="299" t="s">
        <v>122</v>
      </c>
      <c r="F1" s="313">
        <v>6</v>
      </c>
      <c r="G1" s="308"/>
      <c r="H1" s="299" t="s">
        <v>123</v>
      </c>
      <c r="I1" s="299"/>
      <c r="J1" s="299"/>
      <c r="K1" s="299" t="s">
        <v>124</v>
      </c>
      <c r="L1" s="316"/>
      <c r="M1" s="319" t="s">
        <v>125</v>
      </c>
      <c r="N1" s="319"/>
      <c r="O1" s="319"/>
      <c r="P1" s="320"/>
      <c r="Q1" s="295" t="s">
        <v>126</v>
      </c>
      <c r="R1" s="298"/>
      <c r="S1" s="299"/>
      <c r="T1" s="299"/>
      <c r="U1" s="300"/>
      <c r="V1" s="295" t="s">
        <v>127</v>
      </c>
      <c r="W1" s="298"/>
      <c r="X1" s="299"/>
      <c r="Y1" s="299"/>
      <c r="Z1" s="300"/>
      <c r="AA1" s="295" t="s">
        <v>178</v>
      </c>
      <c r="AB1" s="298"/>
      <c r="AC1" s="299"/>
      <c r="AD1" s="299"/>
      <c r="AE1" s="300"/>
      <c r="AF1" s="295" t="s">
        <v>194</v>
      </c>
      <c r="AG1" s="298"/>
      <c r="AH1" s="299"/>
      <c r="AI1" s="299"/>
      <c r="AJ1" s="300"/>
    </row>
    <row r="2" spans="1:39" s="192" customFormat="1" ht="12" customHeight="1">
      <c r="A2" s="309"/>
      <c r="B2" s="310"/>
      <c r="C2" s="310"/>
      <c r="D2" s="310"/>
      <c r="E2" s="302"/>
      <c r="F2" s="310"/>
      <c r="G2" s="310"/>
      <c r="H2" s="302"/>
      <c r="I2" s="302"/>
      <c r="J2" s="302"/>
      <c r="K2" s="302"/>
      <c r="L2" s="317"/>
      <c r="M2" s="321"/>
      <c r="N2" s="321"/>
      <c r="O2" s="321"/>
      <c r="P2" s="322"/>
      <c r="Q2" s="296"/>
      <c r="R2" s="301"/>
      <c r="S2" s="302"/>
      <c r="T2" s="302"/>
      <c r="U2" s="303"/>
      <c r="V2" s="296"/>
      <c r="W2" s="301"/>
      <c r="X2" s="302"/>
      <c r="Y2" s="302"/>
      <c r="Z2" s="303"/>
      <c r="AA2" s="296"/>
      <c r="AB2" s="301"/>
      <c r="AC2" s="302"/>
      <c r="AD2" s="302"/>
      <c r="AE2" s="303"/>
      <c r="AF2" s="296"/>
      <c r="AG2" s="301"/>
      <c r="AH2" s="302"/>
      <c r="AI2" s="302"/>
      <c r="AJ2" s="303"/>
    </row>
    <row r="3" spans="1:39" s="192" customFormat="1" ht="12" customHeight="1">
      <c r="A3" s="309"/>
      <c r="B3" s="310"/>
      <c r="C3" s="310"/>
      <c r="D3" s="310"/>
      <c r="E3" s="302"/>
      <c r="F3" s="310"/>
      <c r="G3" s="310"/>
      <c r="H3" s="302"/>
      <c r="I3" s="302"/>
      <c r="J3" s="302"/>
      <c r="K3" s="302"/>
      <c r="L3" s="317"/>
      <c r="M3" s="321"/>
      <c r="N3" s="321"/>
      <c r="O3" s="321"/>
      <c r="P3" s="322"/>
      <c r="Q3" s="296"/>
      <c r="R3" s="301"/>
      <c r="S3" s="302"/>
      <c r="T3" s="302"/>
      <c r="U3" s="303"/>
      <c r="V3" s="296"/>
      <c r="W3" s="301"/>
      <c r="X3" s="302"/>
      <c r="Y3" s="302"/>
      <c r="Z3" s="303"/>
      <c r="AA3" s="296"/>
      <c r="AB3" s="301"/>
      <c r="AC3" s="302"/>
      <c r="AD3" s="302"/>
      <c r="AE3" s="303"/>
      <c r="AF3" s="296"/>
      <c r="AG3" s="301"/>
      <c r="AH3" s="302"/>
      <c r="AI3" s="302"/>
      <c r="AJ3" s="303"/>
    </row>
    <row r="4" spans="1:39" s="192" customFormat="1" ht="12" customHeight="1">
      <c r="A4" s="309"/>
      <c r="B4" s="310"/>
      <c r="C4" s="310"/>
      <c r="D4" s="310"/>
      <c r="E4" s="302"/>
      <c r="F4" s="310"/>
      <c r="G4" s="310"/>
      <c r="H4" s="302"/>
      <c r="I4" s="302"/>
      <c r="J4" s="302"/>
      <c r="K4" s="302"/>
      <c r="L4" s="317"/>
      <c r="M4" s="321"/>
      <c r="N4" s="321"/>
      <c r="O4" s="321"/>
      <c r="P4" s="322"/>
      <c r="Q4" s="296"/>
      <c r="R4" s="301"/>
      <c r="S4" s="302"/>
      <c r="T4" s="302"/>
      <c r="U4" s="303"/>
      <c r="V4" s="296"/>
      <c r="W4" s="301"/>
      <c r="X4" s="302"/>
      <c r="Y4" s="302"/>
      <c r="Z4" s="303"/>
      <c r="AA4" s="296"/>
      <c r="AB4" s="301"/>
      <c r="AC4" s="302"/>
      <c r="AD4" s="302"/>
      <c r="AE4" s="303"/>
      <c r="AF4" s="296"/>
      <c r="AG4" s="301"/>
      <c r="AH4" s="302"/>
      <c r="AI4" s="302"/>
      <c r="AJ4" s="303"/>
    </row>
    <row r="5" spans="1:39" s="192" customFormat="1" ht="12" customHeight="1">
      <c r="A5" s="311"/>
      <c r="B5" s="312"/>
      <c r="C5" s="312"/>
      <c r="D5" s="312"/>
      <c r="E5" s="305"/>
      <c r="F5" s="312"/>
      <c r="G5" s="312"/>
      <c r="H5" s="305"/>
      <c r="I5" s="305"/>
      <c r="J5" s="305"/>
      <c r="K5" s="305"/>
      <c r="L5" s="318"/>
      <c r="M5" s="323"/>
      <c r="N5" s="323"/>
      <c r="O5" s="323"/>
      <c r="P5" s="324"/>
      <c r="Q5" s="297"/>
      <c r="R5" s="304"/>
      <c r="S5" s="305"/>
      <c r="T5" s="305"/>
      <c r="U5" s="306"/>
      <c r="V5" s="297"/>
      <c r="W5" s="304"/>
      <c r="X5" s="305"/>
      <c r="Y5" s="305"/>
      <c r="Z5" s="306"/>
      <c r="AA5" s="297"/>
      <c r="AB5" s="304"/>
      <c r="AC5" s="305"/>
      <c r="AD5" s="305"/>
      <c r="AE5" s="306"/>
      <c r="AF5" s="297"/>
      <c r="AG5" s="304"/>
      <c r="AH5" s="305"/>
      <c r="AI5" s="305"/>
      <c r="AJ5" s="306"/>
    </row>
    <row r="6" spans="1:39" s="192" customFormat="1" ht="12" customHeight="1">
      <c r="A6" s="193"/>
      <c r="B6" s="194"/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194"/>
      <c r="AB6" s="194"/>
      <c r="AC6" s="194"/>
      <c r="AD6" s="194"/>
      <c r="AE6" s="194"/>
      <c r="AF6" s="194"/>
      <c r="AG6" s="194"/>
      <c r="AH6" s="194"/>
      <c r="AI6" s="194"/>
      <c r="AJ6" s="195"/>
    </row>
    <row r="7" spans="1:39" s="192" customFormat="1" ht="15" customHeight="1">
      <c r="A7" s="196"/>
      <c r="B7" s="314" t="s">
        <v>209</v>
      </c>
      <c r="C7" s="314"/>
      <c r="D7" s="314"/>
      <c r="AJ7" s="197"/>
    </row>
    <row r="8" spans="1:39" s="192" customFormat="1" ht="6.75" customHeight="1">
      <c r="A8" s="196"/>
      <c r="AJ8" s="197"/>
    </row>
    <row r="9" spans="1:39" s="192" customFormat="1" ht="26.25" customHeight="1">
      <c r="A9" s="196"/>
      <c r="D9" s="315" t="str">
        <f>설명서!B4</f>
        <v>2026년 국도59호선 하진부지구 일원 보도 정비공사</v>
      </c>
      <c r="E9" s="315"/>
      <c r="F9" s="315"/>
      <c r="G9" s="315"/>
      <c r="H9" s="315"/>
      <c r="I9" s="315"/>
      <c r="J9" s="315"/>
      <c r="K9" s="315"/>
      <c r="L9" s="315"/>
      <c r="M9" s="315"/>
      <c r="N9" s="315"/>
      <c r="O9" s="315"/>
      <c r="P9" s="315"/>
      <c r="Q9" s="315"/>
      <c r="R9" s="315"/>
      <c r="S9" s="315"/>
      <c r="T9" s="315"/>
      <c r="U9" s="315"/>
      <c r="V9" s="315"/>
      <c r="W9" s="315"/>
      <c r="X9" s="315"/>
      <c r="Y9" s="315"/>
      <c r="Z9" s="315"/>
      <c r="AA9" s="315"/>
      <c r="AB9" s="315"/>
      <c r="AC9" s="315"/>
      <c r="AD9" s="315"/>
      <c r="AE9" s="315"/>
      <c r="AF9" s="315"/>
      <c r="AG9" s="198"/>
      <c r="AH9" s="198"/>
      <c r="AJ9" s="197"/>
    </row>
    <row r="10" spans="1:39" s="192" customFormat="1" ht="20.25" customHeight="1">
      <c r="A10" s="196"/>
      <c r="E10" s="198"/>
      <c r="F10" s="198"/>
      <c r="G10" s="198"/>
      <c r="J10" s="199"/>
      <c r="K10" s="198"/>
      <c r="L10" s="198"/>
      <c r="M10" s="198"/>
      <c r="N10" s="198"/>
      <c r="O10" s="198"/>
      <c r="P10" s="198"/>
      <c r="Q10" s="198"/>
      <c r="R10" s="198"/>
      <c r="S10" s="198"/>
      <c r="T10" s="198"/>
      <c r="U10" s="198"/>
      <c r="V10" s="198"/>
      <c r="W10" s="198"/>
      <c r="X10" s="198"/>
      <c r="Y10" s="198"/>
      <c r="Z10" s="198"/>
      <c r="AA10" s="198"/>
      <c r="AB10" s="198"/>
      <c r="AC10" s="198"/>
      <c r="AD10" s="198"/>
      <c r="AE10" s="198"/>
      <c r="AF10" s="198"/>
      <c r="AG10" s="198"/>
      <c r="AH10" s="198"/>
      <c r="AJ10" s="197"/>
    </row>
    <row r="11" spans="1:39" s="192" customFormat="1" ht="19.5" customHeight="1">
      <c r="A11" s="200"/>
      <c r="B11" s="202"/>
      <c r="C11" s="201"/>
      <c r="D11" s="202" t="s">
        <v>128</v>
      </c>
      <c r="E11" s="201"/>
      <c r="H11" s="222"/>
      <c r="AA11" s="222"/>
      <c r="AJ11" s="197"/>
    </row>
    <row r="12" spans="1:39" ht="6.75" customHeight="1">
      <c r="A12" s="203"/>
      <c r="B12" s="202"/>
      <c r="F12" s="205"/>
      <c r="I12" s="205"/>
      <c r="T12" s="206"/>
      <c r="U12" s="206"/>
      <c r="V12" s="206"/>
      <c r="W12" s="206"/>
      <c r="X12" s="206"/>
      <c r="Y12" s="206"/>
      <c r="AJ12" s="207"/>
    </row>
    <row r="13" spans="1:39" ht="21.95" customHeight="1">
      <c r="A13" s="203"/>
      <c r="D13" s="208" t="str">
        <f>설명서!B13</f>
        <v>보도 정비 : 연장 L=600m, 폭 B=1.5~2.0m</v>
      </c>
      <c r="I13" s="205"/>
      <c r="T13" s="206"/>
      <c r="U13" s="206"/>
      <c r="V13" s="206"/>
      <c r="W13" s="206"/>
      <c r="X13" s="206"/>
      <c r="Y13" s="206"/>
      <c r="AJ13" s="207"/>
    </row>
    <row r="14" spans="1:39" ht="21.95" customHeight="1">
      <c r="A14" s="209"/>
      <c r="C14" s="210"/>
      <c r="D14" s="208" t="str">
        <f>설명서!B14</f>
        <v>1.토    공 : 기존구조물깨기 363㎥, 벌개제근 914㎡, 흙깎기 401㎥, 구조물터파기 779㎥, 비탈면보호 1,514㎡</v>
      </c>
      <c r="H14" s="211"/>
      <c r="AJ14" s="207"/>
    </row>
    <row r="15" spans="1:39" ht="21.95" customHeight="1">
      <c r="A15" s="209"/>
      <c r="C15" s="210"/>
      <c r="D15" s="208" t="str">
        <f>설명서!B15</f>
        <v>2.배 수 공 : L형측구 607m, 우수관 102m, 우수맨홀 8개소, 우수받이 28개소, 집수정 2개소, V형측구 45m</v>
      </c>
      <c r="H15" s="211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2"/>
      <c r="T15" s="212"/>
      <c r="U15" s="212"/>
      <c r="V15" s="212"/>
      <c r="W15" s="212"/>
      <c r="X15" s="212"/>
      <c r="Y15" s="212"/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3"/>
      <c r="AK15" s="212"/>
      <c r="AL15" s="212"/>
      <c r="AM15" s="212"/>
    </row>
    <row r="16" spans="1:39" ht="21.95" customHeight="1">
      <c r="A16" s="209"/>
      <c r="C16" s="210"/>
      <c r="D16" s="208" t="str">
        <f>설명서!B16</f>
        <v>3.포 장 공 : 아스팔트포장 46㎡, 보도포장 1,131㎡, 도로경계블럭 600m</v>
      </c>
      <c r="G16" s="211"/>
      <c r="H16" s="212"/>
      <c r="I16" s="212"/>
      <c r="J16" s="212"/>
      <c r="K16" s="212"/>
      <c r="L16" s="212"/>
      <c r="M16" s="212"/>
      <c r="N16" s="212"/>
      <c r="O16" s="212"/>
      <c r="P16" s="212"/>
      <c r="Q16" s="212"/>
      <c r="R16" s="212"/>
      <c r="S16" s="212"/>
      <c r="T16" s="212"/>
      <c r="U16" s="214"/>
      <c r="V16" s="214"/>
      <c r="W16" s="214"/>
      <c r="X16" s="214"/>
      <c r="Y16" s="214"/>
      <c r="Z16" s="214"/>
      <c r="AA16" s="214"/>
      <c r="AB16" s="214"/>
      <c r="AC16" s="214"/>
      <c r="AD16" s="214"/>
      <c r="AE16" s="214"/>
      <c r="AF16" s="214"/>
      <c r="AG16" s="214"/>
      <c r="AH16" s="214"/>
      <c r="AI16" s="214"/>
      <c r="AJ16" s="215"/>
      <c r="AK16" s="214"/>
      <c r="AL16" s="214"/>
      <c r="AM16" s="214"/>
    </row>
    <row r="17" spans="1:36" ht="21.95" customHeight="1">
      <c r="A17" s="209"/>
      <c r="C17" s="210"/>
      <c r="D17" s="208" t="str">
        <f>설명서!B17</f>
        <v>4.구조물공 : 전석쌓기 26㎡, 돌망태형옹벽 108㎥</v>
      </c>
      <c r="G17" s="211"/>
      <c r="H17" s="212"/>
      <c r="I17" s="212"/>
      <c r="J17" s="212"/>
      <c r="K17" s="212"/>
      <c r="L17" s="212"/>
      <c r="M17" s="212"/>
      <c r="N17" s="212"/>
      <c r="O17" s="212"/>
      <c r="P17" s="212"/>
      <c r="Q17" s="212"/>
      <c r="R17" s="212"/>
      <c r="S17" s="212"/>
      <c r="T17" s="212"/>
      <c r="U17" s="214"/>
      <c r="V17" s="214"/>
      <c r="W17" s="214"/>
      <c r="X17" s="214"/>
      <c r="Y17" s="214"/>
      <c r="Z17" s="214"/>
      <c r="AA17" s="214"/>
      <c r="AB17" s="214"/>
      <c r="AC17" s="214"/>
      <c r="AD17" s="214"/>
      <c r="AE17" s="214"/>
      <c r="AF17" s="214"/>
      <c r="AG17" s="214"/>
      <c r="AH17" s="214"/>
      <c r="AI17" s="214"/>
      <c r="AJ17" s="207"/>
    </row>
    <row r="18" spans="1:36" ht="21.95" customHeight="1">
      <c r="A18" s="209"/>
      <c r="C18" s="210"/>
      <c r="D18" s="208" t="str">
        <f>설명서!B18</f>
        <v>5.부 대 공 : 1식</v>
      </c>
      <c r="AJ18" s="207"/>
    </row>
    <row r="19" spans="1:36" ht="21.95" customHeight="1">
      <c r="A19" s="209"/>
      <c r="C19" s="210"/>
      <c r="D19" s="208"/>
      <c r="AJ19" s="207"/>
    </row>
    <row r="20" spans="1:36" ht="21.95" customHeight="1">
      <c r="A20" s="209"/>
      <c r="C20" s="210"/>
      <c r="D20" s="208"/>
      <c r="AJ20" s="207"/>
    </row>
    <row r="21" spans="1:36" s="192" customFormat="1" ht="16.5" customHeight="1">
      <c r="A21" s="200"/>
      <c r="B21" s="201"/>
      <c r="C21" s="201"/>
      <c r="D21" s="216"/>
      <c r="E21" s="216"/>
      <c r="F21" s="216"/>
      <c r="G21" s="216"/>
      <c r="H21" s="216"/>
      <c r="I21" s="216"/>
      <c r="J21" s="216"/>
      <c r="K21" s="216"/>
      <c r="L21" s="217"/>
      <c r="M21" s="217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7"/>
      <c r="Y21" s="216"/>
      <c r="Z21" s="216"/>
      <c r="AA21" s="216"/>
      <c r="AB21" s="216"/>
      <c r="AC21" s="216"/>
      <c r="AD21" s="216"/>
      <c r="AE21" s="216"/>
      <c r="AF21" s="216"/>
      <c r="AG21" s="201"/>
      <c r="AH21" s="201"/>
      <c r="AI21" s="201"/>
      <c r="AJ21" s="218"/>
    </row>
    <row r="22" spans="1:36" s="192" customFormat="1" ht="21.75" customHeight="1">
      <c r="A22" s="196"/>
      <c r="E22" s="325" t="s">
        <v>129</v>
      </c>
      <c r="F22" s="325"/>
      <c r="G22" s="325"/>
      <c r="H22" s="325"/>
      <c r="I22" s="325"/>
      <c r="J22" s="325"/>
      <c r="K22" s="325"/>
      <c r="L22" s="219"/>
      <c r="M22" s="326">
        <f>원가!F39</f>
        <v>470334000</v>
      </c>
      <c r="N22" s="326"/>
      <c r="O22" s="326"/>
      <c r="P22" s="326"/>
      <c r="Q22" s="326"/>
      <c r="R22" s="326"/>
      <c r="S22" s="326"/>
      <c r="T22" s="326"/>
      <c r="U22" s="326"/>
      <c r="V22" s="326"/>
      <c r="W22" s="329" t="str">
        <f>"(금"&amp;NUMBERSTRING(M22,1)&amp;"원)"</f>
        <v>(금사억칠천삼십삼만사천원)</v>
      </c>
      <c r="X22" s="329"/>
      <c r="Y22" s="329"/>
      <c r="Z22" s="329"/>
      <c r="AA22" s="329"/>
      <c r="AB22" s="329"/>
      <c r="AC22" s="329"/>
      <c r="AD22" s="329"/>
      <c r="AE22" s="329"/>
      <c r="AF22" s="329"/>
      <c r="AG22" s="329"/>
      <c r="AH22" s="329"/>
      <c r="AJ22" s="197"/>
    </row>
    <row r="23" spans="1:36" s="192" customFormat="1" ht="9.9499999999999993" customHeight="1">
      <c r="A23" s="196"/>
      <c r="N23" s="220"/>
      <c r="O23" s="220"/>
      <c r="P23" s="220"/>
      <c r="Q23" s="220"/>
      <c r="R23" s="220"/>
      <c r="S23" s="220"/>
      <c r="T23" s="220"/>
      <c r="U23" s="220"/>
      <c r="V23" s="220"/>
      <c r="AJ23" s="197"/>
    </row>
    <row r="24" spans="1:36" s="222" customFormat="1" ht="18" customHeight="1">
      <c r="A24" s="221"/>
      <c r="E24" s="327" t="s">
        <v>130</v>
      </c>
      <c r="F24" s="328"/>
      <c r="G24" s="328"/>
      <c r="H24" s="328"/>
      <c r="I24" s="328"/>
      <c r="J24" s="328"/>
      <c r="K24" s="328"/>
      <c r="L24" s="219"/>
      <c r="M24" s="326">
        <f>원가!F37</f>
        <v>352962000</v>
      </c>
      <c r="N24" s="326"/>
      <c r="O24" s="326"/>
      <c r="P24" s="326"/>
      <c r="Q24" s="326"/>
      <c r="R24" s="326"/>
      <c r="S24" s="326"/>
      <c r="T24" s="326"/>
      <c r="U24" s="326"/>
      <c r="V24" s="326"/>
      <c r="W24" s="329" t="str">
        <f>"(금"&amp;NUMBERSTRING(M24,1)&amp;"원)"</f>
        <v>(금삼억오천이백구십육만이천원)</v>
      </c>
      <c r="X24" s="329"/>
      <c r="Y24" s="329"/>
      <c r="Z24" s="329"/>
      <c r="AA24" s="329"/>
      <c r="AB24" s="329"/>
      <c r="AC24" s="329"/>
      <c r="AD24" s="329"/>
      <c r="AE24" s="329"/>
      <c r="AF24" s="329"/>
      <c r="AG24" s="329"/>
      <c r="AH24" s="329"/>
      <c r="AJ24" s="226"/>
    </row>
    <row r="25" spans="1:36" s="192" customFormat="1" ht="9.9499999999999993" customHeight="1">
      <c r="A25" s="196"/>
      <c r="E25" s="227"/>
      <c r="F25" s="227"/>
      <c r="G25" s="227"/>
      <c r="H25" s="227"/>
      <c r="I25" s="227"/>
      <c r="J25" s="227"/>
      <c r="K25" s="227"/>
      <c r="N25" s="220"/>
      <c r="O25" s="220"/>
      <c r="P25" s="220"/>
      <c r="Q25" s="220"/>
      <c r="R25" s="220"/>
      <c r="S25" s="220"/>
      <c r="T25" s="220"/>
      <c r="U25" s="220"/>
      <c r="V25" s="220"/>
      <c r="AJ25" s="197"/>
    </row>
    <row r="26" spans="1:36" s="222" customFormat="1" ht="18" customHeight="1">
      <c r="A26" s="221"/>
      <c r="E26" s="327" t="s">
        <v>131</v>
      </c>
      <c r="F26" s="328"/>
      <c r="G26" s="328"/>
      <c r="H26" s="328"/>
      <c r="I26" s="328"/>
      <c r="J26" s="328"/>
      <c r="K26" s="328"/>
      <c r="L26" s="219"/>
      <c r="M26" s="326">
        <f>원가!F38</f>
        <v>117372000</v>
      </c>
      <c r="N26" s="326"/>
      <c r="O26" s="326"/>
      <c r="P26" s="326"/>
      <c r="Q26" s="326"/>
      <c r="R26" s="326"/>
      <c r="S26" s="326"/>
      <c r="T26" s="326"/>
      <c r="U26" s="326"/>
      <c r="V26" s="326"/>
      <c r="W26" s="329" t="str">
        <f>"(금"&amp;NUMBERSTRING(M26,1)&amp;"원)"</f>
        <v>(금일억일천칠백삼십칠만이천원)</v>
      </c>
      <c r="X26" s="329"/>
      <c r="Y26" s="329"/>
      <c r="Z26" s="329"/>
      <c r="AA26" s="329"/>
      <c r="AB26" s="329"/>
      <c r="AC26" s="329"/>
      <c r="AD26" s="329"/>
      <c r="AE26" s="329"/>
      <c r="AF26" s="329"/>
      <c r="AG26" s="329"/>
      <c r="AH26" s="329"/>
      <c r="AJ26" s="226"/>
    </row>
    <row r="27" spans="1:36" s="222" customFormat="1" ht="18" customHeight="1">
      <c r="A27" s="221"/>
      <c r="E27" s="223"/>
      <c r="F27" s="224"/>
      <c r="G27" s="224"/>
      <c r="H27" s="224"/>
      <c r="I27" s="224"/>
      <c r="J27" s="224"/>
      <c r="K27" s="224"/>
      <c r="L27" s="228"/>
      <c r="M27" s="229"/>
      <c r="N27" s="229"/>
      <c r="O27" s="229"/>
      <c r="P27" s="229"/>
      <c r="Q27" s="229"/>
      <c r="R27" s="229"/>
      <c r="S27" s="229"/>
      <c r="T27" s="229"/>
      <c r="U27" s="229"/>
      <c r="V27" s="230"/>
      <c r="W27" s="225"/>
      <c r="X27" s="231"/>
      <c r="Y27" s="231"/>
      <c r="Z27" s="231"/>
      <c r="AA27" s="231"/>
      <c r="AB27" s="231"/>
      <c r="AC27" s="231"/>
      <c r="AD27" s="231"/>
      <c r="AE27" s="231"/>
      <c r="AJ27" s="226"/>
    </row>
    <row r="28" spans="1:36" s="192" customFormat="1" ht="12.75" customHeight="1">
      <c r="A28" s="196"/>
      <c r="E28" s="330"/>
      <c r="F28" s="331"/>
      <c r="G28" s="331"/>
      <c r="H28" s="331"/>
      <c r="I28" s="331"/>
      <c r="J28" s="331"/>
      <c r="K28" s="331"/>
      <c r="L28" s="332"/>
      <c r="M28" s="332"/>
      <c r="N28" s="332"/>
      <c r="O28" s="332"/>
      <c r="P28" s="332"/>
      <c r="Q28" s="332"/>
      <c r="R28" s="332"/>
      <c r="S28" s="332"/>
      <c r="T28" s="332"/>
      <c r="U28" s="332"/>
      <c r="V28" s="232"/>
      <c r="X28" s="333"/>
      <c r="Y28" s="333"/>
      <c r="Z28" s="333"/>
      <c r="AA28" s="333"/>
      <c r="AB28" s="333"/>
      <c r="AC28" s="333"/>
      <c r="AD28" s="333"/>
      <c r="AE28" s="333"/>
      <c r="AJ28" s="197"/>
    </row>
    <row r="29" spans="1:36" s="192" customFormat="1" ht="10.5" customHeight="1">
      <c r="A29" s="233"/>
      <c r="B29" s="234"/>
      <c r="C29" s="234"/>
      <c r="D29" s="234"/>
      <c r="E29" s="234"/>
      <c r="F29" s="234"/>
      <c r="G29" s="234"/>
      <c r="H29" s="234"/>
      <c r="I29" s="234"/>
      <c r="J29" s="234"/>
      <c r="K29" s="234"/>
      <c r="L29" s="234"/>
      <c r="M29" s="234"/>
      <c r="N29" s="234"/>
      <c r="O29" s="234"/>
      <c r="P29" s="234"/>
      <c r="Q29" s="234"/>
      <c r="R29" s="234"/>
      <c r="S29" s="234"/>
      <c r="T29" s="234"/>
      <c r="U29" s="234"/>
      <c r="V29" s="234"/>
      <c r="W29" s="234"/>
      <c r="X29" s="234"/>
      <c r="Y29" s="234"/>
      <c r="Z29" s="234"/>
      <c r="AA29" s="234"/>
      <c r="AB29" s="234"/>
      <c r="AC29" s="234"/>
      <c r="AD29" s="234"/>
      <c r="AE29" s="234"/>
      <c r="AF29" s="234"/>
      <c r="AG29" s="234"/>
      <c r="AH29" s="234"/>
      <c r="AI29" s="234"/>
      <c r="AJ29" s="235"/>
    </row>
    <row r="33" s="236" customFormat="1" ht="18.75"/>
    <row r="34" s="236" customFormat="1" ht="18.75"/>
    <row r="35" s="236" customFormat="1" ht="18.75"/>
    <row r="37" s="236" customFormat="1" ht="18.75"/>
    <row r="39" s="236" customFormat="1" ht="18.75"/>
  </sheetData>
  <mergeCells count="30">
    <mergeCell ref="E26:K26"/>
    <mergeCell ref="M26:V26"/>
    <mergeCell ref="E28:K28"/>
    <mergeCell ref="L28:U28"/>
    <mergeCell ref="X28:AE28"/>
    <mergeCell ref="W26:AH26"/>
    <mergeCell ref="E22:K22"/>
    <mergeCell ref="M22:V22"/>
    <mergeCell ref="E24:K24"/>
    <mergeCell ref="M24:V24"/>
    <mergeCell ref="W22:AH22"/>
    <mergeCell ref="W24:AH24"/>
    <mergeCell ref="AA1:AA5"/>
    <mergeCell ref="AB1:AE5"/>
    <mergeCell ref="AF1:AF5"/>
    <mergeCell ref="AG1:AJ5"/>
    <mergeCell ref="B7:D7"/>
    <mergeCell ref="D9:AF9"/>
    <mergeCell ref="L1:L5"/>
    <mergeCell ref="M1:P5"/>
    <mergeCell ref="Q1:Q5"/>
    <mergeCell ref="R1:U5"/>
    <mergeCell ref="V1:V5"/>
    <mergeCell ref="W1:Z5"/>
    <mergeCell ref="A1:D5"/>
    <mergeCell ref="E1:E5"/>
    <mergeCell ref="F1:G5"/>
    <mergeCell ref="H1:H5"/>
    <mergeCell ref="I1:J5"/>
    <mergeCell ref="K1:K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4" orientation="landscape" blackAndWhite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1:O39"/>
  <sheetViews>
    <sheetView showZeros="0" view="pageBreakPreview" zoomScaleNormal="100" workbookViewId="0">
      <selection activeCell="D27" sqref="D27"/>
    </sheetView>
  </sheetViews>
  <sheetFormatPr defaultRowHeight="13.5"/>
  <cols>
    <col min="1" max="1" width="11.21875" style="6" customWidth="1"/>
    <col min="2" max="2" width="9.5546875" style="6" customWidth="1"/>
    <col min="3" max="3" width="2.77734375" style="6" customWidth="1"/>
    <col min="4" max="4" width="30.77734375" style="6" customWidth="1"/>
    <col min="5" max="5" width="2.77734375" style="6" customWidth="1"/>
    <col min="6" max="6" width="22.77734375" style="6" customWidth="1"/>
    <col min="7" max="7" width="2" style="6" customWidth="1"/>
    <col min="8" max="8" width="12.77734375" style="37" customWidth="1"/>
    <col min="9" max="9" width="2.44140625" style="37" customWidth="1"/>
    <col min="10" max="10" width="10.88671875" style="6" customWidth="1"/>
    <col min="11" max="11" width="8.88671875" style="6"/>
    <col min="12" max="12" width="11.6640625" style="6" customWidth="1"/>
    <col min="13" max="16384" width="8.88671875" style="6"/>
  </cols>
  <sheetData>
    <row r="1" spans="1:15" ht="24" customHeight="1">
      <c r="A1" s="335" t="s">
        <v>64</v>
      </c>
      <c r="B1" s="335"/>
      <c r="C1" s="335"/>
      <c r="D1" s="335"/>
      <c r="E1" s="335"/>
      <c r="F1" s="335"/>
      <c r="G1" s="335"/>
      <c r="H1" s="335"/>
      <c r="I1" s="335"/>
      <c r="J1" s="335"/>
      <c r="K1" s="5"/>
      <c r="L1" s="5"/>
      <c r="M1" s="5"/>
      <c r="N1" s="5"/>
      <c r="O1" s="5"/>
    </row>
    <row r="2" spans="1:15" s="5" customFormat="1" ht="18" customHeight="1">
      <c r="A2" s="7" t="s">
        <v>65</v>
      </c>
      <c r="B2" s="8" t="str">
        <f>설명서!B4</f>
        <v>2026년 국도59호선 하진부지구 일원 보도 정비공사</v>
      </c>
      <c r="C2" s="8"/>
      <c r="D2" s="9"/>
      <c r="E2" s="9"/>
      <c r="F2" s="9"/>
      <c r="G2" s="10"/>
      <c r="H2" s="338"/>
      <c r="I2" s="338"/>
      <c r="J2" s="338"/>
    </row>
    <row r="3" spans="1:15" s="91" customFormat="1" ht="14.1" customHeight="1">
      <c r="A3" s="348" t="s">
        <v>66</v>
      </c>
      <c r="B3" s="349"/>
      <c r="C3" s="349"/>
      <c r="D3" s="349"/>
      <c r="E3" s="350"/>
      <c r="F3" s="339" t="s">
        <v>67</v>
      </c>
      <c r="G3" s="340"/>
      <c r="H3" s="339" t="s">
        <v>68</v>
      </c>
      <c r="I3" s="340"/>
      <c r="J3" s="336" t="s">
        <v>69</v>
      </c>
      <c r="K3" s="10"/>
      <c r="L3" s="10"/>
      <c r="M3" s="10"/>
      <c r="N3" s="10"/>
      <c r="O3" s="10"/>
    </row>
    <row r="4" spans="1:15" s="91" customFormat="1" ht="14.1" customHeight="1">
      <c r="A4" s="351"/>
      <c r="B4" s="352"/>
      <c r="C4" s="352"/>
      <c r="D4" s="352"/>
      <c r="E4" s="353"/>
      <c r="F4" s="341"/>
      <c r="G4" s="342"/>
      <c r="H4" s="341"/>
      <c r="I4" s="342"/>
      <c r="J4" s="337"/>
      <c r="K4" s="10"/>
      <c r="L4" s="10"/>
      <c r="M4" s="10"/>
      <c r="N4" s="10"/>
      <c r="O4" s="10"/>
    </row>
    <row r="5" spans="1:15" ht="12" customHeight="1">
      <c r="A5" s="354" t="s">
        <v>70</v>
      </c>
      <c r="B5" s="344" t="s">
        <v>156</v>
      </c>
      <c r="C5" s="13"/>
      <c r="D5" s="14" t="s">
        <v>71</v>
      </c>
      <c r="E5" s="15"/>
      <c r="F5" s="16">
        <f>제경비!E55</f>
        <v>45084887</v>
      </c>
      <c r="G5" s="17"/>
      <c r="H5" s="258">
        <f>(F5/$F$37)</f>
        <v>0.12773297692102834</v>
      </c>
      <c r="I5" s="259"/>
      <c r="J5" s="18"/>
      <c r="K5" s="5"/>
      <c r="L5" s="5"/>
      <c r="M5" s="5"/>
      <c r="N5" s="5"/>
      <c r="O5" s="5"/>
    </row>
    <row r="6" spans="1:15" ht="12" customHeight="1">
      <c r="A6" s="355"/>
      <c r="B6" s="345"/>
      <c r="C6" s="19"/>
      <c r="D6" s="20" t="s">
        <v>72</v>
      </c>
      <c r="E6" s="21"/>
      <c r="F6" s="22"/>
      <c r="G6" s="23"/>
      <c r="H6" s="260"/>
      <c r="I6" s="261"/>
      <c r="J6" s="24"/>
      <c r="K6" s="5"/>
      <c r="L6" s="5"/>
      <c r="M6" s="5"/>
      <c r="N6" s="5"/>
      <c r="O6" s="5"/>
    </row>
    <row r="7" spans="1:15" ht="12" customHeight="1">
      <c r="A7" s="355"/>
      <c r="B7" s="345"/>
      <c r="C7" s="19"/>
      <c r="D7" s="20" t="s">
        <v>73</v>
      </c>
      <c r="E7" s="21"/>
      <c r="F7" s="22"/>
      <c r="G7" s="23"/>
      <c r="H7" s="260"/>
      <c r="I7" s="261"/>
      <c r="J7" s="24"/>
      <c r="K7" s="5"/>
      <c r="L7" s="5"/>
      <c r="M7" s="5"/>
      <c r="N7" s="5"/>
      <c r="O7" s="5"/>
    </row>
    <row r="8" spans="1:15" s="26" customFormat="1" ht="12" customHeight="1">
      <c r="A8" s="355"/>
      <c r="B8" s="345"/>
      <c r="C8" s="70"/>
      <c r="D8" s="71" t="s">
        <v>74</v>
      </c>
      <c r="E8" s="72"/>
      <c r="F8" s="73">
        <f>SUM(F5:F7)</f>
        <v>45084887</v>
      </c>
      <c r="G8" s="74"/>
      <c r="H8" s="262">
        <f>SUM(H5:H7)</f>
        <v>0.12773297692102834</v>
      </c>
      <c r="I8" s="263"/>
      <c r="J8" s="75"/>
      <c r="K8" s="25"/>
      <c r="L8" s="25"/>
      <c r="M8" s="25"/>
      <c r="N8" s="25"/>
      <c r="O8" s="25"/>
    </row>
    <row r="9" spans="1:15" ht="12" customHeight="1">
      <c r="A9" s="355"/>
      <c r="B9" s="345" t="s">
        <v>75</v>
      </c>
      <c r="C9" s="19"/>
      <c r="D9" s="20" t="s">
        <v>76</v>
      </c>
      <c r="E9" s="21"/>
      <c r="F9" s="22">
        <f>제경비!E54</f>
        <v>112319261</v>
      </c>
      <c r="G9" s="23"/>
      <c r="H9" s="260">
        <f>(F9/$F$37)</f>
        <v>0.31821913123792361</v>
      </c>
      <c r="I9" s="261"/>
      <c r="J9" s="24"/>
      <c r="K9" s="5"/>
      <c r="L9" s="5"/>
      <c r="M9" s="5"/>
      <c r="N9" s="5"/>
      <c r="O9" s="5"/>
    </row>
    <row r="10" spans="1:15" ht="12" customHeight="1">
      <c r="A10" s="355"/>
      <c r="B10" s="345"/>
      <c r="C10" s="19"/>
      <c r="D10" s="20" t="s">
        <v>3</v>
      </c>
      <c r="E10" s="21"/>
      <c r="F10" s="22">
        <f>제경비!E57</f>
        <v>21452978</v>
      </c>
      <c r="G10" s="23"/>
      <c r="H10" s="264">
        <f>(F10/$F$37)</f>
        <v>6.0779851655419E-2</v>
      </c>
      <c r="I10" s="261"/>
      <c r="J10" s="24"/>
      <c r="K10" s="5"/>
      <c r="L10" s="5"/>
      <c r="M10" s="5"/>
      <c r="N10" s="5"/>
      <c r="O10" s="5"/>
    </row>
    <row r="11" spans="1:15" s="26" customFormat="1" ht="12" customHeight="1">
      <c r="A11" s="355"/>
      <c r="B11" s="345"/>
      <c r="C11" s="70"/>
      <c r="D11" s="71" t="s">
        <v>74</v>
      </c>
      <c r="E11" s="72"/>
      <c r="F11" s="73">
        <f>SUM(F9:F10)</f>
        <v>133772239</v>
      </c>
      <c r="G11" s="74"/>
      <c r="H11" s="262">
        <f>SUM(H9:H10)</f>
        <v>0.37899898289334261</v>
      </c>
      <c r="I11" s="263"/>
      <c r="J11" s="75"/>
      <c r="K11" s="25"/>
      <c r="L11" s="25"/>
      <c r="M11" s="25"/>
      <c r="N11" s="25"/>
      <c r="O11" s="25"/>
    </row>
    <row r="12" spans="1:15" ht="12" customHeight="1">
      <c r="A12" s="355"/>
      <c r="B12" s="345" t="s">
        <v>4</v>
      </c>
      <c r="C12" s="19"/>
      <c r="D12" s="20" t="s">
        <v>85</v>
      </c>
      <c r="E12" s="21"/>
      <c r="F12" s="22">
        <f>제경비!E56</f>
        <v>20900755</v>
      </c>
      <c r="G12" s="23"/>
      <c r="H12" s="260">
        <f t="shared" ref="H12:H21" si="0">(F12/$F$37)</f>
        <v>5.9215312129917666E-2</v>
      </c>
      <c r="I12" s="261"/>
      <c r="J12" s="24"/>
      <c r="K12" s="5"/>
      <c r="L12" s="5"/>
      <c r="M12" s="5"/>
      <c r="N12" s="5"/>
      <c r="O12" s="5"/>
    </row>
    <row r="13" spans="1:15" ht="12" customHeight="1">
      <c r="A13" s="355"/>
      <c r="B13" s="345"/>
      <c r="C13" s="19"/>
      <c r="D13" s="20" t="s">
        <v>86</v>
      </c>
      <c r="E13" s="21"/>
      <c r="F13" s="22">
        <f>제경비!E58</f>
        <v>4762291</v>
      </c>
      <c r="G13" s="23"/>
      <c r="H13" s="260">
        <f t="shared" si="0"/>
        <v>1.3492361783988077E-2</v>
      </c>
      <c r="I13" s="261"/>
      <c r="J13" s="24"/>
      <c r="K13" s="5"/>
      <c r="L13" s="5"/>
      <c r="M13" s="5"/>
      <c r="N13" s="5"/>
      <c r="O13" s="5"/>
    </row>
    <row r="14" spans="1:15" ht="12" customHeight="1">
      <c r="A14" s="355"/>
      <c r="B14" s="345"/>
      <c r="C14" s="19"/>
      <c r="D14" s="20" t="s">
        <v>87</v>
      </c>
      <c r="E14" s="21"/>
      <c r="F14" s="22">
        <f>제경비!E59</f>
        <v>1351099</v>
      </c>
      <c r="G14" s="23"/>
      <c r="H14" s="260">
        <f t="shared" si="0"/>
        <v>3.8278879879420449E-3</v>
      </c>
      <c r="I14" s="261"/>
      <c r="J14" s="24"/>
      <c r="K14" s="5"/>
      <c r="L14" s="5"/>
      <c r="M14" s="5"/>
      <c r="N14" s="5"/>
      <c r="O14" s="5"/>
    </row>
    <row r="15" spans="1:15" ht="12" customHeight="1">
      <c r="A15" s="355"/>
      <c r="B15" s="345"/>
      <c r="C15" s="19"/>
      <c r="D15" s="20" t="s">
        <v>88</v>
      </c>
      <c r="E15" s="21"/>
      <c r="F15" s="22">
        <f>제경비!E60</f>
        <v>4037877</v>
      </c>
      <c r="G15" s="23"/>
      <c r="H15" s="260">
        <f t="shared" si="0"/>
        <v>1.1439976541384058E-2</v>
      </c>
      <c r="I15" s="261"/>
      <c r="J15" s="24"/>
      <c r="K15" s="5"/>
      <c r="L15" s="5"/>
      <c r="M15" s="5"/>
      <c r="N15" s="5"/>
      <c r="O15" s="5"/>
    </row>
    <row r="16" spans="1:15" ht="12" customHeight="1">
      <c r="A16" s="355"/>
      <c r="B16" s="345"/>
      <c r="C16" s="19"/>
      <c r="D16" s="20" t="s">
        <v>89</v>
      </c>
      <c r="E16" s="21"/>
      <c r="F16" s="22">
        <f>제경비!E61</f>
        <v>5335164</v>
      </c>
      <c r="G16" s="23"/>
      <c r="H16" s="260">
        <f t="shared" si="0"/>
        <v>1.5115406191034729E-2</v>
      </c>
      <c r="I16" s="261"/>
      <c r="J16" s="24"/>
      <c r="K16" s="5"/>
      <c r="L16" s="5"/>
      <c r="M16" s="5"/>
      <c r="N16" s="5"/>
      <c r="O16" s="5"/>
    </row>
    <row r="17" spans="1:15" ht="12" customHeight="1">
      <c r="A17" s="355"/>
      <c r="B17" s="345"/>
      <c r="C17" s="19"/>
      <c r="D17" s="20" t="s">
        <v>90</v>
      </c>
      <c r="E17" s="21"/>
      <c r="F17" s="22">
        <f>제경비!E62</f>
        <v>530577</v>
      </c>
      <c r="G17" s="23"/>
      <c r="H17" s="260">
        <f t="shared" si="0"/>
        <v>1.5032128104441838E-3</v>
      </c>
      <c r="I17" s="261"/>
      <c r="J17" s="24"/>
      <c r="K17" s="5"/>
      <c r="L17" s="5"/>
      <c r="M17" s="5"/>
      <c r="N17" s="5"/>
      <c r="O17" s="5"/>
    </row>
    <row r="18" spans="1:15" ht="12" customHeight="1">
      <c r="A18" s="355"/>
      <c r="B18" s="345"/>
      <c r="C18" s="19"/>
      <c r="D18" s="20" t="s">
        <v>77</v>
      </c>
      <c r="E18" s="21"/>
      <c r="F18" s="22">
        <f>제경비!E66</f>
        <v>713219</v>
      </c>
      <c r="G18" s="23"/>
      <c r="H18" s="260">
        <f t="shared" si="0"/>
        <v>2.0206679472577786E-3</v>
      </c>
      <c r="I18" s="261"/>
      <c r="J18" s="24"/>
      <c r="K18" s="5"/>
      <c r="L18" s="5"/>
      <c r="M18" s="5"/>
      <c r="N18" s="5"/>
      <c r="O18" s="5"/>
    </row>
    <row r="19" spans="1:15" ht="12" customHeight="1">
      <c r="A19" s="355"/>
      <c r="B19" s="345"/>
      <c r="C19" s="19"/>
      <c r="D19" s="20" t="s">
        <v>78</v>
      </c>
      <c r="E19" s="21"/>
      <c r="F19" s="22">
        <f>제경비!E64</f>
        <v>5949876</v>
      </c>
      <c r="G19" s="23"/>
      <c r="H19" s="260">
        <f t="shared" si="0"/>
        <v>1.6856987437741174E-2</v>
      </c>
      <c r="I19" s="261"/>
      <c r="J19" s="24"/>
      <c r="K19" s="5"/>
      <c r="L19" s="5"/>
      <c r="M19" s="5"/>
      <c r="N19" s="5"/>
      <c r="O19" s="5"/>
    </row>
    <row r="20" spans="1:15" ht="12" customHeight="1">
      <c r="A20" s="355"/>
      <c r="B20" s="345"/>
      <c r="C20" s="19"/>
      <c r="D20" s="20" t="s">
        <v>79</v>
      </c>
      <c r="E20" s="21"/>
      <c r="F20" s="22">
        <f>제경비!E65</f>
        <v>144426</v>
      </c>
      <c r="G20" s="23"/>
      <c r="H20" s="260">
        <f t="shared" si="0"/>
        <v>4.0918285821136554E-4</v>
      </c>
      <c r="I20" s="261"/>
      <c r="J20" s="24"/>
      <c r="K20" s="5"/>
      <c r="L20" s="5"/>
      <c r="M20" s="5"/>
      <c r="N20" s="5"/>
      <c r="O20" s="5"/>
    </row>
    <row r="21" spans="1:15" ht="12" customHeight="1">
      <c r="A21" s="355"/>
      <c r="B21" s="345"/>
      <c r="C21" s="19"/>
      <c r="D21" s="20" t="s">
        <v>1</v>
      </c>
      <c r="E21" s="21"/>
      <c r="F21" s="22">
        <f>제경비!E68</f>
        <v>1604744</v>
      </c>
      <c r="G21" s="23"/>
      <c r="H21" s="260">
        <f t="shared" si="0"/>
        <v>4.546506422787722E-3</v>
      </c>
      <c r="I21" s="261"/>
      <c r="J21" s="24"/>
      <c r="K21" s="5"/>
      <c r="L21" s="5"/>
      <c r="M21" s="5"/>
      <c r="N21" s="5"/>
      <c r="O21" s="5"/>
    </row>
    <row r="22" spans="1:15" ht="12" customHeight="1">
      <c r="A22" s="355"/>
      <c r="B22" s="345"/>
      <c r="C22" s="19"/>
      <c r="D22" s="20" t="s">
        <v>80</v>
      </c>
      <c r="E22" s="21"/>
      <c r="F22" s="22">
        <f>제경비!E63</f>
        <v>2583343</v>
      </c>
      <c r="G22" s="23"/>
      <c r="H22" s="260">
        <f t="shared" ref="H22:H28" si="1">(F22/$F$37)</f>
        <v>7.3190400099727446E-3</v>
      </c>
      <c r="I22" s="261"/>
      <c r="J22" s="24"/>
      <c r="K22" s="5"/>
      <c r="L22" s="5"/>
      <c r="M22" s="5"/>
      <c r="N22" s="5"/>
      <c r="O22" s="5"/>
    </row>
    <row r="23" spans="1:15" ht="12" customHeight="1">
      <c r="A23" s="355"/>
      <c r="B23" s="345"/>
      <c r="C23" s="19"/>
      <c r="D23" s="20" t="s">
        <v>0</v>
      </c>
      <c r="E23" s="21"/>
      <c r="F23" s="22">
        <f>제경비!E67</f>
        <v>9837141</v>
      </c>
      <c r="G23" s="23"/>
      <c r="H23" s="264">
        <f t="shared" si="1"/>
        <v>2.7870255154945858E-2</v>
      </c>
      <c r="I23" s="261"/>
      <c r="J23" s="24"/>
      <c r="K23" s="5"/>
      <c r="L23" s="5"/>
      <c r="M23" s="5"/>
      <c r="N23" s="5"/>
      <c r="O23" s="5"/>
    </row>
    <row r="24" spans="1:15" ht="12" customHeight="1">
      <c r="A24" s="355"/>
      <c r="B24" s="345"/>
      <c r="C24" s="19"/>
      <c r="D24" s="20" t="s">
        <v>220</v>
      </c>
      <c r="E24" s="21"/>
      <c r="F24" s="22">
        <f>제경비!E69</f>
        <v>8026</v>
      </c>
      <c r="G24" s="23"/>
      <c r="H24" s="264">
        <f t="shared" si="1"/>
        <v>2.2738991732821097E-5</v>
      </c>
      <c r="I24" s="261"/>
      <c r="J24" s="24"/>
      <c r="K24" s="5"/>
      <c r="L24" s="5"/>
      <c r="M24" s="5"/>
      <c r="N24" s="5"/>
      <c r="O24" s="5"/>
    </row>
    <row r="25" spans="1:15" ht="12" customHeight="1">
      <c r="A25" s="355"/>
      <c r="B25" s="345"/>
      <c r="C25" s="19"/>
      <c r="D25" s="20" t="s">
        <v>219</v>
      </c>
      <c r="E25" s="21"/>
      <c r="F25" s="22">
        <f>제경비!E70</f>
        <v>120395</v>
      </c>
      <c r="G25" s="23"/>
      <c r="H25" s="264">
        <f t="shared" si="1"/>
        <v>3.4109904182319907E-4</v>
      </c>
      <c r="I25" s="261"/>
      <c r="J25" s="24"/>
      <c r="K25" s="5"/>
      <c r="L25" s="5"/>
      <c r="M25" s="5"/>
      <c r="N25" s="5"/>
      <c r="O25" s="5"/>
    </row>
    <row r="26" spans="1:15" ht="12" customHeight="1">
      <c r="A26" s="355"/>
      <c r="B26" s="345"/>
      <c r="C26" s="19"/>
      <c r="D26" s="20" t="s">
        <v>2</v>
      </c>
      <c r="E26" s="21"/>
      <c r="F26" s="22">
        <f>제경비!E71</f>
        <v>27091244</v>
      </c>
      <c r="G26" s="23"/>
      <c r="H26" s="264">
        <f t="shared" si="1"/>
        <v>7.6753996180892001E-2</v>
      </c>
      <c r="I26" s="261"/>
      <c r="J26" s="24"/>
      <c r="K26" s="5"/>
      <c r="L26" s="5"/>
      <c r="M26" s="5"/>
      <c r="N26" s="5"/>
      <c r="O26" s="5"/>
    </row>
    <row r="27" spans="1:15" ht="12" customHeight="1">
      <c r="A27" s="355"/>
      <c r="B27" s="346"/>
      <c r="C27" s="19"/>
      <c r="D27" s="20" t="s">
        <v>180</v>
      </c>
      <c r="E27" s="21"/>
      <c r="F27" s="22">
        <f>제경비!E72</f>
        <v>0</v>
      </c>
      <c r="G27" s="23"/>
      <c r="H27" s="264">
        <f t="shared" si="1"/>
        <v>0</v>
      </c>
      <c r="I27" s="261"/>
      <c r="J27" s="24"/>
      <c r="K27" s="5"/>
      <c r="L27" s="5"/>
      <c r="M27" s="5"/>
      <c r="N27" s="5"/>
      <c r="O27" s="5"/>
    </row>
    <row r="28" spans="1:15" ht="12" customHeight="1">
      <c r="A28" s="355"/>
      <c r="B28" s="346"/>
      <c r="C28" s="19"/>
      <c r="D28" s="20" t="s">
        <v>183</v>
      </c>
      <c r="E28" s="21"/>
      <c r="F28" s="22"/>
      <c r="G28" s="23"/>
      <c r="H28" s="264">
        <f t="shared" si="1"/>
        <v>0</v>
      </c>
      <c r="I28" s="261"/>
      <c r="J28" s="24"/>
      <c r="K28" s="5"/>
      <c r="L28" s="5"/>
      <c r="M28" s="5"/>
      <c r="N28" s="5"/>
      <c r="O28" s="5"/>
    </row>
    <row r="29" spans="1:15" s="26" customFormat="1" ht="12" customHeight="1">
      <c r="A29" s="356"/>
      <c r="B29" s="347"/>
      <c r="C29" s="76"/>
      <c r="D29" s="77" t="s">
        <v>74</v>
      </c>
      <c r="E29" s="78"/>
      <c r="F29" s="79">
        <f>SUM(F12:F28)</f>
        <v>84970177</v>
      </c>
      <c r="G29" s="80"/>
      <c r="H29" s="265">
        <f>SUM(H12:H28)</f>
        <v>0.2407346314900754</v>
      </c>
      <c r="I29" s="266"/>
      <c r="J29" s="81"/>
      <c r="K29" s="27" t="s">
        <v>81</v>
      </c>
      <c r="L29" s="28">
        <f>SUM(F8,F11,F29)</f>
        <v>263827303</v>
      </c>
      <c r="M29" s="29" t="str">
        <f>IF(L29=제경비!E73,"OK","ERROR")</f>
        <v>OK</v>
      </c>
      <c r="N29" s="25"/>
      <c r="O29" s="25"/>
    </row>
    <row r="30" spans="1:15" ht="12" customHeight="1">
      <c r="A30" s="244" t="s">
        <v>82</v>
      </c>
      <c r="B30" s="343" t="str">
        <f>"일반관리비[(재료비+노무비+경비)×"&amp; TEXT(제경비!G43*100,"#,##0") &amp;"%]"</f>
        <v>일반관리비[(재료비+노무비+경비)×8%]</v>
      </c>
      <c r="C30" s="343"/>
      <c r="D30" s="343"/>
      <c r="E30" s="31"/>
      <c r="F30" s="32">
        <f>제경비!E74</f>
        <v>21106184</v>
      </c>
      <c r="G30" s="33"/>
      <c r="H30" s="267">
        <f>(F30/$F$37)</f>
        <v>5.9797326624395825E-2</v>
      </c>
      <c r="I30" s="268"/>
      <c r="J30" s="34"/>
      <c r="K30" s="5"/>
      <c r="L30" s="5"/>
      <c r="M30" s="5"/>
      <c r="N30" s="5"/>
      <c r="O30" s="5"/>
    </row>
    <row r="31" spans="1:15" ht="12" customHeight="1">
      <c r="A31" s="244" t="s">
        <v>83</v>
      </c>
      <c r="B31" s="343" t="str">
        <f>"이윤[(노무비+경비+일반관리비)×"&amp; TEXT(제경비!J45*100,"#,##0") &amp;"%]"</f>
        <v>이윤[(노무비+경비+일반관리비)×15%]</v>
      </c>
      <c r="C31" s="343"/>
      <c r="D31" s="343"/>
      <c r="E31" s="31"/>
      <c r="F31" s="32">
        <f>제경비!E75</f>
        <v>35976439</v>
      </c>
      <c r="G31" s="33"/>
      <c r="H31" s="267">
        <f>(F31/$F$37)</f>
        <v>0.10192723012675585</v>
      </c>
      <c r="I31" s="268"/>
      <c r="J31" s="34"/>
      <c r="K31" s="5"/>
      <c r="L31" s="5"/>
      <c r="M31" s="5"/>
      <c r="N31" s="5"/>
      <c r="O31" s="5"/>
    </row>
    <row r="32" spans="1:15" ht="12" customHeight="1">
      <c r="A32" s="244" t="s">
        <v>181</v>
      </c>
      <c r="B32" s="343" t="s">
        <v>184</v>
      </c>
      <c r="C32" s="343"/>
      <c r="D32" s="343"/>
      <c r="E32" s="31"/>
      <c r="F32" s="32">
        <f>제경비!E76</f>
        <v>-35380</v>
      </c>
      <c r="G32" s="33"/>
      <c r="H32" s="267">
        <f>(F32/$F$37)</f>
        <v>-1.0023741932559312E-4</v>
      </c>
      <c r="I32" s="268"/>
      <c r="J32" s="34"/>
      <c r="K32" s="5"/>
      <c r="L32" s="5"/>
      <c r="M32" s="5"/>
      <c r="N32" s="5"/>
      <c r="O32" s="5"/>
    </row>
    <row r="33" spans="1:15" ht="12" customHeight="1">
      <c r="A33" s="244" t="s">
        <v>185</v>
      </c>
      <c r="B33" s="343" t="s">
        <v>202</v>
      </c>
      <c r="C33" s="343"/>
      <c r="D33" s="343"/>
      <c r="E33" s="31"/>
      <c r="F33" s="32">
        <f>제경비!E77</f>
        <v>0</v>
      </c>
      <c r="G33" s="33"/>
      <c r="H33" s="267">
        <f>(F33/$F$37)</f>
        <v>0</v>
      </c>
      <c r="I33" s="268"/>
      <c r="J33" s="34"/>
      <c r="K33" s="5"/>
      <c r="L33" s="5"/>
      <c r="M33" s="5"/>
      <c r="N33" s="5"/>
      <c r="O33" s="5"/>
    </row>
    <row r="34" spans="1:15" ht="12" customHeight="1">
      <c r="A34" s="244" t="s">
        <v>212</v>
      </c>
      <c r="B34" s="343" t="s">
        <v>182</v>
      </c>
      <c r="C34" s="343"/>
      <c r="D34" s="343"/>
      <c r="E34" s="31"/>
      <c r="F34" s="32">
        <f>제경비!E78</f>
        <v>0</v>
      </c>
      <c r="G34" s="33"/>
      <c r="H34" s="267">
        <f>(F34/$F$37)</f>
        <v>0</v>
      </c>
      <c r="I34" s="268"/>
      <c r="J34" s="34"/>
      <c r="K34" s="5"/>
      <c r="L34" s="5"/>
      <c r="M34" s="5"/>
      <c r="N34" s="5"/>
      <c r="O34" s="5"/>
    </row>
    <row r="35" spans="1:15" s="12" customFormat="1" ht="12" customHeight="1">
      <c r="A35" s="82"/>
      <c r="B35" s="334" t="s">
        <v>213</v>
      </c>
      <c r="C35" s="334"/>
      <c r="D35" s="334"/>
      <c r="E35" s="83"/>
      <c r="F35" s="84">
        <f>SUM(L29,F30:F34)</f>
        <v>320874546</v>
      </c>
      <c r="G35" s="85"/>
      <c r="H35" s="265">
        <f>H8+H11+H29+H30+H31+H32+H33</f>
        <v>0.90909091063627234</v>
      </c>
      <c r="I35" s="269"/>
      <c r="J35" s="88"/>
      <c r="K35" s="35" t="str">
        <f>IF(F35=제경비!E79,"OK","ERROR")</f>
        <v>OK</v>
      </c>
      <c r="L35" s="11"/>
      <c r="M35" s="11"/>
      <c r="N35" s="11"/>
      <c r="O35" s="11"/>
    </row>
    <row r="36" spans="1:15" ht="12" customHeight="1">
      <c r="A36" s="30"/>
      <c r="B36" s="343" t="s">
        <v>84</v>
      </c>
      <c r="C36" s="343"/>
      <c r="D36" s="343"/>
      <c r="E36" s="31"/>
      <c r="F36" s="32">
        <f>제경비!E80</f>
        <v>32087454</v>
      </c>
      <c r="G36" s="33"/>
      <c r="H36" s="267">
        <f>(F36/$F$37)</f>
        <v>9.0909089363727547E-2</v>
      </c>
      <c r="I36" s="268"/>
      <c r="J36" s="34"/>
      <c r="K36" s="36"/>
      <c r="L36" s="5"/>
      <c r="M36" s="5"/>
      <c r="N36" s="5"/>
      <c r="O36" s="5"/>
    </row>
    <row r="37" spans="1:15" s="12" customFormat="1" ht="12" customHeight="1">
      <c r="A37" s="82"/>
      <c r="B37" s="334" t="s">
        <v>91</v>
      </c>
      <c r="C37" s="334"/>
      <c r="D37" s="334"/>
      <c r="E37" s="89"/>
      <c r="F37" s="84">
        <f>SUM(F35:F36)</f>
        <v>352962000</v>
      </c>
      <c r="G37" s="85"/>
      <c r="H37" s="270">
        <f>(F37/$F$37)</f>
        <v>1</v>
      </c>
      <c r="I37" s="269"/>
      <c r="J37" s="88"/>
      <c r="K37" s="35" t="str">
        <f>IF(F37=제경비!E81,"OK","ERROR")</f>
        <v>OK</v>
      </c>
      <c r="L37" s="11"/>
      <c r="M37" s="11"/>
      <c r="N37" s="11"/>
      <c r="O37" s="11"/>
    </row>
    <row r="38" spans="1:15" s="12" customFormat="1" ht="12" customHeight="1">
      <c r="A38" s="82"/>
      <c r="B38" s="334" t="s">
        <v>92</v>
      </c>
      <c r="C38" s="334"/>
      <c r="D38" s="334"/>
      <c r="E38" s="89"/>
      <c r="F38" s="84">
        <f>제경비!E85</f>
        <v>117372000</v>
      </c>
      <c r="G38" s="85"/>
      <c r="H38" s="86"/>
      <c r="I38" s="87"/>
      <c r="J38" s="88"/>
      <c r="K38" s="35"/>
      <c r="L38" s="11"/>
      <c r="M38" s="11"/>
      <c r="N38" s="11"/>
      <c r="O38" s="11"/>
    </row>
    <row r="39" spans="1:15" s="90" customFormat="1" ht="12" customHeight="1">
      <c r="A39" s="82"/>
      <c r="B39" s="334" t="s">
        <v>93</v>
      </c>
      <c r="C39" s="334"/>
      <c r="D39" s="334"/>
      <c r="E39" s="89"/>
      <c r="F39" s="84">
        <f>SUM(F37:F38)</f>
        <v>470334000</v>
      </c>
      <c r="G39" s="85"/>
      <c r="H39" s="86"/>
      <c r="I39" s="87"/>
      <c r="J39" s="88"/>
    </row>
  </sheetData>
  <mergeCells count="20">
    <mergeCell ref="B38:D38"/>
    <mergeCell ref="B39:D39"/>
    <mergeCell ref="B5:B8"/>
    <mergeCell ref="B9:B11"/>
    <mergeCell ref="B12:B29"/>
    <mergeCell ref="A3:E4"/>
    <mergeCell ref="A5:A29"/>
    <mergeCell ref="B30:D30"/>
    <mergeCell ref="B35:D35"/>
    <mergeCell ref="B36:D36"/>
    <mergeCell ref="B37:D37"/>
    <mergeCell ref="A1:J1"/>
    <mergeCell ref="J3:J4"/>
    <mergeCell ref="H2:J2"/>
    <mergeCell ref="H3:I4"/>
    <mergeCell ref="F3:G4"/>
    <mergeCell ref="B31:D31"/>
    <mergeCell ref="B32:D32"/>
    <mergeCell ref="B33:D33"/>
    <mergeCell ref="B34:D3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9" orientation="landscape" blackAndWhite="1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0.59999389629810485"/>
  </sheetPr>
  <dimension ref="A1:AD93"/>
  <sheetViews>
    <sheetView showZeros="0" view="pageBreakPreview" zoomScaleNormal="100" zoomScaleSheetLayoutView="100" workbookViewId="0">
      <selection activeCell="J92" sqref="J92"/>
    </sheetView>
  </sheetViews>
  <sheetFormatPr defaultRowHeight="13.5"/>
  <cols>
    <col min="1" max="1" width="2.77734375" style="38" customWidth="1"/>
    <col min="2" max="4" width="4.33203125" style="38" customWidth="1"/>
    <col min="5" max="21" width="5.33203125" style="38" customWidth="1"/>
    <col min="22" max="22" width="6.33203125" style="38" customWidth="1"/>
    <col min="23" max="23" width="4.77734375" style="38" customWidth="1"/>
    <col min="24" max="24" width="12.77734375" style="39" customWidth="1"/>
    <col min="25" max="25" width="12.77734375" style="40" customWidth="1"/>
    <col min="26" max="26" width="15.21875" style="38" customWidth="1"/>
    <col min="27" max="27" width="10.21875" style="42" customWidth="1"/>
    <col min="28" max="30" width="4.77734375" style="38" customWidth="1"/>
    <col min="31" max="16384" width="8.88671875" style="38"/>
  </cols>
  <sheetData>
    <row r="1" spans="1:30" ht="30" customHeight="1">
      <c r="A1" s="399" t="s">
        <v>63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  <c r="O1" s="400"/>
      <c r="P1" s="400"/>
      <c r="Q1" s="400"/>
      <c r="R1" s="400"/>
      <c r="S1" s="400"/>
      <c r="T1" s="400"/>
      <c r="U1" s="400"/>
      <c r="V1" s="401"/>
      <c r="Z1" s="41"/>
    </row>
    <row r="2" spans="1:30" ht="5.0999999999999996" customHeight="1">
      <c r="A2" s="2"/>
      <c r="B2" s="43"/>
      <c r="C2" s="43"/>
      <c r="D2" s="43"/>
      <c r="E2" s="43"/>
      <c r="F2" s="44"/>
      <c r="G2" s="44"/>
      <c r="H2" s="44"/>
      <c r="I2" s="44"/>
      <c r="J2" s="44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5"/>
    </row>
    <row r="3" spans="1:30" ht="13.5" customHeight="1">
      <c r="A3" s="4" t="s">
        <v>8</v>
      </c>
      <c r="C3" s="39"/>
      <c r="D3" s="39"/>
      <c r="E3" s="39" t="s">
        <v>9</v>
      </c>
      <c r="F3" s="39"/>
      <c r="G3" s="39"/>
      <c r="H3" s="248">
        <v>0.191</v>
      </c>
      <c r="I3" s="1" t="s">
        <v>10</v>
      </c>
      <c r="J3" s="1" t="s">
        <v>11</v>
      </c>
      <c r="K3" s="359">
        <f>E54</f>
        <v>112319261</v>
      </c>
      <c r="L3" s="359"/>
      <c r="M3" s="1" t="s">
        <v>12</v>
      </c>
      <c r="N3" s="1" t="s">
        <v>13</v>
      </c>
      <c r="O3" s="394">
        <f>H3</f>
        <v>0.191</v>
      </c>
      <c r="P3" s="394"/>
      <c r="Q3" s="1" t="s">
        <v>10</v>
      </c>
      <c r="R3" s="367">
        <f>TRUNC(K3*O3)</f>
        <v>21452978</v>
      </c>
      <c r="S3" s="367"/>
      <c r="T3" s="39"/>
      <c r="U3" s="39"/>
      <c r="V3" s="48"/>
      <c r="AD3" s="39"/>
    </row>
    <row r="4" spans="1:30" ht="5.0999999999999996" customHeight="1">
      <c r="A4" s="3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48"/>
      <c r="AD4" s="39"/>
    </row>
    <row r="5" spans="1:30" ht="13.5" customHeight="1">
      <c r="A5" s="4" t="s">
        <v>16</v>
      </c>
      <c r="C5" s="39"/>
      <c r="D5" s="39"/>
      <c r="E5" s="39" t="s">
        <v>17</v>
      </c>
      <c r="F5" s="39"/>
      <c r="H5" s="249">
        <v>3.56E-2</v>
      </c>
      <c r="I5" s="1" t="s">
        <v>10</v>
      </c>
      <c r="J5" s="1" t="s">
        <v>11</v>
      </c>
      <c r="K5" s="359">
        <f>E54</f>
        <v>112319261</v>
      </c>
      <c r="L5" s="359"/>
      <c r="M5" s="1" t="s">
        <v>18</v>
      </c>
      <c r="N5" s="359">
        <f>E57</f>
        <v>21452978</v>
      </c>
      <c r="O5" s="359"/>
      <c r="P5" s="1" t="s">
        <v>12</v>
      </c>
      <c r="Q5" s="1" t="s">
        <v>13</v>
      </c>
      <c r="R5" s="47">
        <f>H5</f>
        <v>3.56E-2</v>
      </c>
      <c r="S5" s="1" t="s">
        <v>10</v>
      </c>
      <c r="T5" s="367">
        <f>TRUNC((K5+N5)*R5)</f>
        <v>4762291</v>
      </c>
      <c r="U5" s="367"/>
      <c r="V5" s="48"/>
      <c r="AD5" s="39"/>
    </row>
    <row r="6" spans="1:30" ht="5.0999999999999996" customHeight="1">
      <c r="A6" s="49"/>
      <c r="C6" s="50"/>
      <c r="D6" s="50"/>
      <c r="E6" s="50"/>
      <c r="F6" s="50"/>
      <c r="U6" s="50"/>
      <c r="V6" s="48"/>
      <c r="AD6" s="39"/>
    </row>
    <row r="7" spans="1:30" ht="13.5" customHeight="1">
      <c r="A7" s="4" t="s">
        <v>20</v>
      </c>
      <c r="C7" s="39"/>
      <c r="D7" s="39"/>
      <c r="E7" s="39" t="s">
        <v>17</v>
      </c>
      <c r="F7" s="39"/>
      <c r="H7" s="249">
        <v>1.01E-2</v>
      </c>
      <c r="I7" s="1" t="s">
        <v>10</v>
      </c>
      <c r="J7" s="1" t="s">
        <v>11</v>
      </c>
      <c r="K7" s="359">
        <f>E54</f>
        <v>112319261</v>
      </c>
      <c r="L7" s="359"/>
      <c r="M7" s="1" t="s">
        <v>18</v>
      </c>
      <c r="N7" s="359">
        <f>E57</f>
        <v>21452978</v>
      </c>
      <c r="O7" s="359"/>
      <c r="P7" s="1" t="s">
        <v>12</v>
      </c>
      <c r="Q7" s="1" t="s">
        <v>13</v>
      </c>
      <c r="R7" s="51">
        <f>H7</f>
        <v>1.01E-2</v>
      </c>
      <c r="S7" s="1" t="s">
        <v>10</v>
      </c>
      <c r="T7" s="367">
        <f>TRUNC((K7+N7)*R7)</f>
        <v>1351099</v>
      </c>
      <c r="U7" s="367"/>
      <c r="V7" s="48"/>
      <c r="AD7" s="39"/>
    </row>
    <row r="8" spans="1:30" ht="5.0999999999999996" customHeight="1">
      <c r="A8" s="3"/>
      <c r="C8" s="39"/>
      <c r="D8" s="39"/>
      <c r="E8" s="39"/>
      <c r="F8" s="39"/>
      <c r="U8" s="39"/>
      <c r="V8" s="48"/>
      <c r="AD8" s="39"/>
    </row>
    <row r="9" spans="1:30" ht="13.5" customHeight="1">
      <c r="A9" s="4" t="s">
        <v>23</v>
      </c>
      <c r="C9" s="39"/>
      <c r="D9" s="39"/>
      <c r="E9" s="39" t="s">
        <v>9</v>
      </c>
      <c r="F9" s="39"/>
      <c r="G9" s="39"/>
      <c r="H9" s="250">
        <v>3.5950000000000003E-2</v>
      </c>
      <c r="I9" s="1" t="s">
        <v>10</v>
      </c>
      <c r="J9" s="1" t="s">
        <v>11</v>
      </c>
      <c r="K9" s="359">
        <f>E54</f>
        <v>112319261</v>
      </c>
      <c r="L9" s="359"/>
      <c r="M9" s="1" t="s">
        <v>12</v>
      </c>
      <c r="N9" s="1" t="s">
        <v>13</v>
      </c>
      <c r="O9" s="389">
        <f>H9</f>
        <v>3.5950000000000003E-2</v>
      </c>
      <c r="P9" s="389"/>
      <c r="Q9" s="1" t="s">
        <v>10</v>
      </c>
      <c r="R9" s="367">
        <f>TRUNC(K9*O9)</f>
        <v>4037877</v>
      </c>
      <c r="S9" s="367"/>
      <c r="T9" s="39"/>
      <c r="U9" s="39"/>
      <c r="V9" s="48"/>
      <c r="AD9" s="39"/>
    </row>
    <row r="10" spans="1:30" ht="5.0999999999999996" customHeight="1">
      <c r="A10" s="3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48"/>
      <c r="AD10" s="39"/>
    </row>
    <row r="11" spans="1:30" ht="13.5" customHeight="1">
      <c r="A11" s="4" t="s">
        <v>26</v>
      </c>
      <c r="C11" s="39"/>
      <c r="D11" s="39"/>
      <c r="E11" s="39" t="s">
        <v>9</v>
      </c>
      <c r="F11" s="39"/>
      <c r="G11" s="39"/>
      <c r="H11" s="249">
        <v>4.7500000000000001E-2</v>
      </c>
      <c r="I11" s="1" t="s">
        <v>10</v>
      </c>
      <c r="J11" s="1" t="s">
        <v>11</v>
      </c>
      <c r="K11" s="359">
        <f>E54</f>
        <v>112319261</v>
      </c>
      <c r="L11" s="359"/>
      <c r="M11" s="1" t="s">
        <v>12</v>
      </c>
      <c r="N11" s="1" t="s">
        <v>13</v>
      </c>
      <c r="O11" s="389">
        <f>H11</f>
        <v>4.7500000000000001E-2</v>
      </c>
      <c r="P11" s="389"/>
      <c r="Q11" s="1" t="s">
        <v>10</v>
      </c>
      <c r="R11" s="367">
        <f>TRUNC(K11*O11)</f>
        <v>5335164</v>
      </c>
      <c r="S11" s="367"/>
      <c r="T11" s="39"/>
      <c r="U11" s="39"/>
      <c r="V11" s="48"/>
      <c r="AD11" s="39"/>
    </row>
    <row r="12" spans="1:30" ht="5.0999999999999996" customHeight="1">
      <c r="A12" s="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48"/>
      <c r="AD12" s="39"/>
    </row>
    <row r="13" spans="1:30" ht="13.5" customHeight="1">
      <c r="A13" s="4" t="s">
        <v>28</v>
      </c>
      <c r="C13" s="39"/>
      <c r="D13" s="39"/>
      <c r="E13" s="39" t="s">
        <v>29</v>
      </c>
      <c r="F13" s="39"/>
      <c r="G13" s="39"/>
      <c r="H13" s="249">
        <v>0.13139999999999999</v>
      </c>
      <c r="I13" s="1" t="s">
        <v>10</v>
      </c>
      <c r="J13" s="1" t="s">
        <v>11</v>
      </c>
      <c r="K13" s="359">
        <f>E60</f>
        <v>4037877</v>
      </c>
      <c r="L13" s="359"/>
      <c r="M13" s="1" t="s">
        <v>12</v>
      </c>
      <c r="N13" s="1" t="s">
        <v>13</v>
      </c>
      <c r="O13" s="389">
        <f>H13</f>
        <v>0.13139999999999999</v>
      </c>
      <c r="P13" s="389"/>
      <c r="Q13" s="1" t="s">
        <v>10</v>
      </c>
      <c r="R13" s="367">
        <f>TRUNC(K13*O13)</f>
        <v>530577</v>
      </c>
      <c r="S13" s="367"/>
      <c r="T13" s="39"/>
      <c r="U13" s="39"/>
      <c r="V13" s="48"/>
      <c r="AD13" s="39"/>
    </row>
    <row r="14" spans="1:30" ht="5.0999999999999996" customHeight="1">
      <c r="A14" s="3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48"/>
      <c r="AD14" s="39"/>
    </row>
    <row r="15" spans="1:30" ht="13.5" customHeight="1">
      <c r="A15" s="4" t="s">
        <v>32</v>
      </c>
      <c r="C15" s="39"/>
      <c r="D15" s="39"/>
      <c r="E15" s="39" t="s">
        <v>9</v>
      </c>
      <c r="F15" s="39"/>
      <c r="G15" s="39"/>
      <c r="H15" s="249">
        <v>2.3E-2</v>
      </c>
      <c r="I15" s="1" t="s">
        <v>10</v>
      </c>
      <c r="J15" s="1" t="s">
        <v>11</v>
      </c>
      <c r="K15" s="359">
        <f>E54</f>
        <v>112319261</v>
      </c>
      <c r="L15" s="359"/>
      <c r="M15" s="1" t="s">
        <v>12</v>
      </c>
      <c r="N15" s="1" t="s">
        <v>13</v>
      </c>
      <c r="O15" s="394">
        <f>H15</f>
        <v>2.3E-2</v>
      </c>
      <c r="P15" s="394"/>
      <c r="Q15" s="1" t="s">
        <v>10</v>
      </c>
      <c r="R15" s="367">
        <f>TRUNC(K15*O15)</f>
        <v>2583343</v>
      </c>
      <c r="S15" s="367"/>
      <c r="T15" s="39"/>
      <c r="V15" s="48"/>
      <c r="AD15" s="39"/>
    </row>
    <row r="16" spans="1:30" ht="5.0999999999999996" customHeight="1">
      <c r="A16" s="3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48"/>
      <c r="AD16" s="39"/>
    </row>
    <row r="17" spans="1:30" ht="13.5" customHeight="1">
      <c r="A17" s="4" t="s">
        <v>201</v>
      </c>
      <c r="C17" s="39"/>
      <c r="D17" s="39"/>
      <c r="E17" s="39" t="s">
        <v>35</v>
      </c>
      <c r="F17" s="39"/>
      <c r="G17" s="39"/>
      <c r="H17" s="39"/>
      <c r="I17" s="249">
        <v>3.15E-2</v>
      </c>
      <c r="J17" s="52" t="s">
        <v>18</v>
      </c>
      <c r="K17" s="391">
        <v>0</v>
      </c>
      <c r="L17" s="391"/>
      <c r="M17" s="39" t="s">
        <v>12</v>
      </c>
      <c r="N17" s="1" t="s">
        <v>13</v>
      </c>
      <c r="O17" s="1">
        <v>1.2</v>
      </c>
      <c r="Q17" s="39"/>
      <c r="R17" s="39"/>
      <c r="S17" s="39"/>
      <c r="T17" s="39"/>
      <c r="V17" s="48"/>
      <c r="AD17" s="39"/>
    </row>
    <row r="18" spans="1:30" ht="5.0999999999999996" customHeight="1">
      <c r="A18" s="3"/>
      <c r="C18" s="39"/>
      <c r="D18" s="39"/>
      <c r="E18" s="39"/>
      <c r="F18" s="39"/>
      <c r="G18" s="39"/>
      <c r="H18" s="39"/>
      <c r="P18" s="39"/>
      <c r="Q18" s="39"/>
      <c r="R18" s="39"/>
      <c r="S18" s="39"/>
      <c r="T18" s="39"/>
      <c r="V18" s="48"/>
      <c r="AD18" s="39"/>
    </row>
    <row r="19" spans="1:30" ht="13.5" customHeight="1">
      <c r="A19" s="3"/>
      <c r="C19" s="39"/>
      <c r="D19" s="1" t="s">
        <v>10</v>
      </c>
      <c r="E19" s="1" t="s">
        <v>38</v>
      </c>
      <c r="F19" s="359">
        <f>E54</f>
        <v>112319261</v>
      </c>
      <c r="G19" s="359"/>
      <c r="H19" s="1" t="s">
        <v>18</v>
      </c>
      <c r="I19" s="359">
        <f>E55</f>
        <v>45084887</v>
      </c>
      <c r="J19" s="359"/>
      <c r="K19" s="1" t="s">
        <v>12</v>
      </c>
      <c r="L19" s="1" t="s">
        <v>13</v>
      </c>
      <c r="M19" s="51">
        <f>I17</f>
        <v>3.15E-2</v>
      </c>
      <c r="N19" s="52" t="str">
        <f>J17</f>
        <v>+</v>
      </c>
      <c r="O19" s="391">
        <f>K17</f>
        <v>0</v>
      </c>
      <c r="P19" s="391"/>
      <c r="Q19" s="1" t="str">
        <f>N17</f>
        <v>×</v>
      </c>
      <c r="R19" s="1">
        <f>O17</f>
        <v>1.2</v>
      </c>
      <c r="V19" s="48"/>
      <c r="AD19" s="39"/>
    </row>
    <row r="20" spans="1:30" ht="5.0999999999999996" customHeight="1">
      <c r="A20" s="3"/>
      <c r="C20" s="39"/>
      <c r="D20" s="1"/>
      <c r="E20" s="1"/>
      <c r="F20" s="46"/>
      <c r="G20" s="46"/>
      <c r="H20" s="1"/>
      <c r="I20" s="46"/>
      <c r="J20" s="46"/>
      <c r="K20" s="1"/>
      <c r="L20" s="46"/>
      <c r="M20" s="46"/>
      <c r="V20" s="53"/>
      <c r="AD20" s="39"/>
    </row>
    <row r="21" spans="1:30" ht="13.5" customHeight="1">
      <c r="A21" s="3"/>
      <c r="C21" s="39"/>
      <c r="D21" s="1" t="s">
        <v>10</v>
      </c>
      <c r="E21" s="367">
        <f>TRUNC(((F19+I19)*M19+O19)*R19)</f>
        <v>5949876</v>
      </c>
      <c r="F21" s="367"/>
      <c r="G21" s="46"/>
      <c r="H21" s="368" t="str">
        <f>IF(E21&lt;E27,"[ 적     용 ]","")</f>
        <v>[ 적     용 ]</v>
      </c>
      <c r="I21" s="368"/>
      <c r="J21" s="46"/>
      <c r="K21" s="1"/>
      <c r="L21" s="46"/>
      <c r="M21" s="46"/>
      <c r="N21" s="1"/>
      <c r="O21" s="1"/>
      <c r="P21" s="51"/>
      <c r="Q21" s="39"/>
      <c r="R21" s="39"/>
      <c r="S21" s="1"/>
      <c r="T21" s="54"/>
      <c r="V21" s="53"/>
      <c r="AD21" s="39"/>
    </row>
    <row r="22" spans="1:30" ht="5.0999999999999996" customHeight="1">
      <c r="A22" s="3"/>
      <c r="C22" s="39"/>
      <c r="D22" s="39"/>
      <c r="E22" s="39"/>
      <c r="F22" s="39"/>
      <c r="G22" s="39"/>
      <c r="H22" s="39"/>
      <c r="I22" s="39"/>
      <c r="J22" s="39"/>
      <c r="K22" s="39"/>
      <c r="L22" s="39"/>
      <c r="Q22" s="39"/>
      <c r="R22" s="39"/>
      <c r="S22" s="39"/>
      <c r="T22" s="39"/>
      <c r="V22" s="48"/>
      <c r="AD22" s="39"/>
    </row>
    <row r="23" spans="1:30" ht="13.5" customHeight="1">
      <c r="A23" s="3"/>
      <c r="C23" s="39"/>
      <c r="D23" s="39"/>
      <c r="E23" s="39" t="s">
        <v>162</v>
      </c>
      <c r="F23" s="39"/>
      <c r="G23" s="39"/>
      <c r="H23" s="39"/>
      <c r="I23" s="39"/>
      <c r="J23" s="39"/>
      <c r="K23" s="253">
        <f>I17</f>
        <v>3.15E-2</v>
      </c>
      <c r="L23" s="52" t="s">
        <v>18</v>
      </c>
      <c r="M23" s="391">
        <f>K17</f>
        <v>0</v>
      </c>
      <c r="N23" s="391"/>
      <c r="Q23" s="39"/>
      <c r="R23" s="39"/>
      <c r="S23" s="39"/>
      <c r="T23" s="39"/>
      <c r="V23" s="48"/>
      <c r="AD23" s="39"/>
    </row>
    <row r="24" spans="1:30" ht="5.0999999999999996" customHeight="1">
      <c r="A24" s="3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V24" s="48"/>
      <c r="AD24" s="39"/>
    </row>
    <row r="25" spans="1:30" ht="13.5" customHeight="1">
      <c r="A25" s="3"/>
      <c r="C25" s="39"/>
      <c r="D25" s="1" t="s">
        <v>10</v>
      </c>
      <c r="E25" s="1" t="s">
        <v>11</v>
      </c>
      <c r="F25" s="359">
        <f>E54</f>
        <v>112319261</v>
      </c>
      <c r="G25" s="359"/>
      <c r="H25" s="1" t="s">
        <v>18</v>
      </c>
      <c r="I25" s="359">
        <f>E55</f>
        <v>45084887</v>
      </c>
      <c r="J25" s="359"/>
      <c r="K25" s="1" t="s">
        <v>18</v>
      </c>
      <c r="L25" s="359">
        <f>H83/1.1</f>
        <v>106123427.27272727</v>
      </c>
      <c r="M25" s="359"/>
      <c r="N25" s="1" t="s">
        <v>12</v>
      </c>
      <c r="O25" s="1" t="s">
        <v>13</v>
      </c>
      <c r="P25" s="51">
        <f>I17</f>
        <v>3.15E-2</v>
      </c>
      <c r="Q25" s="52" t="str">
        <f>L23</f>
        <v>+</v>
      </c>
      <c r="R25" s="359">
        <f>M23</f>
        <v>0</v>
      </c>
      <c r="S25" s="392"/>
      <c r="V25" s="48"/>
      <c r="AD25" s="39"/>
    </row>
    <row r="26" spans="1:30" ht="5.0999999999999996" customHeight="1">
      <c r="A26" s="3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V26" s="48"/>
      <c r="AD26" s="39"/>
    </row>
    <row r="27" spans="1:30" ht="13.5" customHeight="1">
      <c r="A27" s="3"/>
      <c r="C27" s="39"/>
      <c r="D27" s="1" t="s">
        <v>10</v>
      </c>
      <c r="E27" s="367">
        <f>TRUNC((F25+I25+L25)*P25+R25)</f>
        <v>8301118</v>
      </c>
      <c r="F27" s="367"/>
      <c r="G27" s="39"/>
      <c r="H27" s="368" t="str">
        <f>IF(E21&gt;E27,"[ 적     용 ]","")</f>
        <v/>
      </c>
      <c r="I27" s="368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V27" s="53"/>
      <c r="AD27" s="39"/>
    </row>
    <row r="28" spans="1:30" ht="5.0999999999999996" customHeight="1">
      <c r="A28" s="3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46"/>
      <c r="O28" s="1"/>
      <c r="P28" s="1"/>
      <c r="Q28" s="39"/>
      <c r="R28" s="39"/>
      <c r="S28" s="39"/>
      <c r="T28" s="39"/>
      <c r="V28" s="53"/>
      <c r="AD28" s="39"/>
    </row>
    <row r="29" spans="1:30" ht="13.5" customHeight="1">
      <c r="A29" s="4" t="s">
        <v>50</v>
      </c>
      <c r="C29" s="39"/>
      <c r="D29" s="39"/>
      <c r="E29" s="39" t="s">
        <v>51</v>
      </c>
      <c r="F29" s="39"/>
      <c r="G29" s="250">
        <v>8.0999999999999996E-4</v>
      </c>
      <c r="H29" s="1" t="s">
        <v>10</v>
      </c>
      <c r="I29" s="1" t="s">
        <v>11</v>
      </c>
      <c r="J29" s="359">
        <f>H56</f>
        <v>178304903</v>
      </c>
      <c r="K29" s="359"/>
      <c r="L29" s="1" t="s">
        <v>12</v>
      </c>
      <c r="M29" s="1" t="s">
        <v>13</v>
      </c>
      <c r="N29" s="51">
        <f>G29</f>
        <v>8.0999999999999996E-4</v>
      </c>
      <c r="O29" s="1" t="s">
        <v>10</v>
      </c>
      <c r="P29" s="390">
        <f>TRUNC(J29*N29,0)</f>
        <v>144426</v>
      </c>
      <c r="Q29" s="390"/>
      <c r="V29" s="53"/>
      <c r="AD29" s="39"/>
    </row>
    <row r="30" spans="1:30" ht="5.0999999999999996" customHeight="1">
      <c r="A30" s="55"/>
      <c r="V30" s="53"/>
      <c r="AD30" s="39"/>
    </row>
    <row r="31" spans="1:30" ht="13.5" customHeight="1">
      <c r="A31" s="4" t="s">
        <v>53</v>
      </c>
      <c r="H31" s="39" t="s">
        <v>51</v>
      </c>
      <c r="I31" s="39"/>
      <c r="J31" s="249">
        <v>4.0000000000000001E-3</v>
      </c>
      <c r="K31" s="1" t="s">
        <v>10</v>
      </c>
      <c r="L31" s="1" t="s">
        <v>11</v>
      </c>
      <c r="M31" s="359">
        <f>H56</f>
        <v>178304903</v>
      </c>
      <c r="N31" s="359"/>
      <c r="O31" s="1" t="s">
        <v>12</v>
      </c>
      <c r="P31" s="1" t="s">
        <v>13</v>
      </c>
      <c r="Q31" s="51">
        <f>J31</f>
        <v>4.0000000000000001E-3</v>
      </c>
      <c r="R31" s="1" t="s">
        <v>10</v>
      </c>
      <c r="S31" s="390">
        <f>TRUNC(M31*Q31,0)</f>
        <v>713219</v>
      </c>
      <c r="T31" s="390"/>
      <c r="V31" s="53"/>
      <c r="AD31" s="39"/>
    </row>
    <row r="32" spans="1:30" s="41" customFormat="1" ht="5.0999999999999996" customHeight="1">
      <c r="A32" s="4"/>
      <c r="R32" s="38"/>
      <c r="S32" s="38"/>
      <c r="V32" s="56"/>
    </row>
    <row r="33" spans="1:30" ht="13.5" customHeight="1">
      <c r="A33" s="4" t="s">
        <v>57</v>
      </c>
      <c r="C33" s="39"/>
      <c r="D33" s="39"/>
      <c r="E33" s="39" t="s">
        <v>58</v>
      </c>
      <c r="F33" s="39"/>
      <c r="G33" s="39"/>
      <c r="H33" s="39"/>
      <c r="I33" s="39"/>
      <c r="J33" s="248">
        <v>5.5E-2</v>
      </c>
      <c r="L33" s="39"/>
      <c r="M33" s="39"/>
      <c r="N33" s="39"/>
      <c r="O33" s="39"/>
      <c r="V33" s="53"/>
      <c r="AD33" s="39"/>
    </row>
    <row r="34" spans="1:30" ht="5.0999999999999996" customHeight="1">
      <c r="A34" s="3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V34" s="53"/>
      <c r="AD34" s="39"/>
    </row>
    <row r="35" spans="1:30" ht="13.5" customHeight="1">
      <c r="A35" s="3"/>
      <c r="C35" s="39"/>
      <c r="D35" s="1" t="s">
        <v>10</v>
      </c>
      <c r="E35" s="1" t="s">
        <v>11</v>
      </c>
      <c r="F35" s="359">
        <f>E54</f>
        <v>112319261</v>
      </c>
      <c r="G35" s="359"/>
      <c r="H35" s="1" t="s">
        <v>18</v>
      </c>
      <c r="I35" s="359">
        <f>E57</f>
        <v>21452978</v>
      </c>
      <c r="J35" s="359"/>
      <c r="K35" s="1" t="s">
        <v>18</v>
      </c>
      <c r="L35" s="359">
        <f>E55</f>
        <v>45084887</v>
      </c>
      <c r="M35" s="359"/>
      <c r="N35" s="1" t="s">
        <v>12</v>
      </c>
      <c r="O35" s="1" t="s">
        <v>13</v>
      </c>
      <c r="P35" s="47">
        <f>J33</f>
        <v>5.5E-2</v>
      </c>
      <c r="Q35" s="1" t="s">
        <v>10</v>
      </c>
      <c r="R35" s="393">
        <f>TRUNC((F35+I35+L35)*P35,0)</f>
        <v>9837141</v>
      </c>
      <c r="S35" s="393"/>
      <c r="V35" s="53"/>
      <c r="X35" s="57"/>
      <c r="Y35" s="58"/>
      <c r="Z35" s="41"/>
      <c r="AD35" s="39"/>
    </row>
    <row r="36" spans="1:30" ht="5.0999999999999996" customHeight="1">
      <c r="A36" s="4"/>
      <c r="C36" s="39"/>
      <c r="V36" s="53"/>
      <c r="X36" s="59"/>
      <c r="Y36" s="60"/>
      <c r="Z36" s="41"/>
      <c r="AD36" s="39"/>
    </row>
    <row r="37" spans="1:30" ht="13.5" customHeight="1">
      <c r="A37" s="4" t="s">
        <v>59</v>
      </c>
      <c r="C37" s="39"/>
      <c r="D37" s="39"/>
      <c r="E37" s="39" t="s">
        <v>51</v>
      </c>
      <c r="F37" s="39"/>
      <c r="G37" s="248">
        <v>8.9999999999999993E-3</v>
      </c>
      <c r="H37" s="1" t="s">
        <v>10</v>
      </c>
      <c r="I37" s="1" t="s">
        <v>11</v>
      </c>
      <c r="J37" s="359">
        <f>H56</f>
        <v>178304903</v>
      </c>
      <c r="K37" s="359"/>
      <c r="L37" s="1" t="s">
        <v>12</v>
      </c>
      <c r="M37" s="1" t="s">
        <v>13</v>
      </c>
      <c r="N37" s="51">
        <f>G37</f>
        <v>8.9999999999999993E-3</v>
      </c>
      <c r="O37" s="1" t="s">
        <v>10</v>
      </c>
      <c r="P37" s="390">
        <f>TRUNC(J37*N37,0)</f>
        <v>1604744</v>
      </c>
      <c r="Q37" s="390"/>
      <c r="V37" s="53"/>
      <c r="X37" s="61"/>
      <c r="Y37" s="62"/>
      <c r="Z37" s="41"/>
      <c r="AD37" s="39"/>
    </row>
    <row r="38" spans="1:30" ht="5.0999999999999996" customHeight="1">
      <c r="A38" s="3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48"/>
      <c r="AD38" s="39"/>
    </row>
    <row r="39" spans="1:30" ht="13.5" customHeight="1">
      <c r="A39" s="4" t="s">
        <v>216</v>
      </c>
      <c r="C39" s="39"/>
      <c r="D39" s="39"/>
      <c r="E39" s="39" t="s">
        <v>17</v>
      </c>
      <c r="F39" s="39"/>
      <c r="H39" s="250">
        <v>6.0000000000000002E-5</v>
      </c>
      <c r="I39" s="1" t="s">
        <v>10</v>
      </c>
      <c r="J39" s="1" t="s">
        <v>11</v>
      </c>
      <c r="K39" s="359">
        <f>E54</f>
        <v>112319261</v>
      </c>
      <c r="L39" s="359"/>
      <c r="M39" s="1" t="s">
        <v>18</v>
      </c>
      <c r="N39" s="359">
        <f>E57</f>
        <v>21452978</v>
      </c>
      <c r="O39" s="359"/>
      <c r="P39" s="1" t="s">
        <v>12</v>
      </c>
      <c r="Q39" s="1" t="s">
        <v>13</v>
      </c>
      <c r="R39" s="276">
        <f>H39</f>
        <v>6.0000000000000002E-5</v>
      </c>
      <c r="S39" s="1" t="s">
        <v>10</v>
      </c>
      <c r="T39" s="367">
        <f>TRUNC((K39+N39)*R39)</f>
        <v>8026</v>
      </c>
      <c r="U39" s="367"/>
      <c r="V39" s="48"/>
      <c r="AD39" s="39"/>
    </row>
    <row r="40" spans="1:30" ht="5.0999999999999996" customHeight="1">
      <c r="A40" s="55"/>
      <c r="V40" s="48"/>
      <c r="AD40" s="39"/>
    </row>
    <row r="41" spans="1:30" ht="13.5" customHeight="1">
      <c r="A41" s="4" t="s">
        <v>217</v>
      </c>
      <c r="C41" s="39"/>
      <c r="D41" s="39"/>
      <c r="E41" s="39" t="s">
        <v>17</v>
      </c>
      <c r="F41" s="39"/>
      <c r="H41" s="249">
        <v>8.9999999999999998E-4</v>
      </c>
      <c r="I41" s="1" t="s">
        <v>10</v>
      </c>
      <c r="J41" s="1" t="s">
        <v>11</v>
      </c>
      <c r="K41" s="359">
        <f>E54</f>
        <v>112319261</v>
      </c>
      <c r="L41" s="359"/>
      <c r="M41" s="1" t="s">
        <v>18</v>
      </c>
      <c r="N41" s="359">
        <f>E57</f>
        <v>21452978</v>
      </c>
      <c r="O41" s="359"/>
      <c r="P41" s="1" t="s">
        <v>12</v>
      </c>
      <c r="Q41" s="1" t="s">
        <v>13</v>
      </c>
      <c r="R41" s="51">
        <f>H41</f>
        <v>8.9999999999999998E-4</v>
      </c>
      <c r="S41" s="1" t="s">
        <v>10</v>
      </c>
      <c r="T41" s="367">
        <f>TRUNC((K41+N41)*R41)</f>
        <v>120395</v>
      </c>
      <c r="U41" s="367"/>
      <c r="V41" s="48"/>
      <c r="AD41" s="39"/>
    </row>
    <row r="42" spans="1:30" ht="5.0999999999999996" customHeight="1">
      <c r="A42" s="55"/>
      <c r="V42" s="48"/>
      <c r="AD42" s="39"/>
    </row>
    <row r="43" spans="1:30" ht="13.5" customHeight="1">
      <c r="A43" s="4" t="s">
        <v>214</v>
      </c>
      <c r="C43" s="39"/>
      <c r="D43" s="39"/>
      <c r="E43" s="39" t="s">
        <v>60</v>
      </c>
      <c r="G43" s="248">
        <v>0.08</v>
      </c>
      <c r="H43" s="1" t="s">
        <v>10</v>
      </c>
      <c r="I43" s="1" t="s">
        <v>11</v>
      </c>
      <c r="J43" s="359">
        <f>E73</f>
        <v>263827303</v>
      </c>
      <c r="K43" s="359"/>
      <c r="L43" s="1" t="s">
        <v>12</v>
      </c>
      <c r="M43" s="1" t="s">
        <v>13</v>
      </c>
      <c r="N43" s="51">
        <f>G43</f>
        <v>0.08</v>
      </c>
      <c r="O43" s="1" t="s">
        <v>10</v>
      </c>
      <c r="P43" s="390">
        <f>TRUNC(J43*N43,0)</f>
        <v>21106184</v>
      </c>
      <c r="Q43" s="390"/>
      <c r="V43" s="48"/>
      <c r="AD43" s="39"/>
    </row>
    <row r="44" spans="1:30" ht="5.0999999999999996" customHeight="1">
      <c r="A44" s="55"/>
      <c r="U44" s="1"/>
      <c r="V44" s="63"/>
      <c r="AD44" s="39"/>
    </row>
    <row r="45" spans="1:30" ht="13.5" customHeight="1">
      <c r="A45" s="4" t="s">
        <v>215</v>
      </c>
      <c r="C45" s="39"/>
      <c r="D45" s="39"/>
      <c r="E45" s="39" t="s">
        <v>61</v>
      </c>
      <c r="F45" s="39"/>
      <c r="G45" s="39"/>
      <c r="H45" s="39"/>
      <c r="I45" s="39"/>
      <c r="J45" s="248">
        <v>0.15</v>
      </c>
      <c r="K45" s="39"/>
      <c r="L45" s="39"/>
      <c r="M45" s="39"/>
      <c r="N45" s="39"/>
      <c r="O45" s="39"/>
      <c r="P45" s="39"/>
      <c r="Q45" s="39"/>
      <c r="R45" s="39"/>
      <c r="S45" s="39"/>
      <c r="U45" s="39"/>
      <c r="V45" s="63"/>
      <c r="AD45" s="39"/>
    </row>
    <row r="46" spans="1:30" ht="5.0999999999999996" customHeight="1">
      <c r="A46" s="3"/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1"/>
      <c r="V46" s="53"/>
      <c r="AD46" s="39"/>
    </row>
    <row r="47" spans="1:30" ht="13.5" customHeight="1">
      <c r="A47" s="64"/>
      <c r="B47" s="39"/>
      <c r="C47" s="39"/>
      <c r="D47" s="1" t="s">
        <v>10</v>
      </c>
      <c r="E47" s="1" t="s">
        <v>11</v>
      </c>
      <c r="F47" s="359">
        <f>E73</f>
        <v>263827303</v>
      </c>
      <c r="G47" s="359"/>
      <c r="H47" s="1" t="s">
        <v>18</v>
      </c>
      <c r="I47" s="359">
        <f>E74</f>
        <v>21106184</v>
      </c>
      <c r="J47" s="359"/>
      <c r="K47" s="1" t="s">
        <v>62</v>
      </c>
      <c r="L47" s="359">
        <f>E55</f>
        <v>45084887</v>
      </c>
      <c r="M47" s="359"/>
      <c r="N47" s="1" t="s">
        <v>12</v>
      </c>
      <c r="O47" s="1" t="s">
        <v>13</v>
      </c>
      <c r="P47" s="47">
        <f>J45</f>
        <v>0.15</v>
      </c>
      <c r="Q47" s="1" t="s">
        <v>62</v>
      </c>
      <c r="R47" s="359">
        <f>E91</f>
        <v>850.90909090909088</v>
      </c>
      <c r="S47" s="359"/>
      <c r="V47" s="53"/>
      <c r="AD47" s="39"/>
    </row>
    <row r="48" spans="1:30" ht="5.0999999999999996" customHeight="1">
      <c r="A48" s="64"/>
      <c r="B48" s="39"/>
      <c r="C48" s="39"/>
      <c r="D48" s="1"/>
      <c r="E48" s="1"/>
      <c r="F48" s="46"/>
      <c r="G48" s="46"/>
      <c r="H48" s="1"/>
      <c r="I48" s="46"/>
      <c r="J48" s="46"/>
      <c r="K48" s="1"/>
      <c r="L48" s="46"/>
      <c r="M48" s="46"/>
      <c r="N48" s="1"/>
      <c r="O48" s="1"/>
      <c r="P48" s="47"/>
      <c r="Q48" s="1"/>
      <c r="R48" s="46"/>
      <c r="S48" s="46"/>
      <c r="V48" s="53"/>
      <c r="AD48" s="39"/>
    </row>
    <row r="49" spans="1:27" ht="13.5" customHeight="1">
      <c r="A49" s="55"/>
      <c r="D49" s="1" t="s">
        <v>10</v>
      </c>
      <c r="E49" s="395">
        <f>TRUNC((F47+I47-L47)*P47-R47,0)</f>
        <v>35976439</v>
      </c>
      <c r="F49" s="395"/>
      <c r="V49" s="53"/>
      <c r="X49" s="38"/>
      <c r="Y49" s="38"/>
      <c r="AA49" s="38"/>
    </row>
    <row r="50" spans="1:27" ht="5.0999999999999996" customHeight="1">
      <c r="A50" s="65"/>
      <c r="B50" s="66"/>
      <c r="C50" s="66"/>
      <c r="D50" s="66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7"/>
      <c r="X50" s="38"/>
      <c r="Y50" s="38"/>
      <c r="AA50" s="38"/>
    </row>
    <row r="51" spans="1:27" ht="15" customHeight="1">
      <c r="X51" s="38"/>
      <c r="Y51" s="38"/>
      <c r="AA51" s="38"/>
    </row>
    <row r="52" spans="1:27" ht="15" customHeight="1">
      <c r="X52" s="38"/>
      <c r="Y52" s="38"/>
      <c r="AA52" s="38"/>
    </row>
    <row r="53" spans="1:27" ht="15" customHeight="1">
      <c r="B53" s="363" t="s">
        <v>6</v>
      </c>
      <c r="C53" s="364"/>
      <c r="D53" s="365"/>
      <c r="E53" s="372" t="s">
        <v>7</v>
      </c>
      <c r="F53" s="373"/>
      <c r="G53" s="374"/>
      <c r="J53" s="41"/>
      <c r="K53" s="42"/>
      <c r="X53" s="38"/>
      <c r="Y53" s="38"/>
      <c r="AA53" s="38"/>
    </row>
    <row r="54" spans="1:27" ht="15" customHeight="1">
      <c r="B54" s="360" t="s">
        <v>14</v>
      </c>
      <c r="C54" s="361"/>
      <c r="D54" s="362"/>
      <c r="E54" s="369">
        <v>112319261</v>
      </c>
      <c r="F54" s="370"/>
      <c r="G54" s="371"/>
      <c r="J54" s="41"/>
      <c r="K54" s="42"/>
      <c r="X54" s="38"/>
      <c r="Y54" s="38"/>
      <c r="AA54" s="38"/>
    </row>
    <row r="55" spans="1:27">
      <c r="B55" s="366" t="s">
        <v>15</v>
      </c>
      <c r="C55" s="366"/>
      <c r="D55" s="366"/>
      <c r="E55" s="388">
        <v>45084887</v>
      </c>
      <c r="F55" s="388"/>
      <c r="G55" s="388"/>
      <c r="J55" s="50"/>
      <c r="K55" s="42"/>
      <c r="X55" s="38"/>
      <c r="Y55" s="38"/>
      <c r="AA55" s="38"/>
    </row>
    <row r="56" spans="1:27">
      <c r="B56" s="366" t="s">
        <v>4</v>
      </c>
      <c r="C56" s="366"/>
      <c r="D56" s="366"/>
      <c r="E56" s="388">
        <v>20900755</v>
      </c>
      <c r="F56" s="388"/>
      <c r="G56" s="388"/>
      <c r="H56" s="376">
        <f>SUM(E54:E56)</f>
        <v>178304903</v>
      </c>
      <c r="I56" s="377"/>
      <c r="J56" s="377"/>
      <c r="K56" s="42" t="s">
        <v>19</v>
      </c>
      <c r="X56" s="38"/>
      <c r="Y56" s="38"/>
      <c r="AA56" s="38"/>
    </row>
    <row r="57" spans="1:27">
      <c r="B57" s="357" t="s">
        <v>3</v>
      </c>
      <c r="C57" s="357"/>
      <c r="D57" s="357"/>
      <c r="E57" s="358">
        <f>R3</f>
        <v>21452978</v>
      </c>
      <c r="F57" s="358"/>
      <c r="G57" s="358"/>
      <c r="J57" s="41"/>
      <c r="K57" s="42"/>
      <c r="X57" s="38"/>
      <c r="Y57" s="38"/>
      <c r="AA57" s="38"/>
    </row>
    <row r="58" spans="1:27">
      <c r="B58" s="357" t="s">
        <v>21</v>
      </c>
      <c r="C58" s="357"/>
      <c r="D58" s="357"/>
      <c r="E58" s="358">
        <f>T5</f>
        <v>4762291</v>
      </c>
      <c r="F58" s="358"/>
      <c r="G58" s="358"/>
      <c r="J58" s="41"/>
      <c r="K58" s="42"/>
      <c r="X58" s="38"/>
      <c r="Y58" s="38"/>
      <c r="AA58" s="38"/>
    </row>
    <row r="59" spans="1:27">
      <c r="B59" s="357" t="s">
        <v>22</v>
      </c>
      <c r="C59" s="357"/>
      <c r="D59" s="357"/>
      <c r="E59" s="358">
        <f>T7</f>
        <v>1351099</v>
      </c>
      <c r="F59" s="358"/>
      <c r="G59" s="358"/>
      <c r="J59" s="41"/>
      <c r="K59" s="42"/>
      <c r="X59" s="38"/>
      <c r="Y59" s="38"/>
      <c r="AA59" s="38"/>
    </row>
    <row r="60" spans="1:27">
      <c r="B60" s="357" t="s">
        <v>24</v>
      </c>
      <c r="C60" s="357"/>
      <c r="D60" s="357"/>
      <c r="E60" s="358">
        <f>R9</f>
        <v>4037877</v>
      </c>
      <c r="F60" s="358"/>
      <c r="G60" s="358"/>
      <c r="J60" s="41"/>
      <c r="K60" s="42"/>
      <c r="X60" s="38"/>
      <c r="Y60" s="38"/>
      <c r="AA60" s="38"/>
    </row>
    <row r="61" spans="1:27">
      <c r="B61" s="357" t="s">
        <v>25</v>
      </c>
      <c r="C61" s="357"/>
      <c r="D61" s="357"/>
      <c r="E61" s="358">
        <f>R11</f>
        <v>5335164</v>
      </c>
      <c r="F61" s="358"/>
      <c r="G61" s="358"/>
      <c r="J61" s="41"/>
      <c r="K61" s="42"/>
      <c r="X61" s="38"/>
      <c r="Y61" s="38"/>
      <c r="AA61" s="38"/>
    </row>
    <row r="62" spans="1:27">
      <c r="B62" s="384" t="s">
        <v>5</v>
      </c>
      <c r="C62" s="384"/>
      <c r="D62" s="384"/>
      <c r="E62" s="358">
        <f>R13</f>
        <v>530577</v>
      </c>
      <c r="F62" s="358"/>
      <c r="G62" s="358"/>
      <c r="K62" s="42"/>
      <c r="X62" s="38"/>
      <c r="Y62" s="38"/>
      <c r="AA62" s="38"/>
    </row>
    <row r="63" spans="1:27">
      <c r="B63" s="357" t="s">
        <v>27</v>
      </c>
      <c r="C63" s="357"/>
      <c r="D63" s="357"/>
      <c r="E63" s="358">
        <f>R15</f>
        <v>2583343</v>
      </c>
      <c r="F63" s="358"/>
      <c r="G63" s="358"/>
      <c r="J63" s="41"/>
      <c r="K63" s="42"/>
      <c r="X63" s="38"/>
      <c r="Y63" s="38"/>
      <c r="AA63" s="38"/>
    </row>
    <row r="64" spans="1:27">
      <c r="B64" s="357" t="s">
        <v>78</v>
      </c>
      <c r="C64" s="357"/>
      <c r="D64" s="357"/>
      <c r="E64" s="358">
        <f>E21</f>
        <v>5949876</v>
      </c>
      <c r="F64" s="358"/>
      <c r="G64" s="358"/>
      <c r="J64" s="41"/>
      <c r="K64" s="42"/>
      <c r="X64" s="38"/>
      <c r="Y64" s="38"/>
      <c r="AA64" s="38"/>
    </row>
    <row r="65" spans="2:27">
      <c r="B65" s="357" t="s">
        <v>31</v>
      </c>
      <c r="C65" s="357"/>
      <c r="D65" s="357"/>
      <c r="E65" s="358">
        <f>P29</f>
        <v>144426</v>
      </c>
      <c r="F65" s="358"/>
      <c r="G65" s="358"/>
      <c r="J65" s="41"/>
      <c r="K65" s="42"/>
      <c r="X65" s="38"/>
      <c r="Y65" s="38"/>
      <c r="AA65" s="38"/>
    </row>
    <row r="66" spans="2:27">
      <c r="B66" s="357" t="s">
        <v>33</v>
      </c>
      <c r="C66" s="357"/>
      <c r="D66" s="357"/>
      <c r="E66" s="358">
        <f>S31</f>
        <v>713219</v>
      </c>
      <c r="F66" s="358"/>
      <c r="G66" s="358"/>
      <c r="J66" s="41"/>
      <c r="K66" s="42"/>
      <c r="X66" s="38"/>
      <c r="Y66" s="38"/>
      <c r="AA66" s="38"/>
    </row>
    <row r="67" spans="2:27">
      <c r="B67" s="357" t="s">
        <v>34</v>
      </c>
      <c r="C67" s="357"/>
      <c r="D67" s="357"/>
      <c r="E67" s="358">
        <f>R35</f>
        <v>9837141</v>
      </c>
      <c r="F67" s="358"/>
      <c r="G67" s="358"/>
      <c r="J67" s="41"/>
      <c r="K67" s="68"/>
      <c r="X67" s="38"/>
      <c r="Y67" s="38"/>
      <c r="AA67" s="38"/>
    </row>
    <row r="68" spans="2:27">
      <c r="B68" s="357" t="s">
        <v>36</v>
      </c>
      <c r="C68" s="357"/>
      <c r="D68" s="357"/>
      <c r="E68" s="358">
        <f>P37</f>
        <v>1604744</v>
      </c>
      <c r="F68" s="358"/>
      <c r="G68" s="358"/>
      <c r="J68" s="50"/>
      <c r="K68" s="42"/>
      <c r="X68" s="38"/>
      <c r="Y68" s="38"/>
      <c r="AA68" s="38"/>
    </row>
    <row r="69" spans="2:27">
      <c r="B69" s="357" t="s">
        <v>218</v>
      </c>
      <c r="C69" s="357"/>
      <c r="D69" s="357"/>
      <c r="E69" s="358">
        <f>T39</f>
        <v>8026</v>
      </c>
      <c r="F69" s="358"/>
      <c r="G69" s="358"/>
      <c r="J69" s="50"/>
      <c r="K69" s="42"/>
      <c r="X69" s="38"/>
      <c r="Y69" s="38"/>
      <c r="AA69" s="38"/>
    </row>
    <row r="70" spans="2:27">
      <c r="B70" s="357" t="s">
        <v>219</v>
      </c>
      <c r="C70" s="357"/>
      <c r="D70" s="357"/>
      <c r="E70" s="358">
        <f>T41</f>
        <v>120395</v>
      </c>
      <c r="F70" s="358"/>
      <c r="G70" s="358"/>
      <c r="J70" s="50"/>
      <c r="K70" s="42"/>
      <c r="X70" s="38"/>
      <c r="Y70" s="38"/>
      <c r="AA70" s="38"/>
    </row>
    <row r="71" spans="2:27">
      <c r="B71" s="366" t="s">
        <v>30</v>
      </c>
      <c r="C71" s="366"/>
      <c r="D71" s="366"/>
      <c r="E71" s="388">
        <v>27091244</v>
      </c>
      <c r="F71" s="388"/>
      <c r="G71" s="388"/>
      <c r="J71" s="41"/>
      <c r="K71" s="42"/>
      <c r="X71" s="38"/>
      <c r="Y71" s="38"/>
      <c r="AA71" s="38"/>
    </row>
    <row r="72" spans="2:27">
      <c r="B72" s="366" t="s">
        <v>179</v>
      </c>
      <c r="C72" s="366"/>
      <c r="D72" s="366"/>
      <c r="E72" s="388">
        <v>0</v>
      </c>
      <c r="F72" s="388"/>
      <c r="G72" s="388"/>
      <c r="J72" s="41"/>
      <c r="K72" s="42"/>
      <c r="X72" s="38"/>
      <c r="Y72" s="38"/>
      <c r="AA72" s="38"/>
    </row>
    <row r="73" spans="2:27">
      <c r="B73" s="387" t="s">
        <v>37</v>
      </c>
      <c r="C73" s="387"/>
      <c r="D73" s="387"/>
      <c r="E73" s="382">
        <f>SUM(E54:E72)</f>
        <v>263827303</v>
      </c>
      <c r="F73" s="382"/>
      <c r="G73" s="382"/>
      <c r="J73" s="60"/>
      <c r="K73" s="42"/>
      <c r="X73" s="38"/>
      <c r="Y73" s="38"/>
      <c r="AA73" s="38"/>
    </row>
    <row r="74" spans="2:27">
      <c r="B74" s="357" t="s">
        <v>39</v>
      </c>
      <c r="C74" s="357"/>
      <c r="D74" s="357"/>
      <c r="E74" s="358">
        <f>P43</f>
        <v>21106184</v>
      </c>
      <c r="F74" s="358"/>
      <c r="G74" s="358"/>
      <c r="J74" s="41"/>
      <c r="K74" s="42"/>
      <c r="X74" s="38"/>
      <c r="Y74" s="38"/>
      <c r="AA74" s="38"/>
    </row>
    <row r="75" spans="2:27">
      <c r="B75" s="357" t="s">
        <v>40</v>
      </c>
      <c r="C75" s="357"/>
      <c r="D75" s="357"/>
      <c r="E75" s="358">
        <f>E49</f>
        <v>35976439</v>
      </c>
      <c r="F75" s="358"/>
      <c r="G75" s="358"/>
      <c r="J75" s="41"/>
      <c r="K75" s="42"/>
      <c r="X75" s="38"/>
      <c r="Y75" s="38"/>
      <c r="AA75" s="38"/>
    </row>
    <row r="76" spans="2:27">
      <c r="B76" s="366" t="s">
        <v>184</v>
      </c>
      <c r="C76" s="366"/>
      <c r="D76" s="366"/>
      <c r="E76" s="388">
        <v>-35380</v>
      </c>
      <c r="F76" s="388"/>
      <c r="G76" s="388"/>
      <c r="J76" s="41"/>
      <c r="K76" s="42"/>
      <c r="X76" s="38"/>
      <c r="Y76" s="38"/>
      <c r="AA76" s="38"/>
    </row>
    <row r="77" spans="2:27">
      <c r="B77" s="366" t="s">
        <v>202</v>
      </c>
      <c r="C77" s="366"/>
      <c r="D77" s="366"/>
      <c r="E77" s="388">
        <v>0</v>
      </c>
      <c r="F77" s="388"/>
      <c r="G77" s="388"/>
      <c r="J77" s="41"/>
      <c r="K77" s="42"/>
      <c r="X77" s="38"/>
      <c r="Y77" s="38"/>
      <c r="AA77" s="38"/>
    </row>
    <row r="78" spans="2:27">
      <c r="B78" s="366" t="s">
        <v>182</v>
      </c>
      <c r="C78" s="366"/>
      <c r="D78" s="366"/>
      <c r="E78" s="388">
        <v>0</v>
      </c>
      <c r="F78" s="388"/>
      <c r="G78" s="388"/>
      <c r="J78" s="41"/>
      <c r="K78" s="42"/>
      <c r="X78" s="38"/>
      <c r="Y78" s="38"/>
      <c r="AA78" s="38"/>
    </row>
    <row r="79" spans="2:27">
      <c r="B79" s="387" t="s">
        <v>41</v>
      </c>
      <c r="C79" s="387"/>
      <c r="D79" s="387"/>
      <c r="E79" s="382">
        <f>SUM(E73:E78)</f>
        <v>320874546</v>
      </c>
      <c r="F79" s="382"/>
      <c r="G79" s="382"/>
      <c r="J79" s="41"/>
      <c r="K79" s="42"/>
      <c r="X79" s="38"/>
      <c r="Y79" s="38"/>
      <c r="AA79" s="38"/>
    </row>
    <row r="80" spans="2:27">
      <c r="B80" s="357" t="s">
        <v>42</v>
      </c>
      <c r="C80" s="357"/>
      <c r="D80" s="357"/>
      <c r="E80" s="358">
        <f>TRUNC(E79*0.1,0)</f>
        <v>32087454</v>
      </c>
      <c r="F80" s="358"/>
      <c r="G80" s="358"/>
      <c r="J80" s="41"/>
      <c r="K80" s="42"/>
      <c r="X80" s="38"/>
      <c r="Y80" s="38"/>
      <c r="AA80" s="38"/>
    </row>
    <row r="81" spans="2:27">
      <c r="B81" s="387" t="s">
        <v>43</v>
      </c>
      <c r="C81" s="387"/>
      <c r="D81" s="387"/>
      <c r="E81" s="382">
        <f>SUM(E79:E80)</f>
        <v>352962000</v>
      </c>
      <c r="F81" s="382"/>
      <c r="G81" s="382"/>
      <c r="J81" s="50"/>
      <c r="K81" s="42"/>
      <c r="X81" s="38"/>
      <c r="Y81" s="38"/>
      <c r="AA81" s="38"/>
    </row>
    <row r="82" spans="2:27">
      <c r="B82" s="366" t="s">
        <v>44</v>
      </c>
      <c r="C82" s="366"/>
      <c r="D82" s="366"/>
      <c r="E82" s="388"/>
      <c r="F82" s="388"/>
      <c r="G82" s="388"/>
      <c r="J82" s="60"/>
      <c r="K82" s="42"/>
      <c r="X82" s="38"/>
      <c r="Y82" s="38"/>
      <c r="AA82" s="38"/>
    </row>
    <row r="83" spans="2:27">
      <c r="B83" s="366" t="s">
        <v>45</v>
      </c>
      <c r="C83" s="366"/>
      <c r="D83" s="366"/>
      <c r="E83" s="388">
        <v>117372000</v>
      </c>
      <c r="F83" s="388"/>
      <c r="G83" s="388"/>
      <c r="H83" s="380">
        <f>E83-636230</f>
        <v>116735770</v>
      </c>
      <c r="I83" s="381"/>
      <c r="J83" s="381"/>
      <c r="K83" s="42" t="s">
        <v>46</v>
      </c>
    </row>
    <row r="84" spans="2:27">
      <c r="B84" s="366" t="s">
        <v>47</v>
      </c>
      <c r="C84" s="366"/>
      <c r="D84" s="366"/>
      <c r="E84" s="388">
        <v>0</v>
      </c>
      <c r="F84" s="388"/>
      <c r="G84" s="388"/>
      <c r="H84" s="378">
        <f>E84-0</f>
        <v>0</v>
      </c>
      <c r="I84" s="379"/>
      <c r="J84" s="379"/>
      <c r="K84" s="42" t="s">
        <v>46</v>
      </c>
    </row>
    <row r="85" spans="2:27">
      <c r="B85" s="387" t="s">
        <v>48</v>
      </c>
      <c r="C85" s="387"/>
      <c r="D85" s="387"/>
      <c r="E85" s="382">
        <f>SUM(E83:E84)</f>
        <v>117372000</v>
      </c>
      <c r="F85" s="382"/>
      <c r="G85" s="382"/>
      <c r="J85" s="41"/>
      <c r="K85" s="42"/>
    </row>
    <row r="86" spans="2:27">
      <c r="B86" s="387" t="s">
        <v>49</v>
      </c>
      <c r="C86" s="387"/>
      <c r="D86" s="387"/>
      <c r="E86" s="382">
        <f>SUM(E81,E82,E85)</f>
        <v>470334000</v>
      </c>
      <c r="F86" s="382"/>
      <c r="G86" s="382"/>
      <c r="K86" s="42"/>
    </row>
    <row r="87" spans="2:27">
      <c r="B87" s="39"/>
      <c r="C87" s="40"/>
      <c r="J87" s="41"/>
      <c r="K87" s="42"/>
    </row>
    <row r="88" spans="2:27">
      <c r="B88" s="386" t="s">
        <v>52</v>
      </c>
      <c r="C88" s="386"/>
      <c r="D88" s="386"/>
      <c r="J88" s="41"/>
      <c r="K88" s="42"/>
    </row>
    <row r="89" spans="2:27">
      <c r="B89" s="384" t="s">
        <v>54</v>
      </c>
      <c r="C89" s="384"/>
      <c r="D89" s="384"/>
      <c r="E89" s="375">
        <f>TRUNC((F47+I47-L47)*P47)</f>
        <v>35977290</v>
      </c>
      <c r="F89" s="375"/>
      <c r="G89" s="375"/>
      <c r="I89" s="396"/>
      <c r="J89" s="396"/>
      <c r="K89" s="187"/>
    </row>
    <row r="90" spans="2:27">
      <c r="B90" s="385" t="s">
        <v>55</v>
      </c>
      <c r="C90" s="385"/>
      <c r="D90" s="385"/>
      <c r="E90" s="358">
        <f>SUM(E73:G74,E71:G76,E89)</f>
        <v>668876567</v>
      </c>
      <c r="F90" s="358"/>
      <c r="G90" s="358"/>
      <c r="I90" s="396"/>
      <c r="J90" s="396"/>
      <c r="K90" s="188"/>
      <c r="L90" s="41"/>
    </row>
    <row r="91" spans="2:27">
      <c r="B91" s="384" t="s">
        <v>56</v>
      </c>
      <c r="C91" s="384"/>
      <c r="D91" s="384"/>
      <c r="E91" s="375">
        <f>I91/1.1</f>
        <v>850.90909090909088</v>
      </c>
      <c r="F91" s="375"/>
      <c r="G91" s="375"/>
      <c r="I91" s="397">
        <v>936</v>
      </c>
      <c r="J91" s="398"/>
      <c r="K91" s="186"/>
    </row>
    <row r="92" spans="2:27">
      <c r="B92" s="69"/>
      <c r="C92" s="58"/>
      <c r="J92" s="41"/>
      <c r="K92" s="42"/>
    </row>
    <row r="93" spans="2:27">
      <c r="B93" s="383"/>
      <c r="C93" s="383"/>
      <c r="D93" s="383"/>
      <c r="J93" s="41"/>
      <c r="K93" s="42"/>
    </row>
  </sheetData>
  <mergeCells count="140">
    <mergeCell ref="I90:J90"/>
    <mergeCell ref="I89:J89"/>
    <mergeCell ref="I91:J91"/>
    <mergeCell ref="O19:P19"/>
    <mergeCell ref="A1:V1"/>
    <mergeCell ref="R3:S3"/>
    <mergeCell ref="K3:L3"/>
    <mergeCell ref="O3:P3"/>
    <mergeCell ref="T5:U5"/>
    <mergeCell ref="T7:U7"/>
    <mergeCell ref="N5:O5"/>
    <mergeCell ref="N7:O7"/>
    <mergeCell ref="K5:L5"/>
    <mergeCell ref="E49:F49"/>
    <mergeCell ref="K15:L15"/>
    <mergeCell ref="K11:L11"/>
    <mergeCell ref="M23:N23"/>
    <mergeCell ref="I35:J35"/>
    <mergeCell ref="L25:M25"/>
    <mergeCell ref="I19:J19"/>
    <mergeCell ref="R47:S47"/>
    <mergeCell ref="K7:L7"/>
    <mergeCell ref="P43:Q43"/>
    <mergeCell ref="P37:Q37"/>
    <mergeCell ref="I25:J25"/>
    <mergeCell ref="R35:S35"/>
    <mergeCell ref="R11:S11"/>
    <mergeCell ref="K9:L9"/>
    <mergeCell ref="O9:P9"/>
    <mergeCell ref="O15:P15"/>
    <mergeCell ref="J43:K43"/>
    <mergeCell ref="J37:K37"/>
    <mergeCell ref="O13:P13"/>
    <mergeCell ref="R13:S13"/>
    <mergeCell ref="J29:K29"/>
    <mergeCell ref="P29:Q29"/>
    <mergeCell ref="K17:L17"/>
    <mergeCell ref="K13:L13"/>
    <mergeCell ref="R15:S15"/>
    <mergeCell ref="R25:S25"/>
    <mergeCell ref="R9:S9"/>
    <mergeCell ref="O11:P11"/>
    <mergeCell ref="F19:G19"/>
    <mergeCell ref="F35:G35"/>
    <mergeCell ref="L35:M35"/>
    <mergeCell ref="M31:N31"/>
    <mergeCell ref="S31:T31"/>
    <mergeCell ref="E21:F21"/>
    <mergeCell ref="F25:G25"/>
    <mergeCell ref="E27:F27"/>
    <mergeCell ref="H27:I27"/>
    <mergeCell ref="E59:G59"/>
    <mergeCell ref="E58:G58"/>
    <mergeCell ref="E57:G57"/>
    <mergeCell ref="E56:G56"/>
    <mergeCell ref="E55:G55"/>
    <mergeCell ref="E66:G66"/>
    <mergeCell ref="E62:G62"/>
    <mergeCell ref="E86:G86"/>
    <mergeCell ref="E85:G85"/>
    <mergeCell ref="E84:G84"/>
    <mergeCell ref="E83:G83"/>
    <mergeCell ref="E82:G82"/>
    <mergeCell ref="E81:G81"/>
    <mergeCell ref="B82:D82"/>
    <mergeCell ref="B81:D81"/>
    <mergeCell ref="E68:G68"/>
    <mergeCell ref="B63:D63"/>
    <mergeCell ref="E80:G80"/>
    <mergeCell ref="E79:G79"/>
    <mergeCell ref="E72:G72"/>
    <mergeCell ref="E75:G75"/>
    <mergeCell ref="E74:G74"/>
    <mergeCell ref="E71:G71"/>
    <mergeCell ref="B71:D71"/>
    <mergeCell ref="B76:D76"/>
    <mergeCell ref="B78:D78"/>
    <mergeCell ref="B77:D77"/>
    <mergeCell ref="E61:G61"/>
    <mergeCell ref="E60:G60"/>
    <mergeCell ref="E76:G76"/>
    <mergeCell ref="E78:G78"/>
    <mergeCell ref="E77:G77"/>
    <mergeCell ref="E65:G65"/>
    <mergeCell ref="B68:D68"/>
    <mergeCell ref="B67:D67"/>
    <mergeCell ref="B66:D66"/>
    <mergeCell ref="B65:D65"/>
    <mergeCell ref="B64:D64"/>
    <mergeCell ref="B79:D79"/>
    <mergeCell ref="B72:D72"/>
    <mergeCell ref="B75:D75"/>
    <mergeCell ref="B74:D74"/>
    <mergeCell ref="B73:D73"/>
    <mergeCell ref="B62:D62"/>
    <mergeCell ref="B61:D61"/>
    <mergeCell ref="B60:D60"/>
    <mergeCell ref="B59:D59"/>
    <mergeCell ref="B58:D58"/>
    <mergeCell ref="B57:D57"/>
    <mergeCell ref="B80:D80"/>
    <mergeCell ref="B93:D93"/>
    <mergeCell ref="B91:D91"/>
    <mergeCell ref="B90:D90"/>
    <mergeCell ref="B89:D89"/>
    <mergeCell ref="B88:D88"/>
    <mergeCell ref="B86:D86"/>
    <mergeCell ref="B85:D85"/>
    <mergeCell ref="B84:D84"/>
    <mergeCell ref="B83:D83"/>
    <mergeCell ref="E91:G91"/>
    <mergeCell ref="E90:G90"/>
    <mergeCell ref="E89:G89"/>
    <mergeCell ref="H56:J56"/>
    <mergeCell ref="H84:J84"/>
    <mergeCell ref="H83:J83"/>
    <mergeCell ref="E64:G64"/>
    <mergeCell ref="E73:G73"/>
    <mergeCell ref="E63:G63"/>
    <mergeCell ref="E67:G67"/>
    <mergeCell ref="T39:U39"/>
    <mergeCell ref="K41:L41"/>
    <mergeCell ref="N41:O41"/>
    <mergeCell ref="T41:U41"/>
    <mergeCell ref="H21:I21"/>
    <mergeCell ref="E54:G54"/>
    <mergeCell ref="E53:G53"/>
    <mergeCell ref="L47:M47"/>
    <mergeCell ref="I47:J47"/>
    <mergeCell ref="F47:G47"/>
    <mergeCell ref="B69:D69"/>
    <mergeCell ref="E69:G69"/>
    <mergeCell ref="B70:D70"/>
    <mergeCell ref="E70:G70"/>
    <mergeCell ref="K39:L39"/>
    <mergeCell ref="N39:O39"/>
    <mergeCell ref="B54:D54"/>
    <mergeCell ref="B53:D53"/>
    <mergeCell ref="B56:D56"/>
    <mergeCell ref="B55:D55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4" orientation="landscape" blackAndWhite="1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169</v>
      </c>
      <c r="C10" s="280" t="s">
        <v>170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D26" sqref="D26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171</v>
      </c>
      <c r="C10" s="280" t="s">
        <v>166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15"/>
  <sheetViews>
    <sheetView view="pageBreakPreview" zoomScaleNormal="100" workbookViewId="0">
      <selection activeCell="K30" sqref="K30"/>
    </sheetView>
  </sheetViews>
  <sheetFormatPr defaultRowHeight="11.25"/>
  <cols>
    <col min="1" max="1" width="13.88671875" style="239" customWidth="1"/>
    <col min="2" max="2" width="4.5546875" style="239" customWidth="1"/>
    <col min="3" max="7" width="8.5546875" style="239" customWidth="1"/>
    <col min="8" max="8" width="13.88671875" style="239" customWidth="1"/>
    <col min="9" max="16384" width="8.88671875" style="239"/>
  </cols>
  <sheetData>
    <row r="8" spans="2:7" ht="60" customHeight="1">
      <c r="B8" s="279"/>
      <c r="C8" s="279"/>
      <c r="D8" s="279"/>
      <c r="E8" s="279"/>
      <c r="F8" s="279"/>
      <c r="G8" s="279"/>
    </row>
    <row r="9" spans="2:7" ht="20.100000000000001" customHeight="1">
      <c r="B9" s="238"/>
      <c r="C9" s="238"/>
      <c r="D9" s="238"/>
      <c r="E9" s="238"/>
      <c r="F9" s="238"/>
      <c r="G9" s="238"/>
    </row>
    <row r="10" spans="2:7" ht="45" customHeight="1">
      <c r="B10" s="240" t="s">
        <v>172</v>
      </c>
      <c r="C10" s="280" t="s">
        <v>168</v>
      </c>
      <c r="D10" s="280"/>
      <c r="E10" s="280"/>
      <c r="F10" s="280"/>
      <c r="G10" s="280"/>
    </row>
    <row r="15" spans="2:7">
      <c r="B15" s="241"/>
    </row>
  </sheetData>
  <mergeCells count="2">
    <mergeCell ref="B8:G8"/>
    <mergeCell ref="C10:G10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이름이 지정된 범위</vt:lpstr>
      </vt:variant>
      <vt:variant>
        <vt:i4>13</vt:i4>
      </vt:variant>
    </vt:vector>
  </HeadingPairs>
  <TitlesOfParts>
    <vt:vector size="26" baseType="lpstr">
      <vt:lpstr>목차</vt:lpstr>
      <vt:lpstr>간지(1)</vt:lpstr>
      <vt:lpstr>설명서</vt:lpstr>
      <vt:lpstr>간지(2)</vt:lpstr>
      <vt:lpstr>간지(3)</vt:lpstr>
      <vt:lpstr>예정동원</vt:lpstr>
      <vt:lpstr>간지(4)</vt:lpstr>
      <vt:lpstr>갑지</vt:lpstr>
      <vt:lpstr>원가</vt:lpstr>
      <vt:lpstr>제경비</vt:lpstr>
      <vt:lpstr>간지(5)</vt:lpstr>
      <vt:lpstr>간지(6)</vt:lpstr>
      <vt:lpstr>간지(7)</vt:lpstr>
      <vt:lpstr>'간지(1)'!Print_Area</vt:lpstr>
      <vt:lpstr>'간지(2)'!Print_Area</vt:lpstr>
      <vt:lpstr>'간지(3)'!Print_Area</vt:lpstr>
      <vt:lpstr>'간지(4)'!Print_Area</vt:lpstr>
      <vt:lpstr>'간지(5)'!Print_Area</vt:lpstr>
      <vt:lpstr>'간지(6)'!Print_Area</vt:lpstr>
      <vt:lpstr>'간지(7)'!Print_Area</vt:lpstr>
      <vt:lpstr>갑지!Print_Area</vt:lpstr>
      <vt:lpstr>목차!Print_Area</vt:lpstr>
      <vt:lpstr>설명서!Print_Area</vt:lpstr>
      <vt:lpstr>예정동원!Print_Area</vt:lpstr>
      <vt:lpstr>원가!Print_Area</vt:lpstr>
      <vt:lpstr>제경비!Print_Area</vt:lpstr>
    </vt:vector>
  </TitlesOfParts>
  <Company>(주)진영엔지니어링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홍성일</dc:creator>
  <cp:lastModifiedBy>OWNER</cp:lastModifiedBy>
  <cp:lastPrinted>2026-03-10T06:25:27Z</cp:lastPrinted>
  <dcterms:created xsi:type="dcterms:W3CDTF">1999-04-27T10:27:59Z</dcterms:created>
  <dcterms:modified xsi:type="dcterms:W3CDTF">2026-06-29T06:07:56Z</dcterms:modified>
</cp:coreProperties>
</file>