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DD5C3D-0683-4051-95A5-935099658699}" xr6:coauthVersionLast="36" xr6:coauthVersionMax="36" xr10:uidLastSave="{00000000-0000-0000-0000-000000000000}"/>
  <bookViews>
    <workbookView xWindow="0" yWindow="0" windowWidth="4080" windowHeight="11670" tabRatio="852" activeTab="1" xr2:uid="{00000000-000D-0000-FFFF-FFFF00000000}"/>
  </bookViews>
  <sheets>
    <sheet name="갑지" sheetId="14" r:id="rId1"/>
    <sheet name="원가계산서" sheetId="12" r:id="rId2"/>
    <sheet name="집계표" sheetId="11" r:id="rId3"/>
    <sheet name="내역서" sheetId="10" r:id="rId4"/>
    <sheet name="일위대가목록" sheetId="9" r:id="rId5"/>
    <sheet name="일위대가표" sheetId="8" r:id="rId6"/>
    <sheet name="단가산출서목록" sheetId="7" r:id="rId7"/>
    <sheet name="단가산출서" sheetId="6" r:id="rId8"/>
    <sheet name="중기경비목록" sheetId="5" r:id="rId9"/>
    <sheet name="중기경비" sheetId="4" r:id="rId10"/>
    <sheet name="일위공량산출서" sheetId="3" r:id="rId11"/>
    <sheet name="단가대비표" sheetId="2" r:id="rId12"/>
    <sheet name="Sheet1" sheetId="1" r:id="rId13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" hidden="1">#REF!</definedName>
    <definedName name="_xlnm.Print_Area" localSheetId="0">갑지!$A$1:$P$21</definedName>
    <definedName name="_xlnm.Print_Area" localSheetId="3">내역서!$A$1:$M$116</definedName>
    <definedName name="_xlnm.Print_Area" localSheetId="11">단가대비표!$A$1:$P$68</definedName>
    <definedName name="_xlnm.Print_Area" localSheetId="7">단가산출서!$A$1:$F$52</definedName>
    <definedName name="_xlnm.Print_Area" localSheetId="6">단가산출서목록!$A$1:$N$20</definedName>
    <definedName name="_xlnm.Print_Area" localSheetId="1">원가계산서!$A$1:$F$38</definedName>
    <definedName name="_xlnm.Print_Area" localSheetId="10">일위공량산출서!$A$1:$M$89</definedName>
    <definedName name="_xlnm.Print_Area" localSheetId="4">일위대가목록!$A$1:$N$36</definedName>
    <definedName name="_xlnm.Print_Area" localSheetId="5">일위대가표!$A$1:$M$148</definedName>
    <definedName name="_xlnm.Print_Area" localSheetId="9">중기경비!$A$1:$M$132</definedName>
    <definedName name="_xlnm.Print_Area" localSheetId="8">중기경비목록!$A$1:$N$20</definedName>
    <definedName name="_xlnm.Print_Area" localSheetId="2">집계표!$A$1:$L$20</definedName>
    <definedName name="_xlnm.Print_Titles" localSheetId="3">내역서!$1:$4</definedName>
    <definedName name="_xlnm.Print_Titles" localSheetId="11">단가대비표!$1:$4</definedName>
    <definedName name="_xlnm.Print_Titles" localSheetId="7">단가산출서!$1:$4</definedName>
    <definedName name="_xlnm.Print_Titles" localSheetId="6">단가산출서목록!$1:$4</definedName>
    <definedName name="_xlnm.Print_Titles" localSheetId="1">원가계산서!$1:$4</definedName>
    <definedName name="_xlnm.Print_Titles" localSheetId="10">일위공량산출서!$1:$5</definedName>
    <definedName name="_xlnm.Print_Titles" localSheetId="4">일위대가목록!$1:$4</definedName>
    <definedName name="_xlnm.Print_Titles" localSheetId="5">일위대가표!$1:$4</definedName>
    <definedName name="_xlnm.Print_Titles" localSheetId="9">중기경비!$1:$4</definedName>
    <definedName name="_xlnm.Print_Titles" localSheetId="8">중기경비목록!$1:$4</definedName>
    <definedName name="_xlnm.Print_Titles" localSheetId="2">집계표!$1:$4</definedName>
    <definedName name="SO" hidden="1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2" l="1"/>
  <c r="D34" i="12" l="1"/>
  <c r="D30" i="12"/>
  <c r="D29" i="12"/>
  <c r="D26" i="12"/>
  <c r="D25" i="12"/>
  <c r="D23" i="12"/>
  <c r="D20" i="12"/>
  <c r="D17" i="12"/>
  <c r="D16" i="12"/>
  <c r="D15" i="12"/>
  <c r="D14" i="12"/>
  <c r="D13" i="12"/>
  <c r="D10" i="12"/>
  <c r="AV20" i="11"/>
  <c r="AW20" i="11"/>
  <c r="AX20" i="11"/>
  <c r="H10" i="11"/>
  <c r="I10" i="11" s="1"/>
  <c r="H116" i="10"/>
  <c r="F10" i="11" s="1"/>
  <c r="G10" i="11" s="1"/>
  <c r="J116" i="10"/>
  <c r="U116" i="10"/>
  <c r="T10" i="11" s="1"/>
  <c r="X116" i="10"/>
  <c r="W10" i="11" s="1"/>
  <c r="AC116" i="10"/>
  <c r="AB10" i="11" s="1"/>
  <c r="AF116" i="10"/>
  <c r="AE10" i="11" s="1"/>
  <c r="AG116" i="10"/>
  <c r="AF10" i="11" s="1"/>
  <c r="AI116" i="10"/>
  <c r="AH10" i="11" s="1"/>
  <c r="AJ116" i="10"/>
  <c r="AI10" i="11" s="1"/>
  <c r="AP116" i="10"/>
  <c r="AO10" i="11" s="1"/>
  <c r="AR116" i="10"/>
  <c r="AQ10" i="11" s="1"/>
  <c r="AS116" i="10"/>
  <c r="AR10" i="11" s="1"/>
  <c r="AV116" i="10"/>
  <c r="AU10" i="11" s="1"/>
  <c r="AW116" i="10"/>
  <c r="AX116" i="10"/>
  <c r="AY116" i="10"/>
  <c r="H102" i="10"/>
  <c r="J102" i="10"/>
  <c r="O102" i="10"/>
  <c r="R102" i="10"/>
  <c r="R116" i="10" s="1"/>
  <c r="Q10" i="11" s="1"/>
  <c r="S102" i="10"/>
  <c r="S116" i="10" s="1"/>
  <c r="R10" i="11" s="1"/>
  <c r="T102" i="10"/>
  <c r="T116" i="10" s="1"/>
  <c r="S10" i="11" s="1"/>
  <c r="U102" i="10"/>
  <c r="V102" i="10"/>
  <c r="V116" i="10" s="1"/>
  <c r="U10" i="11" s="1"/>
  <c r="W102" i="10"/>
  <c r="W116" i="10" s="1"/>
  <c r="V10" i="11" s="1"/>
  <c r="X102" i="10"/>
  <c r="Y102" i="10"/>
  <c r="Y116" i="10" s="1"/>
  <c r="X10" i="11" s="1"/>
  <c r="Z102" i="10"/>
  <c r="Z116" i="10" s="1"/>
  <c r="Y10" i="11" s="1"/>
  <c r="AA102" i="10"/>
  <c r="AA116" i="10" s="1"/>
  <c r="Z10" i="11" s="1"/>
  <c r="AC102" i="10"/>
  <c r="AD102" i="10"/>
  <c r="AD116" i="10" s="1"/>
  <c r="AC10" i="11" s="1"/>
  <c r="AE102" i="10"/>
  <c r="AE116" i="10" s="1"/>
  <c r="AD10" i="11" s="1"/>
  <c r="AF102" i="10"/>
  <c r="AG102" i="10"/>
  <c r="AH102" i="10"/>
  <c r="AH116" i="10" s="1"/>
  <c r="AG10" i="11" s="1"/>
  <c r="AI102" i="10"/>
  <c r="AJ102" i="10"/>
  <c r="AK102" i="10"/>
  <c r="AK116" i="10" s="1"/>
  <c r="AJ10" i="11" s="1"/>
  <c r="AL102" i="10"/>
  <c r="AL116" i="10" s="1"/>
  <c r="AK10" i="11" s="1"/>
  <c r="AM102" i="10"/>
  <c r="AM116" i="10" s="1"/>
  <c r="AL10" i="11" s="1"/>
  <c r="AN102" i="10"/>
  <c r="AN116" i="10" s="1"/>
  <c r="AM10" i="11" s="1"/>
  <c r="AO102" i="10"/>
  <c r="AO116" i="10" s="1"/>
  <c r="AN10" i="11" s="1"/>
  <c r="AP102" i="10"/>
  <c r="AQ102" i="10"/>
  <c r="AQ116" i="10" s="1"/>
  <c r="AP10" i="11" s="1"/>
  <c r="AR102" i="10"/>
  <c r="AS102" i="10"/>
  <c r="AT102" i="10"/>
  <c r="AT116" i="10" s="1"/>
  <c r="AS10" i="11" s="1"/>
  <c r="AU102" i="10"/>
  <c r="AU116" i="10" s="1"/>
  <c r="AT10" i="11" s="1"/>
  <c r="AI100" i="10"/>
  <c r="AH9" i="11" s="1"/>
  <c r="AV100" i="10"/>
  <c r="AU9" i="11" s="1"/>
  <c r="AW100" i="10"/>
  <c r="AX100" i="10"/>
  <c r="AY100" i="10"/>
  <c r="F96" i="10"/>
  <c r="H96" i="10"/>
  <c r="J96" i="10"/>
  <c r="K96" i="10"/>
  <c r="L96" i="10"/>
  <c r="AA96" i="10" s="1"/>
  <c r="O96" i="10"/>
  <c r="R96" i="10"/>
  <c r="S96" i="10"/>
  <c r="T96" i="10"/>
  <c r="U96" i="10"/>
  <c r="V96" i="10"/>
  <c r="W96" i="10"/>
  <c r="X96" i="10"/>
  <c r="Y96" i="10"/>
  <c r="Z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AT96" i="10"/>
  <c r="AU96" i="10"/>
  <c r="F95" i="10"/>
  <c r="L95" i="10" s="1"/>
  <c r="AA95" i="10" s="1"/>
  <c r="H95" i="10"/>
  <c r="J95" i="10"/>
  <c r="K95" i="10"/>
  <c r="O95" i="10"/>
  <c r="R95" i="10"/>
  <c r="S95" i="10"/>
  <c r="T95" i="10"/>
  <c r="U95" i="10"/>
  <c r="V95" i="10"/>
  <c r="W95" i="10"/>
  <c r="X95" i="10"/>
  <c r="Y95" i="10"/>
  <c r="Z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AT95" i="10"/>
  <c r="AU95" i="10"/>
  <c r="F94" i="10"/>
  <c r="H94" i="10"/>
  <c r="L94" i="10" s="1"/>
  <c r="AA94" i="10" s="1"/>
  <c r="J94" i="10"/>
  <c r="K94" i="10"/>
  <c r="O94" i="10"/>
  <c r="R94" i="10"/>
  <c r="S94" i="10"/>
  <c r="T94" i="10"/>
  <c r="U94" i="10"/>
  <c r="V94" i="10"/>
  <c r="W94" i="10"/>
  <c r="X94" i="10"/>
  <c r="Y94" i="10"/>
  <c r="Z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R100" i="10" s="1"/>
  <c r="AQ9" i="11" s="1"/>
  <c r="AS94" i="10"/>
  <c r="AT94" i="10"/>
  <c r="AU94" i="10"/>
  <c r="F93" i="10"/>
  <c r="H93" i="10"/>
  <c r="J93" i="10"/>
  <c r="L93" i="10" s="1"/>
  <c r="AA93" i="10" s="1"/>
  <c r="K93" i="10"/>
  <c r="O93" i="10"/>
  <c r="R93" i="10"/>
  <c r="S93" i="10"/>
  <c r="T93" i="10"/>
  <c r="U93" i="10"/>
  <c r="V93" i="10"/>
  <c r="W93" i="10"/>
  <c r="X93" i="10"/>
  <c r="Y93" i="10"/>
  <c r="Z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AT93" i="10"/>
  <c r="AU93" i="10"/>
  <c r="F92" i="10"/>
  <c r="L92" i="10" s="1"/>
  <c r="AA92" i="10" s="1"/>
  <c r="H92" i="10"/>
  <c r="J92" i="10"/>
  <c r="K92" i="10"/>
  <c r="O92" i="10"/>
  <c r="R92" i="10"/>
  <c r="S92" i="10"/>
  <c r="T92" i="10"/>
  <c r="U92" i="10"/>
  <c r="V92" i="10"/>
  <c r="W92" i="10"/>
  <c r="X92" i="10"/>
  <c r="Y92" i="10"/>
  <c r="Z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AT92" i="10"/>
  <c r="AU92" i="10"/>
  <c r="F91" i="10"/>
  <c r="H91" i="10"/>
  <c r="J91" i="10"/>
  <c r="K91" i="10"/>
  <c r="L91" i="10"/>
  <c r="AA91" i="10" s="1"/>
  <c r="O91" i="10"/>
  <c r="R91" i="10"/>
  <c r="S91" i="10"/>
  <c r="T91" i="10"/>
  <c r="U91" i="10"/>
  <c r="V91" i="10"/>
  <c r="W91" i="10"/>
  <c r="X91" i="10"/>
  <c r="Y91" i="10"/>
  <c r="Z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AT91" i="10"/>
  <c r="AU91" i="10"/>
  <c r="F90" i="10"/>
  <c r="L90" i="10" s="1"/>
  <c r="AA90" i="10" s="1"/>
  <c r="H90" i="10"/>
  <c r="J90" i="10"/>
  <c r="K90" i="10"/>
  <c r="O90" i="10"/>
  <c r="R90" i="10"/>
  <c r="S90" i="10"/>
  <c r="T90" i="10"/>
  <c r="U90" i="10"/>
  <c r="V90" i="10"/>
  <c r="W90" i="10"/>
  <c r="X90" i="10"/>
  <c r="Y90" i="10"/>
  <c r="Z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O100" i="10" s="1"/>
  <c r="AN9" i="11" s="1"/>
  <c r="AP90" i="10"/>
  <c r="AQ90" i="10"/>
  <c r="AR90" i="10"/>
  <c r="AS90" i="10"/>
  <c r="AT90" i="10"/>
  <c r="AU90" i="10"/>
  <c r="F89" i="10"/>
  <c r="H89" i="10"/>
  <c r="J89" i="10"/>
  <c r="L89" i="10" s="1"/>
  <c r="AA89" i="10" s="1"/>
  <c r="K89" i="10"/>
  <c r="O89" i="10"/>
  <c r="R89" i="10"/>
  <c r="S89" i="10"/>
  <c r="T89" i="10"/>
  <c r="U89" i="10"/>
  <c r="V89" i="10"/>
  <c r="W89" i="10"/>
  <c r="X89" i="10"/>
  <c r="Y89" i="10"/>
  <c r="Z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AT89" i="10"/>
  <c r="AU89" i="10"/>
  <c r="F88" i="10"/>
  <c r="H88" i="10"/>
  <c r="J88" i="10"/>
  <c r="K88" i="10"/>
  <c r="O88" i="10"/>
  <c r="R88" i="10"/>
  <c r="S88" i="10"/>
  <c r="T88" i="10"/>
  <c r="U88" i="10"/>
  <c r="V88" i="10"/>
  <c r="W88" i="10"/>
  <c r="X88" i="10"/>
  <c r="Y88" i="10"/>
  <c r="Z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AT88" i="10"/>
  <c r="AU88" i="10"/>
  <c r="F87" i="10"/>
  <c r="H87" i="10"/>
  <c r="J87" i="10"/>
  <c r="J100" i="10" s="1"/>
  <c r="H9" i="11" s="1"/>
  <c r="I9" i="11" s="1"/>
  <c r="K87" i="10"/>
  <c r="L87" i="10"/>
  <c r="AA87" i="10" s="1"/>
  <c r="O87" i="10"/>
  <c r="R87" i="10"/>
  <c r="R100" i="10" s="1"/>
  <c r="Q9" i="11" s="1"/>
  <c r="S87" i="10"/>
  <c r="T87" i="10"/>
  <c r="U87" i="10"/>
  <c r="V87" i="10"/>
  <c r="W87" i="10"/>
  <c r="X87" i="10"/>
  <c r="Y87" i="10"/>
  <c r="Y100" i="10" s="1"/>
  <c r="X9" i="11" s="1"/>
  <c r="Z87" i="10"/>
  <c r="Z100" i="10" s="1"/>
  <c r="Y9" i="11" s="1"/>
  <c r="AB87" i="10"/>
  <c r="AC87" i="10"/>
  <c r="AD87" i="10"/>
  <c r="AE87" i="10"/>
  <c r="AF87" i="10"/>
  <c r="AG87" i="10"/>
  <c r="AH87" i="10"/>
  <c r="AI87" i="10"/>
  <c r="AJ87" i="10"/>
  <c r="AK87" i="10"/>
  <c r="AK100" i="10" s="1"/>
  <c r="AJ9" i="11" s="1"/>
  <c r="AL87" i="10"/>
  <c r="AL100" i="10" s="1"/>
  <c r="AK9" i="11" s="1"/>
  <c r="AM87" i="10"/>
  <c r="AN87" i="10"/>
  <c r="AO87" i="10"/>
  <c r="AP87" i="10"/>
  <c r="AQ87" i="10"/>
  <c r="AR87" i="10"/>
  <c r="AS87" i="10"/>
  <c r="AS100" i="10" s="1"/>
  <c r="AR9" i="11" s="1"/>
  <c r="AT87" i="10"/>
  <c r="AT100" i="10" s="1"/>
  <c r="AS9" i="11" s="1"/>
  <c r="AU87" i="10"/>
  <c r="AU100" i="10" s="1"/>
  <c r="AT9" i="11" s="1"/>
  <c r="H86" i="10"/>
  <c r="H100" i="10" s="1"/>
  <c r="F9" i="11" s="1"/>
  <c r="G9" i="11" s="1"/>
  <c r="J86" i="10"/>
  <c r="O86" i="10"/>
  <c r="R86" i="10"/>
  <c r="S86" i="10"/>
  <c r="S100" i="10" s="1"/>
  <c r="R9" i="11" s="1"/>
  <c r="T86" i="10"/>
  <c r="T100" i="10" s="1"/>
  <c r="S9" i="11" s="1"/>
  <c r="U86" i="10"/>
  <c r="U100" i="10" s="1"/>
  <c r="T9" i="11" s="1"/>
  <c r="V86" i="10"/>
  <c r="V100" i="10" s="1"/>
  <c r="U9" i="11" s="1"/>
  <c r="W86" i="10"/>
  <c r="W100" i="10" s="1"/>
  <c r="V9" i="11" s="1"/>
  <c r="X86" i="10"/>
  <c r="X100" i="10" s="1"/>
  <c r="W9" i="11" s="1"/>
  <c r="Y86" i="10"/>
  <c r="Z86" i="10"/>
  <c r="AB86" i="10"/>
  <c r="AC86" i="10"/>
  <c r="AC100" i="10" s="1"/>
  <c r="AB9" i="11" s="1"/>
  <c r="AD86" i="10"/>
  <c r="AD100" i="10" s="1"/>
  <c r="AC9" i="11" s="1"/>
  <c r="AE86" i="10"/>
  <c r="AE100" i="10" s="1"/>
  <c r="AD9" i="11" s="1"/>
  <c r="AF86" i="10"/>
  <c r="AF100" i="10" s="1"/>
  <c r="AE9" i="11" s="1"/>
  <c r="AG86" i="10"/>
  <c r="AG100" i="10" s="1"/>
  <c r="AF9" i="11" s="1"/>
  <c r="AH86" i="10"/>
  <c r="AH100" i="10" s="1"/>
  <c r="AG9" i="11" s="1"/>
  <c r="AI86" i="10"/>
  <c r="AJ86" i="10"/>
  <c r="AK86" i="10"/>
  <c r="AL86" i="10"/>
  <c r="AM86" i="10"/>
  <c r="AM100" i="10" s="1"/>
  <c r="AL9" i="11" s="1"/>
  <c r="AN86" i="10"/>
  <c r="AN100" i="10" s="1"/>
  <c r="AM9" i="11" s="1"/>
  <c r="AO86" i="10"/>
  <c r="AP86" i="10"/>
  <c r="AP100" i="10" s="1"/>
  <c r="AO9" i="11" s="1"/>
  <c r="AQ86" i="10"/>
  <c r="AQ100" i="10" s="1"/>
  <c r="AP9" i="11" s="1"/>
  <c r="AR86" i="10"/>
  <c r="AS86" i="10"/>
  <c r="AT86" i="10"/>
  <c r="AU86" i="10"/>
  <c r="AH84" i="10"/>
  <c r="AG8" i="11" s="1"/>
  <c r="AK84" i="10"/>
  <c r="AJ8" i="11" s="1"/>
  <c r="AO84" i="10"/>
  <c r="AN8" i="11" s="1"/>
  <c r="AV84" i="10"/>
  <c r="AU8" i="11" s="1"/>
  <c r="AW84" i="10"/>
  <c r="AX84" i="10"/>
  <c r="AY84" i="10"/>
  <c r="F71" i="10"/>
  <c r="H71" i="10"/>
  <c r="I71" i="10"/>
  <c r="J71" i="10" s="1"/>
  <c r="L71" i="10" s="1"/>
  <c r="AG71" i="10" s="1"/>
  <c r="O71" i="10"/>
  <c r="R71" i="10"/>
  <c r="S71" i="10"/>
  <c r="S84" i="10" s="1"/>
  <c r="R8" i="11" s="1"/>
  <c r="T71" i="10"/>
  <c r="T84" i="10" s="1"/>
  <c r="S8" i="11" s="1"/>
  <c r="U71" i="10"/>
  <c r="V71" i="10"/>
  <c r="W71" i="10"/>
  <c r="X71" i="10"/>
  <c r="Y71" i="10"/>
  <c r="Z71" i="10"/>
  <c r="Z84" i="10" s="1"/>
  <c r="Y8" i="11" s="1"/>
  <c r="AA71" i="10"/>
  <c r="AB71" i="10"/>
  <c r="AB84" i="10" s="1"/>
  <c r="AA8" i="11" s="1"/>
  <c r="AC71" i="10"/>
  <c r="AC84" i="10" s="1"/>
  <c r="AB8" i="11" s="1"/>
  <c r="AD71" i="10"/>
  <c r="AD84" i="10" s="1"/>
  <c r="AC8" i="11" s="1"/>
  <c r="AE71" i="10"/>
  <c r="AE84" i="10" s="1"/>
  <c r="AD8" i="11" s="1"/>
  <c r="AF71" i="10"/>
  <c r="AH71" i="10"/>
  <c r="AI71" i="10"/>
  <c r="AJ71" i="10"/>
  <c r="AK71" i="10"/>
  <c r="AL71" i="10"/>
  <c r="AL84" i="10" s="1"/>
  <c r="AK8" i="11" s="1"/>
  <c r="AM71" i="10"/>
  <c r="AN71" i="10"/>
  <c r="AN84" i="10" s="1"/>
  <c r="AM8" i="11" s="1"/>
  <c r="AO71" i="10"/>
  <c r="AP71" i="10"/>
  <c r="AQ71" i="10"/>
  <c r="AR71" i="10"/>
  <c r="AS71" i="10"/>
  <c r="AT71" i="10"/>
  <c r="AU71" i="10"/>
  <c r="AU84" i="10" s="1"/>
  <c r="AT8" i="11" s="1"/>
  <c r="O70" i="10"/>
  <c r="R70" i="10"/>
  <c r="R84" i="10" s="1"/>
  <c r="Q8" i="11" s="1"/>
  <c r="S70" i="10"/>
  <c r="T70" i="10"/>
  <c r="U70" i="10"/>
  <c r="U84" i="10" s="1"/>
  <c r="T8" i="11" s="1"/>
  <c r="V70" i="10"/>
  <c r="V84" i="10" s="1"/>
  <c r="U8" i="11" s="1"/>
  <c r="W70" i="10"/>
  <c r="W84" i="10" s="1"/>
  <c r="V8" i="11" s="1"/>
  <c r="X70" i="10"/>
  <c r="X84" i="10" s="1"/>
  <c r="W8" i="11" s="1"/>
  <c r="Y70" i="10"/>
  <c r="Y84" i="10" s="1"/>
  <c r="X8" i="11" s="1"/>
  <c r="Z70" i="10"/>
  <c r="AA70" i="10"/>
  <c r="AA84" i="10" s="1"/>
  <c r="Z8" i="11" s="1"/>
  <c r="AB70" i="10"/>
  <c r="AC70" i="10"/>
  <c r="AD70" i="10"/>
  <c r="AE70" i="10"/>
  <c r="AF70" i="10"/>
  <c r="AF84" i="10" s="1"/>
  <c r="AE8" i="11" s="1"/>
  <c r="AH70" i="10"/>
  <c r="AI70" i="10"/>
  <c r="AJ70" i="10"/>
  <c r="AJ84" i="10" s="1"/>
  <c r="AI8" i="11" s="1"/>
  <c r="AK70" i="10"/>
  <c r="AL70" i="10"/>
  <c r="AM70" i="10"/>
  <c r="AM84" i="10" s="1"/>
  <c r="AL8" i="11" s="1"/>
  <c r="AN70" i="10"/>
  <c r="AO70" i="10"/>
  <c r="AP70" i="10"/>
  <c r="AP84" i="10" s="1"/>
  <c r="AO8" i="11" s="1"/>
  <c r="AQ70" i="10"/>
  <c r="AQ84" i="10" s="1"/>
  <c r="AP8" i="11" s="1"/>
  <c r="AR70" i="10"/>
  <c r="AR84" i="10" s="1"/>
  <c r="AQ8" i="11" s="1"/>
  <c r="AS70" i="10"/>
  <c r="AS84" i="10" s="1"/>
  <c r="AR8" i="11" s="1"/>
  <c r="AT70" i="10"/>
  <c r="AT84" i="10" s="1"/>
  <c r="AS8" i="11" s="1"/>
  <c r="AU70" i="10"/>
  <c r="Z68" i="10"/>
  <c r="Y7" i="11" s="1"/>
  <c r="AJ68" i="10"/>
  <c r="AI7" i="11" s="1"/>
  <c r="AT68" i="10"/>
  <c r="AS7" i="11" s="1"/>
  <c r="AV68" i="10"/>
  <c r="AU7" i="11" s="1"/>
  <c r="AW68" i="10"/>
  <c r="AX68" i="10"/>
  <c r="AY68" i="10"/>
  <c r="O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AT60" i="10"/>
  <c r="AU60" i="10"/>
  <c r="F59" i="10"/>
  <c r="L59" i="10" s="1"/>
  <c r="H59" i="10"/>
  <c r="J59" i="10"/>
  <c r="K59" i="10"/>
  <c r="O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AT59" i="10"/>
  <c r="AU59" i="10"/>
  <c r="O58" i="10"/>
  <c r="S58" i="10"/>
  <c r="T58" i="10"/>
  <c r="T68" i="10" s="1"/>
  <c r="S7" i="11" s="1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N68" i="10" s="1"/>
  <c r="AM7" i="11" s="1"/>
  <c r="AO58" i="10"/>
  <c r="AP58" i="10"/>
  <c r="AQ58" i="10"/>
  <c r="AR58" i="10"/>
  <c r="AS58" i="10"/>
  <c r="AT58" i="10"/>
  <c r="AU58" i="10"/>
  <c r="H57" i="10"/>
  <c r="J57" i="10"/>
  <c r="O57" i="10"/>
  <c r="R57" i="10"/>
  <c r="S57" i="10"/>
  <c r="T57" i="10"/>
  <c r="U57" i="10"/>
  <c r="V57" i="10"/>
  <c r="W57" i="10"/>
  <c r="W68" i="10" s="1"/>
  <c r="V7" i="11" s="1"/>
  <c r="X57" i="10"/>
  <c r="Y57" i="10"/>
  <c r="Z57" i="10"/>
  <c r="AA57" i="10"/>
  <c r="AB57" i="10"/>
  <c r="AC57" i="10"/>
  <c r="AD57" i="10"/>
  <c r="AD68" i="10" s="1"/>
  <c r="AC7" i="11" s="1"/>
  <c r="AE57" i="10"/>
  <c r="AF57" i="10"/>
  <c r="AG57" i="10"/>
  <c r="AG68" i="10" s="1"/>
  <c r="AF7" i="11" s="1"/>
  <c r="AH57" i="10"/>
  <c r="AI57" i="10"/>
  <c r="AJ57" i="10"/>
  <c r="AK57" i="10"/>
  <c r="AL57" i="10"/>
  <c r="AM57" i="10"/>
  <c r="AN57" i="10"/>
  <c r="AO57" i="10"/>
  <c r="AP57" i="10"/>
  <c r="AQ57" i="10"/>
  <c r="AQ68" i="10" s="1"/>
  <c r="AP7" i="11" s="1"/>
  <c r="AR57" i="10"/>
  <c r="AS57" i="10"/>
  <c r="AT57" i="10"/>
  <c r="AU57" i="10"/>
  <c r="O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E68" i="10" s="1"/>
  <c r="AD7" i="11" s="1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O55" i="10"/>
  <c r="S55" i="10"/>
  <c r="T55" i="10"/>
  <c r="U55" i="10"/>
  <c r="U68" i="10" s="1"/>
  <c r="T7" i="11" s="1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O68" i="10" s="1"/>
  <c r="AN7" i="11" s="1"/>
  <c r="AP55" i="10"/>
  <c r="AQ55" i="10"/>
  <c r="AR55" i="10"/>
  <c r="AS55" i="10"/>
  <c r="AT55" i="10"/>
  <c r="AU55" i="10"/>
  <c r="O54" i="10"/>
  <c r="S54" i="10"/>
  <c r="S68" i="10" s="1"/>
  <c r="R7" i="11" s="1"/>
  <c r="T54" i="10"/>
  <c r="U54" i="10"/>
  <c r="V54" i="10"/>
  <c r="V68" i="10" s="1"/>
  <c r="U7" i="11" s="1"/>
  <c r="W54" i="10"/>
  <c r="X54" i="10"/>
  <c r="X68" i="10" s="1"/>
  <c r="W7" i="11" s="1"/>
  <c r="Y54" i="10"/>
  <c r="Z54" i="10"/>
  <c r="AA54" i="10"/>
  <c r="AA68" i="10" s="1"/>
  <c r="Z7" i="11" s="1"/>
  <c r="AB54" i="10"/>
  <c r="AB68" i="10" s="1"/>
  <c r="AA7" i="11" s="1"/>
  <c r="AC54" i="10"/>
  <c r="AD54" i="10"/>
  <c r="AE54" i="10"/>
  <c r="AF54" i="10"/>
  <c r="AF68" i="10" s="1"/>
  <c r="AE7" i="11" s="1"/>
  <c r="AG54" i="10"/>
  <c r="AH54" i="10"/>
  <c r="AH68" i="10" s="1"/>
  <c r="AG7" i="11" s="1"/>
  <c r="AI54" i="10"/>
  <c r="AJ54" i="10"/>
  <c r="AK54" i="10"/>
  <c r="AK68" i="10" s="1"/>
  <c r="AJ7" i="11" s="1"/>
  <c r="AL54" i="10"/>
  <c r="AL68" i="10" s="1"/>
  <c r="AK7" i="11" s="1"/>
  <c r="AM54" i="10"/>
  <c r="AM68" i="10" s="1"/>
  <c r="AL7" i="11" s="1"/>
  <c r="AN54" i="10"/>
  <c r="AO54" i="10"/>
  <c r="AP54" i="10"/>
  <c r="AP68" i="10" s="1"/>
  <c r="AO7" i="11" s="1"/>
  <c r="AQ54" i="10"/>
  <c r="AR54" i="10"/>
  <c r="AR68" i="10" s="1"/>
  <c r="AQ7" i="11" s="1"/>
  <c r="AS54" i="10"/>
  <c r="AT54" i="10"/>
  <c r="AU54" i="10"/>
  <c r="AU68" i="10" s="1"/>
  <c r="AT7" i="11" s="1"/>
  <c r="AV52" i="10"/>
  <c r="AU6" i="11" s="1"/>
  <c r="AW52" i="10"/>
  <c r="AX52" i="10"/>
  <c r="AY52" i="10"/>
  <c r="O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I51" i="10"/>
  <c r="AJ51" i="10"/>
  <c r="AK51" i="10"/>
  <c r="AL51" i="10"/>
  <c r="AM51" i="10"/>
  <c r="AN51" i="10"/>
  <c r="AO51" i="10"/>
  <c r="AP51" i="10"/>
  <c r="AQ51" i="10"/>
  <c r="AR51" i="10"/>
  <c r="AS51" i="10"/>
  <c r="AT51" i="10"/>
  <c r="AU51" i="10"/>
  <c r="O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AT50" i="10"/>
  <c r="AU50" i="10"/>
  <c r="O49" i="10"/>
  <c r="S49" i="10"/>
  <c r="T49" i="10"/>
  <c r="U49" i="10"/>
  <c r="V49" i="10"/>
  <c r="W49" i="10"/>
  <c r="X49" i="10"/>
  <c r="Y49" i="10"/>
  <c r="Z49" i="10"/>
  <c r="AA49" i="10"/>
  <c r="AB49" i="10"/>
  <c r="AC49" i="10"/>
  <c r="AD49" i="10"/>
  <c r="AE49" i="10"/>
  <c r="AF49" i="10"/>
  <c r="AG49" i="10"/>
  <c r="AH49" i="10"/>
  <c r="AI49" i="10"/>
  <c r="AJ49" i="10"/>
  <c r="AK49" i="10"/>
  <c r="AL49" i="10"/>
  <c r="AM49" i="10"/>
  <c r="AN49" i="10"/>
  <c r="AO49" i="10"/>
  <c r="AP49" i="10"/>
  <c r="AQ49" i="10"/>
  <c r="AR49" i="10"/>
  <c r="AS49" i="10"/>
  <c r="AT49" i="10"/>
  <c r="AU49" i="10"/>
  <c r="H48" i="10"/>
  <c r="J48" i="10"/>
  <c r="R48" i="10" s="1"/>
  <c r="O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L52" i="10" s="1"/>
  <c r="AK6" i="11" s="1"/>
  <c r="AM48" i="10"/>
  <c r="AN48" i="10"/>
  <c r="AO48" i="10"/>
  <c r="AP48" i="10"/>
  <c r="AQ48" i="10"/>
  <c r="AR48" i="10"/>
  <c r="AS48" i="10"/>
  <c r="AT48" i="10"/>
  <c r="AU48" i="10"/>
  <c r="H47" i="10"/>
  <c r="J47" i="10"/>
  <c r="R47" i="10" s="1"/>
  <c r="O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AT47" i="10"/>
  <c r="AU47" i="10"/>
  <c r="O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E52" i="10" s="1"/>
  <c r="AD6" i="11" s="1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AT46" i="10"/>
  <c r="AU46" i="10"/>
  <c r="F45" i="10"/>
  <c r="L45" i="10" s="1"/>
  <c r="H45" i="10"/>
  <c r="J45" i="10"/>
  <c r="K45" i="10"/>
  <c r="O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AT45" i="10"/>
  <c r="AU45" i="10"/>
  <c r="J44" i="10"/>
  <c r="R44" i="10" s="1"/>
  <c r="O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AT44" i="10"/>
  <c r="AU44" i="10"/>
  <c r="O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AT43" i="10"/>
  <c r="AU43" i="10"/>
  <c r="O42" i="10"/>
  <c r="S42" i="10"/>
  <c r="T42" i="10"/>
  <c r="U42" i="10"/>
  <c r="V42" i="10"/>
  <c r="W42" i="10"/>
  <c r="X42" i="10"/>
  <c r="Y42" i="10"/>
  <c r="Z42" i="10"/>
  <c r="AA42" i="10"/>
  <c r="AB42" i="10"/>
  <c r="AB52" i="10" s="1"/>
  <c r="AA6" i="11" s="1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AT42" i="10"/>
  <c r="AU42" i="10"/>
  <c r="O41" i="10"/>
  <c r="S41" i="10"/>
  <c r="T41" i="10"/>
  <c r="U41" i="10"/>
  <c r="V41" i="10"/>
  <c r="W41" i="10"/>
  <c r="X41" i="10"/>
  <c r="Y41" i="10"/>
  <c r="Z41" i="10"/>
  <c r="AA41" i="10"/>
  <c r="AB41" i="10"/>
  <c r="AC41" i="10"/>
  <c r="AD41" i="10"/>
  <c r="AE41" i="10"/>
  <c r="AF41" i="10"/>
  <c r="AG41" i="10"/>
  <c r="AH41" i="10"/>
  <c r="AI41" i="10"/>
  <c r="AJ41" i="10"/>
  <c r="AK41" i="10"/>
  <c r="AL41" i="10"/>
  <c r="AM41" i="10"/>
  <c r="AN41" i="10"/>
  <c r="AO41" i="10"/>
  <c r="AP41" i="10"/>
  <c r="AQ41" i="10"/>
  <c r="AR41" i="10"/>
  <c r="AS41" i="10"/>
  <c r="AT41" i="10"/>
  <c r="AU41" i="10"/>
  <c r="O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AT40" i="10"/>
  <c r="AU40" i="10"/>
  <c r="O39" i="10"/>
  <c r="S39" i="10"/>
  <c r="T39" i="10"/>
  <c r="T52" i="10" s="1"/>
  <c r="S6" i="11" s="1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G52" i="10" s="1"/>
  <c r="AF6" i="11" s="1"/>
  <c r="AH39" i="10"/>
  <c r="AH52" i="10" s="1"/>
  <c r="AG6" i="11" s="1"/>
  <c r="AI39" i="10"/>
  <c r="AJ39" i="10"/>
  <c r="AK39" i="10"/>
  <c r="AL39" i="10"/>
  <c r="AM39" i="10"/>
  <c r="AN39" i="10"/>
  <c r="AN52" i="10" s="1"/>
  <c r="AM6" i="11" s="1"/>
  <c r="AO39" i="10"/>
  <c r="AP39" i="10"/>
  <c r="AQ39" i="10"/>
  <c r="AR39" i="10"/>
  <c r="AS39" i="10"/>
  <c r="AT39" i="10"/>
  <c r="AU39" i="10"/>
  <c r="O38" i="10"/>
  <c r="S38" i="10"/>
  <c r="S52" i="10" s="1"/>
  <c r="R6" i="11" s="1"/>
  <c r="T38" i="10"/>
  <c r="U38" i="10"/>
  <c r="U52" i="10" s="1"/>
  <c r="T6" i="11" s="1"/>
  <c r="V38" i="10"/>
  <c r="V52" i="10" s="1"/>
  <c r="U6" i="11" s="1"/>
  <c r="W38" i="10"/>
  <c r="X38" i="10"/>
  <c r="Y38" i="10"/>
  <c r="Z38" i="10"/>
  <c r="AA38" i="10"/>
  <c r="AA52" i="10" s="1"/>
  <c r="Z6" i="11" s="1"/>
  <c r="AB38" i="10"/>
  <c r="AC38" i="10"/>
  <c r="AD38" i="10"/>
  <c r="AE38" i="10"/>
  <c r="AF38" i="10"/>
  <c r="AG38" i="10"/>
  <c r="AH38" i="10"/>
  <c r="AI38" i="10"/>
  <c r="AI52" i="10" s="1"/>
  <c r="AH6" i="11" s="1"/>
  <c r="AJ38" i="10"/>
  <c r="AK38" i="10"/>
  <c r="AK52" i="10" s="1"/>
  <c r="AJ6" i="11" s="1"/>
  <c r="AL38" i="10"/>
  <c r="AM38" i="10"/>
  <c r="AM52" i="10" s="1"/>
  <c r="AL6" i="11" s="1"/>
  <c r="AN38" i="10"/>
  <c r="AO38" i="10"/>
  <c r="AO52" i="10" s="1"/>
  <c r="AN6" i="11" s="1"/>
  <c r="AP38" i="10"/>
  <c r="AP52" i="10" s="1"/>
  <c r="AO6" i="11" s="1"/>
  <c r="AQ38" i="10"/>
  <c r="AR38" i="10"/>
  <c r="AS38" i="10"/>
  <c r="AT38" i="10"/>
  <c r="AU38" i="10"/>
  <c r="AU52" i="10" s="1"/>
  <c r="AT6" i="11" s="1"/>
  <c r="AV36" i="10"/>
  <c r="AU5" i="11" s="1"/>
  <c r="AW36" i="10"/>
  <c r="AX36" i="10"/>
  <c r="AY36" i="10"/>
  <c r="O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AS21" i="10"/>
  <c r="AT21" i="10"/>
  <c r="AU21" i="10"/>
  <c r="F20" i="10"/>
  <c r="H20" i="10"/>
  <c r="J20" i="10"/>
  <c r="K20" i="10"/>
  <c r="O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AT20" i="10"/>
  <c r="AU20" i="10"/>
  <c r="O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AT19" i="10"/>
  <c r="AU19" i="10"/>
  <c r="E18" i="10"/>
  <c r="H18" i="10"/>
  <c r="J18" i="10"/>
  <c r="O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AT18" i="10"/>
  <c r="AU18" i="10"/>
  <c r="O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AT17" i="10"/>
  <c r="AU17" i="10"/>
  <c r="H16" i="10"/>
  <c r="J16" i="10"/>
  <c r="R16" i="10" s="1"/>
  <c r="O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AT16" i="10"/>
  <c r="AU16" i="10"/>
  <c r="F15" i="10"/>
  <c r="L15" i="10" s="1"/>
  <c r="H15" i="10"/>
  <c r="J15" i="10"/>
  <c r="K15" i="10"/>
  <c r="O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AT15" i="10"/>
  <c r="AU15" i="10"/>
  <c r="H14" i="10"/>
  <c r="J14" i="10"/>
  <c r="R14" i="10" s="1"/>
  <c r="O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AT14" i="10"/>
  <c r="AU14" i="10"/>
  <c r="F13" i="10"/>
  <c r="H13" i="10"/>
  <c r="J13" i="10"/>
  <c r="L13" i="10" s="1"/>
  <c r="K13" i="10"/>
  <c r="O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AT13" i="10"/>
  <c r="AU13" i="10"/>
  <c r="O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AT12" i="10"/>
  <c r="AU12" i="10"/>
  <c r="E11" i="10"/>
  <c r="K11" i="10" s="1"/>
  <c r="F11" i="10"/>
  <c r="L11" i="10" s="1"/>
  <c r="H11" i="10"/>
  <c r="J11" i="10"/>
  <c r="R11" i="10" s="1"/>
  <c r="O11" i="10"/>
  <c r="S11" i="10"/>
  <c r="S36" i="10" s="1"/>
  <c r="R5" i="11" s="1"/>
  <c r="R20" i="11" s="1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AT11" i="10"/>
  <c r="AU11" i="10"/>
  <c r="O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AT10" i="10"/>
  <c r="AU10" i="10"/>
  <c r="F9" i="10"/>
  <c r="H9" i="10"/>
  <c r="J9" i="10"/>
  <c r="K9" i="10"/>
  <c r="O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AO9" i="10"/>
  <c r="AP9" i="10"/>
  <c r="AQ9" i="10"/>
  <c r="AR9" i="10"/>
  <c r="AS9" i="10"/>
  <c r="AT9" i="10"/>
  <c r="AU9" i="10"/>
  <c r="O8" i="10"/>
  <c r="S8" i="10"/>
  <c r="T8" i="10"/>
  <c r="U8" i="10"/>
  <c r="V8" i="10"/>
  <c r="W8" i="10"/>
  <c r="X8" i="10"/>
  <c r="Y8" i="10"/>
  <c r="Z8" i="10"/>
  <c r="AA8" i="10"/>
  <c r="AB8" i="10"/>
  <c r="AB36" i="10" s="1"/>
  <c r="AA5" i="11" s="1"/>
  <c r="AC8" i="10"/>
  <c r="AD8" i="10"/>
  <c r="AE8" i="10"/>
  <c r="AF8" i="10"/>
  <c r="AG8" i="10"/>
  <c r="AH8" i="10"/>
  <c r="AI8" i="10"/>
  <c r="AJ8" i="10"/>
  <c r="AK8" i="10"/>
  <c r="AL8" i="10"/>
  <c r="AM8" i="10"/>
  <c r="AM36" i="10" s="1"/>
  <c r="AL5" i="11" s="1"/>
  <c r="AL20" i="11" s="1"/>
  <c r="AN8" i="10"/>
  <c r="AO8" i="10"/>
  <c r="AP8" i="10"/>
  <c r="AQ8" i="10"/>
  <c r="AR8" i="10"/>
  <c r="AS8" i="10"/>
  <c r="AT8" i="10"/>
  <c r="AU8" i="10"/>
  <c r="O7" i="10"/>
  <c r="S7" i="10"/>
  <c r="T7" i="10"/>
  <c r="U7" i="10"/>
  <c r="V7" i="10"/>
  <c r="W7" i="10"/>
  <c r="X7" i="10"/>
  <c r="Y7" i="10"/>
  <c r="Z7" i="10"/>
  <c r="Z36" i="10" s="1"/>
  <c r="Y5" i="11" s="1"/>
  <c r="AA7" i="10"/>
  <c r="AB7" i="10"/>
  <c r="AC7" i="10"/>
  <c r="AC36" i="10" s="1"/>
  <c r="AB5" i="11" s="1"/>
  <c r="AD7" i="10"/>
  <c r="AE7" i="10"/>
  <c r="AF7" i="10"/>
  <c r="AG7" i="10"/>
  <c r="AH7" i="10"/>
  <c r="AI7" i="10"/>
  <c r="AJ7" i="10"/>
  <c r="AJ36" i="10" s="1"/>
  <c r="AI5" i="11" s="1"/>
  <c r="AK7" i="10"/>
  <c r="AL7" i="10"/>
  <c r="AM7" i="10"/>
  <c r="AN7" i="10"/>
  <c r="AO7" i="10"/>
  <c r="AP7" i="10"/>
  <c r="AQ7" i="10"/>
  <c r="AR7" i="10"/>
  <c r="AS7" i="10"/>
  <c r="AT7" i="10"/>
  <c r="AT36" i="10" s="1"/>
  <c r="AS5" i="11" s="1"/>
  <c r="AU7" i="10"/>
  <c r="O6" i="10"/>
  <c r="S6" i="10"/>
  <c r="T6" i="10"/>
  <c r="U6" i="10"/>
  <c r="U36" i="10" s="1"/>
  <c r="T5" i="11" s="1"/>
  <c r="V6" i="10"/>
  <c r="V36" i="10" s="1"/>
  <c r="U5" i="11" s="1"/>
  <c r="U20" i="11" s="1"/>
  <c r="W6" i="10"/>
  <c r="X6" i="10"/>
  <c r="Y6" i="10"/>
  <c r="Z6" i="10"/>
  <c r="AA6" i="10"/>
  <c r="AB6" i="10"/>
  <c r="AC6" i="10"/>
  <c r="AD6" i="10"/>
  <c r="AE6" i="10"/>
  <c r="AF6" i="10"/>
  <c r="AG6" i="10"/>
  <c r="AG36" i="10" s="1"/>
  <c r="AF5" i="11" s="1"/>
  <c r="AH6" i="10"/>
  <c r="AI6" i="10"/>
  <c r="AI36" i="10" s="1"/>
  <c r="AH5" i="11" s="1"/>
  <c r="AJ6" i="10"/>
  <c r="AK6" i="10"/>
  <c r="AK36" i="10" s="1"/>
  <c r="AJ5" i="11" s="1"/>
  <c r="AL6" i="10"/>
  <c r="AM6" i="10"/>
  <c r="AN6" i="10"/>
  <c r="AO6" i="10"/>
  <c r="AO36" i="10" s="1"/>
  <c r="AN5" i="11" s="1"/>
  <c r="AP6" i="10"/>
  <c r="AP36" i="10" s="1"/>
  <c r="AO5" i="11" s="1"/>
  <c r="AO20" i="11" s="1"/>
  <c r="AQ6" i="10"/>
  <c r="AR6" i="10"/>
  <c r="AS6" i="10"/>
  <c r="AT6" i="10"/>
  <c r="AU6" i="10"/>
  <c r="J19" i="9"/>
  <c r="K19" i="9"/>
  <c r="I50" i="10" s="1"/>
  <c r="J50" i="10" s="1"/>
  <c r="R50" i="10" s="1"/>
  <c r="J5" i="9"/>
  <c r="K5" i="9" s="1"/>
  <c r="I7" i="10" s="1"/>
  <c r="J7" i="10" s="1"/>
  <c r="R7" i="10" s="1"/>
  <c r="F143" i="8"/>
  <c r="F144" i="8" s="1"/>
  <c r="H143" i="8"/>
  <c r="H144" i="8" s="1"/>
  <c r="H24" i="9" s="1"/>
  <c r="I24" i="9" s="1"/>
  <c r="G70" i="10" s="1"/>
  <c r="H70" i="10" s="1"/>
  <c r="H84" i="10" s="1"/>
  <c r="F8" i="11" s="1"/>
  <c r="G8" i="11" s="1"/>
  <c r="K143" i="8"/>
  <c r="B139" i="8"/>
  <c r="G138" i="8"/>
  <c r="D137" i="8"/>
  <c r="H137" i="8"/>
  <c r="B133" i="8"/>
  <c r="D131" i="8"/>
  <c r="J131" i="8"/>
  <c r="F127" i="8"/>
  <c r="J127" i="8"/>
  <c r="J128" i="8" s="1"/>
  <c r="J21" i="9" s="1"/>
  <c r="K21" i="9" s="1"/>
  <c r="I54" i="10" s="1"/>
  <c r="J54" i="10" s="1"/>
  <c r="F126" i="8"/>
  <c r="G126" i="8"/>
  <c r="J126" i="8"/>
  <c r="F125" i="8"/>
  <c r="J125" i="8"/>
  <c r="F124" i="8"/>
  <c r="J124" i="8"/>
  <c r="K124" i="8"/>
  <c r="B120" i="8"/>
  <c r="G119" i="8"/>
  <c r="E117" i="8"/>
  <c r="B113" i="8"/>
  <c r="F112" i="8"/>
  <c r="G112" i="8"/>
  <c r="H112" i="8" s="1"/>
  <c r="L112" i="8" s="1"/>
  <c r="J112" i="8"/>
  <c r="F111" i="8"/>
  <c r="J111" i="8"/>
  <c r="J114" i="8" s="1"/>
  <c r="B107" i="8"/>
  <c r="F106" i="8"/>
  <c r="G106" i="8"/>
  <c r="J106" i="8"/>
  <c r="F105" i="8"/>
  <c r="G105" i="8"/>
  <c r="J105" i="8"/>
  <c r="J108" i="8" s="1"/>
  <c r="J18" i="9" s="1"/>
  <c r="K18" i="9" s="1"/>
  <c r="I49" i="10" s="1"/>
  <c r="J49" i="10" s="1"/>
  <c r="R49" i="10" s="1"/>
  <c r="B101" i="8"/>
  <c r="G100" i="8"/>
  <c r="D99" i="8"/>
  <c r="E99" i="8"/>
  <c r="F99" i="8" s="1"/>
  <c r="K99" i="8"/>
  <c r="J96" i="8"/>
  <c r="J16" i="9" s="1"/>
  <c r="K16" i="9" s="1"/>
  <c r="I44" i="10" s="1"/>
  <c r="F95" i="8"/>
  <c r="G95" i="8"/>
  <c r="H95" i="8" s="1"/>
  <c r="J95" i="8"/>
  <c r="K95" i="8"/>
  <c r="F94" i="8"/>
  <c r="J94" i="8"/>
  <c r="B93" i="8"/>
  <c r="H92" i="8"/>
  <c r="J92" i="8"/>
  <c r="E91" i="8"/>
  <c r="F91" i="8" s="1"/>
  <c r="H91" i="8"/>
  <c r="J91" i="8"/>
  <c r="K91" i="8"/>
  <c r="B87" i="8"/>
  <c r="D86" i="8"/>
  <c r="F86" i="8" s="1"/>
  <c r="B85" i="8"/>
  <c r="B80" i="8"/>
  <c r="F79" i="8"/>
  <c r="J79" i="8"/>
  <c r="B78" i="8"/>
  <c r="H77" i="8"/>
  <c r="J77" i="8"/>
  <c r="H76" i="8"/>
  <c r="J76" i="8"/>
  <c r="J81" i="8" s="1"/>
  <c r="J14" i="9" s="1"/>
  <c r="K14" i="9" s="1"/>
  <c r="I42" i="10" s="1"/>
  <c r="J42" i="10" s="1"/>
  <c r="R42" i="10" s="1"/>
  <c r="B72" i="8"/>
  <c r="B70" i="8"/>
  <c r="B65" i="8"/>
  <c r="J64" i="8"/>
  <c r="B63" i="8"/>
  <c r="D62" i="8"/>
  <c r="H62" i="8"/>
  <c r="H66" i="8" s="1"/>
  <c r="H12" i="9" s="1"/>
  <c r="I12" i="9" s="1"/>
  <c r="G40" i="10" s="1"/>
  <c r="H40" i="10" s="1"/>
  <c r="B58" i="8"/>
  <c r="J57" i="8"/>
  <c r="B56" i="8"/>
  <c r="B55" i="8"/>
  <c r="D54" i="8"/>
  <c r="J54" i="8" s="1"/>
  <c r="H54" i="8"/>
  <c r="B50" i="8"/>
  <c r="G49" i="8"/>
  <c r="B47" i="8"/>
  <c r="B46" i="8"/>
  <c r="F41" i="8"/>
  <c r="G41" i="8"/>
  <c r="J41" i="8"/>
  <c r="F40" i="8"/>
  <c r="F42" i="8" s="1"/>
  <c r="J40" i="8"/>
  <c r="J42" i="8" s="1"/>
  <c r="J9" i="9" s="1"/>
  <c r="K9" i="9" s="1"/>
  <c r="I19" i="10" s="1"/>
  <c r="J19" i="10" s="1"/>
  <c r="R19" i="10" s="1"/>
  <c r="B36" i="8"/>
  <c r="B35" i="8"/>
  <c r="B34" i="8"/>
  <c r="F33" i="8"/>
  <c r="J33" i="8"/>
  <c r="F32" i="8"/>
  <c r="G32" i="8"/>
  <c r="J32" i="8"/>
  <c r="F31" i="8"/>
  <c r="J31" i="8"/>
  <c r="F30" i="8"/>
  <c r="G30" i="8"/>
  <c r="H30" i="8" s="1"/>
  <c r="J30" i="8"/>
  <c r="J37" i="8" s="1"/>
  <c r="J8" i="9" s="1"/>
  <c r="K8" i="9" s="1"/>
  <c r="I17" i="10" s="1"/>
  <c r="J17" i="10" s="1"/>
  <c r="R17" i="10" s="1"/>
  <c r="F22" i="8"/>
  <c r="J22" i="8"/>
  <c r="F21" i="8"/>
  <c r="G21" i="8"/>
  <c r="J21" i="8"/>
  <c r="B16" i="8"/>
  <c r="B15" i="8"/>
  <c r="F12" i="8"/>
  <c r="G12" i="8"/>
  <c r="K12" i="8" s="1"/>
  <c r="J12" i="8"/>
  <c r="F11" i="8"/>
  <c r="G11" i="8"/>
  <c r="H11" i="8" s="1"/>
  <c r="J11" i="8"/>
  <c r="K11" i="8"/>
  <c r="J8" i="8"/>
  <c r="B7" i="8"/>
  <c r="F6" i="8"/>
  <c r="G6" i="8"/>
  <c r="J6" i="8"/>
  <c r="L43" i="6"/>
  <c r="N43" i="6"/>
  <c r="A43" i="6" s="1"/>
  <c r="A38" i="6"/>
  <c r="L29" i="6"/>
  <c r="A29" i="6" s="1"/>
  <c r="A23" i="6"/>
  <c r="L19" i="6"/>
  <c r="L18" i="6"/>
  <c r="A18" i="6" s="1"/>
  <c r="A17" i="6"/>
  <c r="A16" i="6"/>
  <c r="A15" i="6"/>
  <c r="N13" i="6"/>
  <c r="A13" i="6" s="1"/>
  <c r="N12" i="6"/>
  <c r="A12" i="6" s="1"/>
  <c r="A6" i="6"/>
  <c r="F130" i="4"/>
  <c r="K130" i="4"/>
  <c r="F129" i="4"/>
  <c r="J129" i="4"/>
  <c r="J130" i="4" s="1"/>
  <c r="F128" i="4"/>
  <c r="H128" i="4"/>
  <c r="J128" i="4"/>
  <c r="K128" i="4"/>
  <c r="L128" i="4"/>
  <c r="K127" i="4"/>
  <c r="B126" i="4"/>
  <c r="E125" i="4"/>
  <c r="F125" i="4" s="1"/>
  <c r="H125" i="4"/>
  <c r="H127" i="4" s="1"/>
  <c r="J125" i="4"/>
  <c r="J127" i="4" s="1"/>
  <c r="F124" i="4"/>
  <c r="H124" i="4"/>
  <c r="L124" i="4" s="1"/>
  <c r="J124" i="4"/>
  <c r="K124" i="4"/>
  <c r="F123" i="4"/>
  <c r="K123" i="4"/>
  <c r="F122" i="4"/>
  <c r="H122" i="4"/>
  <c r="I122" i="4"/>
  <c r="J122" i="4" s="1"/>
  <c r="L122" i="4" s="1"/>
  <c r="F121" i="4"/>
  <c r="H121" i="4"/>
  <c r="H123" i="4" s="1"/>
  <c r="F120" i="4"/>
  <c r="H120" i="4"/>
  <c r="L120" i="4" s="1"/>
  <c r="J120" i="4"/>
  <c r="K120" i="4"/>
  <c r="K116" i="4"/>
  <c r="F115" i="4"/>
  <c r="F116" i="4" s="1"/>
  <c r="J115" i="4"/>
  <c r="J116" i="4" s="1"/>
  <c r="F114" i="4"/>
  <c r="H114" i="4"/>
  <c r="J114" i="4"/>
  <c r="K114" i="4"/>
  <c r="H113" i="4"/>
  <c r="J113" i="4"/>
  <c r="K113" i="4"/>
  <c r="B112" i="4"/>
  <c r="E111" i="4"/>
  <c r="F111" i="4" s="1"/>
  <c r="H111" i="4"/>
  <c r="J111" i="4"/>
  <c r="K111" i="4"/>
  <c r="F110" i="4"/>
  <c r="H110" i="4"/>
  <c r="J110" i="4"/>
  <c r="L110" i="4" s="1"/>
  <c r="K110" i="4"/>
  <c r="H109" i="4"/>
  <c r="K109" i="4"/>
  <c r="F108" i="4"/>
  <c r="H108" i="4"/>
  <c r="I108" i="4"/>
  <c r="J108" i="4" s="1"/>
  <c r="K108" i="4"/>
  <c r="F107" i="4"/>
  <c r="H107" i="4"/>
  <c r="J107" i="4"/>
  <c r="K107" i="4"/>
  <c r="K103" i="4"/>
  <c r="F102" i="4"/>
  <c r="F103" i="4" s="1"/>
  <c r="J102" i="4"/>
  <c r="J103" i="4" s="1"/>
  <c r="F101" i="4"/>
  <c r="H101" i="4"/>
  <c r="L101" i="4" s="1"/>
  <c r="J101" i="4"/>
  <c r="K101" i="4"/>
  <c r="J100" i="4"/>
  <c r="K100" i="4"/>
  <c r="B99" i="4"/>
  <c r="H98" i="4"/>
  <c r="H100" i="4" s="1"/>
  <c r="J98" i="4"/>
  <c r="F97" i="4"/>
  <c r="L97" i="4" s="1"/>
  <c r="H97" i="4"/>
  <c r="J97" i="4"/>
  <c r="K97" i="4"/>
  <c r="K96" i="4"/>
  <c r="F95" i="4"/>
  <c r="H95" i="4"/>
  <c r="H96" i="4" s="1"/>
  <c r="F94" i="4"/>
  <c r="H94" i="4"/>
  <c r="J94" i="4"/>
  <c r="K94" i="4"/>
  <c r="L94" i="4"/>
  <c r="J90" i="4"/>
  <c r="K90" i="4"/>
  <c r="B89" i="4"/>
  <c r="H88" i="4"/>
  <c r="H90" i="4" s="1"/>
  <c r="J88" i="4"/>
  <c r="F87" i="4"/>
  <c r="H87" i="4"/>
  <c r="J87" i="4"/>
  <c r="K87" i="4"/>
  <c r="L87" i="4"/>
  <c r="F86" i="4"/>
  <c r="K86" i="4"/>
  <c r="F85" i="4"/>
  <c r="H85" i="4"/>
  <c r="F84" i="4"/>
  <c r="H84" i="4"/>
  <c r="J84" i="4"/>
  <c r="K84" i="4"/>
  <c r="L84" i="4"/>
  <c r="F80" i="4"/>
  <c r="K80" i="4"/>
  <c r="F79" i="4"/>
  <c r="J79" i="4"/>
  <c r="J80" i="4" s="1"/>
  <c r="F78" i="4"/>
  <c r="H78" i="4"/>
  <c r="J78" i="4"/>
  <c r="K78" i="4"/>
  <c r="K77" i="4"/>
  <c r="B76" i="4"/>
  <c r="E75" i="4"/>
  <c r="K75" i="4" s="1"/>
  <c r="F75" i="4"/>
  <c r="H75" i="4"/>
  <c r="H77" i="4" s="1"/>
  <c r="J75" i="4"/>
  <c r="J77" i="4" s="1"/>
  <c r="F74" i="4"/>
  <c r="L74" i="4" s="1"/>
  <c r="H74" i="4"/>
  <c r="J74" i="4"/>
  <c r="K74" i="4"/>
  <c r="K73" i="4"/>
  <c r="F72" i="4"/>
  <c r="H72" i="4"/>
  <c r="H73" i="4" s="1"/>
  <c r="F71" i="4"/>
  <c r="H71" i="4"/>
  <c r="L71" i="4" s="1"/>
  <c r="J71" i="4"/>
  <c r="K71" i="4"/>
  <c r="F67" i="4"/>
  <c r="K67" i="4"/>
  <c r="F66" i="4"/>
  <c r="J66" i="4"/>
  <c r="J67" i="4" s="1"/>
  <c r="F65" i="4"/>
  <c r="H65" i="4"/>
  <c r="J65" i="4"/>
  <c r="L65" i="4" s="1"/>
  <c r="K65" i="4"/>
  <c r="J64" i="4"/>
  <c r="K64" i="4"/>
  <c r="B63" i="4"/>
  <c r="H62" i="4"/>
  <c r="H64" i="4" s="1"/>
  <c r="J62" i="4"/>
  <c r="F61" i="4"/>
  <c r="H61" i="4"/>
  <c r="J61" i="4"/>
  <c r="K61" i="4"/>
  <c r="K60" i="4"/>
  <c r="F59" i="4"/>
  <c r="F60" i="4" s="1"/>
  <c r="H59" i="4"/>
  <c r="H60" i="4" s="1"/>
  <c r="F58" i="4"/>
  <c r="H58" i="4"/>
  <c r="L58" i="4" s="1"/>
  <c r="J58" i="4"/>
  <c r="K58" i="4"/>
  <c r="K54" i="4"/>
  <c r="F53" i="4"/>
  <c r="F54" i="4" s="1"/>
  <c r="J53" i="4"/>
  <c r="F52" i="4"/>
  <c r="H52" i="4"/>
  <c r="J52" i="4"/>
  <c r="K52" i="4"/>
  <c r="L52" i="4"/>
  <c r="H51" i="4"/>
  <c r="K51" i="4"/>
  <c r="B50" i="4"/>
  <c r="E49" i="4"/>
  <c r="H49" i="4"/>
  <c r="J49" i="4"/>
  <c r="J51" i="4" s="1"/>
  <c r="F48" i="4"/>
  <c r="H48" i="4"/>
  <c r="J48" i="4"/>
  <c r="K48" i="4"/>
  <c r="L48" i="4"/>
  <c r="J47" i="4"/>
  <c r="K47" i="4"/>
  <c r="F46" i="4"/>
  <c r="F47" i="4" s="1"/>
  <c r="L47" i="4" s="1"/>
  <c r="H46" i="4"/>
  <c r="H47" i="4" s="1"/>
  <c r="I46" i="4"/>
  <c r="J46" i="4" s="1"/>
  <c r="F45" i="4"/>
  <c r="H45" i="4"/>
  <c r="J45" i="4"/>
  <c r="K45" i="4"/>
  <c r="L45" i="4"/>
  <c r="K41" i="4"/>
  <c r="F40" i="4"/>
  <c r="F41" i="4" s="1"/>
  <c r="J40" i="4"/>
  <c r="J41" i="4" s="1"/>
  <c r="F39" i="4"/>
  <c r="H39" i="4"/>
  <c r="J39" i="4"/>
  <c r="L39" i="4" s="1"/>
  <c r="K39" i="4"/>
  <c r="J38" i="4"/>
  <c r="K38" i="4"/>
  <c r="B37" i="4"/>
  <c r="H36" i="4"/>
  <c r="H38" i="4" s="1"/>
  <c r="J36" i="4"/>
  <c r="F35" i="4"/>
  <c r="L35" i="4" s="1"/>
  <c r="H35" i="4"/>
  <c r="J35" i="4"/>
  <c r="K35" i="4"/>
  <c r="H34" i="4"/>
  <c r="J34" i="4"/>
  <c r="K34" i="4"/>
  <c r="F33" i="4"/>
  <c r="H33" i="4"/>
  <c r="F32" i="4"/>
  <c r="H32" i="4"/>
  <c r="J32" i="4"/>
  <c r="K32" i="4"/>
  <c r="F28" i="4"/>
  <c r="K28" i="4"/>
  <c r="F27" i="4"/>
  <c r="J27" i="4"/>
  <c r="J28" i="4" s="1"/>
  <c r="F26" i="4"/>
  <c r="H26" i="4"/>
  <c r="J26" i="4"/>
  <c r="K26" i="4"/>
  <c r="J25" i="4"/>
  <c r="K25" i="4"/>
  <c r="B24" i="4"/>
  <c r="H23" i="4"/>
  <c r="H25" i="4" s="1"/>
  <c r="J23" i="4"/>
  <c r="F22" i="4"/>
  <c r="L22" i="4" s="1"/>
  <c r="H22" i="4"/>
  <c r="J22" i="4"/>
  <c r="K22" i="4"/>
  <c r="H21" i="4"/>
  <c r="J21" i="4"/>
  <c r="K21" i="4"/>
  <c r="F20" i="4"/>
  <c r="H20" i="4"/>
  <c r="F19" i="4"/>
  <c r="H19" i="4"/>
  <c r="J19" i="4"/>
  <c r="L19" i="4" s="1"/>
  <c r="K19" i="4"/>
  <c r="F15" i="4"/>
  <c r="K15" i="4"/>
  <c r="F14" i="4"/>
  <c r="J14" i="4"/>
  <c r="J15" i="4" s="1"/>
  <c r="F13" i="4"/>
  <c r="H13" i="4"/>
  <c r="J13" i="4"/>
  <c r="K13" i="4"/>
  <c r="H12" i="4"/>
  <c r="J12" i="4"/>
  <c r="K12" i="4"/>
  <c r="B11" i="4"/>
  <c r="E10" i="4"/>
  <c r="F10" i="4" s="1"/>
  <c r="H10" i="4"/>
  <c r="J10" i="4"/>
  <c r="K10" i="4"/>
  <c r="F9" i="4"/>
  <c r="H9" i="4"/>
  <c r="J9" i="4"/>
  <c r="L9" i="4" s="1"/>
  <c r="K9" i="4"/>
  <c r="K8" i="4"/>
  <c r="F7" i="4"/>
  <c r="H7" i="4"/>
  <c r="H8" i="4" s="1"/>
  <c r="F6" i="4"/>
  <c r="H6" i="4"/>
  <c r="J6" i="4"/>
  <c r="K6" i="4"/>
  <c r="G74" i="3"/>
  <c r="G75" i="3" s="1"/>
  <c r="D138" i="8" s="1"/>
  <c r="F72" i="3"/>
  <c r="G73" i="3"/>
  <c r="G66" i="3"/>
  <c r="G67" i="3" s="1"/>
  <c r="D132" i="8" s="1"/>
  <c r="F64" i="3"/>
  <c r="G65" i="3"/>
  <c r="F56" i="3"/>
  <c r="D117" i="8" s="1"/>
  <c r="J117" i="8" s="1"/>
  <c r="G57" i="3"/>
  <c r="G58" i="3" s="1"/>
  <c r="G59" i="3" s="1"/>
  <c r="D118" i="8" s="1"/>
  <c r="H57" i="3"/>
  <c r="H58" i="3" s="1"/>
  <c r="H59" i="3" s="1"/>
  <c r="D119" i="8" s="1"/>
  <c r="G50" i="3"/>
  <c r="G51" i="3" s="1"/>
  <c r="D100" i="8" s="1"/>
  <c r="F48" i="3"/>
  <c r="G49" i="3"/>
  <c r="F40" i="3"/>
  <c r="D84" i="8" s="1"/>
  <c r="H84" i="8" s="1"/>
  <c r="G41" i="3"/>
  <c r="G42" i="3" s="1"/>
  <c r="G43" i="3" s="1"/>
  <c r="G34" i="3"/>
  <c r="G35" i="3" s="1"/>
  <c r="D71" i="8" s="1"/>
  <c r="F32" i="3"/>
  <c r="D69" i="8" s="1"/>
  <c r="G33" i="3"/>
  <c r="G26" i="3"/>
  <c r="G27" i="3" s="1"/>
  <c r="D64" i="8" s="1"/>
  <c r="F64" i="8" s="1"/>
  <c r="F24" i="3"/>
  <c r="G25" i="3"/>
  <c r="G18" i="3"/>
  <c r="G19" i="3" s="1"/>
  <c r="D57" i="8" s="1"/>
  <c r="F57" i="8" s="1"/>
  <c r="F16" i="3"/>
  <c r="G17" i="3"/>
  <c r="F8" i="3"/>
  <c r="D45" i="8" s="1"/>
  <c r="J45" i="8" s="1"/>
  <c r="G9" i="3"/>
  <c r="G10" i="3" s="1"/>
  <c r="G11" i="3" s="1"/>
  <c r="D48" i="8" s="1"/>
  <c r="H9" i="3"/>
  <c r="H10" i="3" s="1"/>
  <c r="H11" i="3" s="1"/>
  <c r="D49" i="8" s="1"/>
  <c r="F49" i="8" s="1"/>
  <c r="O58" i="2"/>
  <c r="I59" i="4" s="1"/>
  <c r="J59" i="4" s="1"/>
  <c r="O57" i="2"/>
  <c r="I143" i="8" s="1"/>
  <c r="J143" i="8" s="1"/>
  <c r="O56" i="2"/>
  <c r="I95" i="4" s="1"/>
  <c r="J95" i="4" s="1"/>
  <c r="O55" i="2"/>
  <c r="O54" i="2"/>
  <c r="I33" i="4" s="1"/>
  <c r="J33" i="4" s="1"/>
  <c r="J42" i="4" s="1"/>
  <c r="O53" i="2"/>
  <c r="I72" i="4" s="1"/>
  <c r="J72" i="4" s="1"/>
  <c r="J73" i="4" s="1"/>
  <c r="O52" i="2"/>
  <c r="I85" i="4" s="1"/>
  <c r="O51" i="2"/>
  <c r="O50" i="2"/>
  <c r="I7" i="4" s="1"/>
  <c r="J7" i="4" s="1"/>
  <c r="O49" i="2"/>
  <c r="O48" i="2"/>
  <c r="I20" i="4" s="1"/>
  <c r="J20" i="4" s="1"/>
  <c r="O47" i="2"/>
  <c r="O46" i="2"/>
  <c r="O45" i="2"/>
  <c r="O44" i="2"/>
  <c r="O43" i="2"/>
  <c r="G79" i="8" s="1"/>
  <c r="K79" i="8" s="1"/>
  <c r="O42" i="2"/>
  <c r="G40" i="8" s="1"/>
  <c r="H40" i="8" s="1"/>
  <c r="O41" i="2"/>
  <c r="O40" i="2"/>
  <c r="G111" i="8" s="1"/>
  <c r="K111" i="8" s="1"/>
  <c r="O39" i="2"/>
  <c r="G64" i="8" s="1"/>
  <c r="H64" i="8" s="1"/>
  <c r="E65" i="8" s="1"/>
  <c r="F65" i="8" s="1"/>
  <c r="L65" i="8" s="1"/>
  <c r="O38" i="2"/>
  <c r="G102" i="4" s="1"/>
  <c r="O37" i="2"/>
  <c r="G31" i="8" s="1"/>
  <c r="O36" i="2"/>
  <c r="G125" i="8" s="1"/>
  <c r="H125" i="8" s="1"/>
  <c r="L125" i="8" s="1"/>
  <c r="O35" i="2"/>
  <c r="G127" i="8" s="1"/>
  <c r="O34" i="2"/>
  <c r="G124" i="8" s="1"/>
  <c r="H124" i="8" s="1"/>
  <c r="L124" i="8" s="1"/>
  <c r="O33" i="2"/>
  <c r="G48" i="8" s="1"/>
  <c r="K48" i="8" s="1"/>
  <c r="O32" i="2"/>
  <c r="O31" i="2"/>
  <c r="G118" i="8" s="1"/>
  <c r="O30" i="2"/>
  <c r="O29" i="2"/>
  <c r="O28" i="2"/>
  <c r="E45" i="8" s="1"/>
  <c r="O27" i="2"/>
  <c r="E57" i="10" s="1"/>
  <c r="O26" i="2"/>
  <c r="E14" i="10" s="1"/>
  <c r="K14" i="10" s="1"/>
  <c r="O25" i="2"/>
  <c r="E15" i="10" s="1"/>
  <c r="O24" i="2"/>
  <c r="E77" i="8" s="1"/>
  <c r="F77" i="8" s="1"/>
  <c r="O23" i="2"/>
  <c r="E92" i="8" s="1"/>
  <c r="K92" i="8" s="1"/>
  <c r="O22" i="2"/>
  <c r="E84" i="8" s="1"/>
  <c r="F84" i="8" s="1"/>
  <c r="O21" i="2"/>
  <c r="O20" i="2"/>
  <c r="E102" i="10" s="1"/>
  <c r="O19" i="2"/>
  <c r="E86" i="10" s="1"/>
  <c r="O18" i="2"/>
  <c r="M9" i="6" s="1"/>
  <c r="A9" i="6" s="1"/>
  <c r="O17" i="2"/>
  <c r="E131" i="8" s="1"/>
  <c r="K131" i="8" s="1"/>
  <c r="O16" i="2"/>
  <c r="E16" i="10" s="1"/>
  <c r="F16" i="10" s="1"/>
  <c r="L16" i="10" s="1"/>
  <c r="O15" i="2"/>
  <c r="O14" i="2"/>
  <c r="O13" i="2"/>
  <c r="E137" i="8" s="1"/>
  <c r="K137" i="8" s="1"/>
  <c r="O12" i="2"/>
  <c r="O11" i="2"/>
  <c r="E48" i="10" s="1"/>
  <c r="O10" i="2"/>
  <c r="E47" i="10" s="1"/>
  <c r="O9" i="2"/>
  <c r="E98" i="4" s="1"/>
  <c r="O8" i="2"/>
  <c r="E36" i="4" s="1"/>
  <c r="O7" i="2"/>
  <c r="E62" i="8" s="1"/>
  <c r="K62" i="8" s="1"/>
  <c r="O6" i="2"/>
  <c r="E69" i="8" s="1"/>
  <c r="K69" i="8" s="1"/>
  <c r="O5" i="2"/>
  <c r="E54" i="8" s="1"/>
  <c r="F47" i="10" l="1"/>
  <c r="L47" i="10" s="1"/>
  <c r="K47" i="10"/>
  <c r="F71" i="8"/>
  <c r="J71" i="8"/>
  <c r="F117" i="4"/>
  <c r="L42" i="8"/>
  <c r="F9" i="9"/>
  <c r="L95" i="4"/>
  <c r="J104" i="4"/>
  <c r="J12" i="5" s="1"/>
  <c r="K12" i="5" s="1"/>
  <c r="O22" i="6" s="1"/>
  <c r="J96" i="4"/>
  <c r="H31" i="8"/>
  <c r="L31" i="8" s="1"/>
  <c r="K31" i="8"/>
  <c r="F118" i="8"/>
  <c r="J118" i="8"/>
  <c r="H102" i="4"/>
  <c r="K102" i="4"/>
  <c r="J68" i="4"/>
  <c r="J9" i="5" s="1"/>
  <c r="K9" i="5" s="1"/>
  <c r="I23" i="8" s="1"/>
  <c r="J23" i="8" s="1"/>
  <c r="J60" i="4"/>
  <c r="J121" i="8"/>
  <c r="J20" i="9" s="1"/>
  <c r="K20" i="9" s="1"/>
  <c r="I51" i="10" s="1"/>
  <c r="J51" i="10" s="1"/>
  <c r="R51" i="10" s="1"/>
  <c r="F48" i="8"/>
  <c r="H48" i="8"/>
  <c r="E50" i="8" s="1"/>
  <c r="F50" i="8" s="1"/>
  <c r="L50" i="8" s="1"/>
  <c r="J48" i="8"/>
  <c r="F132" i="8"/>
  <c r="R54" i="10"/>
  <c r="J134" i="8"/>
  <c r="J22" i="9" s="1"/>
  <c r="K22" i="9" s="1"/>
  <c r="AI20" i="11"/>
  <c r="L60" i="4"/>
  <c r="Y52" i="10"/>
  <c r="X6" i="11" s="1"/>
  <c r="H99" i="8"/>
  <c r="J99" i="8"/>
  <c r="H41" i="8"/>
  <c r="L41" i="8" s="1"/>
  <c r="K41" i="8"/>
  <c r="F102" i="10"/>
  <c r="K102" i="10"/>
  <c r="L10" i="4"/>
  <c r="E11" i="4"/>
  <c r="F11" i="4" s="1"/>
  <c r="L11" i="4" s="1"/>
  <c r="C19" i="6"/>
  <c r="E19" i="6" s="1"/>
  <c r="L91" i="8"/>
  <c r="H105" i="8"/>
  <c r="K105" i="8"/>
  <c r="L77" i="8"/>
  <c r="L46" i="4"/>
  <c r="F109" i="4"/>
  <c r="L109" i="4" s="1"/>
  <c r="F62" i="8"/>
  <c r="J62" i="8"/>
  <c r="J66" i="8" s="1"/>
  <c r="J12" i="9" s="1"/>
  <c r="K12" i="9" s="1"/>
  <c r="I40" i="10" s="1"/>
  <c r="J40" i="10" s="1"/>
  <c r="R40" i="10" s="1"/>
  <c r="F131" i="8"/>
  <c r="H131" i="8"/>
  <c r="F54" i="8"/>
  <c r="K54" i="8"/>
  <c r="F21" i="4"/>
  <c r="K125" i="4"/>
  <c r="L11" i="8"/>
  <c r="H32" i="8"/>
  <c r="L32" i="8" s="1"/>
  <c r="K32" i="8"/>
  <c r="H119" i="8"/>
  <c r="L119" i="8" s="1"/>
  <c r="K119" i="8"/>
  <c r="AH36" i="10"/>
  <c r="AG5" i="11" s="1"/>
  <c r="AG20" i="11" s="1"/>
  <c r="AS52" i="10"/>
  <c r="AR6" i="11" s="1"/>
  <c r="T20" i="11"/>
  <c r="H100" i="8"/>
  <c r="E101" i="8" s="1"/>
  <c r="F101" i="8" s="1"/>
  <c r="L101" i="8" s="1"/>
  <c r="K100" i="8"/>
  <c r="L114" i="4"/>
  <c r="J51" i="8"/>
  <c r="J10" i="9" s="1"/>
  <c r="K10" i="9" s="1"/>
  <c r="I38" i="10" s="1"/>
  <c r="J38" i="10" s="1"/>
  <c r="AL36" i="10"/>
  <c r="AK5" i="11" s="1"/>
  <c r="AK20" i="11" s="1"/>
  <c r="J54" i="4"/>
  <c r="H79" i="8"/>
  <c r="L21" i="4"/>
  <c r="F14" i="10"/>
  <c r="L14" i="10" s="1"/>
  <c r="F98" i="4"/>
  <c r="K98" i="4"/>
  <c r="L13" i="4"/>
  <c r="E62" i="4"/>
  <c r="K62" i="4" s="1"/>
  <c r="AD36" i="10"/>
  <c r="AC5" i="11" s="1"/>
  <c r="AC20" i="11" s="1"/>
  <c r="AQ36" i="10"/>
  <c r="AP5" i="11" s="1"/>
  <c r="AP20" i="11" s="1"/>
  <c r="W36" i="10"/>
  <c r="V5" i="11" s="1"/>
  <c r="V20" i="11" s="1"/>
  <c r="AC52" i="10"/>
  <c r="AB6" i="11" s="1"/>
  <c r="F49" i="4"/>
  <c r="K49" i="4"/>
  <c r="AN20" i="11"/>
  <c r="F86" i="10"/>
  <c r="K86" i="10"/>
  <c r="L108" i="4"/>
  <c r="J109" i="4"/>
  <c r="AD52" i="10"/>
  <c r="AC6" i="11" s="1"/>
  <c r="L40" i="8"/>
  <c r="H42" i="8"/>
  <c r="H9" i="9" s="1"/>
  <c r="I9" i="9" s="1"/>
  <c r="G19" i="10" s="1"/>
  <c r="H19" i="10" s="1"/>
  <c r="H45" i="8"/>
  <c r="H51" i="8" s="1"/>
  <c r="H10" i="9" s="1"/>
  <c r="I10" i="9" s="1"/>
  <c r="G38" i="10" s="1"/>
  <c r="H38" i="10" s="1"/>
  <c r="AJ20" i="11"/>
  <c r="AU20" i="11"/>
  <c r="G40" i="4"/>
  <c r="G27" i="4"/>
  <c r="H27" i="4" s="1"/>
  <c r="AF52" i="10"/>
  <c r="AE6" i="11" s="1"/>
  <c r="AC68" i="10"/>
  <c r="AB7" i="11" s="1"/>
  <c r="AB20" i="11" s="1"/>
  <c r="AF36" i="10"/>
  <c r="AE5" i="11" s="1"/>
  <c r="F36" i="4"/>
  <c r="K36" i="4"/>
  <c r="F69" i="8"/>
  <c r="AB100" i="10"/>
  <c r="AA9" i="11" s="1"/>
  <c r="F48" i="10"/>
  <c r="L48" i="10" s="1"/>
  <c r="K48" i="10"/>
  <c r="F81" i="4"/>
  <c r="F73" i="4"/>
  <c r="L73" i="4" s="1"/>
  <c r="H49" i="8"/>
  <c r="L49" i="8" s="1"/>
  <c r="K49" i="8"/>
  <c r="AI68" i="10"/>
  <c r="AH7" i="11" s="1"/>
  <c r="AH20" i="11" s="1"/>
  <c r="AI84" i="10"/>
  <c r="AH8" i="11" s="1"/>
  <c r="G94" i="8"/>
  <c r="G86" i="8"/>
  <c r="K86" i="8" s="1"/>
  <c r="G132" i="8"/>
  <c r="K132" i="8" s="1"/>
  <c r="G57" i="8"/>
  <c r="H57" i="8" s="1"/>
  <c r="E58" i="8" s="1"/>
  <c r="F58" i="8" s="1"/>
  <c r="L58" i="8" s="1"/>
  <c r="J85" i="4"/>
  <c r="K85" i="4"/>
  <c r="F8" i="4"/>
  <c r="L111" i="4"/>
  <c r="E112" i="4"/>
  <c r="F112" i="4" s="1"/>
  <c r="L112" i="4" s="1"/>
  <c r="I121" i="4"/>
  <c r="K121" i="4" s="1"/>
  <c r="J84" i="8"/>
  <c r="J88" i="8" s="1"/>
  <c r="J15" i="9" s="1"/>
  <c r="K15" i="9" s="1"/>
  <c r="I43" i="10" s="1"/>
  <c r="J43" i="10" s="1"/>
  <c r="R43" i="10" s="1"/>
  <c r="H111" i="8"/>
  <c r="F128" i="8"/>
  <c r="F137" i="8"/>
  <c r="J137" i="8"/>
  <c r="AU36" i="10"/>
  <c r="AT5" i="11" s="1"/>
  <c r="AT20" i="11" s="1"/>
  <c r="AA36" i="10"/>
  <c r="Z5" i="11" s="1"/>
  <c r="AT52" i="10"/>
  <c r="AS6" i="11" s="1"/>
  <c r="AS20" i="11" s="1"/>
  <c r="Z52" i="10"/>
  <c r="Y6" i="11" s="1"/>
  <c r="Y20" i="11" s="1"/>
  <c r="L143" i="8"/>
  <c r="J144" i="8"/>
  <c r="J24" i="9" s="1"/>
  <c r="K24" i="9" s="1"/>
  <c r="I70" i="10" s="1"/>
  <c r="J70" i="10" s="1"/>
  <c r="J84" i="10" s="1"/>
  <c r="H8" i="11" s="1"/>
  <c r="I8" i="11" s="1"/>
  <c r="L30" i="8"/>
  <c r="L144" i="8"/>
  <c r="F24" i="9"/>
  <c r="AN36" i="10"/>
  <c r="AM5" i="11" s="1"/>
  <c r="AM20" i="11" s="1"/>
  <c r="H117" i="8"/>
  <c r="H104" i="4"/>
  <c r="H12" i="5" s="1"/>
  <c r="I12" i="5" s="1"/>
  <c r="N22" i="6" s="1"/>
  <c r="K64" i="8"/>
  <c r="H126" i="8"/>
  <c r="L126" i="8" s="1"/>
  <c r="K126" i="8"/>
  <c r="T36" i="10"/>
  <c r="S5" i="11" s="1"/>
  <c r="S20" i="11" s="1"/>
  <c r="E7" i="12" s="1"/>
  <c r="H21" i="8"/>
  <c r="K21" i="8"/>
  <c r="H128" i="8"/>
  <c r="H21" i="9" s="1"/>
  <c r="I21" i="9" s="1"/>
  <c r="G54" i="10" s="1"/>
  <c r="H54" i="10" s="1"/>
  <c r="AJ52" i="10"/>
  <c r="AI6" i="11" s="1"/>
  <c r="F138" i="8"/>
  <c r="L138" i="8" s="1"/>
  <c r="J138" i="8"/>
  <c r="H106" i="8"/>
  <c r="L106" i="8" s="1"/>
  <c r="K106" i="8"/>
  <c r="F96" i="4"/>
  <c r="L96" i="4" s="1"/>
  <c r="F45" i="8"/>
  <c r="K45" i="8"/>
  <c r="L7" i="4"/>
  <c r="J16" i="4"/>
  <c r="J5" i="5" s="1"/>
  <c r="K5" i="5" s="1"/>
  <c r="I21" i="10" s="1"/>
  <c r="J21" i="10" s="1"/>
  <c r="R21" i="10" s="1"/>
  <c r="J49" i="8"/>
  <c r="AS68" i="10"/>
  <c r="AR7" i="11" s="1"/>
  <c r="H118" i="8"/>
  <c r="K118" i="8"/>
  <c r="H138" i="8"/>
  <c r="E139" i="8" s="1"/>
  <c r="F139" i="8" s="1"/>
  <c r="L139" i="8" s="1"/>
  <c r="K138" i="8"/>
  <c r="G71" i="8"/>
  <c r="E85" i="8"/>
  <c r="F85" i="8" s="1"/>
  <c r="L95" i="8"/>
  <c r="K112" i="8"/>
  <c r="AS36" i="10"/>
  <c r="AR5" i="11" s="1"/>
  <c r="AR20" i="11" s="1"/>
  <c r="Y36" i="10"/>
  <c r="X5" i="11" s="1"/>
  <c r="X20" i="11" s="1"/>
  <c r="AR52" i="10"/>
  <c r="AQ6" i="11" s="1"/>
  <c r="X52" i="10"/>
  <c r="W6" i="11" s="1"/>
  <c r="AJ100" i="10"/>
  <c r="AI9" i="11" s="1"/>
  <c r="F100" i="8"/>
  <c r="F102" i="8" s="1"/>
  <c r="J100" i="8"/>
  <c r="L100" i="8" s="1"/>
  <c r="F119" i="8"/>
  <c r="J119" i="8"/>
  <c r="K6" i="8"/>
  <c r="H6" i="8"/>
  <c r="L99" i="8"/>
  <c r="G53" i="4"/>
  <c r="G66" i="4"/>
  <c r="L75" i="4"/>
  <c r="E76" i="4"/>
  <c r="F76" i="4" s="1"/>
  <c r="L76" i="4" s="1"/>
  <c r="F18" i="10"/>
  <c r="L18" i="10" s="1"/>
  <c r="K18" i="10"/>
  <c r="H81" i="8"/>
  <c r="H14" i="9" s="1"/>
  <c r="I14" i="9" s="1"/>
  <c r="G42" i="10" s="1"/>
  <c r="H42" i="10" s="1"/>
  <c r="L26" i="4"/>
  <c r="H86" i="4"/>
  <c r="H91" i="4"/>
  <c r="H11" i="5" s="1"/>
  <c r="I11" i="5" s="1"/>
  <c r="N28" i="6" s="1"/>
  <c r="F117" i="8"/>
  <c r="J117" i="4"/>
  <c r="J13" i="5" s="1"/>
  <c r="K13" i="5" s="1"/>
  <c r="I13" i="8" s="1"/>
  <c r="J13" i="8" s="1"/>
  <c r="F92" i="8"/>
  <c r="F57" i="10"/>
  <c r="L57" i="10" s="1"/>
  <c r="K57" i="10"/>
  <c r="L20" i="4"/>
  <c r="J29" i="4"/>
  <c r="J6" i="5" s="1"/>
  <c r="K6" i="5" s="1"/>
  <c r="I58" i="10" s="1"/>
  <c r="J58" i="10" s="1"/>
  <c r="R58" i="10" s="1"/>
  <c r="L125" i="4"/>
  <c r="E126" i="4"/>
  <c r="K126" i="4" s="1"/>
  <c r="G129" i="4"/>
  <c r="G79" i="4"/>
  <c r="G115" i="4"/>
  <c r="G14" i="4"/>
  <c r="L6" i="4"/>
  <c r="J55" i="4"/>
  <c r="J8" i="5" s="1"/>
  <c r="K8" i="5" s="1"/>
  <c r="H140" i="8"/>
  <c r="H23" i="9" s="1"/>
  <c r="I23" i="9" s="1"/>
  <c r="Y68" i="10"/>
  <c r="X7" i="11" s="1"/>
  <c r="L32" i="4"/>
  <c r="K125" i="8"/>
  <c r="AE36" i="10"/>
  <c r="AD5" i="11" s="1"/>
  <c r="AD20" i="11" s="1"/>
  <c r="J7" i="5"/>
  <c r="K7" i="5" s="1"/>
  <c r="J8" i="4"/>
  <c r="H127" i="8"/>
  <c r="L127" i="8" s="1"/>
  <c r="K127" i="8"/>
  <c r="F34" i="4"/>
  <c r="L34" i="4" s="1"/>
  <c r="J81" i="4"/>
  <c r="J10" i="5" s="1"/>
  <c r="K10" i="5" s="1"/>
  <c r="I25" i="8" s="1"/>
  <c r="E88" i="4"/>
  <c r="K122" i="4"/>
  <c r="K40" i="8"/>
  <c r="J59" i="8"/>
  <c r="J11" i="9" s="1"/>
  <c r="K11" i="9" s="1"/>
  <c r="I39" i="10" s="1"/>
  <c r="J39" i="10" s="1"/>
  <c r="R39" i="10" s="1"/>
  <c r="AR36" i="10"/>
  <c r="AQ5" i="11" s="1"/>
  <c r="X36" i="10"/>
  <c r="W5" i="11" s="1"/>
  <c r="AQ52" i="10"/>
  <c r="AP6" i="11" s="1"/>
  <c r="W52" i="10"/>
  <c r="V6" i="11" s="1"/>
  <c r="H12" i="8"/>
  <c r="L78" i="4"/>
  <c r="C43" i="6"/>
  <c r="E43" i="6" s="1"/>
  <c r="E76" i="8"/>
  <c r="K71" i="10"/>
  <c r="N19" i="6"/>
  <c r="A19" i="6" s="1"/>
  <c r="L9" i="10"/>
  <c r="G33" i="8"/>
  <c r="L88" i="10"/>
  <c r="AA88" i="10" s="1"/>
  <c r="G22" i="8"/>
  <c r="L61" i="4"/>
  <c r="E23" i="4"/>
  <c r="L107" i="4"/>
  <c r="L20" i="10"/>
  <c r="K16" i="10"/>
  <c r="K139" i="8"/>
  <c r="J132" i="8"/>
  <c r="K117" i="8"/>
  <c r="K101" i="8"/>
  <c r="J86" i="8"/>
  <c r="K84" i="8"/>
  <c r="K77" i="8"/>
  <c r="L69" i="8"/>
  <c r="J69" i="8"/>
  <c r="H69" i="8"/>
  <c r="K65" i="8"/>
  <c r="L64" i="8"/>
  <c r="K57" i="8"/>
  <c r="K30" i="8"/>
  <c r="C13" i="6"/>
  <c r="E13" i="6" s="1"/>
  <c r="C12" i="6"/>
  <c r="B9" i="6"/>
  <c r="J121" i="4"/>
  <c r="F113" i="4"/>
  <c r="L113" i="4" s="1"/>
  <c r="K112" i="4"/>
  <c r="K95" i="4"/>
  <c r="F77" i="4"/>
  <c r="L77" i="4" s="1"/>
  <c r="K76" i="4"/>
  <c r="L72" i="4"/>
  <c r="K72" i="4"/>
  <c r="F62" i="4"/>
  <c r="L59" i="4"/>
  <c r="K59" i="4"/>
  <c r="K46" i="4"/>
  <c r="L33" i="4"/>
  <c r="K33" i="4"/>
  <c r="K20" i="4"/>
  <c r="F12" i="4"/>
  <c r="L12" i="4" s="1"/>
  <c r="K11" i="4"/>
  <c r="K7" i="4"/>
  <c r="F17" i="9" l="1"/>
  <c r="G24" i="9"/>
  <c r="L24" i="9"/>
  <c r="E9" i="6"/>
  <c r="E12" i="6"/>
  <c r="L85" i="4"/>
  <c r="J86" i="4"/>
  <c r="L86" i="4" s="1"/>
  <c r="J91" i="4"/>
  <c r="J11" i="5" s="1"/>
  <c r="K11" i="5" s="1"/>
  <c r="O28" i="6" s="1"/>
  <c r="H40" i="4"/>
  <c r="K40" i="4"/>
  <c r="AQ20" i="11"/>
  <c r="L62" i="4"/>
  <c r="E63" i="4"/>
  <c r="L117" i="8"/>
  <c r="L12" i="8"/>
  <c r="L57" i="8"/>
  <c r="W20" i="11"/>
  <c r="K94" i="8"/>
  <c r="H94" i="8"/>
  <c r="L85" i="8"/>
  <c r="L98" i="4"/>
  <c r="E99" i="4"/>
  <c r="D26" i="6"/>
  <c r="O26" i="6"/>
  <c r="A26" i="6" s="1"/>
  <c r="I14" i="8"/>
  <c r="J14" i="8" s="1"/>
  <c r="I15" i="8" s="1"/>
  <c r="I24" i="8"/>
  <c r="J24" i="8" s="1"/>
  <c r="H71" i="8"/>
  <c r="E72" i="8" s="1"/>
  <c r="K71" i="8"/>
  <c r="H132" i="8"/>
  <c r="H73" i="8"/>
  <c r="H13" i="9" s="1"/>
  <c r="I13" i="9" s="1"/>
  <c r="G41" i="10" s="1"/>
  <c r="H41" i="10" s="1"/>
  <c r="H59" i="8"/>
  <c r="H11" i="9" s="1"/>
  <c r="I11" i="9" s="1"/>
  <c r="J73" i="8"/>
  <c r="J13" i="9" s="1"/>
  <c r="K13" i="9" s="1"/>
  <c r="I41" i="10" s="1"/>
  <c r="H14" i="4"/>
  <c r="K14" i="4"/>
  <c r="L21" i="8"/>
  <c r="J140" i="8"/>
  <c r="J23" i="9" s="1"/>
  <c r="K23" i="9" s="1"/>
  <c r="I56" i="10" s="1"/>
  <c r="J56" i="10" s="1"/>
  <c r="R56" i="10" s="1"/>
  <c r="G9" i="9"/>
  <c r="L9" i="9"/>
  <c r="L27" i="4"/>
  <c r="H28" i="4"/>
  <c r="L28" i="4" s="1"/>
  <c r="H29" i="4"/>
  <c r="H6" i="5" s="1"/>
  <c r="I6" i="5" s="1"/>
  <c r="G58" i="10" s="1"/>
  <c r="H58" i="10" s="1"/>
  <c r="H68" i="10" s="1"/>
  <c r="F7" i="11" s="1"/>
  <c r="G7" i="11" s="1"/>
  <c r="F88" i="4"/>
  <c r="K88" i="4"/>
  <c r="K58" i="8"/>
  <c r="L105" i="8"/>
  <c r="H108" i="8"/>
  <c r="H18" i="9" s="1"/>
  <c r="I18" i="9" s="1"/>
  <c r="G49" i="10" s="1"/>
  <c r="H49" i="10" s="1"/>
  <c r="E107" i="8"/>
  <c r="H66" i="4"/>
  <c r="K66" i="4"/>
  <c r="L137" i="8"/>
  <c r="F140" i="8"/>
  <c r="K79" i="4"/>
  <c r="H79" i="4"/>
  <c r="L118" i="8"/>
  <c r="E120" i="8"/>
  <c r="F13" i="5"/>
  <c r="F23" i="4"/>
  <c r="K23" i="4"/>
  <c r="L79" i="8"/>
  <c r="E80" i="8"/>
  <c r="K27" i="4"/>
  <c r="F10" i="5"/>
  <c r="L48" i="8"/>
  <c r="H129" i="4"/>
  <c r="K129" i="4"/>
  <c r="E113" i="8"/>
  <c r="H114" i="8"/>
  <c r="H19" i="9" s="1"/>
  <c r="I19" i="9" s="1"/>
  <c r="G50" i="10" s="1"/>
  <c r="H50" i="10" s="1"/>
  <c r="L111" i="8"/>
  <c r="H22" i="8"/>
  <c r="L22" i="8" s="1"/>
  <c r="K22" i="8"/>
  <c r="L6" i="8"/>
  <c r="E7" i="8"/>
  <c r="H8" i="8"/>
  <c r="H5" i="9" s="1"/>
  <c r="I5" i="9" s="1"/>
  <c r="G7" i="10" s="1"/>
  <c r="H7" i="10" s="1"/>
  <c r="L121" i="4"/>
  <c r="J123" i="4"/>
  <c r="L123" i="4" s="1"/>
  <c r="J131" i="4"/>
  <c r="J14" i="5" s="1"/>
  <c r="K14" i="5" s="1"/>
  <c r="O37" i="6" s="1"/>
  <c r="R38" i="10"/>
  <c r="F126" i="4"/>
  <c r="F131" i="4" s="1"/>
  <c r="N25" i="6"/>
  <c r="A25" i="6" s="1"/>
  <c r="C25" i="6"/>
  <c r="E25" i="6" s="1"/>
  <c r="L131" i="8"/>
  <c r="L71" i="8"/>
  <c r="H121" i="8"/>
  <c r="H20" i="9" s="1"/>
  <c r="I20" i="9" s="1"/>
  <c r="G51" i="10" s="1"/>
  <c r="H51" i="10" s="1"/>
  <c r="J102" i="8"/>
  <c r="J17" i="9" s="1"/>
  <c r="K17" i="9" s="1"/>
  <c r="I46" i="10" s="1"/>
  <c r="J46" i="10" s="1"/>
  <c r="R46" i="10" s="1"/>
  <c r="L102" i="4"/>
  <c r="H103" i="4"/>
  <c r="L103" i="4" s="1"/>
  <c r="L8" i="4"/>
  <c r="L36" i="4"/>
  <c r="E37" i="4"/>
  <c r="L49" i="4"/>
  <c r="E50" i="4"/>
  <c r="L62" i="8"/>
  <c r="E63" i="8"/>
  <c r="H102" i="8"/>
  <c r="H17" i="9" s="1"/>
  <c r="I17" i="9" s="1"/>
  <c r="G46" i="10" s="1"/>
  <c r="H46" i="10" s="1"/>
  <c r="I55" i="10"/>
  <c r="J55" i="10" s="1"/>
  <c r="G56" i="10"/>
  <c r="H56" i="10" s="1"/>
  <c r="H115" i="4"/>
  <c r="K115" i="4"/>
  <c r="J25" i="8"/>
  <c r="J27" i="8" s="1"/>
  <c r="J7" i="9" s="1"/>
  <c r="K7" i="9" s="1"/>
  <c r="I12" i="10" s="1"/>
  <c r="J12" i="10" s="1"/>
  <c r="R12" i="10" s="1"/>
  <c r="H53" i="4"/>
  <c r="K53" i="4"/>
  <c r="I7" i="12"/>
  <c r="L128" i="8"/>
  <c r="F21" i="9"/>
  <c r="L54" i="8"/>
  <c r="E56" i="8"/>
  <c r="E55" i="8"/>
  <c r="L86" i="10"/>
  <c r="AA86" i="10" s="1"/>
  <c r="AA100" i="10" s="1"/>
  <c r="Z9" i="11" s="1"/>
  <c r="Z20" i="11" s="1"/>
  <c r="E37" i="12" s="1"/>
  <c r="F100" i="10"/>
  <c r="H134" i="8"/>
  <c r="H22" i="9" s="1"/>
  <c r="I22" i="9" s="1"/>
  <c r="G55" i="10" s="1"/>
  <c r="H55" i="10" s="1"/>
  <c r="L102" i="10"/>
  <c r="AB102" i="10" s="1"/>
  <c r="AB116" i="10" s="1"/>
  <c r="AA10" i="11" s="1"/>
  <c r="AA20" i="11" s="1"/>
  <c r="E36" i="12" s="1"/>
  <c r="F116" i="10"/>
  <c r="K85" i="8"/>
  <c r="H33" i="8"/>
  <c r="L33" i="8" s="1"/>
  <c r="K33" i="8"/>
  <c r="H86" i="8"/>
  <c r="L84" i="8"/>
  <c r="E70" i="8"/>
  <c r="K50" i="8"/>
  <c r="F76" i="8"/>
  <c r="K76" i="8"/>
  <c r="I17" i="8"/>
  <c r="J17" i="8" s="1"/>
  <c r="I26" i="8"/>
  <c r="J26" i="8" s="1"/>
  <c r="L92" i="8"/>
  <c r="E93" i="8"/>
  <c r="L45" i="8"/>
  <c r="E47" i="8"/>
  <c r="E46" i="8"/>
  <c r="F16" i="4"/>
  <c r="AE20" i="11"/>
  <c r="I36" i="12" l="1"/>
  <c r="K13" i="14"/>
  <c r="G13" i="14" s="1"/>
  <c r="K14" i="14"/>
  <c r="G14" i="14" s="1"/>
  <c r="I37" i="12"/>
  <c r="H55" i="4"/>
  <c r="H8" i="5" s="1"/>
  <c r="I8" i="5" s="1"/>
  <c r="H54" i="4"/>
  <c r="L54" i="4" s="1"/>
  <c r="L53" i="4"/>
  <c r="D32" i="6"/>
  <c r="E26" i="6"/>
  <c r="G39" i="10"/>
  <c r="H39" i="10" s="1"/>
  <c r="F63" i="8"/>
  <c r="K63" i="8"/>
  <c r="O41" i="6"/>
  <c r="A41" i="6" s="1"/>
  <c r="D41" i="6"/>
  <c r="F55" i="8"/>
  <c r="K55" i="8"/>
  <c r="F99" i="4"/>
  <c r="K99" i="4"/>
  <c r="L140" i="8"/>
  <c r="F23" i="9"/>
  <c r="J15" i="8"/>
  <c r="K15" i="8"/>
  <c r="L40" i="4"/>
  <c r="H42" i="4"/>
  <c r="H7" i="5" s="1"/>
  <c r="I7" i="5" s="1"/>
  <c r="H41" i="4"/>
  <c r="L41" i="4" s="1"/>
  <c r="F56" i="8"/>
  <c r="L56" i="8" s="1"/>
  <c r="K56" i="8"/>
  <c r="G13" i="5"/>
  <c r="M9" i="9"/>
  <c r="E19" i="10"/>
  <c r="G21" i="9"/>
  <c r="L21" i="9"/>
  <c r="F37" i="4"/>
  <c r="K37" i="4"/>
  <c r="F120" i="8"/>
  <c r="K120" i="8"/>
  <c r="F93" i="8"/>
  <c r="K93" i="8"/>
  <c r="L23" i="4"/>
  <c r="E24" i="4"/>
  <c r="F50" i="4"/>
  <c r="K50" i="4"/>
  <c r="F7" i="8"/>
  <c r="K7" i="8"/>
  <c r="C32" i="6"/>
  <c r="D31" i="6"/>
  <c r="E31" i="6" s="1"/>
  <c r="O31" i="6"/>
  <c r="A31" i="6" s="1"/>
  <c r="L76" i="8"/>
  <c r="E78" i="8"/>
  <c r="L79" i="4"/>
  <c r="H80" i="4"/>
  <c r="L80" i="4" s="1"/>
  <c r="H81" i="4"/>
  <c r="L94" i="8"/>
  <c r="H96" i="8"/>
  <c r="H16" i="9" s="1"/>
  <c r="I16" i="9" s="1"/>
  <c r="G44" i="10" s="1"/>
  <c r="C33" i="6"/>
  <c r="H5" i="7" s="1"/>
  <c r="I5" i="7" s="1"/>
  <c r="G6" i="10" s="1"/>
  <c r="H6" i="10" s="1"/>
  <c r="F127" i="4"/>
  <c r="L127" i="4" s="1"/>
  <c r="L126" i="4"/>
  <c r="F70" i="8"/>
  <c r="K70" i="8"/>
  <c r="L14" i="4"/>
  <c r="H16" i="4"/>
  <c r="H5" i="5" s="1"/>
  <c r="I5" i="5" s="1"/>
  <c r="G21" i="10" s="1"/>
  <c r="H21" i="10" s="1"/>
  <c r="H15" i="4"/>
  <c r="L15" i="4" s="1"/>
  <c r="J41" i="10"/>
  <c r="L86" i="8"/>
  <c r="E87" i="8"/>
  <c r="H88" i="8"/>
  <c r="H15" i="9" s="1"/>
  <c r="I15" i="9" s="1"/>
  <c r="G43" i="10" s="1"/>
  <c r="F113" i="8"/>
  <c r="K113" i="8"/>
  <c r="G34" i="8"/>
  <c r="L66" i="4"/>
  <c r="H67" i="4"/>
  <c r="L67" i="4" s="1"/>
  <c r="H68" i="4"/>
  <c r="H9" i="5" s="1"/>
  <c r="I9" i="5" s="1"/>
  <c r="G23" i="8" s="1"/>
  <c r="H23" i="8" s="1"/>
  <c r="M24" i="9"/>
  <c r="E70" i="10"/>
  <c r="L115" i="4"/>
  <c r="H116" i="4"/>
  <c r="L116" i="4" s="1"/>
  <c r="H117" i="4"/>
  <c r="F107" i="8"/>
  <c r="K107" i="8"/>
  <c r="E133" i="8"/>
  <c r="L132" i="8"/>
  <c r="L129" i="4"/>
  <c r="H130" i="4"/>
  <c r="L130" i="4" s="1"/>
  <c r="H131" i="4"/>
  <c r="H14" i="5" s="1"/>
  <c r="I14" i="5" s="1"/>
  <c r="N37" i="6" s="1"/>
  <c r="G10" i="5"/>
  <c r="L16" i="4"/>
  <c r="F5" i="5"/>
  <c r="L116" i="10"/>
  <c r="D10" i="11"/>
  <c r="F14" i="5"/>
  <c r="K63" i="4"/>
  <c r="F63" i="4"/>
  <c r="G17" i="9"/>
  <c r="L17" i="9"/>
  <c r="F46" i="8"/>
  <c r="K46" i="8"/>
  <c r="R55" i="10"/>
  <c r="R68" i="10" s="1"/>
  <c r="Q7" i="11" s="1"/>
  <c r="J68" i="10"/>
  <c r="H7" i="11" s="1"/>
  <c r="I7" i="11" s="1"/>
  <c r="F47" i="8"/>
  <c r="L47" i="8" s="1"/>
  <c r="K47" i="8"/>
  <c r="K80" i="8"/>
  <c r="F80" i="8"/>
  <c r="L80" i="8" s="1"/>
  <c r="K72" i="8"/>
  <c r="F72" i="8"/>
  <c r="L72" i="8" s="1"/>
  <c r="L102" i="8"/>
  <c r="L100" i="10"/>
  <c r="D9" i="11"/>
  <c r="L88" i="4"/>
  <c r="E89" i="4"/>
  <c r="F70" i="10" l="1"/>
  <c r="K70" i="10"/>
  <c r="H34" i="8"/>
  <c r="K34" i="8"/>
  <c r="L37" i="4"/>
  <c r="F38" i="4"/>
  <c r="L38" i="4" s="1"/>
  <c r="F42" i="4"/>
  <c r="H10" i="5"/>
  <c r="L81" i="4"/>
  <c r="G5" i="5"/>
  <c r="L5" i="5"/>
  <c r="F89" i="4"/>
  <c r="K89" i="4"/>
  <c r="G23" i="9"/>
  <c r="L23" i="9"/>
  <c r="L14" i="5"/>
  <c r="G14" i="5"/>
  <c r="E10" i="11"/>
  <c r="K10" i="11" s="1"/>
  <c r="J10" i="11"/>
  <c r="L99" i="4"/>
  <c r="F104" i="4"/>
  <c r="F100" i="4"/>
  <c r="L100" i="4" s="1"/>
  <c r="L120" i="8"/>
  <c r="F121" i="8"/>
  <c r="L55" i="8"/>
  <c r="F59" i="8"/>
  <c r="E41" i="6"/>
  <c r="D45" i="6"/>
  <c r="J6" i="7" s="1"/>
  <c r="K6" i="7" s="1"/>
  <c r="I10" i="10" s="1"/>
  <c r="J10" i="10" s="1"/>
  <c r="R10" i="10" s="1"/>
  <c r="D44" i="6"/>
  <c r="L113" i="8"/>
  <c r="F114" i="8"/>
  <c r="H43" i="10"/>
  <c r="H52" i="10" s="1"/>
  <c r="F6" i="11" s="1"/>
  <c r="G6" i="11" s="1"/>
  <c r="L63" i="8"/>
  <c r="F66" i="8"/>
  <c r="N40" i="6"/>
  <c r="A40" i="6" s="1"/>
  <c r="C40" i="6"/>
  <c r="E9" i="11"/>
  <c r="K9" i="11" s="1"/>
  <c r="J9" i="11"/>
  <c r="E13" i="8"/>
  <c r="E25" i="8"/>
  <c r="F78" i="8"/>
  <c r="K78" i="8"/>
  <c r="E54" i="10"/>
  <c r="M21" i="9"/>
  <c r="F87" i="8"/>
  <c r="K87" i="8"/>
  <c r="K19" i="10"/>
  <c r="F19" i="10"/>
  <c r="L19" i="10" s="1"/>
  <c r="R41" i="10"/>
  <c r="R52" i="10" s="1"/>
  <c r="Q6" i="11" s="1"/>
  <c r="J52" i="10"/>
  <c r="H6" i="11" s="1"/>
  <c r="F133" i="8"/>
  <c r="K133" i="8"/>
  <c r="L7" i="8"/>
  <c r="F8" i="8"/>
  <c r="D33" i="6"/>
  <c r="J5" i="7" s="1"/>
  <c r="K5" i="7" s="1"/>
  <c r="I6" i="10" s="1"/>
  <c r="J6" i="10" s="1"/>
  <c r="L46" i="8"/>
  <c r="F51" i="8"/>
  <c r="L107" i="8"/>
  <c r="F108" i="8"/>
  <c r="L50" i="4"/>
  <c r="F51" i="4"/>
  <c r="L51" i="4" s="1"/>
  <c r="F55" i="4"/>
  <c r="G26" i="8"/>
  <c r="H26" i="8" s="1"/>
  <c r="G17" i="8"/>
  <c r="H17" i="8" s="1"/>
  <c r="H13" i="5"/>
  <c r="L117" i="4"/>
  <c r="L70" i="8"/>
  <c r="F73" i="8"/>
  <c r="M17" i="9"/>
  <c r="E46" i="10"/>
  <c r="G24" i="8"/>
  <c r="H24" i="8" s="1"/>
  <c r="G14" i="8"/>
  <c r="H14" i="8" s="1"/>
  <c r="F68" i="4"/>
  <c r="L63" i="4"/>
  <c r="F64" i="4"/>
  <c r="L64" i="4" s="1"/>
  <c r="F24" i="4"/>
  <c r="K24" i="4"/>
  <c r="L15" i="8"/>
  <c r="J18" i="8"/>
  <c r="J6" i="9" s="1"/>
  <c r="K6" i="9" s="1"/>
  <c r="I8" i="10" s="1"/>
  <c r="J8" i="10" s="1"/>
  <c r="R8" i="10" s="1"/>
  <c r="L131" i="4"/>
  <c r="H44" i="10"/>
  <c r="L93" i="8"/>
  <c r="F96" i="8"/>
  <c r="L66" i="8" l="1"/>
  <c r="F12" i="9"/>
  <c r="L73" i="8"/>
  <c r="F13" i="9"/>
  <c r="L96" i="8"/>
  <c r="F16" i="9"/>
  <c r="L59" i="8"/>
  <c r="F11" i="9"/>
  <c r="L78" i="8"/>
  <c r="F81" i="8"/>
  <c r="F13" i="8"/>
  <c r="L70" i="10"/>
  <c r="AG70" i="10" s="1"/>
  <c r="AG84" i="10" s="1"/>
  <c r="AF8" i="11" s="1"/>
  <c r="AF20" i="11" s="1"/>
  <c r="E31" i="12" s="1"/>
  <c r="I31" i="12" s="1"/>
  <c r="F84" i="10"/>
  <c r="M37" i="6"/>
  <c r="M14" i="5"/>
  <c r="I6" i="11"/>
  <c r="F54" i="10"/>
  <c r="K54" i="10"/>
  <c r="L121" i="8"/>
  <c r="F20" i="9"/>
  <c r="E21" i="10"/>
  <c r="M5" i="5"/>
  <c r="L55" i="4"/>
  <c r="F8" i="5"/>
  <c r="L34" i="8"/>
  <c r="E35" i="8"/>
  <c r="H37" i="8"/>
  <c r="H8" i="9" s="1"/>
  <c r="I8" i="9" s="1"/>
  <c r="G17" i="10" s="1"/>
  <c r="H17" i="10" s="1"/>
  <c r="E36" i="8"/>
  <c r="L24" i="4"/>
  <c r="F25" i="4"/>
  <c r="L25" i="4" s="1"/>
  <c r="F29" i="4"/>
  <c r="L104" i="4"/>
  <c r="F12" i="5"/>
  <c r="R6" i="10"/>
  <c r="R36" i="10" s="1"/>
  <c r="Q5" i="11" s="1"/>
  <c r="Q20" i="11" s="1"/>
  <c r="J36" i="10"/>
  <c r="H5" i="11" s="1"/>
  <c r="I5" i="11" s="1"/>
  <c r="I20" i="11" s="1"/>
  <c r="E12" i="12" s="1"/>
  <c r="L8" i="8"/>
  <c r="F5" i="9"/>
  <c r="L68" i="4"/>
  <c r="F9" i="5"/>
  <c r="C44" i="6"/>
  <c r="C45" i="6"/>
  <c r="H6" i="7" s="1"/>
  <c r="I6" i="7" s="1"/>
  <c r="G10" i="10" s="1"/>
  <c r="H10" i="10" s="1"/>
  <c r="E40" i="6"/>
  <c r="L133" i="8"/>
  <c r="F134" i="8"/>
  <c r="F46" i="10"/>
  <c r="L46" i="10" s="1"/>
  <c r="K46" i="10"/>
  <c r="E56" i="10"/>
  <c r="M23" i="9"/>
  <c r="L89" i="4"/>
  <c r="F90" i="4"/>
  <c r="L90" i="4" s="1"/>
  <c r="F91" i="4"/>
  <c r="L114" i="8"/>
  <c r="F19" i="9"/>
  <c r="I13" i="5"/>
  <c r="L13" i="5"/>
  <c r="L87" i="8"/>
  <c r="F88" i="8"/>
  <c r="I10" i="5"/>
  <c r="L10" i="5"/>
  <c r="F7" i="5"/>
  <c r="L42" i="4"/>
  <c r="L108" i="8"/>
  <c r="F18" i="9"/>
  <c r="F25" i="8"/>
  <c r="L51" i="8"/>
  <c r="F10" i="9"/>
  <c r="L29" i="4" l="1"/>
  <c r="F6" i="5"/>
  <c r="L81" i="8"/>
  <c r="F14" i="9"/>
  <c r="F56" i="10"/>
  <c r="L56" i="10" s="1"/>
  <c r="K56" i="10"/>
  <c r="L8" i="5"/>
  <c r="G8" i="5"/>
  <c r="G16" i="9"/>
  <c r="L16" i="9"/>
  <c r="G25" i="8"/>
  <c r="M10" i="5"/>
  <c r="G5" i="9"/>
  <c r="L5" i="9"/>
  <c r="B39" i="6"/>
  <c r="M39" i="6"/>
  <c r="A39" i="6" s="1"/>
  <c r="L134" i="8"/>
  <c r="F22" i="9"/>
  <c r="G13" i="9"/>
  <c r="L13" i="9"/>
  <c r="L54" i="10"/>
  <c r="G13" i="8"/>
  <c r="M13" i="5"/>
  <c r="G12" i="5"/>
  <c r="L12" i="5"/>
  <c r="F36" i="8"/>
  <c r="L36" i="8" s="1"/>
  <c r="K36" i="8"/>
  <c r="G10" i="9"/>
  <c r="L10" i="9"/>
  <c r="F21" i="10"/>
  <c r="L21" i="10" s="1"/>
  <c r="K21" i="10"/>
  <c r="L88" i="8"/>
  <c r="F15" i="9"/>
  <c r="L91" i="4"/>
  <c r="F11" i="5"/>
  <c r="G18" i="9"/>
  <c r="L18" i="9"/>
  <c r="G20" i="9"/>
  <c r="L20" i="9"/>
  <c r="G12" i="9"/>
  <c r="L12" i="9"/>
  <c r="I12" i="12"/>
  <c r="G19" i="9"/>
  <c r="L19" i="9"/>
  <c r="D8" i="11"/>
  <c r="L84" i="10"/>
  <c r="K35" i="8"/>
  <c r="F35" i="8"/>
  <c r="G11" i="9"/>
  <c r="L11" i="9"/>
  <c r="G7" i="5"/>
  <c r="L7" i="5"/>
  <c r="G9" i="5"/>
  <c r="L9" i="5"/>
  <c r="M20" i="9" l="1"/>
  <c r="E51" i="10"/>
  <c r="E39" i="6"/>
  <c r="B45" i="6"/>
  <c r="B44" i="6"/>
  <c r="E44" i="6" s="1"/>
  <c r="M13" i="9"/>
  <c r="E41" i="10"/>
  <c r="L11" i="5"/>
  <c r="G11" i="5"/>
  <c r="G15" i="9"/>
  <c r="L15" i="9"/>
  <c r="E7" i="10"/>
  <c r="M5" i="9"/>
  <c r="L35" i="8"/>
  <c r="F37" i="8"/>
  <c r="M16" i="9"/>
  <c r="E44" i="10"/>
  <c r="H13" i="8"/>
  <c r="K13" i="8"/>
  <c r="E39" i="10"/>
  <c r="M11" i="9"/>
  <c r="H25" i="8"/>
  <c r="K25" i="8"/>
  <c r="E38" i="10"/>
  <c r="M10" i="9"/>
  <c r="E8" i="11"/>
  <c r="K8" i="11" s="1"/>
  <c r="J8" i="11"/>
  <c r="G6" i="5"/>
  <c r="L6" i="5"/>
  <c r="M9" i="5"/>
  <c r="E23" i="8"/>
  <c r="L22" i="9"/>
  <c r="G22" i="9"/>
  <c r="M18" i="9"/>
  <c r="E49" i="10"/>
  <c r="M7" i="5"/>
  <c r="E26" i="8"/>
  <c r="E17" i="8"/>
  <c r="M8" i="5"/>
  <c r="E14" i="8"/>
  <c r="E24" i="8"/>
  <c r="M19" i="9"/>
  <c r="E50" i="10"/>
  <c r="M12" i="5"/>
  <c r="M22" i="6"/>
  <c r="L14" i="9"/>
  <c r="G14" i="9"/>
  <c r="M12" i="9"/>
  <c r="E40" i="10"/>
  <c r="K39" i="10" l="1"/>
  <c r="F39" i="10"/>
  <c r="L39" i="10" s="1"/>
  <c r="F17" i="8"/>
  <c r="L17" i="8" s="1"/>
  <c r="K17" i="8"/>
  <c r="F44" i="10"/>
  <c r="L44" i="10" s="1"/>
  <c r="K44" i="10"/>
  <c r="F49" i="10"/>
  <c r="L49" i="10" s="1"/>
  <c r="K49" i="10"/>
  <c r="E55" i="10"/>
  <c r="M22" i="9"/>
  <c r="F7" i="10"/>
  <c r="L7" i="10" s="1"/>
  <c r="K7" i="10"/>
  <c r="M11" i="5"/>
  <c r="M28" i="6"/>
  <c r="E42" i="10"/>
  <c r="M14" i="9"/>
  <c r="F41" i="10"/>
  <c r="L41" i="10" s="1"/>
  <c r="K41" i="10"/>
  <c r="M24" i="6"/>
  <c r="A24" i="6" s="1"/>
  <c r="B24" i="6"/>
  <c r="H18" i="8"/>
  <c r="H6" i="9" s="1"/>
  <c r="I6" i="9" s="1"/>
  <c r="L13" i="8"/>
  <c r="M6" i="5"/>
  <c r="E58" i="10"/>
  <c r="L37" i="8"/>
  <c r="F8" i="9"/>
  <c r="F23" i="8"/>
  <c r="K23" i="8"/>
  <c r="M15" i="9"/>
  <c r="E43" i="10"/>
  <c r="K38" i="10"/>
  <c r="F38" i="10"/>
  <c r="H27" i="8"/>
  <c r="H7" i="9" s="1"/>
  <c r="I7" i="9" s="1"/>
  <c r="G12" i="10" s="1"/>
  <c r="H12" i="10" s="1"/>
  <c r="L25" i="8"/>
  <c r="F14" i="8"/>
  <c r="K14" i="8"/>
  <c r="F26" i="8"/>
  <c r="L26" i="8" s="1"/>
  <c r="K26" i="8"/>
  <c r="K40" i="10"/>
  <c r="F40" i="10"/>
  <c r="L40" i="10" s="1"/>
  <c r="E45" i="6"/>
  <c r="F6" i="7"/>
  <c r="F50" i="10"/>
  <c r="L50" i="10" s="1"/>
  <c r="K50" i="10"/>
  <c r="F51" i="10"/>
  <c r="L51" i="10" s="1"/>
  <c r="K51" i="10"/>
  <c r="F24" i="8"/>
  <c r="L24" i="8" s="1"/>
  <c r="K24" i="8"/>
  <c r="L14" i="8" l="1"/>
  <c r="E16" i="8"/>
  <c r="B30" i="6"/>
  <c r="E30" i="6" s="1"/>
  <c r="M30" i="6"/>
  <c r="A30" i="6" s="1"/>
  <c r="E24" i="6"/>
  <c r="B33" i="6"/>
  <c r="B32" i="6"/>
  <c r="E32" i="6" s="1"/>
  <c r="F42" i="10"/>
  <c r="L42" i="10" s="1"/>
  <c r="K42" i="10"/>
  <c r="L38" i="10"/>
  <c r="G8" i="9"/>
  <c r="L8" i="9"/>
  <c r="F43" i="10"/>
  <c r="L43" i="10" s="1"/>
  <c r="K43" i="10"/>
  <c r="F55" i="10"/>
  <c r="K55" i="10"/>
  <c r="L23" i="8"/>
  <c r="F27" i="8"/>
  <c r="F58" i="10"/>
  <c r="L58" i="10" s="1"/>
  <c r="K58" i="10"/>
  <c r="G6" i="7"/>
  <c r="L6" i="7"/>
  <c r="G8" i="10"/>
  <c r="H8" i="10" s="1"/>
  <c r="H36" i="10" s="1"/>
  <c r="F5" i="11" s="1"/>
  <c r="G5" i="11" s="1"/>
  <c r="L27" i="8" l="1"/>
  <c r="F7" i="9"/>
  <c r="E33" i="6"/>
  <c r="F5" i="7"/>
  <c r="L55" i="10"/>
  <c r="F68" i="10"/>
  <c r="E17" i="10"/>
  <c r="M8" i="9"/>
  <c r="F52" i="10"/>
  <c r="G20" i="11"/>
  <c r="E9" i="12" s="1"/>
  <c r="E10" i="10"/>
  <c r="M6" i="7"/>
  <c r="F16" i="8"/>
  <c r="K16" i="8"/>
  <c r="I9" i="12" l="1"/>
  <c r="E16" i="12"/>
  <c r="I16" i="12" s="1"/>
  <c r="E15" i="12"/>
  <c r="E10" i="12"/>
  <c r="I10" i="12" s="1"/>
  <c r="E18" i="12"/>
  <c r="I18" i="12" s="1"/>
  <c r="L16" i="8"/>
  <c r="F18" i="8"/>
  <c r="F10" i="10"/>
  <c r="L10" i="10" s="1"/>
  <c r="K10" i="10"/>
  <c r="D6" i="11"/>
  <c r="L52" i="10"/>
  <c r="F17" i="10"/>
  <c r="L17" i="10" s="1"/>
  <c r="K17" i="10"/>
  <c r="L68" i="10"/>
  <c r="D7" i="11"/>
  <c r="G5" i="7"/>
  <c r="L5" i="7"/>
  <c r="G7" i="9"/>
  <c r="L7" i="9"/>
  <c r="E12" i="10" l="1"/>
  <c r="M7" i="9"/>
  <c r="M5" i="7"/>
  <c r="E6" i="10"/>
  <c r="E6" i="11"/>
  <c r="K6" i="11" s="1"/>
  <c r="J6" i="11"/>
  <c r="L18" i="8"/>
  <c r="F6" i="9"/>
  <c r="E11" i="12"/>
  <c r="I15" i="12"/>
  <c r="E17" i="12"/>
  <c r="I17" i="12" s="1"/>
  <c r="E7" i="11"/>
  <c r="K7" i="11" s="1"/>
  <c r="J7" i="11"/>
  <c r="E13" i="12" l="1"/>
  <c r="E26" i="12"/>
  <c r="I26" i="12" s="1"/>
  <c r="E25" i="12"/>
  <c r="I25" i="12" s="1"/>
  <c r="I11" i="12"/>
  <c r="E14" i="12"/>
  <c r="I14" i="12" s="1"/>
  <c r="G6" i="9"/>
  <c r="L6" i="9"/>
  <c r="F6" i="10"/>
  <c r="K6" i="10"/>
  <c r="F12" i="10"/>
  <c r="L12" i="10" s="1"/>
  <c r="K12" i="10"/>
  <c r="L6" i="10" l="1"/>
  <c r="E8" i="10"/>
  <c r="M6" i="9"/>
  <c r="I13" i="12"/>
  <c r="F8" i="10" l="1"/>
  <c r="K8" i="10"/>
  <c r="L8" i="10" l="1"/>
  <c r="F36" i="10"/>
  <c r="L36" i="10" l="1"/>
  <c r="D5" i="11"/>
  <c r="J5" i="11" l="1"/>
  <c r="E5" i="11"/>
  <c r="E20" i="11" l="1"/>
  <c r="K5" i="11"/>
  <c r="K20" i="11" l="1"/>
  <c r="E5" i="12"/>
  <c r="I5" i="12" l="1"/>
  <c r="E6" i="12"/>
  <c r="I6" i="12" s="1"/>
  <c r="E8" i="12"/>
  <c r="I8" i="12" l="1"/>
  <c r="E19" i="12"/>
  <c r="E24" i="12"/>
  <c r="I24" i="12" s="1"/>
  <c r="E23" i="12"/>
  <c r="I23" i="12" s="1"/>
  <c r="E22" i="12"/>
  <c r="I22" i="12" s="1"/>
  <c r="E21" i="12"/>
  <c r="I21" i="12" s="1"/>
  <c r="E20" i="12"/>
  <c r="I20" i="12" s="1"/>
  <c r="I19" i="12" l="1"/>
  <c r="E27" i="12"/>
  <c r="I27" i="12" l="1"/>
  <c r="E28" i="12"/>
  <c r="E29" i="12"/>
  <c r="I29" i="12" s="1"/>
  <c r="I30" i="12" s="1"/>
  <c r="E32" i="12" l="1"/>
  <c r="I32" i="12" s="1"/>
  <c r="I28" i="12"/>
  <c r="E30" i="12"/>
  <c r="I33" i="12" l="1"/>
  <c r="E33" i="12" l="1"/>
  <c r="I34" i="12"/>
  <c r="I35" i="12" s="1"/>
  <c r="I38" i="12" s="1"/>
  <c r="E34" i="12" l="1"/>
  <c r="K11" i="14" s="1"/>
  <c r="G11" i="14" s="1"/>
  <c r="K10" i="14"/>
  <c r="G10" i="14" s="1"/>
  <c r="E35" i="12"/>
  <c r="E38" i="12" l="1"/>
  <c r="K12" i="14"/>
  <c r="G12" i="14" l="1"/>
  <c r="K15" i="14"/>
  <c r="G15" i="14" l="1"/>
  <c r="R17" i="14"/>
</calcChain>
</file>

<file path=xl/sharedStrings.xml><?xml version="1.0" encoding="utf-8"?>
<sst xmlns="http://schemas.openxmlformats.org/spreadsheetml/2006/main" count="2101" uniqueCount="594">
  <si>
    <t>단 가 대 비 표</t>
  </si>
  <si>
    <t>공사명 : 1.내역서_대관2펌프장 제어반이설공사</t>
  </si>
  <si>
    <t>품     명</t>
  </si>
  <si>
    <t>규     격</t>
  </si>
  <si>
    <t>단위</t>
  </si>
  <si>
    <t>물가자료</t>
  </si>
  <si>
    <t>물가정보</t>
  </si>
  <si>
    <t>가격정보</t>
  </si>
  <si>
    <t>거래가격</t>
  </si>
  <si>
    <t>유통물가</t>
  </si>
  <si>
    <t>상반기</t>
  </si>
  <si>
    <t>조사단가</t>
  </si>
  <si>
    <t>적용단가</t>
  </si>
  <si>
    <t>비 고</t>
  </si>
  <si>
    <t>단가</t>
  </si>
  <si>
    <t>Page</t>
  </si>
  <si>
    <t>구분</t>
  </si>
  <si>
    <t>2종금속제가요전선관</t>
  </si>
  <si>
    <t>비닐피복, 30mm, 방수</t>
  </si>
  <si>
    <t>m</t>
  </si>
  <si>
    <t>1025(2101)</t>
  </si>
  <si>
    <t>860(2202)</t>
  </si>
  <si>
    <t>600V폴리에틸렌케이블</t>
  </si>
  <si>
    <t>0.6/1kV, F-CV, 4C×2.5㎟</t>
  </si>
  <si>
    <t>1075</t>
  </si>
  <si>
    <t>1168</t>
  </si>
  <si>
    <t>993</t>
  </si>
  <si>
    <t>834</t>
  </si>
  <si>
    <t>0.6/1kV, F-CV, 4C×4㎟</t>
  </si>
  <si>
    <t>경유</t>
  </si>
  <si>
    <t>저유황</t>
  </si>
  <si>
    <t>L</t>
  </si>
  <si>
    <t>하권32</t>
  </si>
  <si>
    <t>1451</t>
  </si>
  <si>
    <t>1189</t>
  </si>
  <si>
    <t>공업용휘발유</t>
  </si>
  <si>
    <t>무연</t>
  </si>
  <si>
    <t>1438</t>
  </si>
  <si>
    <t>단자대</t>
  </si>
  <si>
    <t>TB, 4P 30A</t>
  </si>
  <si>
    <t>개</t>
  </si>
  <si>
    <t>1200</t>
  </si>
  <si>
    <t>856</t>
  </si>
  <si>
    <t>고정식</t>
  </si>
  <si>
    <t>TB, 6P 15A</t>
  </si>
  <si>
    <t>드라이모르타르</t>
  </si>
  <si>
    <t>조적용레미탈. 시멘트벽돌,블럭 조적용(40kg/포)</t>
  </si>
  <si>
    <t>포</t>
  </si>
  <si>
    <t>104</t>
  </si>
  <si>
    <t>65</t>
  </si>
  <si>
    <t>배선용차단기</t>
  </si>
  <si>
    <t>4P 460V 30AF, 표준형</t>
  </si>
  <si>
    <t>1158</t>
  </si>
  <si>
    <t>1237</t>
  </si>
  <si>
    <t>895</t>
  </si>
  <si>
    <t>(A)3~30</t>
  </si>
  <si>
    <t>배수펌프(오.배수용)</t>
  </si>
  <si>
    <t>50mm  0.75KW  10m</t>
  </si>
  <si>
    <t>대</t>
  </si>
  <si>
    <t>832</t>
  </si>
  <si>
    <t>653</t>
  </si>
  <si>
    <t>2극</t>
  </si>
  <si>
    <t>보수용아스콘</t>
  </si>
  <si>
    <t>아스코아, 흑색</t>
  </si>
  <si>
    <t>KG</t>
  </si>
  <si>
    <t>157(2303)</t>
  </si>
  <si>
    <t>볼라드</t>
  </si>
  <si>
    <t>STS, Φ165.3×1200×2t</t>
  </si>
  <si>
    <t>254</t>
  </si>
  <si>
    <t>매립식</t>
  </si>
  <si>
    <t>분전반(스텐)</t>
  </si>
  <si>
    <t>옥외이중방수, 300×500×250, 1.2T</t>
  </si>
  <si>
    <t>EA</t>
  </si>
  <si>
    <t>1081</t>
  </si>
  <si>
    <t>932</t>
  </si>
  <si>
    <t>블레이드</t>
  </si>
  <si>
    <t>도로용, 14"×3.2mm</t>
  </si>
  <si>
    <t>1080</t>
  </si>
  <si>
    <t>1338</t>
  </si>
  <si>
    <t>1166</t>
  </si>
  <si>
    <t>시설부담금</t>
  </si>
  <si>
    <t>공중공급, 3상전원</t>
  </si>
  <si>
    <t>KW</t>
  </si>
  <si>
    <t>전동기제어반</t>
  </si>
  <si>
    <t>스텐제옥외형, W700XH2050</t>
  </si>
  <si>
    <t>면</t>
  </si>
  <si>
    <t>접지봉</t>
  </si>
  <si>
    <t>14Φ×1000mm</t>
  </si>
  <si>
    <t>1198</t>
  </si>
  <si>
    <t>1270</t>
  </si>
  <si>
    <t>925</t>
  </si>
  <si>
    <t>접지용비닐절연전선</t>
  </si>
  <si>
    <t>F-GV, 4㎟</t>
  </si>
  <si>
    <t>1165</t>
  </si>
  <si>
    <t>994</t>
  </si>
  <si>
    <t>833</t>
  </si>
  <si>
    <t>접지용전선</t>
  </si>
  <si>
    <t>GV 5.5㎟</t>
  </si>
  <si>
    <t>M</t>
  </si>
  <si>
    <t>제어케이블</t>
  </si>
  <si>
    <t>0.6/1kV, TFR-CVV, 6C×2.5㎟</t>
  </si>
  <si>
    <t>1076</t>
  </si>
  <si>
    <t>995</t>
  </si>
  <si>
    <t>F-CVV</t>
  </si>
  <si>
    <t>철근콘크리트용봉강</t>
  </si>
  <si>
    <t>이형봉강(SD300), D13</t>
  </si>
  <si>
    <t>Kg</t>
  </si>
  <si>
    <t>2</t>
  </si>
  <si>
    <t>49</t>
  </si>
  <si>
    <t>철판</t>
  </si>
  <si>
    <t>3.2T</t>
  </si>
  <si>
    <t>14</t>
  </si>
  <si>
    <t>26</t>
  </si>
  <si>
    <t>열연(박판)</t>
  </si>
  <si>
    <t>철합금설</t>
  </si>
  <si>
    <t>스텐레스.작업설부산물</t>
  </si>
  <si>
    <t>kg</t>
  </si>
  <si>
    <t>하권47</t>
  </si>
  <si>
    <t>1472</t>
  </si>
  <si>
    <t>매입가</t>
  </si>
  <si>
    <t>파상형경질폴리에틸렌전선관</t>
  </si>
  <si>
    <t>50mm</t>
  </si>
  <si>
    <t>1106</t>
  </si>
  <si>
    <t>1204</t>
  </si>
  <si>
    <t>1025</t>
  </si>
  <si>
    <t>861</t>
  </si>
  <si>
    <t>ELP전선관</t>
  </si>
  <si>
    <t>하이박스</t>
  </si>
  <si>
    <t>300×400×160</t>
  </si>
  <si>
    <t>1028</t>
  </si>
  <si>
    <t>건설기계운전사</t>
  </si>
  <si>
    <t>일반공사 직종</t>
  </si>
  <si>
    <t>인</t>
  </si>
  <si>
    <t>건설기계운전기사</t>
  </si>
  <si>
    <t>기계설비공</t>
  </si>
  <si>
    <t>기계설치공</t>
  </si>
  <si>
    <t>내선전공</t>
  </si>
  <si>
    <t>배전전공</t>
  </si>
  <si>
    <t>변전전공</t>
  </si>
  <si>
    <t>기타 직종</t>
  </si>
  <si>
    <t>보통인부</t>
  </si>
  <si>
    <t>비계공</t>
  </si>
  <si>
    <t>용접공</t>
  </si>
  <si>
    <t>용접공(일반)</t>
  </si>
  <si>
    <t>일반기계운전사</t>
  </si>
  <si>
    <t>운전사(기계)</t>
  </si>
  <si>
    <t>저압케이블전공</t>
  </si>
  <si>
    <t>착암공</t>
  </si>
  <si>
    <t>철공</t>
  </si>
  <si>
    <t>콘크리트공</t>
  </si>
  <si>
    <t>통신케이블공</t>
  </si>
  <si>
    <t>특별인부</t>
  </si>
  <si>
    <t>포장공</t>
  </si>
  <si>
    <t>화물차운전사</t>
  </si>
  <si>
    <t>운전사(운반차)</t>
  </si>
  <si>
    <t>건설폐기물수집운반비(상차+운반비)</t>
  </si>
  <si>
    <t>4.5톤 덤프트럭, 건설폐재류, 50km</t>
  </si>
  <si>
    <t>TON</t>
  </si>
  <si>
    <t>하권150</t>
  </si>
  <si>
    <t>1586</t>
  </si>
  <si>
    <t>1433</t>
  </si>
  <si>
    <t>한국건설폐기물수집운반</t>
  </si>
  <si>
    <t>고소작업차</t>
  </si>
  <si>
    <t>2 ton</t>
  </si>
  <si>
    <t>공통8-5-3(2106)</t>
  </si>
  <si>
    <t>굴착기(유압식백호우)</t>
  </si>
  <si>
    <t>0.2 ㎥</t>
  </si>
  <si>
    <t>공통8-5-1(0201)</t>
  </si>
  <si>
    <t>굴착기(타이어)</t>
  </si>
  <si>
    <t>0.18 ㎥</t>
  </si>
  <si>
    <t>공통8-5-1(0211)</t>
  </si>
  <si>
    <t>대형 브레이카</t>
  </si>
  <si>
    <t>0.2 ㎥용</t>
  </si>
  <si>
    <t>공통8-5-1(0230)</t>
  </si>
  <si>
    <t>동력분무기</t>
  </si>
  <si>
    <t>4.85kw</t>
  </si>
  <si>
    <t>공통8-5-8(7210)</t>
  </si>
  <si>
    <t>로더(타이어)</t>
  </si>
  <si>
    <t>0.57 ㎥</t>
  </si>
  <si>
    <t>공통8-5-1(0302)</t>
  </si>
  <si>
    <t>물탱크(살수차)</t>
  </si>
  <si>
    <t>5500 L</t>
  </si>
  <si>
    <t>공통8-5-8(7204)</t>
  </si>
  <si>
    <t>진동롤러 (핸드가이드식)</t>
  </si>
  <si>
    <t>0.7 톤</t>
  </si>
  <si>
    <t>공통8-5-2(1305)</t>
  </si>
  <si>
    <t>커터(콘크리트및아스팔트용)</t>
  </si>
  <si>
    <t>320-400 mm</t>
  </si>
  <si>
    <t>공통8-5-5(4430)</t>
  </si>
  <si>
    <t>폐자재처리수수료</t>
  </si>
  <si>
    <t>건축폐자재</t>
  </si>
  <si>
    <t>톤</t>
  </si>
  <si>
    <t>하권151</t>
  </si>
  <si>
    <t>부록412</t>
  </si>
  <si>
    <t>1585</t>
  </si>
  <si>
    <t>부가세별도</t>
  </si>
  <si>
    <t>플레이트 콤팩터</t>
  </si>
  <si>
    <t>1.5 ton</t>
  </si>
  <si>
    <t>공통8-5-2(1730)</t>
  </si>
  <si>
    <t xml:space="preserve"> 일위대가 공량산출서</t>
  </si>
  <si>
    <t>품명</t>
  </si>
  <si>
    <t>규격</t>
  </si>
  <si>
    <t>수량</t>
  </si>
  <si>
    <t>적용%</t>
  </si>
  <si>
    <t xml:space="preserve"> 적    용 자재수량</t>
  </si>
  <si>
    <t>공량</t>
  </si>
  <si>
    <t>비고</t>
  </si>
  <si>
    <t>품셈목록</t>
  </si>
  <si>
    <t>인부</t>
  </si>
  <si>
    <t>자재원수량</t>
  </si>
  <si>
    <t>자재</t>
  </si>
  <si>
    <t>[일위  6호] - [파상형경질폴리에틸렌전선관 [3열동시1열당]  파상형경질폴리에틸렌전선관, 50mm  m]</t>
  </si>
  <si>
    <t>파상형경질폴리에틸렌전선관 [3열동시1열당]</t>
  </si>
  <si>
    <t>0.007X86.67%</t>
  </si>
  <si>
    <t>0.018X86.67%</t>
  </si>
  <si>
    <t>전기4-31</t>
  </si>
  <si>
    <t>합  계</t>
  </si>
  <si>
    <t>[일위  7호] - [2종금속제가요전선관  비닐피복, 30mm, 방수  m]</t>
  </si>
  <si>
    <t>전기5-1</t>
  </si>
  <si>
    <t>[일위  8호] - [600V폴리에틸렌케이블  0.6/1kV, F-CV, 4C×4㎟  m]</t>
  </si>
  <si>
    <t>전기5-13</t>
  </si>
  <si>
    <t>[일위  9호] - [600V폴리에틸렌케이블  0.6/1kV, F-CV, 4C×2.5㎟  m]</t>
  </si>
  <si>
    <t>[일위 11호] - [접지용비닐절연전선  F-GV, 4㎟  m]</t>
  </si>
  <si>
    <t>전기3-38</t>
  </si>
  <si>
    <t>[일위 13호] - [하이박스  300×400×160  EA]</t>
  </si>
  <si>
    <t>전기5-4</t>
  </si>
  <si>
    <t>[일위 16호] - [배수펌프(오.배수용)  50mm  0.75KW  10m  대]</t>
  </si>
  <si>
    <t>오배수용펌프</t>
  </si>
  <si>
    <t>설비4-1-2</t>
  </si>
  <si>
    <t>[일위 18호] - [분전반(스텐)  옥외이중방수, 300×500×250, 1.2T  EA]</t>
  </si>
  <si>
    <t>[일위 19호] - [배선용차단기  4P 460V 30AF, 표준형  개]</t>
  </si>
  <si>
    <t>전기5-18</t>
  </si>
  <si>
    <t>중 기 경 비 내 역 서</t>
  </si>
  <si>
    <t>품          명</t>
  </si>
  <si>
    <t>규          격</t>
  </si>
  <si>
    <t>수  량</t>
  </si>
  <si>
    <t>재   료   비</t>
  </si>
  <si>
    <t>노   무   비</t>
  </si>
  <si>
    <t>경        비</t>
  </si>
  <si>
    <t>합  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</si>
  <si>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</si>
  <si>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</si>
  <si>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</si>
  <si>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</si>
  <si>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</si>
  <si>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</si>
  <si>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</si>
  <si>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</si>
  <si>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</si>
  <si>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[중기  1호] - [굴착기(타이어)  0.18㎥  HR]</t>
  </si>
  <si>
    <t>공통8-4-1,8-3-1(0211)</t>
  </si>
  <si>
    <t>[경  비]</t>
  </si>
  <si>
    <t/>
  </si>
  <si>
    <t>03</t>
  </si>
  <si>
    <t>기계경비</t>
  </si>
  <si>
    <t>소  계</t>
  </si>
  <si>
    <t>[재료비]</t>
  </si>
  <si>
    <t>01</t>
  </si>
  <si>
    <t>잡품</t>
  </si>
  <si>
    <t>식</t>
  </si>
  <si>
    <t>재료비-&gt;재료비</t>
  </si>
  <si>
    <t>20</t>
  </si>
  <si>
    <t>A0100000000</t>
  </si>
  <si>
    <t>재료비</t>
  </si>
  <si>
    <t>[노무비]</t>
  </si>
  <si>
    <t>02</t>
  </si>
  <si>
    <t>[중기  2호] - [고소작업차  2ton  HR]</t>
  </si>
  <si>
    <t>공통8-4-3,8-3-3(2106)</t>
  </si>
  <si>
    <t>[중기  3호] - [물탱크(살수차)  5500L  HR]</t>
  </si>
  <si>
    <t>공통8-4-8,8-3-8(7204)</t>
  </si>
  <si>
    <t>[중기  4호] - [진동롤러(핸드가이드식)  0.7ton  HR]</t>
  </si>
  <si>
    <t>공통8-4-2,8-3-2(1305)</t>
  </si>
  <si>
    <t>[중기  5호] - [플레이트 콤팩터  1.5ton  HR]</t>
  </si>
  <si>
    <t>공통8-4-2,8-3-2(1730)</t>
  </si>
  <si>
    <t>[중기  6호] - [로더(타이어)  0.57 ㎥  HR]</t>
  </si>
  <si>
    <t>공통8-4-1,8-3-1(0302)</t>
  </si>
  <si>
    <t>[중기  7호] - [동력분무기  4.85kw  HR]</t>
  </si>
  <si>
    <t>공통8-4-8,8-3-8(7210)</t>
  </si>
  <si>
    <t>[중기  8호] - [커터(콘크리트 및 아스팔트용)  320∼400mm  HR]</t>
  </si>
  <si>
    <t>공통8-4-5,8-3-5(4430)</t>
  </si>
  <si>
    <t>[중기  9호] - [굴착기(무한궤도)  0.2㎥  HR]</t>
  </si>
  <si>
    <t>공통8-4-1,8-3-1(0201)</t>
  </si>
  <si>
    <t>[중기 10호] - [굴착기(유압식,타이어형)+브레카  0.18 ㎥  HR]</t>
  </si>
  <si>
    <t>공통(0211+0230)</t>
  </si>
  <si>
    <t>중 기 경 비 목 록</t>
  </si>
  <si>
    <t>호 표</t>
  </si>
  <si>
    <t>재 료 비</t>
  </si>
  <si>
    <t>노 무 비</t>
  </si>
  <si>
    <t>경    비</t>
  </si>
  <si>
    <t>합    계</t>
  </si>
  <si>
    <t>중기  1호</t>
  </si>
  <si>
    <t>0.18㎥</t>
  </si>
  <si>
    <t>HR</t>
  </si>
  <si>
    <t>중기  2호</t>
  </si>
  <si>
    <t>2ton</t>
  </si>
  <si>
    <t>중기  3호</t>
  </si>
  <si>
    <t>5500L</t>
  </si>
  <si>
    <t>중기  4호</t>
  </si>
  <si>
    <t>진동롤러(핸드가이드식)</t>
  </si>
  <si>
    <t>0.7ton</t>
  </si>
  <si>
    <t>중기  5호</t>
  </si>
  <si>
    <t>1.5ton</t>
  </si>
  <si>
    <t>중기  6호</t>
  </si>
  <si>
    <t>중기  7호</t>
  </si>
  <si>
    <t>중기  8호</t>
  </si>
  <si>
    <t>커터(콘크리트 및 아스팔트용)</t>
  </si>
  <si>
    <t>320∼400mm</t>
  </si>
  <si>
    <t>중기  9호</t>
  </si>
  <si>
    <t>굴착기(무한궤도)</t>
  </si>
  <si>
    <t>0.2㎥</t>
  </si>
  <si>
    <t>중기 10호</t>
  </si>
  <si>
    <t>굴착기(유압식,타이어형)+브레카</t>
  </si>
  <si>
    <t>단 가 산 출 서</t>
  </si>
  <si>
    <t>산   출   근   거</t>
  </si>
  <si>
    <t>비    고</t>
  </si>
  <si>
    <t>[단산  1호] - [포장절단  콘크리트(기계)  M]</t>
  </si>
  <si>
    <t>2021국토교통부산출기준</t>
  </si>
  <si>
    <t>Qd</t>
  </si>
  <si>
    <t>1.운전경비</t>
  </si>
  <si>
    <t xml:space="preserve">1)블레이드 D=320~400mm, T=3.2mm 기준 </t>
  </si>
  <si>
    <t>2)절단</t>
  </si>
  <si>
    <t>가. 인건비</t>
  </si>
  <si>
    <t>3) 물운반</t>
  </si>
  <si>
    <t>V</t>
  </si>
  <si>
    <t>N</t>
  </si>
  <si>
    <t>Q</t>
  </si>
  <si>
    <t>2.기계사용료</t>
  </si>
  <si>
    <t>나. 커터</t>
  </si>
  <si>
    <t>커터(콘크리트 및 아스팔트용) 320∼400mm HR</t>
  </si>
  <si>
    <t>다. 동력분무기</t>
  </si>
  <si>
    <t>동력분무기 4.85kw HR</t>
  </si>
  <si>
    <t>[단산  2호] - [아스팔트포장깨기  굴착기 0.18㎥+브레이커, 두께20cm이하  M3]</t>
  </si>
  <si>
    <t>2024년 서울아리수본부</t>
  </si>
  <si>
    <t>1.기계사용료</t>
  </si>
  <si>
    <t>굴착기(유압식,타이어형)+브레카 0.18 ㎥ HR</t>
  </si>
  <si>
    <t>2. 보조인부</t>
  </si>
  <si>
    <t>단 가 산 출 목 록</t>
  </si>
  <si>
    <t>품    명</t>
  </si>
  <si>
    <t>규    격</t>
  </si>
  <si>
    <t>단산  1호</t>
  </si>
  <si>
    <t>포장절단</t>
  </si>
  <si>
    <t>콘크리트(기계)</t>
  </si>
  <si>
    <t>단산  2호</t>
  </si>
  <si>
    <t>아스팔트포장깨기</t>
  </si>
  <si>
    <t>굴착기 0.18㎥+브레이커, 두께20cm이하</t>
  </si>
  <si>
    <t>M3</t>
  </si>
  <si>
    <t>일 위 대 가 내 역 서</t>
  </si>
  <si>
    <t>품        명</t>
  </si>
  <si>
    <t>규        격</t>
  </si>
  <si>
    <t>재  료  비</t>
  </si>
  <si>
    <t>노  무  비</t>
  </si>
  <si>
    <t>경      비</t>
  </si>
  <si>
    <t>합      계</t>
  </si>
  <si>
    <t>[일위  1호] - [인력 터파기  보통토사, 깊이 1m 미만  M3]</t>
  </si>
  <si>
    <t>통신2-1-8-1</t>
  </si>
  <si>
    <t>공구손료</t>
  </si>
  <si>
    <t>23</t>
  </si>
  <si>
    <t>A0200000000</t>
  </si>
  <si>
    <t>[일위  2호] - [되메우기 및 다짐  소형장비사용  M3]</t>
  </si>
  <si>
    <t>공통3-4-6</t>
  </si>
  <si>
    <t>99</t>
  </si>
  <si>
    <t>금액제외</t>
  </si>
  <si>
    <t>조정원 제외</t>
  </si>
  <si>
    <t>28</t>
  </si>
  <si>
    <t>[일위  3호] - [아스팔트 표층 소규모포설  t=7.5cm 이하  M2]</t>
  </si>
  <si>
    <t>토목1-5-5</t>
  </si>
  <si>
    <t>[일위  4호] - [잡철물 제작 및 설치(현장제작 설치)  일반철재, 복잡  Ton]</t>
  </si>
  <si>
    <t>건축8-3-1</t>
  </si>
  <si>
    <t>노임할증</t>
  </si>
  <si>
    <t>24</t>
  </si>
  <si>
    <t>A0102000000</t>
  </si>
  <si>
    <t>잡자재비</t>
  </si>
  <si>
    <t>[일위  5호] - [인력비빔 타설  소형구조물  M3]</t>
  </si>
  <si>
    <t>공통6-1-2</t>
  </si>
  <si>
    <t>04</t>
  </si>
  <si>
    <t>전선관 부속품비</t>
  </si>
  <si>
    <t>A0400000000</t>
  </si>
  <si>
    <t>cd관제외</t>
  </si>
  <si>
    <t>소모품비</t>
  </si>
  <si>
    <t>[일위 10호] - [0.6/1kv 트레이용 절연난연 제어케이블(F-CVV)  6C*2.5㎟  M]</t>
  </si>
  <si>
    <t>통신4-4-1</t>
  </si>
  <si>
    <t>잡재료비</t>
  </si>
  <si>
    <t>[일위 12호] - [접지동봉설치  1본  개소]</t>
  </si>
  <si>
    <t>[일위 14호] - [입상케이블 보호관 설치  입상관 Φ175mm 이하  m]</t>
  </si>
  <si>
    <t>전기4-33</t>
  </si>
  <si>
    <t>[일위 15호] - [구멍뚫기(코어드릴)  D150, 콘크리트 150㎜, 벽  개소]</t>
  </si>
  <si>
    <t>설비9-3-2</t>
  </si>
  <si>
    <t>[일위 17호] - [큐비클철거   500kg 이하,  1.0m3 이하  EA]</t>
  </si>
  <si>
    <t>전기3-35</t>
  </si>
  <si>
    <t>[일위 20호] - [건설폐기물처리비  건설(건축)폐자재  톤]</t>
  </si>
  <si>
    <t>일 위 대 가 목 록</t>
  </si>
  <si>
    <t>금    액</t>
  </si>
  <si>
    <t>일위  1호</t>
  </si>
  <si>
    <t>인력 터파기</t>
  </si>
  <si>
    <t>보통토사, 깊이 1m 미만</t>
  </si>
  <si>
    <t>통신</t>
  </si>
  <si>
    <t>일위  2호</t>
  </si>
  <si>
    <t>되메우기 및 다짐</t>
  </si>
  <si>
    <t>소형장비사용</t>
  </si>
  <si>
    <t>CDH11500000S</t>
  </si>
  <si>
    <t>일위  3호</t>
  </si>
  <si>
    <t>아스팔트 표층 소규모포설</t>
  </si>
  <si>
    <t>t=7.5cm 이하</t>
  </si>
  <si>
    <t>M2</t>
  </si>
  <si>
    <t>CLC40010000S</t>
  </si>
  <si>
    <t>일위  4호</t>
  </si>
  <si>
    <t>잡철물 제작 및 설치(현장제작 설치)</t>
  </si>
  <si>
    <t>일반철재, 복잡</t>
  </si>
  <si>
    <t>Ton</t>
  </si>
  <si>
    <t>AJM53100030S</t>
  </si>
  <si>
    <t>일위  5호</t>
  </si>
  <si>
    <t>인력비빔 타설</t>
  </si>
  <si>
    <t>소형구조물</t>
  </si>
  <si>
    <t>일위  6호</t>
  </si>
  <si>
    <t>파상형경질폴리에틸렌전선관, 50mm</t>
  </si>
  <si>
    <t>설치4</t>
  </si>
  <si>
    <t>일위  7호</t>
  </si>
  <si>
    <t>설치</t>
  </si>
  <si>
    <t>일위  8호</t>
  </si>
  <si>
    <t>일위  9호</t>
  </si>
  <si>
    <t>일위 10호</t>
  </si>
  <si>
    <t>0.6/1kv 트레이용 절연난연 제어케이블(F-CVV)</t>
  </si>
  <si>
    <t>6C*2.5㎟</t>
  </si>
  <si>
    <t>TDI53600010S</t>
  </si>
  <si>
    <t>일위 11호</t>
  </si>
  <si>
    <t>일위 12호</t>
  </si>
  <si>
    <t>접지동봉설치</t>
  </si>
  <si>
    <t>1본</t>
  </si>
  <si>
    <t>개소</t>
  </si>
  <si>
    <t>일위 13호</t>
  </si>
  <si>
    <t>일위 14호</t>
  </si>
  <si>
    <t>입상케이블 보호관 설치</t>
  </si>
  <si>
    <t>입상관 Φ175mm 이하</t>
  </si>
  <si>
    <t>일위 15호</t>
  </si>
  <si>
    <t>구멍뚫기(코어드릴)</t>
  </si>
  <si>
    <t>D150, 콘크리트 150㎜, 벽</t>
  </si>
  <si>
    <t>일위 16호</t>
  </si>
  <si>
    <t>일위 17호</t>
  </si>
  <si>
    <t>큐비클철거</t>
  </si>
  <si>
    <t xml:space="preserve"> 500kg 이하,  1.0m3 이하</t>
  </si>
  <si>
    <t>설치의 60%</t>
  </si>
  <si>
    <t>일위 18호</t>
  </si>
  <si>
    <t>일위 19호</t>
  </si>
  <si>
    <t>일위 20호</t>
  </si>
  <si>
    <t>건설폐기물처리비</t>
  </si>
  <si>
    <t>건설(건축)폐자재</t>
  </si>
  <si>
    <t>공 사 내 역 서</t>
  </si>
  <si>
    <t>품      명</t>
  </si>
  <si>
    <t>규      격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</si>
  <si>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</si>
  <si>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</si>
  <si>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</si>
  <si>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</si>
  <si>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</si>
  <si>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</si>
  <si>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</si>
  <si>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</si>
  <si>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</si>
  <si>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</si>
  <si>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</si>
  <si>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</si>
  <si>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</si>
  <si>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</si>
  <si>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</si>
  <si>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</si>
  <si>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</si>
  <si>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</si>
  <si>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</si>
  <si>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</si>
  <si>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</si>
  <si>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</si>
  <si>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</si>
  <si>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</si>
  <si>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</si>
  <si>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</si>
  <si>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</si>
  <si>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</si>
  <si>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</si>
  <si>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</si>
  <si>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01. 토목공사</t>
  </si>
  <si>
    <t>이형철근</t>
  </si>
  <si>
    <t>철근콘크리트용봉강, 이형봉강(SD300), D13</t>
  </si>
  <si>
    <t>레미탈</t>
  </si>
  <si>
    <t>현장비빔타설</t>
  </si>
  <si>
    <t>02. 배관배선공사</t>
  </si>
  <si>
    <t>03. 제어반 이설공사</t>
  </si>
  <si>
    <t>04. 폐기물처리비</t>
  </si>
  <si>
    <t>05. 표준시설부담금</t>
  </si>
  <si>
    <t>부가가치세</t>
  </si>
  <si>
    <t>10％</t>
  </si>
  <si>
    <t>％</t>
  </si>
  <si>
    <t>06. 관급자재대</t>
  </si>
  <si>
    <t>공 사 집 계 표</t>
  </si>
  <si>
    <t>합계제외</t>
  </si>
  <si>
    <t>공 사 원 가 계 산 서</t>
  </si>
  <si>
    <t xml:space="preserve">                     구  분
  비   목</t>
  </si>
  <si>
    <t>구    성   비</t>
  </si>
  <si>
    <t>금      액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</si>
  <si>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</si>
  <si>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</si>
  <si>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</si>
  <si>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</si>
  <si>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</si>
  <si>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</si>
  <si>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</si>
  <si>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</si>
  <si>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</si>
  <si>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</si>
  <si>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</si>
  <si>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</si>
  <si>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</si>
  <si>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</si>
  <si>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</si>
  <si>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</si>
  <si>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</si>
  <si>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</si>
  <si>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</si>
  <si>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</si>
  <si>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</si>
  <si>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</si>
  <si>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</si>
  <si>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</si>
  <si>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</si>
  <si>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</si>
  <si>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</si>
  <si>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</si>
  <si>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</si>
  <si>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</si>
  <si>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</si>
  <si>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</si>
  <si>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</si>
  <si>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</si>
  <si>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</si>
  <si>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</si>
  <si>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</si>
  <si>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</si>
  <si>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</si>
  <si>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</si>
  <si>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</si>
  <si>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</si>
  <si>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</si>
  <si>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</si>
  <si>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</si>
  <si>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</si>
  <si>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</si>
  <si>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</si>
  <si>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</si>
  <si>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</si>
  <si>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손해배상보험료</t>
  </si>
  <si>
    <t>L1</t>
  </si>
  <si>
    <t>총       원       가</t>
  </si>
  <si>
    <t>F</t>
  </si>
  <si>
    <t>부   가   가  치  세</t>
  </si>
  <si>
    <t>H</t>
  </si>
  <si>
    <t>도    급    금    액</t>
  </si>
  <si>
    <t>Y</t>
  </si>
  <si>
    <t>관   급  자   재  대</t>
  </si>
  <si>
    <t>J</t>
  </si>
  <si>
    <t>K</t>
  </si>
  <si>
    <t>총   공   사  금  액</t>
  </si>
  <si>
    <t>노무비</t>
  </si>
  <si>
    <t>경  비</t>
  </si>
  <si>
    <t>순  공  사  원  가</t>
  </si>
  <si>
    <t>폐  기  물  처 리 비</t>
    <phoneticPr fontId="1" type="noConversion"/>
  </si>
  <si>
    <t>과 장</t>
    <phoneticPr fontId="16" type="noConversion"/>
  </si>
  <si>
    <t>팀장</t>
    <phoneticPr fontId="16" type="noConversion"/>
  </si>
  <si>
    <t>심사자</t>
    <phoneticPr fontId="16" type="noConversion"/>
  </si>
  <si>
    <t>설계자</t>
    <phoneticPr fontId="16" type="noConversion"/>
  </si>
  <si>
    <t>설 계</t>
    <phoneticPr fontId="16" type="noConversion"/>
  </si>
  <si>
    <t xml:space="preserve"> 2026년   07월    일</t>
    <phoneticPr fontId="16" type="noConversion"/>
  </si>
  <si>
    <t>결 재</t>
    <phoneticPr fontId="16" type="noConversion"/>
  </si>
  <si>
    <t>심 사</t>
    <phoneticPr fontId="16" type="noConversion"/>
  </si>
  <si>
    <t>월   일</t>
    <phoneticPr fontId="16" type="noConversion"/>
  </si>
  <si>
    <t>설   계   내  역  서</t>
    <phoneticPr fontId="19" type="noConversion"/>
  </si>
  <si>
    <t>건  명 :  대관B펌프장 제어반이설공사</t>
    <phoneticPr fontId="16" type="noConversion"/>
  </si>
  <si>
    <t>구   분</t>
    <phoneticPr fontId="16" type="noConversion"/>
  </si>
  <si>
    <t>금   액</t>
    <phoneticPr fontId="16" type="noConversion"/>
  </si>
  <si>
    <t>비 고</t>
    <phoneticPr fontId="19" type="noConversion"/>
  </si>
  <si>
    <t>공 급 가 액</t>
    <phoneticPr fontId="19" type="noConversion"/>
  </si>
  <si>
    <t>부가가치세</t>
    <phoneticPr fontId="16" type="noConversion"/>
  </si>
  <si>
    <t>표준시설부담금</t>
    <phoneticPr fontId="19" type="noConversion"/>
  </si>
  <si>
    <t>이천시납부</t>
    <phoneticPr fontId="1" type="noConversion"/>
  </si>
  <si>
    <t>계</t>
    <phoneticPr fontId="1" type="noConversion"/>
  </si>
  <si>
    <t xml:space="preserve">개      요 : </t>
    <phoneticPr fontId="19" type="noConversion"/>
  </si>
  <si>
    <t>1. 전기공사</t>
    <phoneticPr fontId="19" type="noConversion"/>
  </si>
  <si>
    <t>1 식</t>
    <phoneticPr fontId="19" type="noConversion"/>
  </si>
  <si>
    <t>표 준 시 설 부 담 금</t>
    <phoneticPr fontId="1" type="noConversion"/>
  </si>
  <si>
    <t>5톤이상 ~ 100톤미만</t>
    <phoneticPr fontId="1" type="noConversion"/>
  </si>
  <si>
    <t>도 급 금 액</t>
    <phoneticPr fontId="1" type="noConversion"/>
  </si>
  <si>
    <t>관 급 자 재</t>
    <phoneticPr fontId="1" type="noConversion"/>
  </si>
  <si>
    <t>(순공사원가)*0.26477%(100원미만절사)/최저공제료:20,000원</t>
    <phoneticPr fontId="1" type="noConversion"/>
  </si>
  <si>
    <t xml:space="preserve"> 관급자 설치</t>
    <phoneticPr fontId="1" type="noConversion"/>
  </si>
  <si>
    <t>2. 전동기제어반</t>
    <phoneticPr fontId="1" type="noConversion"/>
  </si>
  <si>
    <t>1면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</si>
</sst>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.0######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b/>
      <sz val="8"/>
      <color rgb="FF0000FF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굴림체"/>
      <family val="3"/>
      <charset val="129"/>
    </font>
    <font>
      <b/>
      <u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rgb="FFF4F4FD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/>
  </cellStyleXfs>
  <cellXfs count="19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0" fontId="6" fillId="0" borderId="1" xfId="0" quotePrefix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right" vertical="center" shrinkToFit="1"/>
    </xf>
    <xf numFmtId="0" fontId="8" fillId="4" borderId="2" xfId="0" applyFont="1" applyFill="1" applyBorder="1" applyAlignment="1">
      <alignment horizontal="left" vertical="center" shrinkToFit="1"/>
    </xf>
    <xf numFmtId="3" fontId="8" fillId="4" borderId="3" xfId="0" applyNumberFormat="1" applyFont="1" applyFill="1" applyBorder="1" applyAlignment="1">
      <alignment horizontal="right" vertical="center" shrinkToFit="1"/>
    </xf>
    <xf numFmtId="0" fontId="8" fillId="4" borderId="3" xfId="0" applyFont="1" applyFill="1" applyBorder="1" applyAlignment="1">
      <alignment horizontal="right" vertical="center" shrinkToFit="1"/>
    </xf>
    <xf numFmtId="0" fontId="8" fillId="4" borderId="3" xfId="0" applyFont="1" applyFill="1" applyBorder="1" applyAlignment="1">
      <alignment horizontal="left" vertical="center" shrinkToFit="1"/>
    </xf>
    <xf numFmtId="0" fontId="9" fillId="0" borderId="2" xfId="0" quotePrefix="1" applyFont="1" applyBorder="1" applyAlignment="1">
      <alignment horizontal="left" vertical="center" shrinkToFit="1"/>
    </xf>
    <xf numFmtId="0" fontId="9" fillId="0" borderId="2" xfId="0" applyFont="1" applyBorder="1" applyAlignment="1">
      <alignment horizontal="right" vertical="center" shrinkToFit="1"/>
    </xf>
    <xf numFmtId="9" fontId="9" fillId="0" borderId="2" xfId="0" applyNumberFormat="1" applyFont="1" applyBorder="1" applyAlignment="1">
      <alignment horizontal="right" vertical="center" shrinkToFit="1"/>
    </xf>
    <xf numFmtId="0" fontId="9" fillId="0" borderId="3" xfId="0" applyFont="1" applyBorder="1" applyAlignment="1">
      <alignment horizontal="left" vertical="center" shrinkToFit="1"/>
    </xf>
    <xf numFmtId="0" fontId="9" fillId="0" borderId="3" xfId="0" quotePrefix="1" applyFont="1" applyBorder="1" applyAlignment="1">
      <alignment horizontal="right" vertical="center" shrinkToFit="1"/>
    </xf>
    <xf numFmtId="10" fontId="9" fillId="0" borderId="3" xfId="0" applyNumberFormat="1" applyFont="1" applyBorder="1" applyAlignment="1">
      <alignment horizontal="right" vertical="center" shrinkToFit="1"/>
    </xf>
    <xf numFmtId="0" fontId="9" fillId="0" borderId="3" xfId="0" applyFont="1" applyBorder="1" applyAlignment="1">
      <alignment horizontal="right" vertical="center" shrinkToFit="1"/>
    </xf>
    <xf numFmtId="0" fontId="10" fillId="2" borderId="2" xfId="0" applyFont="1" applyFill="1" applyBorder="1" applyAlignment="1">
      <alignment horizontal="distributed" vertical="center" shrinkToFit="1"/>
    </xf>
    <xf numFmtId="0" fontId="10" fillId="2" borderId="2" xfId="0" applyFont="1" applyFill="1" applyBorder="1" applyAlignment="1">
      <alignment horizontal="left" vertical="center" shrinkToFit="1"/>
    </xf>
    <xf numFmtId="0" fontId="10" fillId="2" borderId="2" xfId="0" applyFont="1" applyFill="1" applyBorder="1" applyAlignment="1">
      <alignment horizontal="right" vertical="center" shrinkToFit="1"/>
    </xf>
    <xf numFmtId="0" fontId="10" fillId="2" borderId="3" xfId="0" applyFont="1" applyFill="1" applyBorder="1" applyAlignment="1">
      <alignment horizontal="left" vertical="center" shrinkToFit="1"/>
    </xf>
    <xf numFmtId="0" fontId="10" fillId="2" borderId="3" xfId="0" applyFont="1" applyFill="1" applyBorder="1" applyAlignment="1">
      <alignment horizontal="right" vertical="center" shrinkToFit="1"/>
    </xf>
    <xf numFmtId="0" fontId="9" fillId="0" borderId="2" xfId="0" applyFont="1" applyBorder="1" applyAlignment="1">
      <alignment horizontal="left" vertical="center" shrinkToFit="1"/>
    </xf>
    <xf numFmtId="9" fontId="9" fillId="0" borderId="3" xfId="0" applyNumberFormat="1" applyFont="1" applyBorder="1" applyAlignment="1">
      <alignment horizontal="right" vertical="center" shrinkToFit="1"/>
    </xf>
    <xf numFmtId="0" fontId="0" fillId="0" borderId="0" xfId="0" quotePrefix="1">
      <alignment vertical="center"/>
    </xf>
    <xf numFmtId="0" fontId="8" fillId="4" borderId="1" xfId="0" quotePrefix="1" applyFont="1" applyFill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177" fontId="9" fillId="0" borderId="1" xfId="0" applyNumberFormat="1" applyFont="1" applyBorder="1" applyAlignment="1">
      <alignment horizontal="right" vertical="center" shrinkToFit="1"/>
    </xf>
    <xf numFmtId="176" fontId="9" fillId="0" borderId="1" xfId="0" applyNumberFormat="1" applyFont="1" applyBorder="1" applyAlignment="1">
      <alignment horizontal="right" vertical="center" shrinkToFit="1"/>
    </xf>
    <xf numFmtId="0" fontId="10" fillId="2" borderId="1" xfId="0" quotePrefix="1" applyFont="1" applyFill="1" applyBorder="1" applyAlignment="1">
      <alignment horizontal="distributed"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right" vertical="center" shrinkToFit="1"/>
    </xf>
    <xf numFmtId="176" fontId="10" fillId="2" borderId="1" xfId="0" applyNumberFormat="1" applyFont="1" applyFill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8" fillId="4" borderId="1" xfId="0" quotePrefix="1" applyFont="1" applyFill="1" applyBorder="1" applyAlignment="1">
      <alignment horizontal="right" vertical="center" shrinkToFit="1"/>
    </xf>
    <xf numFmtId="0" fontId="9" fillId="0" borderId="1" xfId="0" quotePrefix="1" applyFont="1" applyBorder="1" applyAlignment="1">
      <alignment horizontal="right" vertical="center" shrinkToFit="1"/>
    </xf>
    <xf numFmtId="0" fontId="8" fillId="4" borderId="1" xfId="0" applyFont="1" applyFill="1" applyBorder="1" applyAlignment="1">
      <alignment horizontal="left" vertical="center" shrinkToFit="1"/>
    </xf>
    <xf numFmtId="176" fontId="9" fillId="0" borderId="1" xfId="0" quotePrefix="1" applyNumberFormat="1" applyFont="1" applyBorder="1" applyAlignment="1">
      <alignment horizontal="right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176" fontId="0" fillId="0" borderId="0" xfId="0" applyNumberFormat="1">
      <alignment vertical="center"/>
    </xf>
    <xf numFmtId="0" fontId="10" fillId="0" borderId="2" xfId="0" quotePrefix="1" applyFont="1" applyBorder="1" applyAlignment="1">
      <alignment horizontal="left" vertical="center" shrinkToFit="1"/>
    </xf>
    <xf numFmtId="176" fontId="10" fillId="0" borderId="2" xfId="0" applyNumberFormat="1" applyFont="1" applyBorder="1" applyAlignment="1">
      <alignment horizontal="right" vertical="center" shrinkToFit="1"/>
    </xf>
    <xf numFmtId="0" fontId="10" fillId="0" borderId="13" xfId="0" quotePrefix="1" applyFont="1" applyBorder="1" applyAlignment="1">
      <alignment horizontal="left" vertical="center" shrinkToFit="1"/>
    </xf>
    <xf numFmtId="176" fontId="10" fillId="0" borderId="13" xfId="0" applyNumberFormat="1" applyFont="1" applyBorder="1" applyAlignment="1">
      <alignment horizontal="right" vertical="center" shrinkToFit="1"/>
    </xf>
    <xf numFmtId="0" fontId="10" fillId="0" borderId="3" xfId="0" quotePrefix="1" applyFont="1" applyBorder="1" applyAlignment="1">
      <alignment horizontal="left" vertical="center" shrinkToFit="1"/>
    </xf>
    <xf numFmtId="176" fontId="10" fillId="0" borderId="3" xfId="0" applyNumberFormat="1" applyFont="1" applyBorder="1" applyAlignment="1">
      <alignment horizontal="right" vertical="center" shrinkToFit="1"/>
    </xf>
    <xf numFmtId="0" fontId="10" fillId="2" borderId="1" xfId="0" quotePrefix="1" applyFont="1" applyFill="1" applyBorder="1" applyAlignment="1">
      <alignment horizontal="left" vertical="center" shrinkToFit="1"/>
    </xf>
    <xf numFmtId="0" fontId="10" fillId="0" borderId="3" xfId="0" applyFont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176" fontId="10" fillId="0" borderId="1" xfId="0" applyNumberFormat="1" applyFont="1" applyBorder="1" applyAlignment="1">
      <alignment horizontal="right" vertical="center" shrinkToFit="1"/>
    </xf>
    <xf numFmtId="0" fontId="10" fillId="0" borderId="1" xfId="0" quotePrefix="1" applyFont="1" applyBorder="1" applyAlignment="1">
      <alignment horizontal="left" vertical="center" shrinkToFit="1"/>
    </xf>
    <xf numFmtId="0" fontId="14" fillId="0" borderId="0" xfId="2" applyFont="1"/>
    <xf numFmtId="0" fontId="15" fillId="0" borderId="0" xfId="2" applyFont="1"/>
    <xf numFmtId="0" fontId="14" fillId="0" borderId="18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20" xfId="2" applyFont="1" applyBorder="1" applyAlignment="1">
      <alignment vertical="center"/>
    </xf>
    <xf numFmtId="0" fontId="14" fillId="0" borderId="1" xfId="2" applyFont="1" applyBorder="1" applyAlignment="1">
      <alignment horizontal="center" vertical="center"/>
    </xf>
    <xf numFmtId="0" fontId="14" fillId="0" borderId="10" xfId="2" applyFont="1" applyBorder="1" applyAlignment="1">
      <alignment vertical="center"/>
    </xf>
    <xf numFmtId="0" fontId="14" fillId="0" borderId="6" xfId="2" applyFont="1" applyBorder="1" applyAlignment="1">
      <alignment vertical="center"/>
    </xf>
    <xf numFmtId="0" fontId="14" fillId="0" borderId="24" xfId="2" applyFont="1" applyBorder="1"/>
    <xf numFmtId="0" fontId="14" fillId="0" borderId="25" xfId="2" applyFont="1" applyBorder="1"/>
    <xf numFmtId="0" fontId="17" fillId="0" borderId="0" xfId="2" applyFont="1"/>
    <xf numFmtId="0" fontId="18" fillId="0" borderId="24" xfId="2" applyFont="1" applyBorder="1" applyAlignment="1">
      <alignment horizontal="centerContinuous" vertical="center"/>
    </xf>
    <xf numFmtId="0" fontId="17" fillId="0" borderId="0" xfId="2" applyFont="1" applyAlignment="1">
      <alignment horizontal="centerContinuous" vertical="center"/>
    </xf>
    <xf numFmtId="0" fontId="17" fillId="0" borderId="25" xfId="2" applyFont="1" applyBorder="1" applyAlignment="1">
      <alignment horizontal="centerContinuous"/>
    </xf>
    <xf numFmtId="0" fontId="20" fillId="0" borderId="0" xfId="2" applyFont="1"/>
    <xf numFmtId="0" fontId="17" fillId="0" borderId="24" xfId="2" applyFont="1" applyBorder="1" applyAlignment="1">
      <alignment horizontal="centerContinuous" vertical="center"/>
    </xf>
    <xf numFmtId="0" fontId="23" fillId="0" borderId="0" xfId="2" applyFont="1"/>
    <xf numFmtId="0" fontId="23" fillId="0" borderId="25" xfId="2" applyFont="1" applyBorder="1"/>
    <xf numFmtId="0" fontId="23" fillId="0" borderId="28" xfId="2" applyFont="1" applyBorder="1" applyAlignment="1">
      <alignment horizontal="center" vertical="center"/>
    </xf>
    <xf numFmtId="0" fontId="23" fillId="0" borderId="30" xfId="2" applyFont="1" applyBorder="1" applyAlignment="1">
      <alignment horizontal="center" vertical="center"/>
    </xf>
    <xf numFmtId="0" fontId="23" fillId="0" borderId="30" xfId="2" applyFont="1" applyBorder="1" applyAlignment="1">
      <alignment vertical="center"/>
    </xf>
    <xf numFmtId="0" fontId="23" fillId="0" borderId="34" xfId="2" applyFont="1" applyBorder="1" applyAlignment="1">
      <alignment vertical="center" shrinkToFit="1"/>
    </xf>
    <xf numFmtId="0" fontId="23" fillId="0" borderId="39" xfId="2" applyFont="1" applyBorder="1" applyAlignment="1">
      <alignment vertical="center"/>
    </xf>
    <xf numFmtId="41" fontId="14" fillId="0" borderId="0" xfId="1" applyFont="1" applyAlignment="1"/>
    <xf numFmtId="0" fontId="24" fillId="0" borderId="0" xfId="2" applyFont="1"/>
    <xf numFmtId="0" fontId="24" fillId="0" borderId="24" xfId="2" applyFont="1" applyBorder="1"/>
    <xf numFmtId="0" fontId="24" fillId="0" borderId="0" xfId="2" applyFont="1" applyAlignment="1">
      <alignment vertical="center"/>
    </xf>
    <xf numFmtId="0" fontId="26" fillId="0" borderId="0" xfId="2" applyFont="1" applyAlignment="1">
      <alignment vertical="center"/>
    </xf>
    <xf numFmtId="0" fontId="24" fillId="0" borderId="0" xfId="2" applyFont="1" applyAlignment="1">
      <alignment horizontal="center" vertical="center"/>
    </xf>
    <xf numFmtId="0" fontId="24" fillId="0" borderId="25" xfId="2" applyFont="1" applyBorder="1"/>
    <xf numFmtId="42" fontId="24" fillId="0" borderId="0" xfId="2" applyNumberFormat="1" applyFont="1"/>
    <xf numFmtId="0" fontId="27" fillId="0" borderId="0" xfId="2" applyFont="1"/>
    <xf numFmtId="0" fontId="14" fillId="0" borderId="40" xfId="2" applyFont="1" applyBorder="1"/>
    <xf numFmtId="0" fontId="14" fillId="0" borderId="41" xfId="2" applyFont="1" applyBorder="1"/>
    <xf numFmtId="0" fontId="14" fillId="0" borderId="41" xfId="2" applyFont="1" applyBorder="1" applyAlignment="1">
      <alignment horizontal="left" vertical="center"/>
    </xf>
    <xf numFmtId="0" fontId="24" fillId="0" borderId="41" xfId="2" applyFont="1" applyBorder="1" applyAlignment="1">
      <alignment vertical="center"/>
    </xf>
    <xf numFmtId="0" fontId="24" fillId="0" borderId="41" xfId="2" applyFont="1" applyBorder="1" applyAlignment="1">
      <alignment horizontal="center" vertical="center"/>
    </xf>
    <xf numFmtId="0" fontId="14" fillId="0" borderId="42" xfId="2" applyFont="1" applyBorder="1"/>
    <xf numFmtId="0" fontId="23" fillId="0" borderId="34" xfId="2" applyFont="1" applyBorder="1" applyAlignment="1">
      <alignment vertical="center"/>
    </xf>
    <xf numFmtId="0" fontId="24" fillId="0" borderId="0" xfId="2" applyFont="1" applyAlignment="1">
      <alignment horizontal="center" vertical="center"/>
    </xf>
    <xf numFmtId="0" fontId="26" fillId="0" borderId="0" xfId="2" applyFont="1" applyAlignment="1">
      <alignment vertical="center"/>
    </xf>
    <xf numFmtId="0" fontId="23" fillId="0" borderId="31" xfId="2" applyFont="1" applyBorder="1" applyAlignment="1">
      <alignment horizontal="center" vertical="center"/>
    </xf>
    <xf numFmtId="0" fontId="23" fillId="0" borderId="6" xfId="2" applyFont="1" applyBorder="1" applyAlignment="1">
      <alignment horizontal="center" vertical="center"/>
    </xf>
    <xf numFmtId="0" fontId="23" fillId="0" borderId="7" xfId="2" applyFont="1" applyBorder="1" applyAlignment="1">
      <alignment horizontal="center" vertical="center"/>
    </xf>
    <xf numFmtId="41" fontId="24" fillId="0" borderId="1" xfId="2" applyNumberFormat="1" applyFont="1" applyBorder="1" applyAlignment="1">
      <alignment horizontal="right" vertical="center"/>
    </xf>
    <xf numFmtId="42" fontId="25" fillId="0" borderId="5" xfId="2" applyNumberFormat="1" applyFont="1" applyBorder="1" applyAlignment="1">
      <alignment horizontal="center" vertical="center"/>
    </xf>
    <xf numFmtId="42" fontId="25" fillId="0" borderId="7" xfId="2" applyNumberFormat="1" applyFont="1" applyBorder="1" applyAlignment="1">
      <alignment horizontal="center" vertical="center"/>
    </xf>
    <xf numFmtId="42" fontId="25" fillId="0" borderId="5" xfId="2" applyNumberFormat="1" applyFont="1" applyBorder="1" applyAlignment="1">
      <alignment horizontal="right" vertical="center"/>
    </xf>
    <xf numFmtId="42" fontId="25" fillId="0" borderId="7" xfId="2" applyNumberFormat="1" applyFont="1" applyBorder="1" applyAlignment="1">
      <alignment horizontal="right" vertical="center"/>
    </xf>
    <xf numFmtId="0" fontId="23" fillId="0" borderId="32" xfId="2" applyFont="1" applyBorder="1" applyAlignment="1">
      <alignment horizontal="center" vertical="center"/>
    </xf>
    <xf numFmtId="0" fontId="23" fillId="0" borderId="4" xfId="2" applyFont="1" applyBorder="1" applyAlignment="1">
      <alignment horizontal="center" vertical="center"/>
    </xf>
    <xf numFmtId="0" fontId="23" fillId="0" borderId="8" xfId="2" applyFont="1" applyBorder="1" applyAlignment="1">
      <alignment horizontal="center" vertical="center"/>
    </xf>
    <xf numFmtId="41" fontId="24" fillId="0" borderId="2" xfId="2" applyNumberFormat="1" applyFont="1" applyBorder="1" applyAlignment="1">
      <alignment horizontal="right" vertical="center"/>
    </xf>
    <xf numFmtId="42" fontId="25" fillId="0" borderId="33" xfId="2" applyNumberFormat="1" applyFont="1" applyBorder="1" applyAlignment="1">
      <alignment horizontal="center" vertical="center"/>
    </xf>
    <xf numFmtId="42" fontId="25" fillId="0" borderId="8" xfId="2" applyNumberFormat="1" applyFont="1" applyBorder="1" applyAlignment="1">
      <alignment horizontal="center" vertical="center"/>
    </xf>
    <xf numFmtId="0" fontId="23" fillId="0" borderId="35" xfId="2" applyFont="1" applyBorder="1" applyAlignment="1">
      <alignment horizontal="center" vertical="center"/>
    </xf>
    <xf numFmtId="0" fontId="23" fillId="0" borderId="36" xfId="2" applyFont="1" applyBorder="1" applyAlignment="1">
      <alignment horizontal="center" vertical="center"/>
    </xf>
    <xf numFmtId="0" fontId="23" fillId="0" borderId="37" xfId="2" applyFont="1" applyBorder="1" applyAlignment="1">
      <alignment horizontal="center" vertical="center"/>
    </xf>
    <xf numFmtId="41" fontId="24" fillId="0" borderId="38" xfId="2" applyNumberFormat="1" applyFont="1" applyBorder="1" applyAlignment="1">
      <alignment horizontal="right" vertical="center"/>
    </xf>
    <xf numFmtId="41" fontId="24" fillId="0" borderId="36" xfId="2" applyNumberFormat="1" applyFont="1" applyBorder="1" applyAlignment="1">
      <alignment horizontal="right" vertical="center"/>
    </xf>
    <xf numFmtId="41" fontId="24" fillId="0" borderId="37" xfId="2" applyNumberFormat="1" applyFont="1" applyBorder="1" applyAlignment="1">
      <alignment horizontal="right" vertical="center"/>
    </xf>
    <xf numFmtId="42" fontId="25" fillId="0" borderId="38" xfId="2" applyNumberFormat="1" applyFont="1" applyBorder="1" applyAlignment="1">
      <alignment horizontal="right" vertical="center"/>
    </xf>
    <xf numFmtId="42" fontId="25" fillId="0" borderId="37" xfId="2" applyNumberFormat="1" applyFont="1" applyBorder="1" applyAlignment="1">
      <alignment horizontal="right" vertical="center"/>
    </xf>
    <xf numFmtId="0" fontId="14" fillId="0" borderId="15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4" fillId="0" borderId="15" xfId="2" applyFont="1" applyBorder="1" applyAlignment="1">
      <alignment horizontal="center"/>
    </xf>
    <xf numFmtId="0" fontId="14" fillId="0" borderId="3" xfId="2" applyFont="1" applyBorder="1" applyAlignment="1">
      <alignment horizontal="center"/>
    </xf>
    <xf numFmtId="0" fontId="23" fillId="0" borderId="26" xfId="2" applyFont="1" applyBorder="1" applyAlignment="1">
      <alignment horizontal="center" vertical="center"/>
    </xf>
    <xf numFmtId="0" fontId="23" fillId="0" borderId="18" xfId="2" applyFont="1" applyBorder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0" fontId="23" fillId="0" borderId="20" xfId="2" applyFont="1" applyBorder="1" applyAlignment="1">
      <alignment horizontal="center" vertical="center"/>
    </xf>
    <xf numFmtId="0" fontId="23" fillId="0" borderId="27" xfId="2" applyFont="1" applyBorder="1" applyAlignment="1">
      <alignment horizontal="center" vertical="center"/>
    </xf>
    <xf numFmtId="0" fontId="23" fillId="0" borderId="29" xfId="2" applyFont="1" applyBorder="1" applyAlignment="1">
      <alignment horizontal="center" vertical="center"/>
    </xf>
    <xf numFmtId="0" fontId="23" fillId="0" borderId="1" xfId="2" applyFont="1" applyBorder="1" applyAlignment="1">
      <alignment horizontal="center" vertical="center"/>
    </xf>
    <xf numFmtId="42" fontId="25" fillId="0" borderId="1" xfId="2" applyNumberFormat="1" applyFont="1" applyBorder="1" applyAlignment="1">
      <alignment horizontal="right" vertical="center"/>
    </xf>
    <xf numFmtId="0" fontId="14" fillId="0" borderId="19" xfId="2" applyFont="1" applyBorder="1" applyAlignment="1">
      <alignment horizontal="center" vertical="center"/>
    </xf>
    <xf numFmtId="0" fontId="14" fillId="0" borderId="21" xfId="2" applyFont="1" applyBorder="1" applyAlignment="1">
      <alignment horizontal="center" vertical="center"/>
    </xf>
    <xf numFmtId="0" fontId="14" fillId="0" borderId="5" xfId="2" applyFont="1" applyBorder="1" applyAlignment="1">
      <alignment horizontal="center" vertical="center"/>
    </xf>
    <xf numFmtId="0" fontId="14" fillId="0" borderId="23" xfId="2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21" fillId="0" borderId="0" xfId="2" applyFont="1"/>
    <xf numFmtId="0" fontId="22" fillId="0" borderId="0" xfId="2" applyFont="1"/>
    <xf numFmtId="0" fontId="14" fillId="0" borderId="14" xfId="2" applyFont="1" applyBorder="1" applyAlignment="1">
      <alignment horizontal="center" vertical="center" wrapText="1"/>
    </xf>
    <xf numFmtId="0" fontId="14" fillId="0" borderId="22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1" xfId="2" applyFont="1" applyBorder="1" applyAlignment="1">
      <alignment horizontal="center" vertical="center" wrapText="1"/>
    </xf>
    <xf numFmtId="3" fontId="14" fillId="0" borderId="15" xfId="2" applyNumberFormat="1" applyFont="1" applyBorder="1" applyAlignment="1">
      <alignment horizontal="center" vertical="center" wrapText="1"/>
    </xf>
    <xf numFmtId="3" fontId="14" fillId="0" borderId="3" xfId="2" applyNumberFormat="1" applyFont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7" fillId="3" borderId="1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2" xfId="0" quotePrefix="1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3" xfId="0" applyFont="1" applyBorder="1" applyAlignment="1">
      <alignment horizontal="center" vertical="center" textRotation="255" shrinkToFit="1"/>
    </xf>
    <xf numFmtId="0" fontId="9" fillId="0" borderId="1" xfId="0" applyFont="1" applyBorder="1" applyAlignment="1">
      <alignment horizontal="center" vertical="center" textRotation="255" shrinkToFit="1"/>
    </xf>
    <xf numFmtId="0" fontId="9" fillId="0" borderId="2" xfId="0" applyFont="1" applyBorder="1" applyAlignment="1">
      <alignment horizontal="center" vertical="center" textRotation="255" shrinkToFit="1"/>
    </xf>
    <xf numFmtId="0" fontId="11" fillId="5" borderId="1" xfId="0" quotePrefix="1" applyFont="1" applyFill="1" applyBorder="1" applyAlignment="1">
      <alignment horizontal="left" vertical="center" shrinkToFit="1"/>
    </xf>
    <xf numFmtId="0" fontId="11" fillId="5" borderId="1" xfId="0" applyFont="1" applyFill="1" applyBorder="1" applyAlignment="1">
      <alignment horizontal="left" vertical="center" shrinkToFit="1"/>
    </xf>
    <xf numFmtId="0" fontId="11" fillId="5" borderId="5" xfId="0" quotePrefix="1" applyFont="1" applyFill="1" applyBorder="1" applyAlignment="1">
      <alignment horizontal="left" vertical="center" shrinkToFit="1"/>
    </xf>
    <xf numFmtId="0" fontId="11" fillId="5" borderId="6" xfId="0" quotePrefix="1" applyFont="1" applyFill="1" applyBorder="1" applyAlignment="1">
      <alignment horizontal="left" vertical="center" shrinkToFit="1"/>
    </xf>
    <xf numFmtId="0" fontId="11" fillId="5" borderId="7" xfId="0" quotePrefix="1" applyFont="1" applyFill="1" applyBorder="1" applyAlignment="1">
      <alignment horizontal="left" vertical="center" shrinkToFit="1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8" fillId="4" borderId="5" xfId="0" quotePrefix="1" applyFont="1" applyFill="1" applyBorder="1" applyAlignment="1">
      <alignment horizontal="left" vertical="center" shrinkToFit="1"/>
    </xf>
    <xf numFmtId="0" fontId="8" fillId="4" borderId="6" xfId="0" quotePrefix="1" applyFont="1" applyFill="1" applyBorder="1" applyAlignment="1">
      <alignment horizontal="left" vertical="center" shrinkToFit="1"/>
    </xf>
    <xf numFmtId="0" fontId="8" fillId="4" borderId="7" xfId="0" quotePrefix="1" applyFont="1" applyFill="1" applyBorder="1" applyAlignment="1">
      <alignment horizontal="left" vertical="center" shrinkToFi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4" borderId="2" xfId="0" quotePrefix="1" applyFont="1" applyFill="1" applyBorder="1" applyAlignment="1">
      <alignment horizontal="left" vertical="center" shrinkToFit="1"/>
    </xf>
    <xf numFmtId="0" fontId="8" fillId="4" borderId="2" xfId="0" applyFont="1" applyFill="1" applyBorder="1" applyAlignment="1">
      <alignment horizontal="left" vertical="center" shrinkToFit="1"/>
    </xf>
    <xf numFmtId="0" fontId="8" fillId="4" borderId="3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view="pageBreakPreview" topLeftCell="A5" zoomScaleNormal="100" zoomScaleSheetLayoutView="100" workbookViewId="0">
      <selection activeCell="C16" sqref="C16"/>
    </sheetView>
  </sheetViews>
  <sheetFormatPr defaultRowHeight="21.95" customHeight="1" x14ac:dyDescent="0.3"/>
  <cols>
    <col min="1" max="1" width="1.625" style="66" customWidth="1"/>
    <col min="2" max="3" width="12.625" style="66" customWidth="1"/>
    <col min="4" max="5" width="6.625" style="66" customWidth="1"/>
    <col min="6" max="12" width="12.625" style="66" customWidth="1"/>
    <col min="13" max="13" width="10.625" style="66" customWidth="1"/>
    <col min="14" max="15" width="8.625" style="66" customWidth="1"/>
    <col min="16" max="16" width="1.625" style="66" customWidth="1"/>
    <col min="17" max="17" width="9" style="66"/>
    <col min="18" max="18" width="15.625" style="66" bestFit="1" customWidth="1"/>
    <col min="19" max="24" width="9" style="66"/>
    <col min="25" max="256" width="9" style="67"/>
    <col min="257" max="257" width="1.625" style="67" customWidth="1"/>
    <col min="258" max="259" width="12.625" style="67" customWidth="1"/>
    <col min="260" max="261" width="6.625" style="67" customWidth="1"/>
    <col min="262" max="268" width="12.625" style="67" customWidth="1"/>
    <col min="269" max="269" width="10.625" style="67" customWidth="1"/>
    <col min="270" max="271" width="8.625" style="67" customWidth="1"/>
    <col min="272" max="272" width="1.625" style="67" customWidth="1"/>
    <col min="273" max="512" width="9" style="67"/>
    <col min="513" max="513" width="1.625" style="67" customWidth="1"/>
    <col min="514" max="515" width="12.625" style="67" customWidth="1"/>
    <col min="516" max="517" width="6.625" style="67" customWidth="1"/>
    <col min="518" max="524" width="12.625" style="67" customWidth="1"/>
    <col min="525" max="525" width="10.625" style="67" customWidth="1"/>
    <col min="526" max="527" width="8.625" style="67" customWidth="1"/>
    <col min="528" max="528" width="1.625" style="67" customWidth="1"/>
    <col min="529" max="768" width="9" style="67"/>
    <col min="769" max="769" width="1.625" style="67" customWidth="1"/>
    <col min="770" max="771" width="12.625" style="67" customWidth="1"/>
    <col min="772" max="773" width="6.625" style="67" customWidth="1"/>
    <col min="774" max="780" width="12.625" style="67" customWidth="1"/>
    <col min="781" max="781" width="10.625" style="67" customWidth="1"/>
    <col min="782" max="783" width="8.625" style="67" customWidth="1"/>
    <col min="784" max="784" width="1.625" style="67" customWidth="1"/>
    <col min="785" max="1024" width="9" style="67"/>
    <col min="1025" max="1025" width="1.625" style="67" customWidth="1"/>
    <col min="1026" max="1027" width="12.625" style="67" customWidth="1"/>
    <col min="1028" max="1029" width="6.625" style="67" customWidth="1"/>
    <col min="1030" max="1036" width="12.625" style="67" customWidth="1"/>
    <col min="1037" max="1037" width="10.625" style="67" customWidth="1"/>
    <col min="1038" max="1039" width="8.625" style="67" customWidth="1"/>
    <col min="1040" max="1040" width="1.625" style="67" customWidth="1"/>
    <col min="1041" max="1280" width="9" style="67"/>
    <col min="1281" max="1281" width="1.625" style="67" customWidth="1"/>
    <col min="1282" max="1283" width="12.625" style="67" customWidth="1"/>
    <col min="1284" max="1285" width="6.625" style="67" customWidth="1"/>
    <col min="1286" max="1292" width="12.625" style="67" customWidth="1"/>
    <col min="1293" max="1293" width="10.625" style="67" customWidth="1"/>
    <col min="1294" max="1295" width="8.625" style="67" customWidth="1"/>
    <col min="1296" max="1296" width="1.625" style="67" customWidth="1"/>
    <col min="1297" max="1536" width="9" style="67"/>
    <col min="1537" max="1537" width="1.625" style="67" customWidth="1"/>
    <col min="1538" max="1539" width="12.625" style="67" customWidth="1"/>
    <col min="1540" max="1541" width="6.625" style="67" customWidth="1"/>
    <col min="1542" max="1548" width="12.625" style="67" customWidth="1"/>
    <col min="1549" max="1549" width="10.625" style="67" customWidth="1"/>
    <col min="1550" max="1551" width="8.625" style="67" customWidth="1"/>
    <col min="1552" max="1552" width="1.625" style="67" customWidth="1"/>
    <col min="1553" max="1792" width="9" style="67"/>
    <col min="1793" max="1793" width="1.625" style="67" customWidth="1"/>
    <col min="1794" max="1795" width="12.625" style="67" customWidth="1"/>
    <col min="1796" max="1797" width="6.625" style="67" customWidth="1"/>
    <col min="1798" max="1804" width="12.625" style="67" customWidth="1"/>
    <col min="1805" max="1805" width="10.625" style="67" customWidth="1"/>
    <col min="1806" max="1807" width="8.625" style="67" customWidth="1"/>
    <col min="1808" max="1808" width="1.625" style="67" customWidth="1"/>
    <col min="1809" max="2048" width="9" style="67"/>
    <col min="2049" max="2049" width="1.625" style="67" customWidth="1"/>
    <col min="2050" max="2051" width="12.625" style="67" customWidth="1"/>
    <col min="2052" max="2053" width="6.625" style="67" customWidth="1"/>
    <col min="2054" max="2060" width="12.625" style="67" customWidth="1"/>
    <col min="2061" max="2061" width="10.625" style="67" customWidth="1"/>
    <col min="2062" max="2063" width="8.625" style="67" customWidth="1"/>
    <col min="2064" max="2064" width="1.625" style="67" customWidth="1"/>
    <col min="2065" max="2304" width="9" style="67"/>
    <col min="2305" max="2305" width="1.625" style="67" customWidth="1"/>
    <col min="2306" max="2307" width="12.625" style="67" customWidth="1"/>
    <col min="2308" max="2309" width="6.625" style="67" customWidth="1"/>
    <col min="2310" max="2316" width="12.625" style="67" customWidth="1"/>
    <col min="2317" max="2317" width="10.625" style="67" customWidth="1"/>
    <col min="2318" max="2319" width="8.625" style="67" customWidth="1"/>
    <col min="2320" max="2320" width="1.625" style="67" customWidth="1"/>
    <col min="2321" max="2560" width="9" style="67"/>
    <col min="2561" max="2561" width="1.625" style="67" customWidth="1"/>
    <col min="2562" max="2563" width="12.625" style="67" customWidth="1"/>
    <col min="2564" max="2565" width="6.625" style="67" customWidth="1"/>
    <col min="2566" max="2572" width="12.625" style="67" customWidth="1"/>
    <col min="2573" max="2573" width="10.625" style="67" customWidth="1"/>
    <col min="2574" max="2575" width="8.625" style="67" customWidth="1"/>
    <col min="2576" max="2576" width="1.625" style="67" customWidth="1"/>
    <col min="2577" max="2816" width="9" style="67"/>
    <col min="2817" max="2817" width="1.625" style="67" customWidth="1"/>
    <col min="2818" max="2819" width="12.625" style="67" customWidth="1"/>
    <col min="2820" max="2821" width="6.625" style="67" customWidth="1"/>
    <col min="2822" max="2828" width="12.625" style="67" customWidth="1"/>
    <col min="2829" max="2829" width="10.625" style="67" customWidth="1"/>
    <col min="2830" max="2831" width="8.625" style="67" customWidth="1"/>
    <col min="2832" max="2832" width="1.625" style="67" customWidth="1"/>
    <col min="2833" max="3072" width="9" style="67"/>
    <col min="3073" max="3073" width="1.625" style="67" customWidth="1"/>
    <col min="3074" max="3075" width="12.625" style="67" customWidth="1"/>
    <col min="3076" max="3077" width="6.625" style="67" customWidth="1"/>
    <col min="3078" max="3084" width="12.625" style="67" customWidth="1"/>
    <col min="3085" max="3085" width="10.625" style="67" customWidth="1"/>
    <col min="3086" max="3087" width="8.625" style="67" customWidth="1"/>
    <col min="3088" max="3088" width="1.625" style="67" customWidth="1"/>
    <col min="3089" max="3328" width="9" style="67"/>
    <col min="3329" max="3329" width="1.625" style="67" customWidth="1"/>
    <col min="3330" max="3331" width="12.625" style="67" customWidth="1"/>
    <col min="3332" max="3333" width="6.625" style="67" customWidth="1"/>
    <col min="3334" max="3340" width="12.625" style="67" customWidth="1"/>
    <col min="3341" max="3341" width="10.625" style="67" customWidth="1"/>
    <col min="3342" max="3343" width="8.625" style="67" customWidth="1"/>
    <col min="3344" max="3344" width="1.625" style="67" customWidth="1"/>
    <col min="3345" max="3584" width="9" style="67"/>
    <col min="3585" max="3585" width="1.625" style="67" customWidth="1"/>
    <col min="3586" max="3587" width="12.625" style="67" customWidth="1"/>
    <col min="3588" max="3589" width="6.625" style="67" customWidth="1"/>
    <col min="3590" max="3596" width="12.625" style="67" customWidth="1"/>
    <col min="3597" max="3597" width="10.625" style="67" customWidth="1"/>
    <col min="3598" max="3599" width="8.625" style="67" customWidth="1"/>
    <col min="3600" max="3600" width="1.625" style="67" customWidth="1"/>
    <col min="3601" max="3840" width="9" style="67"/>
    <col min="3841" max="3841" width="1.625" style="67" customWidth="1"/>
    <col min="3842" max="3843" width="12.625" style="67" customWidth="1"/>
    <col min="3844" max="3845" width="6.625" style="67" customWidth="1"/>
    <col min="3846" max="3852" width="12.625" style="67" customWidth="1"/>
    <col min="3853" max="3853" width="10.625" style="67" customWidth="1"/>
    <col min="3854" max="3855" width="8.625" style="67" customWidth="1"/>
    <col min="3856" max="3856" width="1.625" style="67" customWidth="1"/>
    <col min="3857" max="4096" width="9" style="67"/>
    <col min="4097" max="4097" width="1.625" style="67" customWidth="1"/>
    <col min="4098" max="4099" width="12.625" style="67" customWidth="1"/>
    <col min="4100" max="4101" width="6.625" style="67" customWidth="1"/>
    <col min="4102" max="4108" width="12.625" style="67" customWidth="1"/>
    <col min="4109" max="4109" width="10.625" style="67" customWidth="1"/>
    <col min="4110" max="4111" width="8.625" style="67" customWidth="1"/>
    <col min="4112" max="4112" width="1.625" style="67" customWidth="1"/>
    <col min="4113" max="4352" width="9" style="67"/>
    <col min="4353" max="4353" width="1.625" style="67" customWidth="1"/>
    <col min="4354" max="4355" width="12.625" style="67" customWidth="1"/>
    <col min="4356" max="4357" width="6.625" style="67" customWidth="1"/>
    <col min="4358" max="4364" width="12.625" style="67" customWidth="1"/>
    <col min="4365" max="4365" width="10.625" style="67" customWidth="1"/>
    <col min="4366" max="4367" width="8.625" style="67" customWidth="1"/>
    <col min="4368" max="4368" width="1.625" style="67" customWidth="1"/>
    <col min="4369" max="4608" width="9" style="67"/>
    <col min="4609" max="4609" width="1.625" style="67" customWidth="1"/>
    <col min="4610" max="4611" width="12.625" style="67" customWidth="1"/>
    <col min="4612" max="4613" width="6.625" style="67" customWidth="1"/>
    <col min="4614" max="4620" width="12.625" style="67" customWidth="1"/>
    <col min="4621" max="4621" width="10.625" style="67" customWidth="1"/>
    <col min="4622" max="4623" width="8.625" style="67" customWidth="1"/>
    <col min="4624" max="4624" width="1.625" style="67" customWidth="1"/>
    <col min="4625" max="4864" width="9" style="67"/>
    <col min="4865" max="4865" width="1.625" style="67" customWidth="1"/>
    <col min="4866" max="4867" width="12.625" style="67" customWidth="1"/>
    <col min="4868" max="4869" width="6.625" style="67" customWidth="1"/>
    <col min="4870" max="4876" width="12.625" style="67" customWidth="1"/>
    <col min="4877" max="4877" width="10.625" style="67" customWidth="1"/>
    <col min="4878" max="4879" width="8.625" style="67" customWidth="1"/>
    <col min="4880" max="4880" width="1.625" style="67" customWidth="1"/>
    <col min="4881" max="5120" width="9" style="67"/>
    <col min="5121" max="5121" width="1.625" style="67" customWidth="1"/>
    <col min="5122" max="5123" width="12.625" style="67" customWidth="1"/>
    <col min="5124" max="5125" width="6.625" style="67" customWidth="1"/>
    <col min="5126" max="5132" width="12.625" style="67" customWidth="1"/>
    <col min="5133" max="5133" width="10.625" style="67" customWidth="1"/>
    <col min="5134" max="5135" width="8.625" style="67" customWidth="1"/>
    <col min="5136" max="5136" width="1.625" style="67" customWidth="1"/>
    <col min="5137" max="5376" width="9" style="67"/>
    <col min="5377" max="5377" width="1.625" style="67" customWidth="1"/>
    <col min="5378" max="5379" width="12.625" style="67" customWidth="1"/>
    <col min="5380" max="5381" width="6.625" style="67" customWidth="1"/>
    <col min="5382" max="5388" width="12.625" style="67" customWidth="1"/>
    <col min="5389" max="5389" width="10.625" style="67" customWidth="1"/>
    <col min="5390" max="5391" width="8.625" style="67" customWidth="1"/>
    <col min="5392" max="5392" width="1.625" style="67" customWidth="1"/>
    <col min="5393" max="5632" width="9" style="67"/>
    <col min="5633" max="5633" width="1.625" style="67" customWidth="1"/>
    <col min="5634" max="5635" width="12.625" style="67" customWidth="1"/>
    <col min="5636" max="5637" width="6.625" style="67" customWidth="1"/>
    <col min="5638" max="5644" width="12.625" style="67" customWidth="1"/>
    <col min="5645" max="5645" width="10.625" style="67" customWidth="1"/>
    <col min="5646" max="5647" width="8.625" style="67" customWidth="1"/>
    <col min="5648" max="5648" width="1.625" style="67" customWidth="1"/>
    <col min="5649" max="5888" width="9" style="67"/>
    <col min="5889" max="5889" width="1.625" style="67" customWidth="1"/>
    <col min="5890" max="5891" width="12.625" style="67" customWidth="1"/>
    <col min="5892" max="5893" width="6.625" style="67" customWidth="1"/>
    <col min="5894" max="5900" width="12.625" style="67" customWidth="1"/>
    <col min="5901" max="5901" width="10.625" style="67" customWidth="1"/>
    <col min="5902" max="5903" width="8.625" style="67" customWidth="1"/>
    <col min="5904" max="5904" width="1.625" style="67" customWidth="1"/>
    <col min="5905" max="6144" width="9" style="67"/>
    <col min="6145" max="6145" width="1.625" style="67" customWidth="1"/>
    <col min="6146" max="6147" width="12.625" style="67" customWidth="1"/>
    <col min="6148" max="6149" width="6.625" style="67" customWidth="1"/>
    <col min="6150" max="6156" width="12.625" style="67" customWidth="1"/>
    <col min="6157" max="6157" width="10.625" style="67" customWidth="1"/>
    <col min="6158" max="6159" width="8.625" style="67" customWidth="1"/>
    <col min="6160" max="6160" width="1.625" style="67" customWidth="1"/>
    <col min="6161" max="6400" width="9" style="67"/>
    <col min="6401" max="6401" width="1.625" style="67" customWidth="1"/>
    <col min="6402" max="6403" width="12.625" style="67" customWidth="1"/>
    <col min="6404" max="6405" width="6.625" style="67" customWidth="1"/>
    <col min="6406" max="6412" width="12.625" style="67" customWidth="1"/>
    <col min="6413" max="6413" width="10.625" style="67" customWidth="1"/>
    <col min="6414" max="6415" width="8.625" style="67" customWidth="1"/>
    <col min="6416" max="6416" width="1.625" style="67" customWidth="1"/>
    <col min="6417" max="6656" width="9" style="67"/>
    <col min="6657" max="6657" width="1.625" style="67" customWidth="1"/>
    <col min="6658" max="6659" width="12.625" style="67" customWidth="1"/>
    <col min="6660" max="6661" width="6.625" style="67" customWidth="1"/>
    <col min="6662" max="6668" width="12.625" style="67" customWidth="1"/>
    <col min="6669" max="6669" width="10.625" style="67" customWidth="1"/>
    <col min="6670" max="6671" width="8.625" style="67" customWidth="1"/>
    <col min="6672" max="6672" width="1.625" style="67" customWidth="1"/>
    <col min="6673" max="6912" width="9" style="67"/>
    <col min="6913" max="6913" width="1.625" style="67" customWidth="1"/>
    <col min="6914" max="6915" width="12.625" style="67" customWidth="1"/>
    <col min="6916" max="6917" width="6.625" style="67" customWidth="1"/>
    <col min="6918" max="6924" width="12.625" style="67" customWidth="1"/>
    <col min="6925" max="6925" width="10.625" style="67" customWidth="1"/>
    <col min="6926" max="6927" width="8.625" style="67" customWidth="1"/>
    <col min="6928" max="6928" width="1.625" style="67" customWidth="1"/>
    <col min="6929" max="7168" width="9" style="67"/>
    <col min="7169" max="7169" width="1.625" style="67" customWidth="1"/>
    <col min="7170" max="7171" width="12.625" style="67" customWidth="1"/>
    <col min="7172" max="7173" width="6.625" style="67" customWidth="1"/>
    <col min="7174" max="7180" width="12.625" style="67" customWidth="1"/>
    <col min="7181" max="7181" width="10.625" style="67" customWidth="1"/>
    <col min="7182" max="7183" width="8.625" style="67" customWidth="1"/>
    <col min="7184" max="7184" width="1.625" style="67" customWidth="1"/>
    <col min="7185" max="7424" width="9" style="67"/>
    <col min="7425" max="7425" width="1.625" style="67" customWidth="1"/>
    <col min="7426" max="7427" width="12.625" style="67" customWidth="1"/>
    <col min="7428" max="7429" width="6.625" style="67" customWidth="1"/>
    <col min="7430" max="7436" width="12.625" style="67" customWidth="1"/>
    <col min="7437" max="7437" width="10.625" style="67" customWidth="1"/>
    <col min="7438" max="7439" width="8.625" style="67" customWidth="1"/>
    <col min="7440" max="7440" width="1.625" style="67" customWidth="1"/>
    <col min="7441" max="7680" width="9" style="67"/>
    <col min="7681" max="7681" width="1.625" style="67" customWidth="1"/>
    <col min="7682" max="7683" width="12.625" style="67" customWidth="1"/>
    <col min="7684" max="7685" width="6.625" style="67" customWidth="1"/>
    <col min="7686" max="7692" width="12.625" style="67" customWidth="1"/>
    <col min="7693" max="7693" width="10.625" style="67" customWidth="1"/>
    <col min="7694" max="7695" width="8.625" style="67" customWidth="1"/>
    <col min="7696" max="7696" width="1.625" style="67" customWidth="1"/>
    <col min="7697" max="7936" width="9" style="67"/>
    <col min="7937" max="7937" width="1.625" style="67" customWidth="1"/>
    <col min="7938" max="7939" width="12.625" style="67" customWidth="1"/>
    <col min="7940" max="7941" width="6.625" style="67" customWidth="1"/>
    <col min="7942" max="7948" width="12.625" style="67" customWidth="1"/>
    <col min="7949" max="7949" width="10.625" style="67" customWidth="1"/>
    <col min="7950" max="7951" width="8.625" style="67" customWidth="1"/>
    <col min="7952" max="7952" width="1.625" style="67" customWidth="1"/>
    <col min="7953" max="8192" width="9" style="67"/>
    <col min="8193" max="8193" width="1.625" style="67" customWidth="1"/>
    <col min="8194" max="8195" width="12.625" style="67" customWidth="1"/>
    <col min="8196" max="8197" width="6.625" style="67" customWidth="1"/>
    <col min="8198" max="8204" width="12.625" style="67" customWidth="1"/>
    <col min="8205" max="8205" width="10.625" style="67" customWidth="1"/>
    <col min="8206" max="8207" width="8.625" style="67" customWidth="1"/>
    <col min="8208" max="8208" width="1.625" style="67" customWidth="1"/>
    <col min="8209" max="8448" width="9" style="67"/>
    <col min="8449" max="8449" width="1.625" style="67" customWidth="1"/>
    <col min="8450" max="8451" width="12.625" style="67" customWidth="1"/>
    <col min="8452" max="8453" width="6.625" style="67" customWidth="1"/>
    <col min="8454" max="8460" width="12.625" style="67" customWidth="1"/>
    <col min="8461" max="8461" width="10.625" style="67" customWidth="1"/>
    <col min="8462" max="8463" width="8.625" style="67" customWidth="1"/>
    <col min="8464" max="8464" width="1.625" style="67" customWidth="1"/>
    <col min="8465" max="8704" width="9" style="67"/>
    <col min="8705" max="8705" width="1.625" style="67" customWidth="1"/>
    <col min="8706" max="8707" width="12.625" style="67" customWidth="1"/>
    <col min="8708" max="8709" width="6.625" style="67" customWidth="1"/>
    <col min="8710" max="8716" width="12.625" style="67" customWidth="1"/>
    <col min="8717" max="8717" width="10.625" style="67" customWidth="1"/>
    <col min="8718" max="8719" width="8.625" style="67" customWidth="1"/>
    <col min="8720" max="8720" width="1.625" style="67" customWidth="1"/>
    <col min="8721" max="8960" width="9" style="67"/>
    <col min="8961" max="8961" width="1.625" style="67" customWidth="1"/>
    <col min="8962" max="8963" width="12.625" style="67" customWidth="1"/>
    <col min="8964" max="8965" width="6.625" style="67" customWidth="1"/>
    <col min="8966" max="8972" width="12.625" style="67" customWidth="1"/>
    <col min="8973" max="8973" width="10.625" style="67" customWidth="1"/>
    <col min="8974" max="8975" width="8.625" style="67" customWidth="1"/>
    <col min="8976" max="8976" width="1.625" style="67" customWidth="1"/>
    <col min="8977" max="9216" width="9" style="67"/>
    <col min="9217" max="9217" width="1.625" style="67" customWidth="1"/>
    <col min="9218" max="9219" width="12.625" style="67" customWidth="1"/>
    <col min="9220" max="9221" width="6.625" style="67" customWidth="1"/>
    <col min="9222" max="9228" width="12.625" style="67" customWidth="1"/>
    <col min="9229" max="9229" width="10.625" style="67" customWidth="1"/>
    <col min="9230" max="9231" width="8.625" style="67" customWidth="1"/>
    <col min="9232" max="9232" width="1.625" style="67" customWidth="1"/>
    <col min="9233" max="9472" width="9" style="67"/>
    <col min="9473" max="9473" width="1.625" style="67" customWidth="1"/>
    <col min="9474" max="9475" width="12.625" style="67" customWidth="1"/>
    <col min="9476" max="9477" width="6.625" style="67" customWidth="1"/>
    <col min="9478" max="9484" width="12.625" style="67" customWidth="1"/>
    <col min="9485" max="9485" width="10.625" style="67" customWidth="1"/>
    <col min="9486" max="9487" width="8.625" style="67" customWidth="1"/>
    <col min="9488" max="9488" width="1.625" style="67" customWidth="1"/>
    <col min="9489" max="9728" width="9" style="67"/>
    <col min="9729" max="9729" width="1.625" style="67" customWidth="1"/>
    <col min="9730" max="9731" width="12.625" style="67" customWidth="1"/>
    <col min="9732" max="9733" width="6.625" style="67" customWidth="1"/>
    <col min="9734" max="9740" width="12.625" style="67" customWidth="1"/>
    <col min="9741" max="9741" width="10.625" style="67" customWidth="1"/>
    <col min="9742" max="9743" width="8.625" style="67" customWidth="1"/>
    <col min="9744" max="9744" width="1.625" style="67" customWidth="1"/>
    <col min="9745" max="9984" width="9" style="67"/>
    <col min="9985" max="9985" width="1.625" style="67" customWidth="1"/>
    <col min="9986" max="9987" width="12.625" style="67" customWidth="1"/>
    <col min="9988" max="9989" width="6.625" style="67" customWidth="1"/>
    <col min="9990" max="9996" width="12.625" style="67" customWidth="1"/>
    <col min="9997" max="9997" width="10.625" style="67" customWidth="1"/>
    <col min="9998" max="9999" width="8.625" style="67" customWidth="1"/>
    <col min="10000" max="10000" width="1.625" style="67" customWidth="1"/>
    <col min="10001" max="10240" width="9" style="67"/>
    <col min="10241" max="10241" width="1.625" style="67" customWidth="1"/>
    <col min="10242" max="10243" width="12.625" style="67" customWidth="1"/>
    <col min="10244" max="10245" width="6.625" style="67" customWidth="1"/>
    <col min="10246" max="10252" width="12.625" style="67" customWidth="1"/>
    <col min="10253" max="10253" width="10.625" style="67" customWidth="1"/>
    <col min="10254" max="10255" width="8.625" style="67" customWidth="1"/>
    <col min="10256" max="10256" width="1.625" style="67" customWidth="1"/>
    <col min="10257" max="10496" width="9" style="67"/>
    <col min="10497" max="10497" width="1.625" style="67" customWidth="1"/>
    <col min="10498" max="10499" width="12.625" style="67" customWidth="1"/>
    <col min="10500" max="10501" width="6.625" style="67" customWidth="1"/>
    <col min="10502" max="10508" width="12.625" style="67" customWidth="1"/>
    <col min="10509" max="10509" width="10.625" style="67" customWidth="1"/>
    <col min="10510" max="10511" width="8.625" style="67" customWidth="1"/>
    <col min="10512" max="10512" width="1.625" style="67" customWidth="1"/>
    <col min="10513" max="10752" width="9" style="67"/>
    <col min="10753" max="10753" width="1.625" style="67" customWidth="1"/>
    <col min="10754" max="10755" width="12.625" style="67" customWidth="1"/>
    <col min="10756" max="10757" width="6.625" style="67" customWidth="1"/>
    <col min="10758" max="10764" width="12.625" style="67" customWidth="1"/>
    <col min="10765" max="10765" width="10.625" style="67" customWidth="1"/>
    <col min="10766" max="10767" width="8.625" style="67" customWidth="1"/>
    <col min="10768" max="10768" width="1.625" style="67" customWidth="1"/>
    <col min="10769" max="11008" width="9" style="67"/>
    <col min="11009" max="11009" width="1.625" style="67" customWidth="1"/>
    <col min="11010" max="11011" width="12.625" style="67" customWidth="1"/>
    <col min="11012" max="11013" width="6.625" style="67" customWidth="1"/>
    <col min="11014" max="11020" width="12.625" style="67" customWidth="1"/>
    <col min="11021" max="11021" width="10.625" style="67" customWidth="1"/>
    <col min="11022" max="11023" width="8.625" style="67" customWidth="1"/>
    <col min="11024" max="11024" width="1.625" style="67" customWidth="1"/>
    <col min="11025" max="11264" width="9" style="67"/>
    <col min="11265" max="11265" width="1.625" style="67" customWidth="1"/>
    <col min="11266" max="11267" width="12.625" style="67" customWidth="1"/>
    <col min="11268" max="11269" width="6.625" style="67" customWidth="1"/>
    <col min="11270" max="11276" width="12.625" style="67" customWidth="1"/>
    <col min="11277" max="11277" width="10.625" style="67" customWidth="1"/>
    <col min="11278" max="11279" width="8.625" style="67" customWidth="1"/>
    <col min="11280" max="11280" width="1.625" style="67" customWidth="1"/>
    <col min="11281" max="11520" width="9" style="67"/>
    <col min="11521" max="11521" width="1.625" style="67" customWidth="1"/>
    <col min="11522" max="11523" width="12.625" style="67" customWidth="1"/>
    <col min="11524" max="11525" width="6.625" style="67" customWidth="1"/>
    <col min="11526" max="11532" width="12.625" style="67" customWidth="1"/>
    <col min="11533" max="11533" width="10.625" style="67" customWidth="1"/>
    <col min="11534" max="11535" width="8.625" style="67" customWidth="1"/>
    <col min="11536" max="11536" width="1.625" style="67" customWidth="1"/>
    <col min="11537" max="11776" width="9" style="67"/>
    <col min="11777" max="11777" width="1.625" style="67" customWidth="1"/>
    <col min="11778" max="11779" width="12.625" style="67" customWidth="1"/>
    <col min="11780" max="11781" width="6.625" style="67" customWidth="1"/>
    <col min="11782" max="11788" width="12.625" style="67" customWidth="1"/>
    <col min="11789" max="11789" width="10.625" style="67" customWidth="1"/>
    <col min="11790" max="11791" width="8.625" style="67" customWidth="1"/>
    <col min="11792" max="11792" width="1.625" style="67" customWidth="1"/>
    <col min="11793" max="12032" width="9" style="67"/>
    <col min="12033" max="12033" width="1.625" style="67" customWidth="1"/>
    <col min="12034" max="12035" width="12.625" style="67" customWidth="1"/>
    <col min="12036" max="12037" width="6.625" style="67" customWidth="1"/>
    <col min="12038" max="12044" width="12.625" style="67" customWidth="1"/>
    <col min="12045" max="12045" width="10.625" style="67" customWidth="1"/>
    <col min="12046" max="12047" width="8.625" style="67" customWidth="1"/>
    <col min="12048" max="12048" width="1.625" style="67" customWidth="1"/>
    <col min="12049" max="12288" width="9" style="67"/>
    <col min="12289" max="12289" width="1.625" style="67" customWidth="1"/>
    <col min="12290" max="12291" width="12.625" style="67" customWidth="1"/>
    <col min="12292" max="12293" width="6.625" style="67" customWidth="1"/>
    <col min="12294" max="12300" width="12.625" style="67" customWidth="1"/>
    <col min="12301" max="12301" width="10.625" style="67" customWidth="1"/>
    <col min="12302" max="12303" width="8.625" style="67" customWidth="1"/>
    <col min="12304" max="12304" width="1.625" style="67" customWidth="1"/>
    <col min="12305" max="12544" width="9" style="67"/>
    <col min="12545" max="12545" width="1.625" style="67" customWidth="1"/>
    <col min="12546" max="12547" width="12.625" style="67" customWidth="1"/>
    <col min="12548" max="12549" width="6.625" style="67" customWidth="1"/>
    <col min="12550" max="12556" width="12.625" style="67" customWidth="1"/>
    <col min="12557" max="12557" width="10.625" style="67" customWidth="1"/>
    <col min="12558" max="12559" width="8.625" style="67" customWidth="1"/>
    <col min="12560" max="12560" width="1.625" style="67" customWidth="1"/>
    <col min="12561" max="12800" width="9" style="67"/>
    <col min="12801" max="12801" width="1.625" style="67" customWidth="1"/>
    <col min="12802" max="12803" width="12.625" style="67" customWidth="1"/>
    <col min="12804" max="12805" width="6.625" style="67" customWidth="1"/>
    <col min="12806" max="12812" width="12.625" style="67" customWidth="1"/>
    <col min="12813" max="12813" width="10.625" style="67" customWidth="1"/>
    <col min="12814" max="12815" width="8.625" style="67" customWidth="1"/>
    <col min="12816" max="12816" width="1.625" style="67" customWidth="1"/>
    <col min="12817" max="13056" width="9" style="67"/>
    <col min="13057" max="13057" width="1.625" style="67" customWidth="1"/>
    <col min="13058" max="13059" width="12.625" style="67" customWidth="1"/>
    <col min="13060" max="13061" width="6.625" style="67" customWidth="1"/>
    <col min="13062" max="13068" width="12.625" style="67" customWidth="1"/>
    <col min="13069" max="13069" width="10.625" style="67" customWidth="1"/>
    <col min="13070" max="13071" width="8.625" style="67" customWidth="1"/>
    <col min="13072" max="13072" width="1.625" style="67" customWidth="1"/>
    <col min="13073" max="13312" width="9" style="67"/>
    <col min="13313" max="13313" width="1.625" style="67" customWidth="1"/>
    <col min="13314" max="13315" width="12.625" style="67" customWidth="1"/>
    <col min="13316" max="13317" width="6.625" style="67" customWidth="1"/>
    <col min="13318" max="13324" width="12.625" style="67" customWidth="1"/>
    <col min="13325" max="13325" width="10.625" style="67" customWidth="1"/>
    <col min="13326" max="13327" width="8.625" style="67" customWidth="1"/>
    <col min="13328" max="13328" width="1.625" style="67" customWidth="1"/>
    <col min="13329" max="13568" width="9" style="67"/>
    <col min="13569" max="13569" width="1.625" style="67" customWidth="1"/>
    <col min="13570" max="13571" width="12.625" style="67" customWidth="1"/>
    <col min="13572" max="13573" width="6.625" style="67" customWidth="1"/>
    <col min="13574" max="13580" width="12.625" style="67" customWidth="1"/>
    <col min="13581" max="13581" width="10.625" style="67" customWidth="1"/>
    <col min="13582" max="13583" width="8.625" style="67" customWidth="1"/>
    <col min="13584" max="13584" width="1.625" style="67" customWidth="1"/>
    <col min="13585" max="13824" width="9" style="67"/>
    <col min="13825" max="13825" width="1.625" style="67" customWidth="1"/>
    <col min="13826" max="13827" width="12.625" style="67" customWidth="1"/>
    <col min="13828" max="13829" width="6.625" style="67" customWidth="1"/>
    <col min="13830" max="13836" width="12.625" style="67" customWidth="1"/>
    <col min="13837" max="13837" width="10.625" style="67" customWidth="1"/>
    <col min="13838" max="13839" width="8.625" style="67" customWidth="1"/>
    <col min="13840" max="13840" width="1.625" style="67" customWidth="1"/>
    <col min="13841" max="14080" width="9" style="67"/>
    <col min="14081" max="14081" width="1.625" style="67" customWidth="1"/>
    <col min="14082" max="14083" width="12.625" style="67" customWidth="1"/>
    <col min="14084" max="14085" width="6.625" style="67" customWidth="1"/>
    <col min="14086" max="14092" width="12.625" style="67" customWidth="1"/>
    <col min="14093" max="14093" width="10.625" style="67" customWidth="1"/>
    <col min="14094" max="14095" width="8.625" style="67" customWidth="1"/>
    <col min="14096" max="14096" width="1.625" style="67" customWidth="1"/>
    <col min="14097" max="14336" width="9" style="67"/>
    <col min="14337" max="14337" width="1.625" style="67" customWidth="1"/>
    <col min="14338" max="14339" width="12.625" style="67" customWidth="1"/>
    <col min="14340" max="14341" width="6.625" style="67" customWidth="1"/>
    <col min="14342" max="14348" width="12.625" style="67" customWidth="1"/>
    <col min="14349" max="14349" width="10.625" style="67" customWidth="1"/>
    <col min="14350" max="14351" width="8.625" style="67" customWidth="1"/>
    <col min="14352" max="14352" width="1.625" style="67" customWidth="1"/>
    <col min="14353" max="14592" width="9" style="67"/>
    <col min="14593" max="14593" width="1.625" style="67" customWidth="1"/>
    <col min="14594" max="14595" width="12.625" style="67" customWidth="1"/>
    <col min="14596" max="14597" width="6.625" style="67" customWidth="1"/>
    <col min="14598" max="14604" width="12.625" style="67" customWidth="1"/>
    <col min="14605" max="14605" width="10.625" style="67" customWidth="1"/>
    <col min="14606" max="14607" width="8.625" style="67" customWidth="1"/>
    <col min="14608" max="14608" width="1.625" style="67" customWidth="1"/>
    <col min="14609" max="14848" width="9" style="67"/>
    <col min="14849" max="14849" width="1.625" style="67" customWidth="1"/>
    <col min="14850" max="14851" width="12.625" style="67" customWidth="1"/>
    <col min="14852" max="14853" width="6.625" style="67" customWidth="1"/>
    <col min="14854" max="14860" width="12.625" style="67" customWidth="1"/>
    <col min="14861" max="14861" width="10.625" style="67" customWidth="1"/>
    <col min="14862" max="14863" width="8.625" style="67" customWidth="1"/>
    <col min="14864" max="14864" width="1.625" style="67" customWidth="1"/>
    <col min="14865" max="15104" width="9" style="67"/>
    <col min="15105" max="15105" width="1.625" style="67" customWidth="1"/>
    <col min="15106" max="15107" width="12.625" style="67" customWidth="1"/>
    <col min="15108" max="15109" width="6.625" style="67" customWidth="1"/>
    <col min="15110" max="15116" width="12.625" style="67" customWidth="1"/>
    <col min="15117" max="15117" width="10.625" style="67" customWidth="1"/>
    <col min="15118" max="15119" width="8.625" style="67" customWidth="1"/>
    <col min="15120" max="15120" width="1.625" style="67" customWidth="1"/>
    <col min="15121" max="15360" width="9" style="67"/>
    <col min="15361" max="15361" width="1.625" style="67" customWidth="1"/>
    <col min="15362" max="15363" width="12.625" style="67" customWidth="1"/>
    <col min="15364" max="15365" width="6.625" style="67" customWidth="1"/>
    <col min="15366" max="15372" width="12.625" style="67" customWidth="1"/>
    <col min="15373" max="15373" width="10.625" style="67" customWidth="1"/>
    <col min="15374" max="15375" width="8.625" style="67" customWidth="1"/>
    <col min="15376" max="15376" width="1.625" style="67" customWidth="1"/>
    <col min="15377" max="15616" width="9" style="67"/>
    <col min="15617" max="15617" width="1.625" style="67" customWidth="1"/>
    <col min="15618" max="15619" width="12.625" style="67" customWidth="1"/>
    <col min="15620" max="15621" width="6.625" style="67" customWidth="1"/>
    <col min="15622" max="15628" width="12.625" style="67" customWidth="1"/>
    <col min="15629" max="15629" width="10.625" style="67" customWidth="1"/>
    <col min="15630" max="15631" width="8.625" style="67" customWidth="1"/>
    <col min="15632" max="15632" width="1.625" style="67" customWidth="1"/>
    <col min="15633" max="15872" width="9" style="67"/>
    <col min="15873" max="15873" width="1.625" style="67" customWidth="1"/>
    <col min="15874" max="15875" width="12.625" style="67" customWidth="1"/>
    <col min="15876" max="15877" width="6.625" style="67" customWidth="1"/>
    <col min="15878" max="15884" width="12.625" style="67" customWidth="1"/>
    <col min="15885" max="15885" width="10.625" style="67" customWidth="1"/>
    <col min="15886" max="15887" width="8.625" style="67" customWidth="1"/>
    <col min="15888" max="15888" width="1.625" style="67" customWidth="1"/>
    <col min="15889" max="16128" width="9" style="67"/>
    <col min="16129" max="16129" width="1.625" style="67" customWidth="1"/>
    <col min="16130" max="16131" width="12.625" style="67" customWidth="1"/>
    <col min="16132" max="16133" width="6.625" style="67" customWidth="1"/>
    <col min="16134" max="16140" width="12.625" style="67" customWidth="1"/>
    <col min="16141" max="16141" width="10.625" style="67" customWidth="1"/>
    <col min="16142" max="16143" width="8.625" style="67" customWidth="1"/>
    <col min="16144" max="16144" width="1.625" style="67" customWidth="1"/>
    <col min="16145" max="16384" width="9" style="67"/>
  </cols>
  <sheetData>
    <row r="1" spans="1:24" ht="9.9499999999999993" customHeight="1" thickBot="1" x14ac:dyDescent="0.35"/>
    <row r="2" spans="1:24" ht="24.95" customHeight="1" x14ac:dyDescent="0.3">
      <c r="B2" s="148" t="s">
        <v>564</v>
      </c>
      <c r="C2" s="131"/>
      <c r="D2" s="150" t="s">
        <v>565</v>
      </c>
      <c r="E2" s="151"/>
      <c r="F2" s="131"/>
      <c r="G2" s="154" t="s">
        <v>566</v>
      </c>
      <c r="H2" s="154"/>
      <c r="I2" s="129" t="s">
        <v>567</v>
      </c>
      <c r="J2" s="131"/>
      <c r="K2" s="68" t="s">
        <v>568</v>
      </c>
      <c r="L2" s="69" t="s">
        <v>569</v>
      </c>
      <c r="M2" s="70"/>
      <c r="N2" s="141" t="s">
        <v>570</v>
      </c>
      <c r="O2" s="142"/>
    </row>
    <row r="3" spans="1:24" ht="24.95" customHeight="1" x14ac:dyDescent="0.3">
      <c r="B3" s="149"/>
      <c r="C3" s="132"/>
      <c r="D3" s="152"/>
      <c r="E3" s="153"/>
      <c r="F3" s="132"/>
      <c r="G3" s="130"/>
      <c r="H3" s="155"/>
      <c r="I3" s="130"/>
      <c r="J3" s="132"/>
      <c r="K3" s="71" t="s">
        <v>571</v>
      </c>
      <c r="L3" s="72" t="s">
        <v>569</v>
      </c>
      <c r="M3" s="73"/>
      <c r="N3" s="143" t="s">
        <v>572</v>
      </c>
      <c r="O3" s="144"/>
    </row>
    <row r="4" spans="1:24" ht="24.95" customHeight="1" x14ac:dyDescent="0.3">
      <c r="B4" s="74"/>
      <c r="O4" s="75"/>
    </row>
    <row r="5" spans="1:24" s="80" customFormat="1" ht="24.95" customHeight="1" x14ac:dyDescent="0.55000000000000004">
      <c r="A5" s="76"/>
      <c r="B5" s="77"/>
      <c r="C5" s="78"/>
      <c r="D5" s="78"/>
      <c r="E5" s="78"/>
      <c r="F5" s="78"/>
      <c r="G5" s="145" t="s">
        <v>573</v>
      </c>
      <c r="H5" s="145"/>
      <c r="I5" s="145"/>
      <c r="J5" s="145"/>
      <c r="K5" s="78"/>
      <c r="L5" s="78"/>
      <c r="M5" s="78"/>
      <c r="N5" s="78"/>
      <c r="O5" s="79"/>
      <c r="P5" s="76"/>
      <c r="Q5" s="76"/>
      <c r="R5" s="76"/>
      <c r="S5" s="76"/>
      <c r="T5" s="76"/>
      <c r="U5" s="76"/>
      <c r="V5" s="76"/>
      <c r="W5" s="76"/>
      <c r="X5" s="76"/>
    </row>
    <row r="6" spans="1:24" s="80" customFormat="1" ht="24.95" customHeight="1" x14ac:dyDescent="0.55000000000000004">
      <c r="A6" s="76"/>
      <c r="B6" s="81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9"/>
      <c r="P6" s="76"/>
      <c r="Q6" s="76"/>
      <c r="R6" s="76"/>
      <c r="S6" s="76"/>
      <c r="T6" s="76"/>
      <c r="U6" s="76"/>
      <c r="V6" s="76"/>
      <c r="W6" s="76"/>
      <c r="X6" s="76"/>
    </row>
    <row r="7" spans="1:24" ht="24.95" customHeight="1" x14ac:dyDescent="0.5">
      <c r="B7" s="74"/>
      <c r="D7" s="146" t="s">
        <v>574</v>
      </c>
      <c r="E7" s="147"/>
      <c r="F7" s="147"/>
      <c r="G7" s="147"/>
      <c r="H7" s="147"/>
      <c r="I7" s="147"/>
      <c r="J7" s="147"/>
      <c r="K7" s="147"/>
      <c r="L7" s="147"/>
      <c r="M7" s="147"/>
      <c r="N7" s="82"/>
      <c r="O7" s="83"/>
    </row>
    <row r="8" spans="1:24" ht="24.95" customHeight="1" thickBot="1" x14ac:dyDescent="0.35">
      <c r="B8" s="74"/>
      <c r="O8" s="75"/>
    </row>
    <row r="9" spans="1:24" ht="39.950000000000003" customHeight="1" x14ac:dyDescent="0.3">
      <c r="B9" s="74"/>
      <c r="D9" s="133" t="s">
        <v>575</v>
      </c>
      <c r="E9" s="134"/>
      <c r="F9" s="134"/>
      <c r="G9" s="135" t="s">
        <v>576</v>
      </c>
      <c r="H9" s="136"/>
      <c r="I9" s="136"/>
      <c r="J9" s="136"/>
      <c r="K9" s="136"/>
      <c r="L9" s="137"/>
      <c r="M9" s="84" t="s">
        <v>577</v>
      </c>
      <c r="O9" s="75"/>
    </row>
    <row r="10" spans="1:24" ht="39.950000000000003" customHeight="1" x14ac:dyDescent="0.3">
      <c r="B10" s="74"/>
      <c r="D10" s="138" t="s">
        <v>578</v>
      </c>
      <c r="E10" s="139"/>
      <c r="F10" s="139"/>
      <c r="G10" s="110" t="str">
        <f t="shared" ref="G10:G14" si="0">"일금"&amp;NUMBERSTRING(K10,1)&amp;"원정"</f>
        <v>일금이천오백육십사만팔천원정</v>
      </c>
      <c r="H10" s="110"/>
      <c r="I10" s="110"/>
      <c r="J10" s="110"/>
      <c r="K10" s="140">
        <f>원가계산서!E33</f>
        <v>25648000</v>
      </c>
      <c r="L10" s="140"/>
      <c r="M10" s="85"/>
      <c r="O10" s="75"/>
    </row>
    <row r="11" spans="1:24" ht="39.950000000000003" customHeight="1" x14ac:dyDescent="0.3">
      <c r="B11" s="74"/>
      <c r="D11" s="107" t="s">
        <v>579</v>
      </c>
      <c r="E11" s="108"/>
      <c r="F11" s="109"/>
      <c r="G11" s="110" t="str">
        <f t="shared" si="0"/>
        <v>일금이백오십육만사천팔백원정</v>
      </c>
      <c r="H11" s="110"/>
      <c r="I11" s="110"/>
      <c r="J11" s="110"/>
      <c r="K11" s="113">
        <f>원가계산서!E34</f>
        <v>2564800</v>
      </c>
      <c r="L11" s="114"/>
      <c r="M11" s="86"/>
      <c r="O11" s="75"/>
    </row>
    <row r="12" spans="1:24" ht="39.950000000000003" customHeight="1" x14ac:dyDescent="0.3">
      <c r="B12" s="74"/>
      <c r="D12" s="107" t="s">
        <v>588</v>
      </c>
      <c r="E12" s="108"/>
      <c r="F12" s="109"/>
      <c r="G12" s="110" t="str">
        <f t="shared" ref="G12:G13" si="1">"일금"&amp;NUMBERSTRING(K12,1)&amp;"원정"</f>
        <v>일금이천팔백이십일만이천팔백원정</v>
      </c>
      <c r="H12" s="110"/>
      <c r="I12" s="110"/>
      <c r="J12" s="110"/>
      <c r="K12" s="113">
        <f>원가계산서!E35</f>
        <v>28212800</v>
      </c>
      <c r="L12" s="114"/>
      <c r="M12" s="104"/>
      <c r="O12" s="75"/>
    </row>
    <row r="13" spans="1:24" ht="39.950000000000003" customHeight="1" x14ac:dyDescent="0.3">
      <c r="B13" s="74"/>
      <c r="D13" s="107" t="s">
        <v>589</v>
      </c>
      <c r="E13" s="108"/>
      <c r="F13" s="109"/>
      <c r="G13" s="110" t="str">
        <f t="shared" si="1"/>
        <v>일금일천일백오만구천사백원정</v>
      </c>
      <c r="H13" s="110"/>
      <c r="I13" s="110"/>
      <c r="J13" s="110"/>
      <c r="K13" s="111">
        <f>원가계산서!E36</f>
        <v>11059400</v>
      </c>
      <c r="L13" s="112"/>
      <c r="M13" s="104"/>
      <c r="O13" s="75"/>
    </row>
    <row r="14" spans="1:24" ht="39.950000000000003" customHeight="1" x14ac:dyDescent="0.3">
      <c r="B14" s="74"/>
      <c r="D14" s="115" t="s">
        <v>580</v>
      </c>
      <c r="E14" s="116"/>
      <c r="F14" s="117"/>
      <c r="G14" s="118" t="str">
        <f t="shared" si="0"/>
        <v>일금오십팔만오천육백사십원정</v>
      </c>
      <c r="H14" s="118"/>
      <c r="I14" s="118"/>
      <c r="J14" s="118"/>
      <c r="K14" s="119">
        <f>원가계산서!E37</f>
        <v>585640</v>
      </c>
      <c r="L14" s="120"/>
      <c r="M14" s="87" t="s">
        <v>581</v>
      </c>
      <c r="O14" s="75"/>
    </row>
    <row r="15" spans="1:24" ht="39.950000000000003" customHeight="1" thickBot="1" x14ac:dyDescent="0.35">
      <c r="B15" s="74"/>
      <c r="D15" s="121" t="s">
        <v>582</v>
      </c>
      <c r="E15" s="122"/>
      <c r="F15" s="123"/>
      <c r="G15" s="124" t="str">
        <f>"일금"&amp;NUMBERSTRING(K15,1)&amp;"원정"</f>
        <v>일금삼천구백팔십오만칠천팔백원정</v>
      </c>
      <c r="H15" s="125"/>
      <c r="I15" s="125"/>
      <c r="J15" s="126"/>
      <c r="K15" s="127">
        <f>ROUNDDOWN(SUM(K12:L14),-2)</f>
        <v>39857800</v>
      </c>
      <c r="L15" s="128"/>
      <c r="M15" s="88"/>
      <c r="O15" s="75"/>
      <c r="R15" s="89">
        <v>11059400</v>
      </c>
    </row>
    <row r="16" spans="1:24" ht="24.95" customHeight="1" x14ac:dyDescent="0.3">
      <c r="B16" s="74"/>
      <c r="O16" s="75"/>
    </row>
    <row r="17" spans="1:24" s="97" customFormat="1" ht="24.95" customHeight="1" x14ac:dyDescent="0.3">
      <c r="A17" s="90"/>
      <c r="B17" s="91"/>
      <c r="C17" s="90"/>
      <c r="D17" s="105" t="s">
        <v>583</v>
      </c>
      <c r="E17" s="106"/>
      <c r="F17" s="92" t="s">
        <v>584</v>
      </c>
      <c r="G17" s="93"/>
      <c r="H17" s="93"/>
      <c r="I17" s="93"/>
      <c r="J17" s="93"/>
      <c r="K17" s="93"/>
      <c r="L17" s="93"/>
      <c r="M17" s="94" t="s">
        <v>585</v>
      </c>
      <c r="N17" s="94"/>
      <c r="O17" s="95"/>
      <c r="P17" s="90"/>
      <c r="Q17" s="90"/>
      <c r="R17" s="96">
        <f>K15+R15</f>
        <v>50917200</v>
      </c>
      <c r="S17" s="90"/>
      <c r="T17" s="90"/>
      <c r="U17" s="90"/>
      <c r="V17" s="90"/>
      <c r="W17" s="90"/>
      <c r="X17" s="90"/>
    </row>
    <row r="18" spans="1:24" s="97" customFormat="1" ht="24.95" customHeight="1" x14ac:dyDescent="0.3">
      <c r="A18" s="90"/>
      <c r="B18" s="91"/>
      <c r="C18" s="90"/>
      <c r="D18" s="94"/>
      <c r="E18" s="93"/>
      <c r="F18" s="92" t="s">
        <v>592</v>
      </c>
      <c r="G18" s="93"/>
      <c r="H18" s="93"/>
      <c r="I18" s="93"/>
      <c r="J18" s="93"/>
      <c r="K18" s="93"/>
      <c r="L18" s="93"/>
      <c r="M18" s="94" t="s">
        <v>593</v>
      </c>
      <c r="N18" s="94"/>
      <c r="O18" s="95"/>
      <c r="P18" s="90"/>
      <c r="Q18" s="90"/>
      <c r="R18" s="90"/>
      <c r="S18" s="90"/>
      <c r="T18" s="90"/>
      <c r="U18" s="90"/>
      <c r="V18" s="90"/>
      <c r="W18" s="90"/>
      <c r="X18" s="90"/>
    </row>
    <row r="19" spans="1:24" s="97" customFormat="1" ht="24.95" customHeight="1" x14ac:dyDescent="0.3">
      <c r="A19" s="90"/>
      <c r="B19" s="91"/>
      <c r="C19" s="90"/>
      <c r="D19" s="90"/>
      <c r="E19" s="94"/>
      <c r="F19" s="92"/>
      <c r="G19" s="94"/>
      <c r="H19" s="94"/>
      <c r="I19" s="94"/>
      <c r="J19" s="94"/>
      <c r="K19" s="94"/>
      <c r="L19" s="94"/>
      <c r="M19" s="94"/>
      <c r="N19" s="94"/>
      <c r="O19" s="95"/>
      <c r="P19" s="90"/>
      <c r="Q19" s="90"/>
      <c r="R19" s="90"/>
      <c r="S19" s="90"/>
      <c r="T19" s="90"/>
      <c r="U19" s="90"/>
      <c r="V19" s="90"/>
      <c r="W19" s="90"/>
      <c r="X19" s="90"/>
    </row>
    <row r="20" spans="1:24" s="97" customFormat="1" ht="24.95" customHeight="1" x14ac:dyDescent="0.3">
      <c r="A20" s="90"/>
      <c r="B20" s="91"/>
      <c r="C20" s="90"/>
      <c r="D20" s="90"/>
      <c r="E20" s="94"/>
      <c r="F20" s="92"/>
      <c r="G20" s="93"/>
      <c r="H20" s="93"/>
      <c r="I20" s="93"/>
      <c r="J20" s="93"/>
      <c r="K20" s="93"/>
      <c r="L20" s="93"/>
      <c r="M20" s="94"/>
      <c r="N20" s="94"/>
      <c r="O20" s="95"/>
      <c r="P20" s="90"/>
      <c r="Q20" s="90"/>
      <c r="R20" s="90"/>
      <c r="S20" s="90"/>
      <c r="T20" s="90"/>
      <c r="U20" s="90"/>
      <c r="V20" s="90"/>
      <c r="W20" s="90"/>
      <c r="X20" s="90"/>
    </row>
    <row r="21" spans="1:24" ht="24.95" customHeight="1" thickBot="1" x14ac:dyDescent="0.35">
      <c r="B21" s="98"/>
      <c r="C21" s="99"/>
      <c r="D21" s="99"/>
      <c r="E21" s="100"/>
      <c r="F21" s="101"/>
      <c r="G21" s="99"/>
      <c r="H21" s="99"/>
      <c r="I21" s="99"/>
      <c r="J21" s="99"/>
      <c r="K21" s="99"/>
      <c r="L21" s="99"/>
      <c r="M21" s="102"/>
      <c r="N21" s="99"/>
      <c r="O21" s="103"/>
    </row>
    <row r="22" spans="1:24" ht="9.9499999999999993" customHeight="1" x14ac:dyDescent="0.3"/>
  </sheetData>
  <mergeCells count="33">
    <mergeCell ref="N2:O2"/>
    <mergeCell ref="N3:O3"/>
    <mergeCell ref="G5:J5"/>
    <mergeCell ref="D7:M7"/>
    <mergeCell ref="B2:B3"/>
    <mergeCell ref="C2:C3"/>
    <mergeCell ref="D2:E3"/>
    <mergeCell ref="F2:F3"/>
    <mergeCell ref="G2:G3"/>
    <mergeCell ref="H2:H3"/>
    <mergeCell ref="D11:F11"/>
    <mergeCell ref="G11:J11"/>
    <mergeCell ref="K11:L11"/>
    <mergeCell ref="I2:I3"/>
    <mergeCell ref="J2:J3"/>
    <mergeCell ref="D9:F9"/>
    <mergeCell ref="G9:L9"/>
    <mergeCell ref="D10:F10"/>
    <mergeCell ref="G10:J10"/>
    <mergeCell ref="K10:L10"/>
    <mergeCell ref="D17:E17"/>
    <mergeCell ref="D13:F13"/>
    <mergeCell ref="G13:J13"/>
    <mergeCell ref="K13:L13"/>
    <mergeCell ref="D12:F12"/>
    <mergeCell ref="G12:J12"/>
    <mergeCell ref="K12:L12"/>
    <mergeCell ref="D14:F14"/>
    <mergeCell ref="G14:J14"/>
    <mergeCell ref="K14:L14"/>
    <mergeCell ref="D15:F15"/>
    <mergeCell ref="G15:J15"/>
    <mergeCell ref="K15:L15"/>
  </mergeCells>
  <phoneticPr fontId="1" type="noConversion"/>
  <printOptions horizontalCentered="1"/>
  <pageMargins left="0.39370078740157483" right="0.39370078740157483" top="1.0236220472440944" bottom="0.3937007874015748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19D86"/>
  </sheetPr>
  <dimension ref="A1:I38"/>
  <sheetViews>
    <sheetView tabSelected="1" view="pageBreakPreview" zoomScaleNormal="100" zoomScaleSheetLayoutView="100" workbookViewId="0">
      <pane xSplit="3" ySplit="4" topLeftCell="D6" activePane="bottomRight" state="frozen"/>
      <selection pane="topRight" activeCell="D1" sqref="D1"/>
      <selection pane="bottomLeft" activeCell="A5" sqref="A5"/>
      <selection pane="bottomRight" activeCell="E32" sqref="E32"/>
    </sheetView>
  </sheetViews>
  <sheetFormatPr defaultRowHeight="16.5" x14ac:dyDescent="0.3"/>
  <cols>
    <col min="1" max="2" width="3.625" customWidth="1"/>
    <col min="3" max="3" width="15.625" style="1" customWidth="1"/>
    <col min="4" max="4" width="50.5" style="1" customWidth="1"/>
    <col min="5" max="5" width="27.625" style="3" customWidth="1"/>
    <col min="6" max="6" width="12.625" style="1" customWidth="1"/>
    <col min="7" max="7" width="9" customWidth="1"/>
    <col min="8" max="8" width="10.5" bestFit="1" customWidth="1"/>
    <col min="9" max="9" width="11.625" bestFit="1" customWidth="1"/>
    <col min="10" max="11" width="9" customWidth="1"/>
  </cols>
  <sheetData>
    <row r="1" spans="1:9" ht="30" customHeight="1" x14ac:dyDescent="0.3">
      <c r="A1" s="158" t="s">
        <v>494</v>
      </c>
      <c r="B1" s="158"/>
      <c r="C1" s="158"/>
      <c r="D1" s="158"/>
      <c r="E1" s="158"/>
      <c r="F1" s="158"/>
    </row>
    <row r="2" spans="1:9" ht="15.95" customHeight="1" x14ac:dyDescent="0.3">
      <c r="A2" s="159" t="s">
        <v>1</v>
      </c>
      <c r="B2" s="160"/>
      <c r="C2" s="160"/>
      <c r="D2" s="160"/>
      <c r="E2" s="160"/>
      <c r="F2" s="160"/>
    </row>
    <row r="3" spans="1:9" ht="12" customHeight="1" x14ac:dyDescent="0.3">
      <c r="A3" s="161" t="s">
        <v>495</v>
      </c>
      <c r="B3" s="162"/>
      <c r="C3" s="163"/>
      <c r="D3" s="167" t="s">
        <v>496</v>
      </c>
      <c r="E3" s="167" t="s">
        <v>497</v>
      </c>
      <c r="F3" s="167" t="s">
        <v>314</v>
      </c>
    </row>
    <row r="4" spans="1:9" ht="12" customHeight="1" x14ac:dyDescent="0.3">
      <c r="A4" s="164"/>
      <c r="B4" s="165"/>
      <c r="C4" s="166"/>
      <c r="D4" s="167"/>
      <c r="E4" s="167"/>
      <c r="F4" s="167"/>
    </row>
    <row r="5" spans="1:9" ht="15.95" customHeight="1" x14ac:dyDescent="0.3">
      <c r="A5" s="170" t="s">
        <v>562</v>
      </c>
      <c r="B5" s="170" t="s">
        <v>263</v>
      </c>
      <c r="C5" s="54" t="s">
        <v>498</v>
      </c>
      <c r="D5" s="54" t="s">
        <v>252</v>
      </c>
      <c r="E5" s="55">
        <f>ROUNDDOWN(집계표!E20-집계표!AU20, 0)</f>
        <v>5504125</v>
      </c>
      <c r="F5" s="54" t="s">
        <v>252</v>
      </c>
      <c r="G5" s="34" t="s">
        <v>499</v>
      </c>
      <c r="H5">
        <v>0</v>
      </c>
      <c r="I5" s="53">
        <f t="shared" ref="I5:I29" si="0">E5</f>
        <v>5504125</v>
      </c>
    </row>
    <row r="6" spans="1:9" ht="15.95" customHeight="1" x14ac:dyDescent="0.3">
      <c r="A6" s="171"/>
      <c r="B6" s="171"/>
      <c r="C6" s="56" t="s">
        <v>500</v>
      </c>
      <c r="D6" s="56" t="s">
        <v>252</v>
      </c>
      <c r="E6" s="57">
        <f>ROUNDDOWN(E5*H6, 0)</f>
        <v>0</v>
      </c>
      <c r="F6" s="56" t="s">
        <v>252</v>
      </c>
      <c r="G6" s="34" t="s">
        <v>501</v>
      </c>
      <c r="H6">
        <v>0</v>
      </c>
      <c r="I6" s="53">
        <f t="shared" si="0"/>
        <v>0</v>
      </c>
    </row>
    <row r="7" spans="1:9" ht="15.95" customHeight="1" x14ac:dyDescent="0.3">
      <c r="A7" s="172"/>
      <c r="B7" s="172"/>
      <c r="C7" s="58" t="s">
        <v>502</v>
      </c>
      <c r="D7" s="58" t="s">
        <v>252</v>
      </c>
      <c r="E7" s="59">
        <f>집계표!S20</f>
        <v>0</v>
      </c>
      <c r="F7" s="58" t="s">
        <v>252</v>
      </c>
      <c r="G7" s="34" t="s">
        <v>503</v>
      </c>
      <c r="H7">
        <v>0</v>
      </c>
      <c r="I7" s="53">
        <f t="shared" si="0"/>
        <v>0</v>
      </c>
    </row>
    <row r="8" spans="1:9" ht="15.95" customHeight="1" x14ac:dyDescent="0.3">
      <c r="A8" s="173"/>
      <c r="B8" s="173"/>
      <c r="C8" s="60" t="s">
        <v>504</v>
      </c>
      <c r="D8" s="60" t="s">
        <v>252</v>
      </c>
      <c r="E8" s="45">
        <f>SUM(E5:E6)-ABS(E7)</f>
        <v>5504125</v>
      </c>
      <c r="F8" s="60" t="s">
        <v>252</v>
      </c>
      <c r="G8" s="34" t="s">
        <v>505</v>
      </c>
      <c r="H8">
        <v>0</v>
      </c>
      <c r="I8" s="53">
        <f t="shared" si="0"/>
        <v>5504125</v>
      </c>
    </row>
    <row r="9" spans="1:9" ht="15.95" customHeight="1" x14ac:dyDescent="0.3">
      <c r="A9" s="174"/>
      <c r="B9" s="170" t="s">
        <v>560</v>
      </c>
      <c r="C9" s="54" t="s">
        <v>506</v>
      </c>
      <c r="D9" s="54" t="s">
        <v>252</v>
      </c>
      <c r="E9" s="55">
        <f>ROUNDDOWN(집계표!G20, 0)</f>
        <v>9945724</v>
      </c>
      <c r="F9" s="54" t="s">
        <v>252</v>
      </c>
      <c r="G9" s="34" t="s">
        <v>507</v>
      </c>
      <c r="H9">
        <v>0</v>
      </c>
      <c r="I9" s="53">
        <f t="shared" si="0"/>
        <v>9945724</v>
      </c>
    </row>
    <row r="10" spans="1:9" ht="15.95" customHeight="1" x14ac:dyDescent="0.3">
      <c r="A10" s="172"/>
      <c r="B10" s="172"/>
      <c r="C10" s="58" t="s">
        <v>508</v>
      </c>
      <c r="D10" s="61" t="str">
        <f>"직.노*"&amp;H10*100&amp;"%"</f>
        <v>직.노*19.1%</v>
      </c>
      <c r="E10" s="59">
        <f>ROUNDDOWN(E9*H10, 0)</f>
        <v>1899633</v>
      </c>
      <c r="F10" s="58" t="s">
        <v>252</v>
      </c>
      <c r="G10" s="34" t="s">
        <v>509</v>
      </c>
      <c r="H10">
        <v>0.191</v>
      </c>
      <c r="I10" s="53">
        <f t="shared" si="0"/>
        <v>1899633</v>
      </c>
    </row>
    <row r="11" spans="1:9" ht="15.95" customHeight="1" x14ac:dyDescent="0.3">
      <c r="A11" s="173"/>
      <c r="B11" s="173"/>
      <c r="C11" s="60" t="s">
        <v>504</v>
      </c>
      <c r="D11" s="60" t="s">
        <v>252</v>
      </c>
      <c r="E11" s="45">
        <f>SUM(E9:E10)</f>
        <v>11845357</v>
      </c>
      <c r="F11" s="60" t="s">
        <v>252</v>
      </c>
      <c r="G11" s="34" t="s">
        <v>510</v>
      </c>
      <c r="H11">
        <v>0</v>
      </c>
      <c r="I11" s="53">
        <f t="shared" si="0"/>
        <v>11845357</v>
      </c>
    </row>
    <row r="12" spans="1:9" ht="15.95" customHeight="1" x14ac:dyDescent="0.3">
      <c r="A12" s="174"/>
      <c r="B12" s="170" t="s">
        <v>561</v>
      </c>
      <c r="C12" s="54" t="s">
        <v>511</v>
      </c>
      <c r="D12" s="54" t="s">
        <v>252</v>
      </c>
      <c r="E12" s="55">
        <f>ROUNDDOWN(집계표!I20, 0)</f>
        <v>452728</v>
      </c>
      <c r="F12" s="54" t="s">
        <v>252</v>
      </c>
      <c r="G12" s="34" t="s">
        <v>512</v>
      </c>
      <c r="H12">
        <v>0</v>
      </c>
      <c r="I12" s="53">
        <f t="shared" si="0"/>
        <v>452728</v>
      </c>
    </row>
    <row r="13" spans="1:9" ht="15.95" customHeight="1" x14ac:dyDescent="0.3">
      <c r="A13" s="171"/>
      <c r="B13" s="171"/>
      <c r="C13" s="56" t="s">
        <v>513</v>
      </c>
      <c r="D13" s="62" t="str">
        <f>"(노)*"&amp;H13*100&amp;"%"</f>
        <v>(노)*3.56%</v>
      </c>
      <c r="E13" s="57">
        <f>ROUNDDOWN((E11)*H13, 0)</f>
        <v>421694</v>
      </c>
      <c r="F13" s="56" t="s">
        <v>252</v>
      </c>
      <c r="G13" s="34" t="s">
        <v>514</v>
      </c>
      <c r="H13">
        <v>3.56E-2</v>
      </c>
      <c r="I13" s="53">
        <f t="shared" si="0"/>
        <v>421694</v>
      </c>
    </row>
    <row r="14" spans="1:9" ht="15.95" customHeight="1" x14ac:dyDescent="0.3">
      <c r="A14" s="171"/>
      <c r="B14" s="171"/>
      <c r="C14" s="56" t="s">
        <v>515</v>
      </c>
      <c r="D14" s="62" t="str">
        <f>"(노)*"&amp;H14*100&amp;"%"</f>
        <v>(노)*1.01%</v>
      </c>
      <c r="E14" s="57">
        <f>ROUNDDOWN((E11)*H14, 0)</f>
        <v>119638</v>
      </c>
      <c r="F14" s="56" t="s">
        <v>252</v>
      </c>
      <c r="G14" s="34" t="s">
        <v>516</v>
      </c>
      <c r="H14">
        <v>1.01E-2</v>
      </c>
      <c r="I14" s="53">
        <f t="shared" si="0"/>
        <v>119638</v>
      </c>
    </row>
    <row r="15" spans="1:9" ht="15.95" customHeight="1" x14ac:dyDescent="0.3">
      <c r="A15" s="171"/>
      <c r="B15" s="171"/>
      <c r="C15" s="56" t="s">
        <v>517</v>
      </c>
      <c r="D15" s="62" t="str">
        <f>"(직.노)*"&amp;H15*100&amp;"%"</f>
        <v>(직.노)*3.595%</v>
      </c>
      <c r="E15" s="57">
        <f>ROUNDDOWN((E9)*H15, 0)</f>
        <v>357548</v>
      </c>
      <c r="F15" s="56" t="s">
        <v>252</v>
      </c>
      <c r="G15" s="34" t="s">
        <v>518</v>
      </c>
      <c r="H15">
        <v>3.5950000000000003E-2</v>
      </c>
      <c r="I15" s="53">
        <f t="shared" si="0"/>
        <v>357548</v>
      </c>
    </row>
    <row r="16" spans="1:9" ht="15.95" customHeight="1" x14ac:dyDescent="0.3">
      <c r="A16" s="171"/>
      <c r="B16" s="171"/>
      <c r="C16" s="56" t="s">
        <v>519</v>
      </c>
      <c r="D16" s="62" t="str">
        <f>"(직.노)*"&amp;H16*100&amp;"%"</f>
        <v>(직.노)*4.75%</v>
      </c>
      <c r="E16" s="57">
        <f>ROUNDDOWN((E9)*H16, 0)</f>
        <v>472421</v>
      </c>
      <c r="F16" s="56" t="s">
        <v>252</v>
      </c>
      <c r="G16" s="34" t="s">
        <v>520</v>
      </c>
      <c r="H16">
        <v>4.7500000000000001E-2</v>
      </c>
      <c r="I16" s="53">
        <f t="shared" si="0"/>
        <v>472421</v>
      </c>
    </row>
    <row r="17" spans="1:9" ht="15.95" customHeight="1" x14ac:dyDescent="0.3">
      <c r="A17" s="171"/>
      <c r="B17" s="171"/>
      <c r="C17" s="56" t="s">
        <v>521</v>
      </c>
      <c r="D17" s="62" t="str">
        <f>"(건강보험료)*"&amp;H17*100&amp;"%"</f>
        <v>(건강보험료)*13.14%</v>
      </c>
      <c r="E17" s="57">
        <f>ROUNDDOWN((E15)*H17, 0)</f>
        <v>46981</v>
      </c>
      <c r="F17" s="56" t="s">
        <v>252</v>
      </c>
      <c r="G17" s="34" t="s">
        <v>522</v>
      </c>
      <c r="H17">
        <v>0.13140000000000002</v>
      </c>
      <c r="I17" s="53">
        <f t="shared" si="0"/>
        <v>46981</v>
      </c>
    </row>
    <row r="18" spans="1:9" ht="15.95" customHeight="1" x14ac:dyDescent="0.3">
      <c r="A18" s="171"/>
      <c r="B18" s="171"/>
      <c r="C18" s="56" t="s">
        <v>523</v>
      </c>
      <c r="D18" s="56" t="s">
        <v>252</v>
      </c>
      <c r="E18" s="57">
        <f>ROUNDDOWN((E9)*H18, 0)</f>
        <v>0</v>
      </c>
      <c r="F18" s="56" t="s">
        <v>252</v>
      </c>
      <c r="G18" s="34" t="s">
        <v>524</v>
      </c>
      <c r="H18">
        <v>0</v>
      </c>
      <c r="I18" s="53">
        <f t="shared" si="0"/>
        <v>0</v>
      </c>
    </row>
    <row r="19" spans="1:9" ht="15.95" customHeight="1" x14ac:dyDescent="0.3">
      <c r="A19" s="171"/>
      <c r="B19" s="171"/>
      <c r="C19" s="56" t="s">
        <v>525</v>
      </c>
      <c r="D19" s="62" t="str">
        <f>"(재+직.노)*"&amp;H19*100&amp;"%"&amp;" "</f>
        <v xml:space="preserve">(재+직.노)*2.07% </v>
      </c>
      <c r="E19" s="57">
        <f>ROUNDDOWN((E8+E11)*H19, 0)</f>
        <v>359134</v>
      </c>
      <c r="F19" s="56"/>
      <c r="G19" s="34" t="s">
        <v>526</v>
      </c>
      <c r="H19">
        <v>2.07E-2</v>
      </c>
      <c r="I19" s="53">
        <f t="shared" si="0"/>
        <v>359134</v>
      </c>
    </row>
    <row r="20" spans="1:9" ht="15.95" customHeight="1" x14ac:dyDescent="0.3">
      <c r="A20" s="171"/>
      <c r="B20" s="171"/>
      <c r="C20" s="56" t="s">
        <v>527</v>
      </c>
      <c r="D20" s="62" t="str">
        <f>"(재+노)*"&amp;H20*100&amp;"%"</f>
        <v>(재+노)*5.5%</v>
      </c>
      <c r="E20" s="57">
        <f>ROUNDDOWN((E8+E11)*H20, 0)</f>
        <v>954221</v>
      </c>
      <c r="F20" s="56" t="s">
        <v>252</v>
      </c>
      <c r="G20" s="34" t="s">
        <v>528</v>
      </c>
      <c r="H20">
        <v>5.5E-2</v>
      </c>
      <c r="I20" s="53">
        <f t="shared" si="0"/>
        <v>954221</v>
      </c>
    </row>
    <row r="21" spans="1:9" ht="15.95" customHeight="1" x14ac:dyDescent="0.3">
      <c r="A21" s="171"/>
      <c r="B21" s="171"/>
      <c r="C21" s="56" t="s">
        <v>529</v>
      </c>
      <c r="D21" s="56" t="s">
        <v>252</v>
      </c>
      <c r="E21" s="57">
        <f>ROUNDDOWN((E8+E9+E12)*H21, 0)</f>
        <v>0</v>
      </c>
      <c r="F21" s="56" t="s">
        <v>252</v>
      </c>
      <c r="G21" s="34" t="s">
        <v>530</v>
      </c>
      <c r="H21">
        <v>0</v>
      </c>
      <c r="I21" s="53">
        <f t="shared" si="0"/>
        <v>0</v>
      </c>
    </row>
    <row r="22" spans="1:9" ht="15.95" customHeight="1" x14ac:dyDescent="0.3">
      <c r="A22" s="171"/>
      <c r="B22" s="171"/>
      <c r="C22" s="56" t="s">
        <v>531</v>
      </c>
      <c r="D22" s="56" t="s">
        <v>252</v>
      </c>
      <c r="E22" s="57">
        <f>ROUNDDOWN((E8+E9+E12)*H22, 0)</f>
        <v>0</v>
      </c>
      <c r="F22" s="56" t="s">
        <v>252</v>
      </c>
      <c r="G22" s="34" t="s">
        <v>532</v>
      </c>
      <c r="H22">
        <v>0</v>
      </c>
      <c r="I22" s="53">
        <f t="shared" si="0"/>
        <v>0</v>
      </c>
    </row>
    <row r="23" spans="1:9" ht="15.95" customHeight="1" x14ac:dyDescent="0.3">
      <c r="A23" s="171"/>
      <c r="B23" s="171"/>
      <c r="C23" s="56" t="s">
        <v>533</v>
      </c>
      <c r="D23" s="62" t="str">
        <f>"(재+직.노+기.경)*"&amp;H23*100&amp;"%"&amp;"*(6/12)"</f>
        <v>(재+직.노+기.경)*0%*(6/12)</v>
      </c>
      <c r="E23" s="57">
        <f>ROUNDDOWN((E8+E9+E12)*H23*(6/12), 0)</f>
        <v>0</v>
      </c>
      <c r="F23" s="56" t="s">
        <v>252</v>
      </c>
      <c r="G23" s="34" t="s">
        <v>534</v>
      </c>
      <c r="H23">
        <v>0</v>
      </c>
      <c r="I23" s="53">
        <f t="shared" si="0"/>
        <v>0</v>
      </c>
    </row>
    <row r="24" spans="1:9" ht="15.95" customHeight="1" x14ac:dyDescent="0.3">
      <c r="A24" s="171"/>
      <c r="B24" s="171"/>
      <c r="C24" s="56" t="s">
        <v>535</v>
      </c>
      <c r="D24" s="56" t="s">
        <v>252</v>
      </c>
      <c r="E24" s="57">
        <f>ROUNDDOWN((E8+E9+E12)*H24, 0)</f>
        <v>0</v>
      </c>
      <c r="F24" s="56" t="s">
        <v>252</v>
      </c>
      <c r="G24" s="34" t="s">
        <v>536</v>
      </c>
      <c r="H24">
        <v>0</v>
      </c>
      <c r="I24" s="53">
        <f t="shared" si="0"/>
        <v>0</v>
      </c>
    </row>
    <row r="25" spans="1:9" ht="15.95" customHeight="1" x14ac:dyDescent="0.3">
      <c r="A25" s="171"/>
      <c r="B25" s="171"/>
      <c r="C25" s="56" t="s">
        <v>537</v>
      </c>
      <c r="D25" s="62" t="str">
        <f>"노*"&amp;H25*100&amp;"%"</f>
        <v>노*0.006%</v>
      </c>
      <c r="E25" s="57">
        <f>ROUNDDOWN(E11*H25, 0)</f>
        <v>710</v>
      </c>
      <c r="F25" s="56" t="s">
        <v>252</v>
      </c>
      <c r="G25" s="34" t="s">
        <v>538</v>
      </c>
      <c r="H25">
        <v>6.0000000000000002E-5</v>
      </c>
      <c r="I25" s="53">
        <f t="shared" si="0"/>
        <v>710</v>
      </c>
    </row>
    <row r="26" spans="1:9" ht="15.95" customHeight="1" x14ac:dyDescent="0.3">
      <c r="A26" s="172"/>
      <c r="B26" s="172"/>
      <c r="C26" s="58" t="s">
        <v>539</v>
      </c>
      <c r="D26" s="61" t="str">
        <f>"노*"&amp;H26*100&amp;"%"</f>
        <v>노*0.09%</v>
      </c>
      <c r="E26" s="59">
        <f>ROUNDDOWN(E11*H26, 0)</f>
        <v>10660</v>
      </c>
      <c r="F26" s="58" t="s">
        <v>252</v>
      </c>
      <c r="G26" s="34" t="s">
        <v>540</v>
      </c>
      <c r="H26">
        <v>8.9999999999999998E-4</v>
      </c>
      <c r="I26" s="53">
        <f t="shared" si="0"/>
        <v>10660</v>
      </c>
    </row>
    <row r="27" spans="1:9" ht="15.95" customHeight="1" x14ac:dyDescent="0.3">
      <c r="A27" s="173"/>
      <c r="B27" s="173"/>
      <c r="C27" s="60" t="s">
        <v>504</v>
      </c>
      <c r="D27" s="60" t="s">
        <v>252</v>
      </c>
      <c r="E27" s="45">
        <f>SUM(E12:E26)</f>
        <v>3195735</v>
      </c>
      <c r="F27" s="60" t="s">
        <v>252</v>
      </c>
      <c r="G27" s="34" t="s">
        <v>541</v>
      </c>
      <c r="H27">
        <v>0</v>
      </c>
      <c r="I27" s="53">
        <f t="shared" si="0"/>
        <v>3195735</v>
      </c>
    </row>
    <row r="28" spans="1:9" ht="15.95" customHeight="1" x14ac:dyDescent="0.3">
      <c r="A28" s="173"/>
      <c r="B28" s="156" t="s">
        <v>542</v>
      </c>
      <c r="C28" s="157"/>
      <c r="D28" s="60" t="s">
        <v>252</v>
      </c>
      <c r="E28" s="45">
        <f>E8+E11+E27</f>
        <v>20545217</v>
      </c>
      <c r="F28" s="60" t="s">
        <v>252</v>
      </c>
      <c r="G28" s="34" t="s">
        <v>543</v>
      </c>
      <c r="H28">
        <v>0</v>
      </c>
      <c r="I28" s="53">
        <f t="shared" si="0"/>
        <v>20545217</v>
      </c>
    </row>
    <row r="29" spans="1:9" ht="15.95" customHeight="1" x14ac:dyDescent="0.3">
      <c r="A29" s="168" t="s">
        <v>544</v>
      </c>
      <c r="B29" s="169"/>
      <c r="C29" s="169"/>
      <c r="D29" s="63" t="str">
        <f>"(재+노+경)*"&amp;H29*100&amp;"%"</f>
        <v>(재+노+경)*8%</v>
      </c>
      <c r="E29" s="64">
        <f>ROUNDDOWN((E8+E11+E27)*H29, 0)</f>
        <v>1643617</v>
      </c>
      <c r="F29" s="65" t="s">
        <v>252</v>
      </c>
      <c r="G29" s="34" t="s">
        <v>545</v>
      </c>
      <c r="H29">
        <v>0.08</v>
      </c>
      <c r="I29" s="53">
        <f t="shared" si="0"/>
        <v>1643617</v>
      </c>
    </row>
    <row r="30" spans="1:9" ht="15.95" customHeight="1" x14ac:dyDescent="0.3">
      <c r="A30" s="168" t="s">
        <v>546</v>
      </c>
      <c r="B30" s="169"/>
      <c r="C30" s="169"/>
      <c r="D30" s="63" t="str">
        <f>"(노+경+일)*"&amp;H30*100&amp;"%"</f>
        <v>(노+경+일)*15%</v>
      </c>
      <c r="E30" s="64">
        <f>ROUNDDOWN((E11+E27+E29)*H30,0)</f>
        <v>2502706</v>
      </c>
      <c r="F30" s="65" t="s">
        <v>252</v>
      </c>
      <c r="G30" s="34" t="s">
        <v>547</v>
      </c>
      <c r="H30">
        <v>0.15</v>
      </c>
      <c r="I30">
        <f>(I11+I27+I29)*H30</f>
        <v>2502706.35</v>
      </c>
    </row>
    <row r="31" spans="1:9" ht="15.95" customHeight="1" x14ac:dyDescent="0.3">
      <c r="A31" s="168" t="s">
        <v>563</v>
      </c>
      <c r="B31" s="169"/>
      <c r="C31" s="169"/>
      <c r="D31" s="65" t="s">
        <v>587</v>
      </c>
      <c r="E31" s="64">
        <f>ROUNDDOWN(집계표!AF20, 0)</f>
        <v>902888</v>
      </c>
      <c r="F31" s="65" t="s">
        <v>252</v>
      </c>
      <c r="G31" s="34" t="s">
        <v>403</v>
      </c>
      <c r="H31">
        <v>0</v>
      </c>
      <c r="I31" s="53">
        <f>E31</f>
        <v>902888</v>
      </c>
    </row>
    <row r="32" spans="1:9" ht="15.95" customHeight="1" x14ac:dyDescent="0.3">
      <c r="A32" s="168" t="s">
        <v>548</v>
      </c>
      <c r="B32" s="169"/>
      <c r="C32" s="169"/>
      <c r="D32" s="65" t="s">
        <v>590</v>
      </c>
      <c r="E32" s="64">
        <f>ROUNDDOWN((E28)*H32, -2)</f>
        <v>54300</v>
      </c>
      <c r="F32" s="65" t="s">
        <v>252</v>
      </c>
      <c r="G32" s="34" t="s">
        <v>549</v>
      </c>
      <c r="H32">
        <v>2.6476999999999998E-3</v>
      </c>
      <c r="I32" s="53">
        <f>E32</f>
        <v>54300</v>
      </c>
    </row>
    <row r="33" spans="1:9" ht="15.95" customHeight="1" x14ac:dyDescent="0.3">
      <c r="A33" s="168" t="s">
        <v>550</v>
      </c>
      <c r="B33" s="169"/>
      <c r="C33" s="169"/>
      <c r="D33" s="65" t="s">
        <v>252</v>
      </c>
      <c r="E33" s="64">
        <f>INT(I33/1000)*1000</f>
        <v>25648000</v>
      </c>
      <c r="F33" s="65" t="s">
        <v>252</v>
      </c>
      <c r="G33" s="34" t="s">
        <v>551</v>
      </c>
      <c r="H33">
        <v>0</v>
      </c>
      <c r="I33" s="53">
        <f>SUM(I28:I32)</f>
        <v>25648728.350000001</v>
      </c>
    </row>
    <row r="34" spans="1:9" ht="15.95" customHeight="1" x14ac:dyDescent="0.3">
      <c r="A34" s="168" t="s">
        <v>552</v>
      </c>
      <c r="B34" s="169"/>
      <c r="C34" s="169"/>
      <c r="D34" s="63" t="str">
        <f>"(총원가)*"&amp;H34*100&amp;"%"</f>
        <v>(총원가)*10%</v>
      </c>
      <c r="E34" s="64">
        <f>ROUNDDOWN((E33)*H34, 0)</f>
        <v>2564800</v>
      </c>
      <c r="F34" s="65" t="s">
        <v>252</v>
      </c>
      <c r="G34" s="34" t="s">
        <v>553</v>
      </c>
      <c r="H34">
        <v>0.1</v>
      </c>
      <c r="I34">
        <f>ROUNDDOWN((I33)*H34, 0)</f>
        <v>2564872</v>
      </c>
    </row>
    <row r="35" spans="1:9" ht="15.95" customHeight="1" x14ac:dyDescent="0.3">
      <c r="A35" s="156" t="s">
        <v>554</v>
      </c>
      <c r="B35" s="157"/>
      <c r="C35" s="157"/>
      <c r="D35" s="60" t="s">
        <v>252</v>
      </c>
      <c r="E35" s="45">
        <f>E33+E34</f>
        <v>28212800</v>
      </c>
      <c r="F35" s="60" t="s">
        <v>252</v>
      </c>
      <c r="G35" s="34" t="s">
        <v>555</v>
      </c>
      <c r="H35">
        <v>0</v>
      </c>
      <c r="I35" s="53">
        <f>I33+I34</f>
        <v>28213600.350000001</v>
      </c>
    </row>
    <row r="36" spans="1:9" ht="15.95" customHeight="1" x14ac:dyDescent="0.3">
      <c r="A36" s="168" t="s">
        <v>556</v>
      </c>
      <c r="B36" s="169"/>
      <c r="C36" s="169"/>
      <c r="D36" s="65" t="s">
        <v>591</v>
      </c>
      <c r="E36" s="64">
        <f>ROUNDDOWN(집계표!AA20, 0)</f>
        <v>11059400</v>
      </c>
      <c r="F36" s="65" t="s">
        <v>252</v>
      </c>
      <c r="G36" s="34" t="s">
        <v>557</v>
      </c>
      <c r="H36">
        <v>0</v>
      </c>
      <c r="I36" s="53">
        <f>E36</f>
        <v>11059400</v>
      </c>
    </row>
    <row r="37" spans="1:9" ht="15.95" customHeight="1" x14ac:dyDescent="0.3">
      <c r="A37" s="168" t="s">
        <v>586</v>
      </c>
      <c r="B37" s="169"/>
      <c r="C37" s="169"/>
      <c r="D37" s="65" t="s">
        <v>252</v>
      </c>
      <c r="E37" s="64">
        <f>ROUNDDOWN(집계표!Z20, 0)</f>
        <v>585640</v>
      </c>
      <c r="F37" s="65" t="s">
        <v>252</v>
      </c>
      <c r="G37" s="34" t="s">
        <v>558</v>
      </c>
      <c r="H37">
        <v>0</v>
      </c>
      <c r="I37" s="53">
        <f>E37</f>
        <v>585640</v>
      </c>
    </row>
    <row r="38" spans="1:9" ht="15.95" customHeight="1" x14ac:dyDescent="0.3">
      <c r="A38" s="156" t="s">
        <v>559</v>
      </c>
      <c r="B38" s="157"/>
      <c r="C38" s="157"/>
      <c r="D38" s="60" t="s">
        <v>252</v>
      </c>
      <c r="E38" s="45">
        <f>ROUNDDOWN(E35+E36+E37+0+0, 0)</f>
        <v>39857840</v>
      </c>
      <c r="F38" s="60" t="s">
        <v>252</v>
      </c>
      <c r="H38">
        <v>0</v>
      </c>
      <c r="I38" s="53">
        <f>I35+I36+I37+0+0</f>
        <v>39858640.350000001</v>
      </c>
    </row>
  </sheetData>
  <mergeCells count="21">
    <mergeCell ref="E3:E4"/>
    <mergeCell ref="F3:F4"/>
    <mergeCell ref="B5:B8"/>
    <mergeCell ref="B9:B11"/>
    <mergeCell ref="B12:B27"/>
    <mergeCell ref="A38:C38"/>
    <mergeCell ref="A1:F1"/>
    <mergeCell ref="A2:F2"/>
    <mergeCell ref="A3:C4"/>
    <mergeCell ref="D3:D4"/>
    <mergeCell ref="B28:C28"/>
    <mergeCell ref="A29:C29"/>
    <mergeCell ref="A30:C30"/>
    <mergeCell ref="A31:C31"/>
    <mergeCell ref="A32:C32"/>
    <mergeCell ref="A33:C33"/>
    <mergeCell ref="A5:A28"/>
    <mergeCell ref="A34:C34"/>
    <mergeCell ref="A35:C35"/>
    <mergeCell ref="A36:C36"/>
    <mergeCell ref="A37:C37"/>
  </mergeCells>
  <phoneticPr fontId="1" type="noConversion"/>
  <pageMargins left="0.74090148180296356" right="0" top="0.54405108810217628" bottom="0.1388888888888889" header="0.3" footer="0.1388888888888889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19D86"/>
  </sheetPr>
  <dimension ref="A1:AX20"/>
  <sheetViews>
    <sheetView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19" sqref="A19"/>
    </sheetView>
  </sheetViews>
  <sheetFormatPr defaultRowHeight="16.5" x14ac:dyDescent="0.3"/>
  <cols>
    <col min="1" max="1" width="36" style="1" customWidth="1"/>
    <col min="2" max="3" width="4.625" style="2" customWidth="1"/>
    <col min="4" max="4" width="8.625" style="3" customWidth="1"/>
    <col min="5" max="5" width="9.625" style="3" customWidth="1"/>
    <col min="6" max="6" width="8.625" style="3" customWidth="1"/>
    <col min="7" max="7" width="9.625" style="3" customWidth="1"/>
    <col min="8" max="8" width="8.625" style="3" customWidth="1"/>
    <col min="9" max="9" width="9.625" style="3" customWidth="1"/>
    <col min="10" max="10" width="8.625" style="3" customWidth="1"/>
    <col min="11" max="11" width="9.625" style="3" customWidth="1"/>
    <col min="12" max="12" width="6.625" style="1" customWidth="1"/>
    <col min="13" max="50" width="0" hidden="1" customWidth="1"/>
  </cols>
  <sheetData>
    <row r="1" spans="1:50" ht="30" customHeight="1" x14ac:dyDescent="0.3">
      <c r="A1" s="158" t="s">
        <v>492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spans="1:50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</row>
    <row r="3" spans="1:50" ht="23.1" customHeight="1" x14ac:dyDescent="0.3">
      <c r="A3" s="167" t="s">
        <v>447</v>
      </c>
      <c r="B3" s="167" t="s">
        <v>4</v>
      </c>
      <c r="C3" s="167" t="s">
        <v>202</v>
      </c>
      <c r="D3" s="167" t="s">
        <v>349</v>
      </c>
      <c r="E3" s="167"/>
      <c r="F3" s="167" t="s">
        <v>350</v>
      </c>
      <c r="G3" s="167"/>
      <c r="H3" s="167" t="s">
        <v>351</v>
      </c>
      <c r="I3" s="167"/>
      <c r="J3" s="167" t="s">
        <v>352</v>
      </c>
      <c r="K3" s="167"/>
      <c r="L3" s="167" t="s">
        <v>206</v>
      </c>
    </row>
    <row r="4" spans="1:50" ht="23.1" customHeight="1" x14ac:dyDescent="0.3">
      <c r="A4" s="167"/>
      <c r="B4" s="167"/>
      <c r="C4" s="167"/>
      <c r="D4" s="12" t="s">
        <v>241</v>
      </c>
      <c r="E4" s="12" t="s">
        <v>391</v>
      </c>
      <c r="F4" s="12" t="s">
        <v>241</v>
      </c>
      <c r="G4" s="12" t="s">
        <v>391</v>
      </c>
      <c r="H4" s="12" t="s">
        <v>241</v>
      </c>
      <c r="I4" s="12" t="s">
        <v>391</v>
      </c>
      <c r="J4" s="12" t="s">
        <v>241</v>
      </c>
      <c r="K4" s="12" t="s">
        <v>391</v>
      </c>
      <c r="L4" s="167"/>
      <c r="M4" t="s">
        <v>243</v>
      </c>
      <c r="N4" t="s">
        <v>244</v>
      </c>
      <c r="O4" t="s">
        <v>245</v>
      </c>
      <c r="P4" t="s">
        <v>246</v>
      </c>
      <c r="Q4" t="s">
        <v>254</v>
      </c>
      <c r="R4" t="s">
        <v>449</v>
      </c>
      <c r="S4" t="s">
        <v>450</v>
      </c>
      <c r="T4" t="s">
        <v>451</v>
      </c>
      <c r="U4" t="s">
        <v>452</v>
      </c>
      <c r="V4" t="s">
        <v>453</v>
      </c>
      <c r="W4" t="s">
        <v>454</v>
      </c>
      <c r="X4" t="s">
        <v>455</v>
      </c>
      <c r="Y4" t="s">
        <v>456</v>
      </c>
      <c r="Z4" t="s">
        <v>457</v>
      </c>
      <c r="AA4" t="s">
        <v>458</v>
      </c>
      <c r="AB4" t="s">
        <v>459</v>
      </c>
      <c r="AC4" t="s">
        <v>460</v>
      </c>
      <c r="AD4" t="s">
        <v>461</v>
      </c>
      <c r="AE4" t="s">
        <v>462</v>
      </c>
      <c r="AF4" t="s">
        <v>463</v>
      </c>
      <c r="AG4" t="s">
        <v>464</v>
      </c>
      <c r="AH4" t="s">
        <v>465</v>
      </c>
      <c r="AI4" t="s">
        <v>466</v>
      </c>
      <c r="AJ4" t="s">
        <v>467</v>
      </c>
      <c r="AK4" t="s">
        <v>468</v>
      </c>
      <c r="AL4" t="s">
        <v>469</v>
      </c>
      <c r="AM4" t="s">
        <v>470</v>
      </c>
      <c r="AN4" t="s">
        <v>471</v>
      </c>
      <c r="AO4" t="s">
        <v>472</v>
      </c>
      <c r="AP4" t="s">
        <v>473</v>
      </c>
      <c r="AQ4" t="s">
        <v>474</v>
      </c>
      <c r="AR4" t="s">
        <v>475</v>
      </c>
      <c r="AS4" t="s">
        <v>476</v>
      </c>
      <c r="AT4" t="s">
        <v>477</v>
      </c>
      <c r="AU4" t="s">
        <v>478</v>
      </c>
      <c r="AV4" t="s">
        <v>247</v>
      </c>
      <c r="AW4" t="s">
        <v>248</v>
      </c>
      <c r="AX4" t="s">
        <v>16</v>
      </c>
    </row>
    <row r="5" spans="1:50" ht="23.1" customHeight="1" x14ac:dyDescent="0.3">
      <c r="A5" s="36" t="s">
        <v>479</v>
      </c>
      <c r="B5" s="38" t="s">
        <v>259</v>
      </c>
      <c r="C5" s="52">
        <v>1</v>
      </c>
      <c r="D5" s="40">
        <f>내역서!F36</f>
        <v>1846212</v>
      </c>
      <c r="E5" s="40">
        <f t="shared" ref="E5:E10" si="0">C5*D5</f>
        <v>1846212</v>
      </c>
      <c r="F5" s="40">
        <f>내역서!H36</f>
        <v>4503871</v>
      </c>
      <c r="G5" s="40">
        <f t="shared" ref="G5:G10" si="1">C5*F5</f>
        <v>4503871</v>
      </c>
      <c r="H5" s="40">
        <f>내역서!J36</f>
        <v>409952</v>
      </c>
      <c r="I5" s="40">
        <f t="shared" ref="I5:I10" si="2">C5*H5</f>
        <v>409952</v>
      </c>
      <c r="J5" s="40">
        <f t="shared" ref="J5:K10" si="3">D5+F5+H5</f>
        <v>6760035</v>
      </c>
      <c r="K5" s="40">
        <f t="shared" si="3"/>
        <v>6760035</v>
      </c>
      <c r="L5" s="37"/>
      <c r="P5">
        <v>1</v>
      </c>
      <c r="Q5">
        <f>C5*내역서!R36</f>
        <v>409952</v>
      </c>
      <c r="R5">
        <f>C5*내역서!S36</f>
        <v>0</v>
      </c>
      <c r="S5">
        <f>C5*내역서!T36</f>
        <v>0</v>
      </c>
      <c r="T5">
        <f>C5*내역서!U36</f>
        <v>0</v>
      </c>
      <c r="U5">
        <f>C5*내역서!V36</f>
        <v>0</v>
      </c>
      <c r="V5">
        <f>C5*내역서!W36</f>
        <v>0</v>
      </c>
      <c r="W5">
        <f>C5*내역서!X36</f>
        <v>0</v>
      </c>
      <c r="X5">
        <f>C5*내역서!Y36</f>
        <v>0</v>
      </c>
      <c r="Y5">
        <f>C5*내역서!Z36</f>
        <v>0</v>
      </c>
      <c r="Z5">
        <f>C5*내역서!AA36</f>
        <v>0</v>
      </c>
      <c r="AA5">
        <f>C5*내역서!AB36</f>
        <v>0</v>
      </c>
      <c r="AB5">
        <f>C5*내역서!AC36</f>
        <v>0</v>
      </c>
      <c r="AC5">
        <f>C5*내역서!AD36</f>
        <v>0</v>
      </c>
      <c r="AD5">
        <f>C5*내역서!AE36</f>
        <v>0</v>
      </c>
      <c r="AE5">
        <f>C5*내역서!AF36</f>
        <v>0</v>
      </c>
      <c r="AF5">
        <f>C5*내역서!AG36</f>
        <v>0</v>
      </c>
      <c r="AG5">
        <f>C5*내역서!AH36</f>
        <v>0</v>
      </c>
      <c r="AH5">
        <f>C5*내역서!AI36</f>
        <v>0</v>
      </c>
      <c r="AI5">
        <f>C5*내역서!AJ36</f>
        <v>0</v>
      </c>
      <c r="AJ5">
        <f>C5*내역서!AK36</f>
        <v>0</v>
      </c>
      <c r="AK5">
        <f>C5*내역서!AL36</f>
        <v>0</v>
      </c>
      <c r="AL5">
        <f>C5*내역서!AM36</f>
        <v>0</v>
      </c>
      <c r="AM5">
        <f>C5*내역서!AN36</f>
        <v>0</v>
      </c>
      <c r="AN5">
        <f>C5*내역서!AO36</f>
        <v>0</v>
      </c>
      <c r="AO5">
        <f>C5*내역서!AP36</f>
        <v>0</v>
      </c>
      <c r="AP5">
        <f>C5*내역서!AQ36</f>
        <v>0</v>
      </c>
      <c r="AQ5">
        <f>C5*내역서!AR36</f>
        <v>0</v>
      </c>
      <c r="AR5">
        <f>C5*내역서!AS36</f>
        <v>0</v>
      </c>
      <c r="AS5">
        <f>C5*내역서!AT36</f>
        <v>0</v>
      </c>
      <c r="AT5">
        <f>C5*내역서!AU36</f>
        <v>0</v>
      </c>
      <c r="AU5">
        <f>C5*내역서!AV36</f>
        <v>0</v>
      </c>
    </row>
    <row r="6" spans="1:50" ht="23.1" customHeight="1" x14ac:dyDescent="0.3">
      <c r="A6" s="36" t="s">
        <v>484</v>
      </c>
      <c r="B6" s="38" t="s">
        <v>259</v>
      </c>
      <c r="C6" s="52">
        <v>1</v>
      </c>
      <c r="D6" s="40">
        <f>내역서!F52</f>
        <v>3447068</v>
      </c>
      <c r="E6" s="40">
        <f t="shared" si="0"/>
        <v>3447068</v>
      </c>
      <c r="F6" s="40">
        <f>내역서!H52</f>
        <v>4153177</v>
      </c>
      <c r="G6" s="40">
        <f t="shared" si="1"/>
        <v>4153177</v>
      </c>
      <c r="H6" s="40">
        <f>내역서!J52</f>
        <v>0</v>
      </c>
      <c r="I6" s="40">
        <f t="shared" si="2"/>
        <v>0</v>
      </c>
      <c r="J6" s="40">
        <f t="shared" si="3"/>
        <v>7600245</v>
      </c>
      <c r="K6" s="40">
        <f t="shared" si="3"/>
        <v>7600245</v>
      </c>
      <c r="L6" s="37"/>
      <c r="P6">
        <v>1</v>
      </c>
      <c r="Q6">
        <f>C6*내역서!R52</f>
        <v>0</v>
      </c>
      <c r="R6">
        <f>C6*내역서!S52</f>
        <v>0</v>
      </c>
      <c r="S6">
        <f>C6*내역서!T52</f>
        <v>0</v>
      </c>
      <c r="T6">
        <f>C6*내역서!U52</f>
        <v>0</v>
      </c>
      <c r="U6">
        <f>C6*내역서!V52</f>
        <v>0</v>
      </c>
      <c r="V6">
        <f>C6*내역서!W52</f>
        <v>0</v>
      </c>
      <c r="W6">
        <f>C6*내역서!X52</f>
        <v>0</v>
      </c>
      <c r="X6">
        <f>C6*내역서!Y52</f>
        <v>0</v>
      </c>
      <c r="Y6">
        <f>C6*내역서!Z52</f>
        <v>0</v>
      </c>
      <c r="Z6">
        <f>C6*내역서!AA52</f>
        <v>0</v>
      </c>
      <c r="AA6">
        <f>C6*내역서!AB52</f>
        <v>0</v>
      </c>
      <c r="AB6">
        <f>C6*내역서!AC52</f>
        <v>0</v>
      </c>
      <c r="AC6">
        <f>C6*내역서!AD52</f>
        <v>0</v>
      </c>
      <c r="AD6">
        <f>C6*내역서!AE52</f>
        <v>0</v>
      </c>
      <c r="AE6">
        <f>C6*내역서!AF52</f>
        <v>0</v>
      </c>
      <c r="AF6">
        <f>C6*내역서!AG52</f>
        <v>0</v>
      </c>
      <c r="AG6">
        <f>C6*내역서!AH52</f>
        <v>0</v>
      </c>
      <c r="AH6">
        <f>C6*내역서!AI52</f>
        <v>0</v>
      </c>
      <c r="AI6">
        <f>C6*내역서!AJ52</f>
        <v>0</v>
      </c>
      <c r="AJ6">
        <f>C6*내역서!AK52</f>
        <v>0</v>
      </c>
      <c r="AK6">
        <f>C6*내역서!AL52</f>
        <v>0</v>
      </c>
      <c r="AL6">
        <f>C6*내역서!AM52</f>
        <v>0</v>
      </c>
      <c r="AM6">
        <f>C6*내역서!AN52</f>
        <v>0</v>
      </c>
      <c r="AN6">
        <f>C6*내역서!AO52</f>
        <v>0</v>
      </c>
      <c r="AO6">
        <f>C6*내역서!AP52</f>
        <v>0</v>
      </c>
      <c r="AP6">
        <f>C6*내역서!AQ52</f>
        <v>0</v>
      </c>
      <c r="AQ6">
        <f>C6*내역서!AR52</f>
        <v>0</v>
      </c>
      <c r="AR6">
        <f>C6*내역서!AS52</f>
        <v>0</v>
      </c>
      <c r="AS6">
        <f>C6*내역서!AT52</f>
        <v>0</v>
      </c>
      <c r="AT6">
        <f>C6*내역서!AU52</f>
        <v>0</v>
      </c>
      <c r="AU6">
        <f>C6*내역서!AV52</f>
        <v>0</v>
      </c>
    </row>
    <row r="7" spans="1:50" ht="23.1" customHeight="1" x14ac:dyDescent="0.3">
      <c r="A7" s="36" t="s">
        <v>485</v>
      </c>
      <c r="B7" s="38" t="s">
        <v>259</v>
      </c>
      <c r="C7" s="52">
        <v>1</v>
      </c>
      <c r="D7" s="40">
        <f>내역서!F68</f>
        <v>210845</v>
      </c>
      <c r="E7" s="40">
        <f t="shared" si="0"/>
        <v>210845</v>
      </c>
      <c r="F7" s="40">
        <f>내역서!H68</f>
        <v>1288676</v>
      </c>
      <c r="G7" s="40">
        <f t="shared" si="1"/>
        <v>1288676</v>
      </c>
      <c r="H7" s="40">
        <f>내역서!J68</f>
        <v>42776</v>
      </c>
      <c r="I7" s="40">
        <f t="shared" si="2"/>
        <v>42776</v>
      </c>
      <c r="J7" s="40">
        <f t="shared" si="3"/>
        <v>1542297</v>
      </c>
      <c r="K7" s="40">
        <f t="shared" si="3"/>
        <v>1542297</v>
      </c>
      <c r="L7" s="37"/>
      <c r="P7">
        <v>1</v>
      </c>
      <c r="Q7">
        <f>C7*내역서!R68</f>
        <v>42776</v>
      </c>
      <c r="R7">
        <f>C7*내역서!S68</f>
        <v>0</v>
      </c>
      <c r="S7">
        <f>C7*내역서!T68</f>
        <v>0</v>
      </c>
      <c r="T7">
        <f>C7*내역서!U68</f>
        <v>0</v>
      </c>
      <c r="U7">
        <f>C7*내역서!V68</f>
        <v>0</v>
      </c>
      <c r="V7">
        <f>C7*내역서!W68</f>
        <v>0</v>
      </c>
      <c r="W7">
        <f>C7*내역서!X68</f>
        <v>0</v>
      </c>
      <c r="X7">
        <f>C7*내역서!Y68</f>
        <v>0</v>
      </c>
      <c r="Y7">
        <f>C7*내역서!Z68</f>
        <v>0</v>
      </c>
      <c r="Z7">
        <f>C7*내역서!AA68</f>
        <v>0</v>
      </c>
      <c r="AA7">
        <f>C7*내역서!AB68</f>
        <v>0</v>
      </c>
      <c r="AB7">
        <f>C7*내역서!AC68</f>
        <v>0</v>
      </c>
      <c r="AC7">
        <f>C7*내역서!AD68</f>
        <v>0</v>
      </c>
      <c r="AD7">
        <f>C7*내역서!AE68</f>
        <v>0</v>
      </c>
      <c r="AE7">
        <f>C7*내역서!AF68</f>
        <v>0</v>
      </c>
      <c r="AF7">
        <f>C7*내역서!AG68</f>
        <v>0</v>
      </c>
      <c r="AG7">
        <f>C7*내역서!AH68</f>
        <v>0</v>
      </c>
      <c r="AH7">
        <f>C7*내역서!AI68</f>
        <v>0</v>
      </c>
      <c r="AI7">
        <f>C7*내역서!AJ68</f>
        <v>0</v>
      </c>
      <c r="AJ7">
        <f>C7*내역서!AK68</f>
        <v>0</v>
      </c>
      <c r="AK7">
        <f>C7*내역서!AL68</f>
        <v>0</v>
      </c>
      <c r="AL7">
        <f>C7*내역서!AM68</f>
        <v>0</v>
      </c>
      <c r="AM7">
        <f>C7*내역서!AN68</f>
        <v>0</v>
      </c>
      <c r="AN7">
        <f>C7*내역서!AO68</f>
        <v>0</v>
      </c>
      <c r="AO7">
        <f>C7*내역서!AP68</f>
        <v>0</v>
      </c>
      <c r="AP7">
        <f>C7*내역서!AQ68</f>
        <v>0</v>
      </c>
      <c r="AQ7">
        <f>C7*내역서!AR68</f>
        <v>0</v>
      </c>
      <c r="AR7">
        <f>C7*내역서!AS68</f>
        <v>0</v>
      </c>
      <c r="AS7">
        <f>C7*내역서!AT68</f>
        <v>0</v>
      </c>
      <c r="AT7">
        <f>C7*내역서!AU68</f>
        <v>0</v>
      </c>
      <c r="AU7">
        <f>C7*내역서!AV68</f>
        <v>0</v>
      </c>
    </row>
    <row r="8" spans="1:50" ht="23.1" customHeight="1" x14ac:dyDescent="0.3">
      <c r="A8" s="36" t="s">
        <v>486</v>
      </c>
      <c r="B8" s="38" t="s">
        <v>259</v>
      </c>
      <c r="C8" s="52">
        <v>1</v>
      </c>
      <c r="D8" s="40">
        <f>내역서!F84</f>
        <v>0</v>
      </c>
      <c r="E8" s="40">
        <f t="shared" si="0"/>
        <v>0</v>
      </c>
      <c r="F8" s="40">
        <f>내역서!H84</f>
        <v>0</v>
      </c>
      <c r="G8" s="40">
        <f t="shared" si="1"/>
        <v>0</v>
      </c>
      <c r="H8" s="40">
        <f>내역서!J84</f>
        <v>902888</v>
      </c>
      <c r="I8" s="40">
        <f t="shared" si="2"/>
        <v>902888</v>
      </c>
      <c r="J8" s="40">
        <f t="shared" si="3"/>
        <v>902888</v>
      </c>
      <c r="K8" s="40">
        <f t="shared" si="3"/>
        <v>902888</v>
      </c>
      <c r="L8" s="36" t="s">
        <v>493</v>
      </c>
      <c r="Q8">
        <f>C8*내역서!R84</f>
        <v>0</v>
      </c>
      <c r="R8">
        <f>C8*내역서!S84</f>
        <v>0</v>
      </c>
      <c r="S8">
        <f>C8*내역서!T84</f>
        <v>0</v>
      </c>
      <c r="T8">
        <f>C8*내역서!U84</f>
        <v>0</v>
      </c>
      <c r="U8">
        <f>C8*내역서!V84</f>
        <v>0</v>
      </c>
      <c r="V8">
        <f>C8*내역서!W84</f>
        <v>0</v>
      </c>
      <c r="W8">
        <f>C8*내역서!X84</f>
        <v>0</v>
      </c>
      <c r="X8">
        <f>C8*내역서!Y84</f>
        <v>0</v>
      </c>
      <c r="Y8">
        <f>C8*내역서!Z84</f>
        <v>0</v>
      </c>
      <c r="Z8">
        <f>C8*내역서!AA84</f>
        <v>0</v>
      </c>
      <c r="AA8">
        <f>C8*내역서!AB84</f>
        <v>0</v>
      </c>
      <c r="AB8">
        <f>C8*내역서!AC84</f>
        <v>0</v>
      </c>
      <c r="AC8">
        <f>C8*내역서!AD84</f>
        <v>0</v>
      </c>
      <c r="AD8">
        <f>C8*내역서!AE84</f>
        <v>0</v>
      </c>
      <c r="AE8">
        <f>C8*내역서!AF84</f>
        <v>0</v>
      </c>
      <c r="AF8">
        <f>C8*내역서!AG84</f>
        <v>902888</v>
      </c>
      <c r="AG8">
        <f>C8*내역서!AH84</f>
        <v>0</v>
      </c>
      <c r="AH8">
        <f>C8*내역서!AI84</f>
        <v>0</v>
      </c>
      <c r="AI8">
        <f>C8*내역서!AJ84</f>
        <v>0</v>
      </c>
      <c r="AJ8">
        <f>C8*내역서!AK84</f>
        <v>0</v>
      </c>
      <c r="AK8">
        <f>C8*내역서!AL84</f>
        <v>0</v>
      </c>
      <c r="AL8">
        <f>C8*내역서!AM84</f>
        <v>0</v>
      </c>
      <c r="AM8">
        <f>C8*내역서!AN84</f>
        <v>0</v>
      </c>
      <c r="AN8">
        <f>C8*내역서!AO84</f>
        <v>0</v>
      </c>
      <c r="AO8">
        <f>C8*내역서!AP84</f>
        <v>0</v>
      </c>
      <c r="AP8">
        <f>C8*내역서!AQ84</f>
        <v>0</v>
      </c>
      <c r="AQ8">
        <f>C8*내역서!AR84</f>
        <v>0</v>
      </c>
      <c r="AR8">
        <f>C8*내역서!AS84</f>
        <v>0</v>
      </c>
      <c r="AS8">
        <f>C8*내역서!AT84</f>
        <v>0</v>
      </c>
      <c r="AT8">
        <f>C8*내역서!AU84</f>
        <v>0</v>
      </c>
      <c r="AU8">
        <f>C8*내역서!AV84</f>
        <v>0</v>
      </c>
    </row>
    <row r="9" spans="1:50" ht="23.1" customHeight="1" x14ac:dyDescent="0.3">
      <c r="A9" s="36" t="s">
        <v>487</v>
      </c>
      <c r="B9" s="38" t="s">
        <v>259</v>
      </c>
      <c r="C9" s="52">
        <v>1</v>
      </c>
      <c r="D9" s="40">
        <f>내역서!F100</f>
        <v>585640</v>
      </c>
      <c r="E9" s="40">
        <f t="shared" si="0"/>
        <v>585640</v>
      </c>
      <c r="F9" s="40">
        <f>내역서!H100</f>
        <v>0</v>
      </c>
      <c r="G9" s="40">
        <f t="shared" si="1"/>
        <v>0</v>
      </c>
      <c r="H9" s="40">
        <f>내역서!J100</f>
        <v>0</v>
      </c>
      <c r="I9" s="40">
        <f t="shared" si="2"/>
        <v>0</v>
      </c>
      <c r="J9" s="40">
        <f t="shared" si="3"/>
        <v>585640</v>
      </c>
      <c r="K9" s="40">
        <f t="shared" si="3"/>
        <v>585640</v>
      </c>
      <c r="L9" s="36" t="s">
        <v>493</v>
      </c>
      <c r="Q9">
        <f>C9*내역서!R100</f>
        <v>0</v>
      </c>
      <c r="R9">
        <f>C9*내역서!S100</f>
        <v>0</v>
      </c>
      <c r="S9">
        <f>C9*내역서!T100</f>
        <v>0</v>
      </c>
      <c r="T9">
        <f>C9*내역서!U100</f>
        <v>0</v>
      </c>
      <c r="U9">
        <f>C9*내역서!V100</f>
        <v>0</v>
      </c>
      <c r="V9">
        <f>C9*내역서!W100</f>
        <v>0</v>
      </c>
      <c r="W9">
        <f>C9*내역서!X100</f>
        <v>0</v>
      </c>
      <c r="X9">
        <f>C9*내역서!Y100</f>
        <v>0</v>
      </c>
      <c r="Y9">
        <f>C9*내역서!Z100</f>
        <v>0</v>
      </c>
      <c r="Z9">
        <f>C9*내역서!AA100</f>
        <v>585640</v>
      </c>
      <c r="AA9">
        <f>C9*내역서!AB100</f>
        <v>0</v>
      </c>
      <c r="AB9">
        <f>C9*내역서!AC100</f>
        <v>0</v>
      </c>
      <c r="AC9">
        <f>C9*내역서!AD100</f>
        <v>0</v>
      </c>
      <c r="AD9">
        <f>C9*내역서!AE100</f>
        <v>0</v>
      </c>
      <c r="AE9">
        <f>C9*내역서!AF100</f>
        <v>0</v>
      </c>
      <c r="AF9">
        <f>C9*내역서!AG100</f>
        <v>0</v>
      </c>
      <c r="AG9">
        <f>C9*내역서!AH100</f>
        <v>0</v>
      </c>
      <c r="AH9">
        <f>C9*내역서!AI100</f>
        <v>0</v>
      </c>
      <c r="AI9">
        <f>C9*내역서!AJ100</f>
        <v>0</v>
      </c>
      <c r="AJ9">
        <f>C9*내역서!AK100</f>
        <v>0</v>
      </c>
      <c r="AK9">
        <f>C9*내역서!AL100</f>
        <v>0</v>
      </c>
      <c r="AL9">
        <f>C9*내역서!AM100</f>
        <v>0</v>
      </c>
      <c r="AM9">
        <f>C9*내역서!AN100</f>
        <v>0</v>
      </c>
      <c r="AN9">
        <f>C9*내역서!AO100</f>
        <v>0</v>
      </c>
      <c r="AO9">
        <f>C9*내역서!AP100</f>
        <v>0</v>
      </c>
      <c r="AP9">
        <f>C9*내역서!AQ100</f>
        <v>0</v>
      </c>
      <c r="AQ9">
        <f>C9*내역서!AR100</f>
        <v>0</v>
      </c>
      <c r="AR9">
        <f>C9*내역서!AS100</f>
        <v>0</v>
      </c>
      <c r="AS9">
        <f>C9*내역서!AT100</f>
        <v>0</v>
      </c>
      <c r="AT9">
        <f>C9*내역서!AU100</f>
        <v>0</v>
      </c>
      <c r="AU9">
        <f>C9*내역서!AV100</f>
        <v>0</v>
      </c>
    </row>
    <row r="10" spans="1:50" ht="23.1" customHeight="1" x14ac:dyDescent="0.3">
      <c r="A10" s="36" t="s">
        <v>491</v>
      </c>
      <c r="B10" s="38" t="s">
        <v>259</v>
      </c>
      <c r="C10" s="52">
        <v>1</v>
      </c>
      <c r="D10" s="40">
        <f>내역서!F116</f>
        <v>11059400</v>
      </c>
      <c r="E10" s="40">
        <f t="shared" si="0"/>
        <v>11059400</v>
      </c>
      <c r="F10" s="40">
        <f>내역서!H116</f>
        <v>0</v>
      </c>
      <c r="G10" s="40">
        <f t="shared" si="1"/>
        <v>0</v>
      </c>
      <c r="H10" s="40">
        <f>내역서!J116</f>
        <v>0</v>
      </c>
      <c r="I10" s="40">
        <f t="shared" si="2"/>
        <v>0</v>
      </c>
      <c r="J10" s="40">
        <f t="shared" si="3"/>
        <v>11059400</v>
      </c>
      <c r="K10" s="40">
        <f t="shared" si="3"/>
        <v>11059400</v>
      </c>
      <c r="L10" s="36" t="s">
        <v>493</v>
      </c>
      <c r="Q10">
        <f>C10*내역서!R116</f>
        <v>0</v>
      </c>
      <c r="R10">
        <f>C10*내역서!S116</f>
        <v>0</v>
      </c>
      <c r="S10">
        <f>C10*내역서!T116</f>
        <v>0</v>
      </c>
      <c r="T10">
        <f>C10*내역서!U116</f>
        <v>0</v>
      </c>
      <c r="U10">
        <f>C10*내역서!V116</f>
        <v>0</v>
      </c>
      <c r="V10">
        <f>C10*내역서!W116</f>
        <v>0</v>
      </c>
      <c r="W10">
        <f>C10*내역서!X116</f>
        <v>0</v>
      </c>
      <c r="X10">
        <f>C10*내역서!Y116</f>
        <v>0</v>
      </c>
      <c r="Y10">
        <f>C10*내역서!Z116</f>
        <v>0</v>
      </c>
      <c r="Z10">
        <f>C10*내역서!AA116</f>
        <v>0</v>
      </c>
      <c r="AA10">
        <f>C10*내역서!AB116</f>
        <v>11059400</v>
      </c>
      <c r="AB10">
        <f>C10*내역서!AC116</f>
        <v>0</v>
      </c>
      <c r="AC10">
        <f>C10*내역서!AD116</f>
        <v>0</v>
      </c>
      <c r="AD10">
        <f>C10*내역서!AE116</f>
        <v>0</v>
      </c>
      <c r="AE10">
        <f>C10*내역서!AF116</f>
        <v>0</v>
      </c>
      <c r="AF10">
        <f>C10*내역서!AG116</f>
        <v>0</v>
      </c>
      <c r="AG10">
        <f>C10*내역서!AH116</f>
        <v>0</v>
      </c>
      <c r="AH10">
        <f>C10*내역서!AI116</f>
        <v>0</v>
      </c>
      <c r="AI10">
        <f>C10*내역서!AJ116</f>
        <v>0</v>
      </c>
      <c r="AJ10">
        <f>C10*내역서!AK116</f>
        <v>0</v>
      </c>
      <c r="AK10">
        <f>C10*내역서!AL116</f>
        <v>0</v>
      </c>
      <c r="AL10">
        <f>C10*내역서!AM116</f>
        <v>0</v>
      </c>
      <c r="AM10">
        <f>C10*내역서!AN116</f>
        <v>0</v>
      </c>
      <c r="AN10">
        <f>C10*내역서!AO116</f>
        <v>0</v>
      </c>
      <c r="AO10">
        <f>C10*내역서!AP116</f>
        <v>0</v>
      </c>
      <c r="AP10">
        <f>C10*내역서!AQ116</f>
        <v>0</v>
      </c>
      <c r="AQ10">
        <f>C10*내역서!AR116</f>
        <v>0</v>
      </c>
      <c r="AR10">
        <f>C10*내역서!AS116</f>
        <v>0</v>
      </c>
      <c r="AS10">
        <f>C10*내역서!AT116</f>
        <v>0</v>
      </c>
      <c r="AT10">
        <f>C10*내역서!AU116</f>
        <v>0</v>
      </c>
      <c r="AU10">
        <f>C10*내역서!AV116</f>
        <v>0</v>
      </c>
    </row>
    <row r="11" spans="1:50" ht="23.1" customHeight="1" x14ac:dyDescent="0.3">
      <c r="A11" s="37"/>
      <c r="B11" s="46"/>
      <c r="C11" s="46"/>
      <c r="D11" s="47"/>
      <c r="E11" s="47"/>
      <c r="F11" s="47"/>
      <c r="G11" s="47"/>
      <c r="H11" s="47"/>
      <c r="I11" s="47"/>
      <c r="J11" s="47"/>
      <c r="K11" s="47"/>
      <c r="L11" s="37"/>
    </row>
    <row r="12" spans="1:50" ht="23.1" customHeight="1" x14ac:dyDescent="0.3">
      <c r="A12" s="37"/>
      <c r="B12" s="46"/>
      <c r="C12" s="46"/>
      <c r="D12" s="47"/>
      <c r="E12" s="47"/>
      <c r="F12" s="47"/>
      <c r="G12" s="47"/>
      <c r="H12" s="47"/>
      <c r="I12" s="47"/>
      <c r="J12" s="47"/>
      <c r="K12" s="47"/>
      <c r="L12" s="37"/>
    </row>
    <row r="13" spans="1:50" ht="23.1" customHeight="1" x14ac:dyDescent="0.3">
      <c r="A13" s="37"/>
      <c r="B13" s="46"/>
      <c r="C13" s="46"/>
      <c r="D13" s="47"/>
      <c r="E13" s="47"/>
      <c r="F13" s="47"/>
      <c r="G13" s="47"/>
      <c r="H13" s="47"/>
      <c r="I13" s="47"/>
      <c r="J13" s="47"/>
      <c r="K13" s="47"/>
      <c r="L13" s="37"/>
    </row>
    <row r="14" spans="1:50" ht="23.1" customHeight="1" x14ac:dyDescent="0.3">
      <c r="A14" s="37"/>
      <c r="B14" s="46"/>
      <c r="C14" s="46"/>
      <c r="D14" s="47"/>
      <c r="E14" s="47"/>
      <c r="F14" s="47"/>
      <c r="G14" s="47"/>
      <c r="H14" s="47"/>
      <c r="I14" s="47"/>
      <c r="J14" s="47"/>
      <c r="K14" s="47"/>
      <c r="L14" s="37"/>
    </row>
    <row r="15" spans="1:50" ht="23.1" customHeight="1" x14ac:dyDescent="0.3">
      <c r="A15" s="37"/>
      <c r="B15" s="46"/>
      <c r="C15" s="46"/>
      <c r="D15" s="47"/>
      <c r="E15" s="47"/>
      <c r="F15" s="47"/>
      <c r="G15" s="47"/>
      <c r="H15" s="47"/>
      <c r="I15" s="47"/>
      <c r="J15" s="47"/>
      <c r="K15" s="47"/>
      <c r="L15" s="37"/>
    </row>
    <row r="16" spans="1:50" ht="23.1" customHeight="1" x14ac:dyDescent="0.3">
      <c r="A16" s="37"/>
      <c r="B16" s="46"/>
      <c r="C16" s="46"/>
      <c r="D16" s="47"/>
      <c r="E16" s="47"/>
      <c r="F16" s="47"/>
      <c r="G16" s="47"/>
      <c r="H16" s="47"/>
      <c r="I16" s="47"/>
      <c r="J16" s="47"/>
      <c r="K16" s="47"/>
      <c r="L16" s="37"/>
    </row>
    <row r="17" spans="1:50" ht="23.1" customHeight="1" x14ac:dyDescent="0.3">
      <c r="A17" s="37"/>
      <c r="B17" s="46"/>
      <c r="C17" s="46"/>
      <c r="D17" s="47"/>
      <c r="E17" s="47"/>
      <c r="F17" s="47"/>
      <c r="G17" s="47"/>
      <c r="H17" s="47"/>
      <c r="I17" s="47"/>
      <c r="J17" s="47"/>
      <c r="K17" s="47"/>
      <c r="L17" s="37"/>
    </row>
    <row r="18" spans="1:50" ht="23.1" customHeight="1" x14ac:dyDescent="0.3">
      <c r="A18" s="37"/>
      <c r="B18" s="46"/>
      <c r="C18" s="46"/>
      <c r="D18" s="47"/>
      <c r="E18" s="47"/>
      <c r="F18" s="47"/>
      <c r="G18" s="47"/>
      <c r="H18" s="47"/>
      <c r="I18" s="47"/>
      <c r="J18" s="47"/>
      <c r="K18" s="47"/>
      <c r="L18" s="37"/>
    </row>
    <row r="19" spans="1:50" ht="23.1" customHeight="1" x14ac:dyDescent="0.3">
      <c r="A19" s="37"/>
      <c r="B19" s="46"/>
      <c r="C19" s="46"/>
      <c r="D19" s="47"/>
      <c r="E19" s="47"/>
      <c r="F19" s="47"/>
      <c r="G19" s="47"/>
      <c r="H19" s="47"/>
      <c r="I19" s="47"/>
      <c r="J19" s="47"/>
      <c r="K19" s="47"/>
      <c r="L19" s="37"/>
    </row>
    <row r="20" spans="1:50" ht="23.1" customHeight="1" x14ac:dyDescent="0.3">
      <c r="A20" s="41" t="s">
        <v>216</v>
      </c>
      <c r="B20" s="43"/>
      <c r="C20" s="43"/>
      <c r="D20" s="44"/>
      <c r="E20" s="45">
        <f>SUMIF(P5:P10, "1", E5:E10)</f>
        <v>5504125</v>
      </c>
      <c r="F20" s="44"/>
      <c r="G20" s="45">
        <f>SUMIF(P5:P10, "1", G5:G10)</f>
        <v>9945724</v>
      </c>
      <c r="H20" s="44"/>
      <c r="I20" s="45">
        <f>SUMIF(P5:P10, "1", I5:I10)</f>
        <v>452728</v>
      </c>
      <c r="J20" s="44"/>
      <c r="K20" s="45">
        <f>E20+G20+I20</f>
        <v>15902577</v>
      </c>
      <c r="L20" s="42"/>
      <c r="Q20">
        <f t="shared" ref="Q20:AX20" si="4">SUM(Q5:Q10)</f>
        <v>452728</v>
      </c>
      <c r="R20">
        <f t="shared" si="4"/>
        <v>0</v>
      </c>
      <c r="S20">
        <f t="shared" si="4"/>
        <v>0</v>
      </c>
      <c r="T20">
        <f t="shared" si="4"/>
        <v>0</v>
      </c>
      <c r="U20">
        <f t="shared" si="4"/>
        <v>0</v>
      </c>
      <c r="V20">
        <f t="shared" si="4"/>
        <v>0</v>
      </c>
      <c r="W20">
        <f t="shared" si="4"/>
        <v>0</v>
      </c>
      <c r="X20">
        <f t="shared" si="4"/>
        <v>0</v>
      </c>
      <c r="Y20">
        <f t="shared" si="4"/>
        <v>0</v>
      </c>
      <c r="Z20">
        <f t="shared" si="4"/>
        <v>585640</v>
      </c>
      <c r="AA20">
        <f t="shared" si="4"/>
        <v>11059400</v>
      </c>
      <c r="AB20">
        <f t="shared" si="4"/>
        <v>0</v>
      </c>
      <c r="AC20">
        <f t="shared" si="4"/>
        <v>0</v>
      </c>
      <c r="AD20">
        <f t="shared" si="4"/>
        <v>0</v>
      </c>
      <c r="AE20">
        <f t="shared" si="4"/>
        <v>0</v>
      </c>
      <c r="AF20">
        <f t="shared" si="4"/>
        <v>902888</v>
      </c>
      <c r="AG20">
        <f t="shared" si="4"/>
        <v>0</v>
      </c>
      <c r="AH20">
        <f t="shared" si="4"/>
        <v>0</v>
      </c>
      <c r="AI20">
        <f t="shared" si="4"/>
        <v>0</v>
      </c>
      <c r="AJ20">
        <f t="shared" si="4"/>
        <v>0</v>
      </c>
      <c r="AK20">
        <f t="shared" si="4"/>
        <v>0</v>
      </c>
      <c r="AL20">
        <f t="shared" si="4"/>
        <v>0</v>
      </c>
      <c r="AM20">
        <f t="shared" si="4"/>
        <v>0</v>
      </c>
      <c r="AN20">
        <f t="shared" si="4"/>
        <v>0</v>
      </c>
      <c r="AO20">
        <f t="shared" si="4"/>
        <v>0</v>
      </c>
      <c r="AP20">
        <f t="shared" si="4"/>
        <v>0</v>
      </c>
      <c r="AQ20">
        <f t="shared" si="4"/>
        <v>0</v>
      </c>
      <c r="AR20">
        <f t="shared" si="4"/>
        <v>0</v>
      </c>
      <c r="AS20">
        <f t="shared" si="4"/>
        <v>0</v>
      </c>
      <c r="AT20">
        <f t="shared" si="4"/>
        <v>0</v>
      </c>
      <c r="AU20">
        <f t="shared" si="4"/>
        <v>0</v>
      </c>
      <c r="AV20">
        <f t="shared" si="4"/>
        <v>0</v>
      </c>
      <c r="AW20">
        <f t="shared" si="4"/>
        <v>0</v>
      </c>
      <c r="AX20">
        <f t="shared" si="4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1" manualBreakCount="1">
    <brk id="2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B7"/>
  </sheetPr>
  <dimension ref="A1:AY116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B12" sqref="BB12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3" customWidth="1"/>
    <col min="14" max="51" width="0" hidden="1" customWidth="1"/>
  </cols>
  <sheetData>
    <row r="1" spans="1:51" ht="30" customHeight="1" x14ac:dyDescent="0.3">
      <c r="A1" s="158" t="s">
        <v>446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51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</row>
    <row r="3" spans="1:51" ht="23.1" customHeight="1" x14ac:dyDescent="0.3">
      <c r="A3" s="167" t="s">
        <v>447</v>
      </c>
      <c r="B3" s="167" t="s">
        <v>448</v>
      </c>
      <c r="C3" s="167" t="s">
        <v>4</v>
      </c>
      <c r="D3" s="167" t="s">
        <v>235</v>
      </c>
      <c r="E3" s="167" t="s">
        <v>349</v>
      </c>
      <c r="F3" s="167"/>
      <c r="G3" s="167" t="s">
        <v>350</v>
      </c>
      <c r="H3" s="167"/>
      <c r="I3" s="167" t="s">
        <v>351</v>
      </c>
      <c r="J3" s="167"/>
      <c r="K3" s="167" t="s">
        <v>352</v>
      </c>
      <c r="L3" s="167"/>
      <c r="M3" s="167" t="s">
        <v>206</v>
      </c>
    </row>
    <row r="4" spans="1:51" ht="23.1" customHeight="1" x14ac:dyDescent="0.3">
      <c r="A4" s="167"/>
      <c r="B4" s="167"/>
      <c r="C4" s="167"/>
      <c r="D4" s="167"/>
      <c r="E4" s="12" t="s">
        <v>241</v>
      </c>
      <c r="F4" s="12" t="s">
        <v>242</v>
      </c>
      <c r="G4" s="12" t="s">
        <v>241</v>
      </c>
      <c r="H4" s="12" t="s">
        <v>242</v>
      </c>
      <c r="I4" s="12" t="s">
        <v>241</v>
      </c>
      <c r="J4" s="12" t="s">
        <v>242</v>
      </c>
      <c r="K4" s="12" t="s">
        <v>241</v>
      </c>
      <c r="L4" s="12" t="s">
        <v>242</v>
      </c>
      <c r="M4" s="167"/>
      <c r="N4" t="s">
        <v>243</v>
      </c>
      <c r="O4" t="s">
        <v>244</v>
      </c>
      <c r="P4" t="s">
        <v>245</v>
      </c>
      <c r="Q4" t="s">
        <v>246</v>
      </c>
      <c r="R4" t="s">
        <v>254</v>
      </c>
      <c r="S4" t="s">
        <v>449</v>
      </c>
      <c r="T4" t="s">
        <v>450</v>
      </c>
      <c r="U4" t="s">
        <v>451</v>
      </c>
      <c r="V4" t="s">
        <v>452</v>
      </c>
      <c r="W4" t="s">
        <v>453</v>
      </c>
      <c r="X4" t="s">
        <v>454</v>
      </c>
      <c r="Y4" t="s">
        <v>455</v>
      </c>
      <c r="Z4" t="s">
        <v>456</v>
      </c>
      <c r="AA4" t="s">
        <v>457</v>
      </c>
      <c r="AB4" t="s">
        <v>458</v>
      </c>
      <c r="AC4" t="s">
        <v>459</v>
      </c>
      <c r="AD4" t="s">
        <v>460</v>
      </c>
      <c r="AE4" t="s">
        <v>461</v>
      </c>
      <c r="AF4" t="s">
        <v>462</v>
      </c>
      <c r="AG4" t="s">
        <v>463</v>
      </c>
      <c r="AH4" t="s">
        <v>464</v>
      </c>
      <c r="AI4" t="s">
        <v>465</v>
      </c>
      <c r="AJ4" t="s">
        <v>466</v>
      </c>
      <c r="AK4" t="s">
        <v>467</v>
      </c>
      <c r="AL4" t="s">
        <v>468</v>
      </c>
      <c r="AM4" t="s">
        <v>469</v>
      </c>
      <c r="AN4" t="s">
        <v>470</v>
      </c>
      <c r="AO4" t="s">
        <v>471</v>
      </c>
      <c r="AP4" t="s">
        <v>472</v>
      </c>
      <c r="AQ4" t="s">
        <v>473</v>
      </c>
      <c r="AR4" t="s">
        <v>474</v>
      </c>
      <c r="AS4" t="s">
        <v>475</v>
      </c>
      <c r="AT4" t="s">
        <v>476</v>
      </c>
      <c r="AU4" t="s">
        <v>477</v>
      </c>
      <c r="AV4" t="s">
        <v>478</v>
      </c>
      <c r="AW4" t="s">
        <v>247</v>
      </c>
      <c r="AX4" t="s">
        <v>248</v>
      </c>
      <c r="AY4" t="s">
        <v>16</v>
      </c>
    </row>
    <row r="5" spans="1:51" ht="23.1" customHeight="1" x14ac:dyDescent="0.3">
      <c r="A5" s="177" t="s">
        <v>479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9"/>
    </row>
    <row r="6" spans="1:51" ht="23.1" customHeight="1" x14ac:dyDescent="0.3">
      <c r="A6" s="36" t="s">
        <v>340</v>
      </c>
      <c r="B6" s="36" t="s">
        <v>341</v>
      </c>
      <c r="C6" s="38" t="s">
        <v>98</v>
      </c>
      <c r="D6" s="39">
        <v>43</v>
      </c>
      <c r="E6" s="40">
        <f>단가산출서목록!G5</f>
        <v>693</v>
      </c>
      <c r="F6" s="40">
        <f t="shared" ref="F6:F21" si="0">ROUNDDOWN(D6*E6, 0)</f>
        <v>29799</v>
      </c>
      <c r="G6" s="40">
        <f>단가산출서목록!I5</f>
        <v>28065</v>
      </c>
      <c r="H6" s="40">
        <f t="shared" ref="H6:H21" si="1">ROUNDDOWN(D6*G6, 0)</f>
        <v>1206795</v>
      </c>
      <c r="I6" s="40">
        <f>단가산출서목록!K5</f>
        <v>29</v>
      </c>
      <c r="J6" s="40">
        <f t="shared" ref="J6:J21" si="2">ROUNDDOWN(D6*I6, 0)</f>
        <v>1247</v>
      </c>
      <c r="K6" s="40">
        <f t="shared" ref="K6:K21" si="3">E6+G6+I6</f>
        <v>28787</v>
      </c>
      <c r="L6" s="40">
        <f t="shared" ref="L6:L21" si="4">F6+H6+J6</f>
        <v>1237841</v>
      </c>
      <c r="M6" s="49" t="s">
        <v>339</v>
      </c>
      <c r="O6" t="str">
        <f>""</f>
        <v/>
      </c>
      <c r="P6" s="34" t="s">
        <v>254</v>
      </c>
      <c r="Q6">
        <v>1</v>
      </c>
      <c r="R6">
        <f t="shared" ref="R6:R21" si="5">IF(P6="기계경비", J6, 0)</f>
        <v>1247</v>
      </c>
      <c r="S6">
        <f t="shared" ref="S6:S21" si="6">IF(P6="운반비", L6, 0)</f>
        <v>0</v>
      </c>
      <c r="T6">
        <f t="shared" ref="T6:T21" si="7">IF(P6="작업부산물", F6, 0)</f>
        <v>0</v>
      </c>
      <c r="U6">
        <f t="shared" ref="U6:U21" si="8">IF(P6="관급", F6, 0)</f>
        <v>0</v>
      </c>
      <c r="V6">
        <f t="shared" ref="V6:V21" si="9">IF(P6="외주비", J6, 0)</f>
        <v>0</v>
      </c>
      <c r="W6">
        <f t="shared" ref="W6:W21" si="10">IF(P6="장비비", J6, 0)</f>
        <v>0</v>
      </c>
      <c r="X6">
        <f t="shared" ref="X6:X21" si="11">IF(P6="폐기물처리비", L6, 0)</f>
        <v>0</v>
      </c>
      <c r="Y6">
        <f t="shared" ref="Y6:Y21" si="12">IF(P6="가설비", J6, 0)</f>
        <v>0</v>
      </c>
      <c r="Z6">
        <f t="shared" ref="Z6:Z21" si="13">IF(P6="잡비제외분", F6, 0)</f>
        <v>0</v>
      </c>
      <c r="AA6">
        <f t="shared" ref="AA6:AA21" si="14">IF(P6="사급자재대", L6, 0)</f>
        <v>0</v>
      </c>
      <c r="AB6">
        <f t="shared" ref="AB6:AB21" si="15">IF(P6="관급자재대", L6, 0)</f>
        <v>0</v>
      </c>
      <c r="AC6">
        <f t="shared" ref="AC6:AC21" si="16">IF(P6="사용자항목1", L6, 0)</f>
        <v>0</v>
      </c>
      <c r="AD6">
        <f t="shared" ref="AD6:AD21" si="17">IF(P6="사용자항목2", L6, 0)</f>
        <v>0</v>
      </c>
      <c r="AE6">
        <f t="shared" ref="AE6:AE21" si="18">IF(P6="안전관리비", L6, 0)</f>
        <v>0</v>
      </c>
      <c r="AF6">
        <f t="shared" ref="AF6:AF21" si="19">IF(P6="품질관리비", L6, 0)</f>
        <v>0</v>
      </c>
      <c r="AG6">
        <f t="shared" ref="AG6:AG21" si="20">IF(P6="작업부산물(철거해체)", L6, 0)</f>
        <v>0</v>
      </c>
      <c r="AH6">
        <f t="shared" ref="AH6:AH21" si="21">IF(P6="사용자항목6", L6, 0)</f>
        <v>0</v>
      </c>
      <c r="AI6">
        <f t="shared" ref="AI6:AI21" si="22">IF(P6="사용자항목7", L6, 0)</f>
        <v>0</v>
      </c>
      <c r="AJ6">
        <f t="shared" ref="AJ6:AJ21" si="23">IF(P6="사용자항목8", L6, 0)</f>
        <v>0</v>
      </c>
      <c r="AK6">
        <f t="shared" ref="AK6:AK21" si="24">IF(P6="사용자항목9", L6, 0)</f>
        <v>0</v>
      </c>
      <c r="AL6">
        <f t="shared" ref="AL6:AL21" si="25">IF(P6="사용자항목10", L6, 0)</f>
        <v>0</v>
      </c>
      <c r="AM6">
        <f t="shared" ref="AM6:AM21" si="26">IF(P6="사용자항목11", L6, 0)</f>
        <v>0</v>
      </c>
      <c r="AN6">
        <f t="shared" ref="AN6:AN21" si="27">IF(P6="사용자항목12", L6, 0)</f>
        <v>0</v>
      </c>
      <c r="AO6">
        <f t="shared" ref="AO6:AO21" si="28">IF(P6="사용자항목13", L6, 0)</f>
        <v>0</v>
      </c>
      <c r="AP6">
        <f t="shared" ref="AP6:AP21" si="29">IF(P6="사용자항목14", L6, 0)</f>
        <v>0</v>
      </c>
      <c r="AQ6">
        <f t="shared" ref="AQ6:AQ21" si="30">IF(P6="사용자항목15", L6, 0)</f>
        <v>0</v>
      </c>
      <c r="AR6">
        <f t="shared" ref="AR6:AR21" si="31">IF(P6="사용자항목16", L6, 0)</f>
        <v>0</v>
      </c>
      <c r="AS6">
        <f t="shared" ref="AS6:AS21" si="32">IF(P6="사용자항목17", L6, 0)</f>
        <v>0</v>
      </c>
      <c r="AT6">
        <f t="shared" ref="AT6:AT21" si="33">IF(P6="사용자항목18", L6, 0)</f>
        <v>0</v>
      </c>
      <c r="AU6">
        <f t="shared" ref="AU6:AU21" si="34">IF(P6="사용자항목19", L6, 0)</f>
        <v>0</v>
      </c>
    </row>
    <row r="7" spans="1:51" ht="23.1" customHeight="1" x14ac:dyDescent="0.3">
      <c r="A7" s="36" t="s">
        <v>393</v>
      </c>
      <c r="B7" s="36" t="s">
        <v>394</v>
      </c>
      <c r="C7" s="38" t="s">
        <v>345</v>
      </c>
      <c r="D7" s="39">
        <v>16</v>
      </c>
      <c r="E7" s="40">
        <f>일위대가목록!G5</f>
        <v>1032</v>
      </c>
      <c r="F7" s="40">
        <f t="shared" si="0"/>
        <v>16512</v>
      </c>
      <c r="G7" s="40">
        <f>일위대가목록!I5</f>
        <v>34413</v>
      </c>
      <c r="H7" s="40">
        <f t="shared" si="1"/>
        <v>550608</v>
      </c>
      <c r="I7" s="40">
        <f>일위대가목록!K5</f>
        <v>0</v>
      </c>
      <c r="J7" s="40">
        <f t="shared" si="2"/>
        <v>0</v>
      </c>
      <c r="K7" s="40">
        <f t="shared" si="3"/>
        <v>35445</v>
      </c>
      <c r="L7" s="40">
        <f t="shared" si="4"/>
        <v>567120</v>
      </c>
      <c r="M7" s="49" t="s">
        <v>392</v>
      </c>
      <c r="O7" t="str">
        <f>""</f>
        <v/>
      </c>
      <c r="P7" s="34" t="s">
        <v>254</v>
      </c>
      <c r="Q7">
        <v>1</v>
      </c>
      <c r="R7">
        <f t="shared" si="5"/>
        <v>0</v>
      </c>
      <c r="S7">
        <f t="shared" si="6"/>
        <v>0</v>
      </c>
      <c r="T7">
        <f t="shared" si="7"/>
        <v>0</v>
      </c>
      <c r="U7">
        <f t="shared" si="8"/>
        <v>0</v>
      </c>
      <c r="V7">
        <f t="shared" si="9"/>
        <v>0</v>
      </c>
      <c r="W7">
        <f t="shared" si="10"/>
        <v>0</v>
      </c>
      <c r="X7">
        <f t="shared" si="11"/>
        <v>0</v>
      </c>
      <c r="Y7">
        <f t="shared" si="12"/>
        <v>0</v>
      </c>
      <c r="Z7">
        <f t="shared" si="13"/>
        <v>0</v>
      </c>
      <c r="AA7">
        <f t="shared" si="14"/>
        <v>0</v>
      </c>
      <c r="AB7">
        <f t="shared" si="15"/>
        <v>0</v>
      </c>
      <c r="AC7">
        <f t="shared" si="16"/>
        <v>0</v>
      </c>
      <c r="AD7">
        <f t="shared" si="17"/>
        <v>0</v>
      </c>
      <c r="AE7">
        <f t="shared" si="18"/>
        <v>0</v>
      </c>
      <c r="AF7">
        <f t="shared" si="19"/>
        <v>0</v>
      </c>
      <c r="AG7">
        <f t="shared" si="20"/>
        <v>0</v>
      </c>
      <c r="AH7">
        <f t="shared" si="21"/>
        <v>0</v>
      </c>
      <c r="AI7">
        <f t="shared" si="22"/>
        <v>0</v>
      </c>
      <c r="AJ7">
        <f t="shared" si="23"/>
        <v>0</v>
      </c>
      <c r="AK7">
        <f t="shared" si="24"/>
        <v>0</v>
      </c>
      <c r="AL7">
        <f t="shared" si="25"/>
        <v>0</v>
      </c>
      <c r="AM7">
        <f t="shared" si="26"/>
        <v>0</v>
      </c>
      <c r="AN7">
        <f t="shared" si="27"/>
        <v>0</v>
      </c>
      <c r="AO7">
        <f t="shared" si="28"/>
        <v>0</v>
      </c>
      <c r="AP7">
        <f t="shared" si="29"/>
        <v>0</v>
      </c>
      <c r="AQ7">
        <f t="shared" si="30"/>
        <v>0</v>
      </c>
      <c r="AR7">
        <f t="shared" si="31"/>
        <v>0</v>
      </c>
      <c r="AS7">
        <f t="shared" si="32"/>
        <v>0</v>
      </c>
      <c r="AT7">
        <f t="shared" si="33"/>
        <v>0</v>
      </c>
      <c r="AU7">
        <f t="shared" si="34"/>
        <v>0</v>
      </c>
      <c r="AY7" s="34" t="s">
        <v>395</v>
      </c>
    </row>
    <row r="8" spans="1:51" ht="23.1" customHeight="1" x14ac:dyDescent="0.3">
      <c r="A8" s="36" t="s">
        <v>397</v>
      </c>
      <c r="B8" s="36" t="s">
        <v>398</v>
      </c>
      <c r="C8" s="38" t="s">
        <v>345</v>
      </c>
      <c r="D8" s="39">
        <v>16</v>
      </c>
      <c r="E8" s="40">
        <f>일위대가목록!G6</f>
        <v>1486</v>
      </c>
      <c r="F8" s="40">
        <f t="shared" si="0"/>
        <v>23776</v>
      </c>
      <c r="G8" s="40">
        <f>일위대가목록!I6</f>
        <v>8228</v>
      </c>
      <c r="H8" s="40">
        <f t="shared" si="1"/>
        <v>131648</v>
      </c>
      <c r="I8" s="40">
        <f>일위대가목록!K6</f>
        <v>1281</v>
      </c>
      <c r="J8" s="40">
        <f t="shared" si="2"/>
        <v>20496</v>
      </c>
      <c r="K8" s="40">
        <f t="shared" si="3"/>
        <v>10995</v>
      </c>
      <c r="L8" s="40">
        <f t="shared" si="4"/>
        <v>175920</v>
      </c>
      <c r="M8" s="49" t="s">
        <v>396</v>
      </c>
      <c r="O8" t="str">
        <f>""</f>
        <v/>
      </c>
      <c r="P8" s="34" t="s">
        <v>254</v>
      </c>
      <c r="Q8">
        <v>1</v>
      </c>
      <c r="R8">
        <f t="shared" si="5"/>
        <v>20496</v>
      </c>
      <c r="S8">
        <f t="shared" si="6"/>
        <v>0</v>
      </c>
      <c r="T8">
        <f t="shared" si="7"/>
        <v>0</v>
      </c>
      <c r="U8">
        <f t="shared" si="8"/>
        <v>0</v>
      </c>
      <c r="V8">
        <f t="shared" si="9"/>
        <v>0</v>
      </c>
      <c r="W8">
        <f t="shared" si="10"/>
        <v>0</v>
      </c>
      <c r="X8">
        <f t="shared" si="11"/>
        <v>0</v>
      </c>
      <c r="Y8">
        <f t="shared" si="12"/>
        <v>0</v>
      </c>
      <c r="Z8">
        <f t="shared" si="13"/>
        <v>0</v>
      </c>
      <c r="AA8">
        <f t="shared" si="14"/>
        <v>0</v>
      </c>
      <c r="AB8">
        <f t="shared" si="15"/>
        <v>0</v>
      </c>
      <c r="AC8">
        <f t="shared" si="16"/>
        <v>0</v>
      </c>
      <c r="AD8">
        <f t="shared" si="17"/>
        <v>0</v>
      </c>
      <c r="AE8">
        <f t="shared" si="18"/>
        <v>0</v>
      </c>
      <c r="AF8">
        <f t="shared" si="19"/>
        <v>0</v>
      </c>
      <c r="AG8">
        <f t="shared" si="20"/>
        <v>0</v>
      </c>
      <c r="AH8">
        <f t="shared" si="21"/>
        <v>0</v>
      </c>
      <c r="AI8">
        <f t="shared" si="22"/>
        <v>0</v>
      </c>
      <c r="AJ8">
        <f t="shared" si="23"/>
        <v>0</v>
      </c>
      <c r="AK8">
        <f t="shared" si="24"/>
        <v>0</v>
      </c>
      <c r="AL8">
        <f t="shared" si="25"/>
        <v>0</v>
      </c>
      <c r="AM8">
        <f t="shared" si="26"/>
        <v>0</v>
      </c>
      <c r="AN8">
        <f t="shared" si="27"/>
        <v>0</v>
      </c>
      <c r="AO8">
        <f t="shared" si="28"/>
        <v>0</v>
      </c>
      <c r="AP8">
        <f t="shared" si="29"/>
        <v>0</v>
      </c>
      <c r="AQ8">
        <f t="shared" si="30"/>
        <v>0</v>
      </c>
      <c r="AR8">
        <f t="shared" si="31"/>
        <v>0</v>
      </c>
      <c r="AS8">
        <f t="shared" si="32"/>
        <v>0</v>
      </c>
      <c r="AT8">
        <f t="shared" si="33"/>
        <v>0</v>
      </c>
      <c r="AU8">
        <f t="shared" si="34"/>
        <v>0</v>
      </c>
      <c r="AY8" s="34" t="s">
        <v>399</v>
      </c>
    </row>
    <row r="9" spans="1:51" ht="23.1" customHeight="1" x14ac:dyDescent="0.3">
      <c r="A9" s="37"/>
      <c r="B9" s="37"/>
      <c r="C9" s="38" t="s">
        <v>252</v>
      </c>
      <c r="D9" s="39"/>
      <c r="E9" s="40"/>
      <c r="F9" s="40">
        <f t="shared" si="0"/>
        <v>0</v>
      </c>
      <c r="G9" s="40"/>
      <c r="H9" s="40">
        <f t="shared" si="1"/>
        <v>0</v>
      </c>
      <c r="I9" s="40"/>
      <c r="J9" s="40">
        <f t="shared" si="2"/>
        <v>0</v>
      </c>
      <c r="K9" s="40">
        <f t="shared" si="3"/>
        <v>0</v>
      </c>
      <c r="L9" s="40">
        <f t="shared" si="4"/>
        <v>0</v>
      </c>
      <c r="M9" s="47"/>
      <c r="O9" t="str">
        <f>""</f>
        <v/>
      </c>
      <c r="Q9">
        <v>1</v>
      </c>
      <c r="R9">
        <f t="shared" si="5"/>
        <v>0</v>
      </c>
      <c r="S9">
        <f t="shared" si="6"/>
        <v>0</v>
      </c>
      <c r="T9">
        <f t="shared" si="7"/>
        <v>0</v>
      </c>
      <c r="U9">
        <f t="shared" si="8"/>
        <v>0</v>
      </c>
      <c r="V9">
        <f t="shared" si="9"/>
        <v>0</v>
      </c>
      <c r="W9">
        <f t="shared" si="10"/>
        <v>0</v>
      </c>
      <c r="X9">
        <f t="shared" si="11"/>
        <v>0</v>
      </c>
      <c r="Y9">
        <f t="shared" si="12"/>
        <v>0</v>
      </c>
      <c r="Z9">
        <f t="shared" si="13"/>
        <v>0</v>
      </c>
      <c r="AA9">
        <f t="shared" si="14"/>
        <v>0</v>
      </c>
      <c r="AB9">
        <f t="shared" si="15"/>
        <v>0</v>
      </c>
      <c r="AC9">
        <f t="shared" si="16"/>
        <v>0</v>
      </c>
      <c r="AD9">
        <f t="shared" si="17"/>
        <v>0</v>
      </c>
      <c r="AE9">
        <f t="shared" si="18"/>
        <v>0</v>
      </c>
      <c r="AF9">
        <f t="shared" si="19"/>
        <v>0</v>
      </c>
      <c r="AG9">
        <f t="shared" si="20"/>
        <v>0</v>
      </c>
      <c r="AH9">
        <f t="shared" si="21"/>
        <v>0</v>
      </c>
      <c r="AI9">
        <f t="shared" si="22"/>
        <v>0</v>
      </c>
      <c r="AJ9">
        <f t="shared" si="23"/>
        <v>0</v>
      </c>
      <c r="AK9">
        <f t="shared" si="24"/>
        <v>0</v>
      </c>
      <c r="AL9">
        <f t="shared" si="25"/>
        <v>0</v>
      </c>
      <c r="AM9">
        <f t="shared" si="26"/>
        <v>0</v>
      </c>
      <c r="AN9">
        <f t="shared" si="27"/>
        <v>0</v>
      </c>
      <c r="AO9">
        <f t="shared" si="28"/>
        <v>0</v>
      </c>
      <c r="AP9">
        <f t="shared" si="29"/>
        <v>0</v>
      </c>
      <c r="AQ9">
        <f t="shared" si="30"/>
        <v>0</v>
      </c>
      <c r="AR9">
        <f t="shared" si="31"/>
        <v>0</v>
      </c>
      <c r="AS9">
        <f t="shared" si="32"/>
        <v>0</v>
      </c>
      <c r="AT9">
        <f t="shared" si="33"/>
        <v>0</v>
      </c>
      <c r="AU9">
        <f t="shared" si="34"/>
        <v>0</v>
      </c>
    </row>
    <row r="10" spans="1:51" ht="23.1" customHeight="1" x14ac:dyDescent="0.3">
      <c r="A10" s="36" t="s">
        <v>343</v>
      </c>
      <c r="B10" s="36" t="s">
        <v>344</v>
      </c>
      <c r="C10" s="38" t="s">
        <v>345</v>
      </c>
      <c r="D10" s="39">
        <v>1</v>
      </c>
      <c r="E10" s="40">
        <f>단가산출서목록!G6</f>
        <v>2625</v>
      </c>
      <c r="F10" s="40">
        <f t="shared" si="0"/>
        <v>2625</v>
      </c>
      <c r="G10" s="40">
        <f>단가산출서목록!I6</f>
        <v>19641</v>
      </c>
      <c r="H10" s="40">
        <f t="shared" si="1"/>
        <v>19641</v>
      </c>
      <c r="I10" s="40">
        <f>단가산출서목록!K6</f>
        <v>4587</v>
      </c>
      <c r="J10" s="40">
        <f t="shared" si="2"/>
        <v>4587</v>
      </c>
      <c r="K10" s="40">
        <f t="shared" si="3"/>
        <v>26853</v>
      </c>
      <c r="L10" s="40">
        <f t="shared" si="4"/>
        <v>26853</v>
      </c>
      <c r="M10" s="49" t="s">
        <v>342</v>
      </c>
      <c r="O10" t="str">
        <f>""</f>
        <v/>
      </c>
      <c r="P10" s="34" t="s">
        <v>254</v>
      </c>
      <c r="Q10">
        <v>1</v>
      </c>
      <c r="R10">
        <f t="shared" si="5"/>
        <v>4587</v>
      </c>
      <c r="S10">
        <f t="shared" si="6"/>
        <v>0</v>
      </c>
      <c r="T10">
        <f t="shared" si="7"/>
        <v>0</v>
      </c>
      <c r="U10">
        <f t="shared" si="8"/>
        <v>0</v>
      </c>
      <c r="V10">
        <f t="shared" si="9"/>
        <v>0</v>
      </c>
      <c r="W10">
        <f t="shared" si="10"/>
        <v>0</v>
      </c>
      <c r="X10">
        <f t="shared" si="11"/>
        <v>0</v>
      </c>
      <c r="Y10">
        <f t="shared" si="12"/>
        <v>0</v>
      </c>
      <c r="Z10">
        <f t="shared" si="13"/>
        <v>0</v>
      </c>
      <c r="AA10">
        <f t="shared" si="14"/>
        <v>0</v>
      </c>
      <c r="AB10">
        <f t="shared" si="15"/>
        <v>0</v>
      </c>
      <c r="AC10">
        <f t="shared" si="16"/>
        <v>0</v>
      </c>
      <c r="AD10">
        <f t="shared" si="17"/>
        <v>0</v>
      </c>
      <c r="AE10">
        <f t="shared" si="18"/>
        <v>0</v>
      </c>
      <c r="AF10">
        <f t="shared" si="19"/>
        <v>0</v>
      </c>
      <c r="AG10">
        <f t="shared" si="20"/>
        <v>0</v>
      </c>
      <c r="AH10">
        <f t="shared" si="21"/>
        <v>0</v>
      </c>
      <c r="AI10">
        <f t="shared" si="22"/>
        <v>0</v>
      </c>
      <c r="AJ10">
        <f t="shared" si="23"/>
        <v>0</v>
      </c>
      <c r="AK10">
        <f t="shared" si="24"/>
        <v>0</v>
      </c>
      <c r="AL10">
        <f t="shared" si="25"/>
        <v>0</v>
      </c>
      <c r="AM10">
        <f t="shared" si="26"/>
        <v>0</v>
      </c>
      <c r="AN10">
        <f t="shared" si="27"/>
        <v>0</v>
      </c>
      <c r="AO10">
        <f t="shared" si="28"/>
        <v>0</v>
      </c>
      <c r="AP10">
        <f t="shared" si="29"/>
        <v>0</v>
      </c>
      <c r="AQ10">
        <f t="shared" si="30"/>
        <v>0</v>
      </c>
      <c r="AR10">
        <f t="shared" si="31"/>
        <v>0</v>
      </c>
      <c r="AS10">
        <f t="shared" si="32"/>
        <v>0</v>
      </c>
      <c r="AT10">
        <f t="shared" si="33"/>
        <v>0</v>
      </c>
      <c r="AU10">
        <f t="shared" si="34"/>
        <v>0</v>
      </c>
    </row>
    <row r="11" spans="1:51" ht="23.1" customHeight="1" x14ac:dyDescent="0.3">
      <c r="A11" s="36" t="s">
        <v>62</v>
      </c>
      <c r="B11" s="36" t="s">
        <v>63</v>
      </c>
      <c r="C11" s="38" t="s">
        <v>64</v>
      </c>
      <c r="D11" s="39">
        <v>2400</v>
      </c>
      <c r="E11" s="40">
        <f>단가대비표!O15</f>
        <v>450</v>
      </c>
      <c r="F11" s="40">
        <f t="shared" si="0"/>
        <v>1080000</v>
      </c>
      <c r="G11" s="40">
        <v>0</v>
      </c>
      <c r="H11" s="40">
        <f t="shared" si="1"/>
        <v>0</v>
      </c>
      <c r="I11" s="40">
        <v>0</v>
      </c>
      <c r="J11" s="40">
        <f t="shared" si="2"/>
        <v>0</v>
      </c>
      <c r="K11" s="40">
        <f t="shared" si="3"/>
        <v>450</v>
      </c>
      <c r="L11" s="40">
        <f t="shared" si="4"/>
        <v>1080000</v>
      </c>
      <c r="M11" s="47"/>
      <c r="O11" t="str">
        <f>"01"</f>
        <v>01</v>
      </c>
      <c r="P11" s="34" t="s">
        <v>254</v>
      </c>
      <c r="Q11">
        <v>1</v>
      </c>
      <c r="R11">
        <f t="shared" si="5"/>
        <v>0</v>
      </c>
      <c r="S11">
        <f t="shared" si="6"/>
        <v>0</v>
      </c>
      <c r="T11">
        <f t="shared" si="7"/>
        <v>0</v>
      </c>
      <c r="U11">
        <f t="shared" si="8"/>
        <v>0</v>
      </c>
      <c r="V11">
        <f t="shared" si="9"/>
        <v>0</v>
      </c>
      <c r="W11">
        <f t="shared" si="10"/>
        <v>0</v>
      </c>
      <c r="X11">
        <f t="shared" si="11"/>
        <v>0</v>
      </c>
      <c r="Y11">
        <f t="shared" si="12"/>
        <v>0</v>
      </c>
      <c r="Z11">
        <f t="shared" si="13"/>
        <v>0</v>
      </c>
      <c r="AA11">
        <f t="shared" si="14"/>
        <v>0</v>
      </c>
      <c r="AB11">
        <f t="shared" si="15"/>
        <v>0</v>
      </c>
      <c r="AC11">
        <f t="shared" si="16"/>
        <v>0</v>
      </c>
      <c r="AD11">
        <f t="shared" si="17"/>
        <v>0</v>
      </c>
      <c r="AE11">
        <f t="shared" si="18"/>
        <v>0</v>
      </c>
      <c r="AF11">
        <f t="shared" si="19"/>
        <v>0</v>
      </c>
      <c r="AG11">
        <f t="shared" si="20"/>
        <v>0</v>
      </c>
      <c r="AH11">
        <f t="shared" si="21"/>
        <v>0</v>
      </c>
      <c r="AI11">
        <f t="shared" si="22"/>
        <v>0</v>
      </c>
      <c r="AJ11">
        <f t="shared" si="23"/>
        <v>0</v>
      </c>
      <c r="AK11">
        <f t="shared" si="24"/>
        <v>0</v>
      </c>
      <c r="AL11">
        <f t="shared" si="25"/>
        <v>0</v>
      </c>
      <c r="AM11">
        <f t="shared" si="26"/>
        <v>0</v>
      </c>
      <c r="AN11">
        <f t="shared" si="27"/>
        <v>0</v>
      </c>
      <c r="AO11">
        <f t="shared" si="28"/>
        <v>0</v>
      </c>
      <c r="AP11">
        <f t="shared" si="29"/>
        <v>0</v>
      </c>
      <c r="AQ11">
        <f t="shared" si="30"/>
        <v>0</v>
      </c>
      <c r="AR11">
        <f t="shared" si="31"/>
        <v>0</v>
      </c>
      <c r="AS11">
        <f t="shared" si="32"/>
        <v>0</v>
      </c>
      <c r="AT11">
        <f t="shared" si="33"/>
        <v>0</v>
      </c>
      <c r="AU11">
        <f t="shared" si="34"/>
        <v>0</v>
      </c>
    </row>
    <row r="12" spans="1:51" ht="23.1" customHeight="1" x14ac:dyDescent="0.3">
      <c r="A12" s="36" t="s">
        <v>401</v>
      </c>
      <c r="B12" s="36" t="s">
        <v>402</v>
      </c>
      <c r="C12" s="38" t="s">
        <v>403</v>
      </c>
      <c r="D12" s="39">
        <v>11</v>
      </c>
      <c r="E12" s="40">
        <f>일위대가목록!G7</f>
        <v>652</v>
      </c>
      <c r="F12" s="40">
        <f t="shared" si="0"/>
        <v>7172</v>
      </c>
      <c r="G12" s="40">
        <f>일위대가목록!I7</f>
        <v>6572</v>
      </c>
      <c r="H12" s="40">
        <f t="shared" si="1"/>
        <v>72292</v>
      </c>
      <c r="I12" s="40">
        <f>일위대가목록!K7</f>
        <v>402</v>
      </c>
      <c r="J12" s="40">
        <f t="shared" si="2"/>
        <v>4422</v>
      </c>
      <c r="K12" s="40">
        <f t="shared" si="3"/>
        <v>7626</v>
      </c>
      <c r="L12" s="40">
        <f t="shared" si="4"/>
        <v>83886</v>
      </c>
      <c r="M12" s="49" t="s">
        <v>400</v>
      </c>
      <c r="O12" t="str">
        <f>""</f>
        <v/>
      </c>
      <c r="P12" s="34" t="s">
        <v>254</v>
      </c>
      <c r="Q12">
        <v>1</v>
      </c>
      <c r="R12">
        <f t="shared" si="5"/>
        <v>4422</v>
      </c>
      <c r="S12">
        <f t="shared" si="6"/>
        <v>0</v>
      </c>
      <c r="T12">
        <f t="shared" si="7"/>
        <v>0</v>
      </c>
      <c r="U12">
        <f t="shared" si="8"/>
        <v>0</v>
      </c>
      <c r="V12">
        <f t="shared" si="9"/>
        <v>0</v>
      </c>
      <c r="W12">
        <f t="shared" si="10"/>
        <v>0</v>
      </c>
      <c r="X12">
        <f t="shared" si="11"/>
        <v>0</v>
      </c>
      <c r="Y12">
        <f t="shared" si="12"/>
        <v>0</v>
      </c>
      <c r="Z12">
        <f t="shared" si="13"/>
        <v>0</v>
      </c>
      <c r="AA12">
        <f t="shared" si="14"/>
        <v>0</v>
      </c>
      <c r="AB12">
        <f t="shared" si="15"/>
        <v>0</v>
      </c>
      <c r="AC12">
        <f t="shared" si="16"/>
        <v>0</v>
      </c>
      <c r="AD12">
        <f t="shared" si="17"/>
        <v>0</v>
      </c>
      <c r="AE12">
        <f t="shared" si="18"/>
        <v>0</v>
      </c>
      <c r="AF12">
        <f t="shared" si="19"/>
        <v>0</v>
      </c>
      <c r="AG12">
        <f t="shared" si="20"/>
        <v>0</v>
      </c>
      <c r="AH12">
        <f t="shared" si="21"/>
        <v>0</v>
      </c>
      <c r="AI12">
        <f t="shared" si="22"/>
        <v>0</v>
      </c>
      <c r="AJ12">
        <f t="shared" si="23"/>
        <v>0</v>
      </c>
      <c r="AK12">
        <f t="shared" si="24"/>
        <v>0</v>
      </c>
      <c r="AL12">
        <f t="shared" si="25"/>
        <v>0</v>
      </c>
      <c r="AM12">
        <f t="shared" si="26"/>
        <v>0</v>
      </c>
      <c r="AN12">
        <f t="shared" si="27"/>
        <v>0</v>
      </c>
      <c r="AO12">
        <f t="shared" si="28"/>
        <v>0</v>
      </c>
      <c r="AP12">
        <f t="shared" si="29"/>
        <v>0</v>
      </c>
      <c r="AQ12">
        <f t="shared" si="30"/>
        <v>0</v>
      </c>
      <c r="AR12">
        <f t="shared" si="31"/>
        <v>0</v>
      </c>
      <c r="AS12">
        <f t="shared" si="32"/>
        <v>0</v>
      </c>
      <c r="AT12">
        <f t="shared" si="33"/>
        <v>0</v>
      </c>
      <c r="AU12">
        <f t="shared" si="34"/>
        <v>0</v>
      </c>
      <c r="AY12" s="34" t="s">
        <v>404</v>
      </c>
    </row>
    <row r="13" spans="1:51" ht="23.1" customHeight="1" x14ac:dyDescent="0.3">
      <c r="A13" s="37"/>
      <c r="B13" s="37"/>
      <c r="C13" s="38" t="s">
        <v>252</v>
      </c>
      <c r="D13" s="39"/>
      <c r="E13" s="40"/>
      <c r="F13" s="40">
        <f t="shared" si="0"/>
        <v>0</v>
      </c>
      <c r="G13" s="40"/>
      <c r="H13" s="40">
        <f t="shared" si="1"/>
        <v>0</v>
      </c>
      <c r="I13" s="40"/>
      <c r="J13" s="40">
        <f t="shared" si="2"/>
        <v>0</v>
      </c>
      <c r="K13" s="40">
        <f t="shared" si="3"/>
        <v>0</v>
      </c>
      <c r="L13" s="40">
        <f t="shared" si="4"/>
        <v>0</v>
      </c>
      <c r="M13" s="47"/>
      <c r="O13" t="str">
        <f>""</f>
        <v/>
      </c>
      <c r="Q13">
        <v>1</v>
      </c>
      <c r="R13">
        <f t="shared" si="5"/>
        <v>0</v>
      </c>
      <c r="S13">
        <f t="shared" si="6"/>
        <v>0</v>
      </c>
      <c r="T13">
        <f t="shared" si="7"/>
        <v>0</v>
      </c>
      <c r="U13">
        <f t="shared" si="8"/>
        <v>0</v>
      </c>
      <c r="V13">
        <f t="shared" si="9"/>
        <v>0</v>
      </c>
      <c r="W13">
        <f t="shared" si="10"/>
        <v>0</v>
      </c>
      <c r="X13">
        <f t="shared" si="11"/>
        <v>0</v>
      </c>
      <c r="Y13">
        <f t="shared" si="12"/>
        <v>0</v>
      </c>
      <c r="Z13">
        <f t="shared" si="13"/>
        <v>0</v>
      </c>
      <c r="AA13">
        <f t="shared" si="14"/>
        <v>0</v>
      </c>
      <c r="AB13">
        <f t="shared" si="15"/>
        <v>0</v>
      </c>
      <c r="AC13">
        <f t="shared" si="16"/>
        <v>0</v>
      </c>
      <c r="AD13">
        <f t="shared" si="17"/>
        <v>0</v>
      </c>
      <c r="AE13">
        <f t="shared" si="18"/>
        <v>0</v>
      </c>
      <c r="AF13">
        <f t="shared" si="19"/>
        <v>0</v>
      </c>
      <c r="AG13">
        <f t="shared" si="20"/>
        <v>0</v>
      </c>
      <c r="AH13">
        <f t="shared" si="21"/>
        <v>0</v>
      </c>
      <c r="AI13">
        <f t="shared" si="22"/>
        <v>0</v>
      </c>
      <c r="AJ13">
        <f t="shared" si="23"/>
        <v>0</v>
      </c>
      <c r="AK13">
        <f t="shared" si="24"/>
        <v>0</v>
      </c>
      <c r="AL13">
        <f t="shared" si="25"/>
        <v>0</v>
      </c>
      <c r="AM13">
        <f t="shared" si="26"/>
        <v>0</v>
      </c>
      <c r="AN13">
        <f t="shared" si="27"/>
        <v>0</v>
      </c>
      <c r="AO13">
        <f t="shared" si="28"/>
        <v>0</v>
      </c>
      <c r="AP13">
        <f t="shared" si="29"/>
        <v>0</v>
      </c>
      <c r="AQ13">
        <f t="shared" si="30"/>
        <v>0</v>
      </c>
      <c r="AR13">
        <f t="shared" si="31"/>
        <v>0</v>
      </c>
      <c r="AS13">
        <f t="shared" si="32"/>
        <v>0</v>
      </c>
      <c r="AT13">
        <f t="shared" si="33"/>
        <v>0</v>
      </c>
      <c r="AU13">
        <f t="shared" si="34"/>
        <v>0</v>
      </c>
    </row>
    <row r="14" spans="1:51" ht="23.1" customHeight="1" x14ac:dyDescent="0.3">
      <c r="A14" s="36" t="s">
        <v>109</v>
      </c>
      <c r="B14" s="36" t="s">
        <v>110</v>
      </c>
      <c r="C14" s="38" t="s">
        <v>64</v>
      </c>
      <c r="D14" s="39">
        <v>47</v>
      </c>
      <c r="E14" s="40">
        <f>단가대비표!O26</f>
        <v>1056</v>
      </c>
      <c r="F14" s="40">
        <f t="shared" si="0"/>
        <v>49632</v>
      </c>
      <c r="G14" s="40">
        <v>0</v>
      </c>
      <c r="H14" s="40">
        <f t="shared" si="1"/>
        <v>0</v>
      </c>
      <c r="I14" s="40">
        <v>0</v>
      </c>
      <c r="J14" s="40">
        <f t="shared" si="2"/>
        <v>0</v>
      </c>
      <c r="K14" s="40">
        <f t="shared" si="3"/>
        <v>1056</v>
      </c>
      <c r="L14" s="40">
        <f t="shared" si="4"/>
        <v>49632</v>
      </c>
      <c r="M14" s="49" t="s">
        <v>113</v>
      </c>
      <c r="O14" t="str">
        <f>"01"</f>
        <v>01</v>
      </c>
      <c r="P14" s="34" t="s">
        <v>254</v>
      </c>
      <c r="Q14">
        <v>1</v>
      </c>
      <c r="R14">
        <f t="shared" si="5"/>
        <v>0</v>
      </c>
      <c r="S14">
        <f t="shared" si="6"/>
        <v>0</v>
      </c>
      <c r="T14">
        <f t="shared" si="7"/>
        <v>0</v>
      </c>
      <c r="U14">
        <f t="shared" si="8"/>
        <v>0</v>
      </c>
      <c r="V14">
        <f t="shared" si="9"/>
        <v>0</v>
      </c>
      <c r="W14">
        <f t="shared" si="10"/>
        <v>0</v>
      </c>
      <c r="X14">
        <f t="shared" si="11"/>
        <v>0</v>
      </c>
      <c r="Y14">
        <f t="shared" si="12"/>
        <v>0</v>
      </c>
      <c r="Z14">
        <f t="shared" si="13"/>
        <v>0</v>
      </c>
      <c r="AA14">
        <f t="shared" si="14"/>
        <v>0</v>
      </c>
      <c r="AB14">
        <f t="shared" si="15"/>
        <v>0</v>
      </c>
      <c r="AC14">
        <f t="shared" si="16"/>
        <v>0</v>
      </c>
      <c r="AD14">
        <f t="shared" si="17"/>
        <v>0</v>
      </c>
      <c r="AE14">
        <f t="shared" si="18"/>
        <v>0</v>
      </c>
      <c r="AF14">
        <f t="shared" si="19"/>
        <v>0</v>
      </c>
      <c r="AG14">
        <f t="shared" si="20"/>
        <v>0</v>
      </c>
      <c r="AH14">
        <f t="shared" si="21"/>
        <v>0</v>
      </c>
      <c r="AI14">
        <f t="shared" si="22"/>
        <v>0</v>
      </c>
      <c r="AJ14">
        <f t="shared" si="23"/>
        <v>0</v>
      </c>
      <c r="AK14">
        <f t="shared" si="24"/>
        <v>0</v>
      </c>
      <c r="AL14">
        <f t="shared" si="25"/>
        <v>0</v>
      </c>
      <c r="AM14">
        <f t="shared" si="26"/>
        <v>0</v>
      </c>
      <c r="AN14">
        <f t="shared" si="27"/>
        <v>0</v>
      </c>
      <c r="AO14">
        <f t="shared" si="28"/>
        <v>0</v>
      </c>
      <c r="AP14">
        <f t="shared" si="29"/>
        <v>0</v>
      </c>
      <c r="AQ14">
        <f t="shared" si="30"/>
        <v>0</v>
      </c>
      <c r="AR14">
        <f t="shared" si="31"/>
        <v>0</v>
      </c>
      <c r="AS14">
        <f t="shared" si="32"/>
        <v>0</v>
      </c>
      <c r="AT14">
        <f t="shared" si="33"/>
        <v>0</v>
      </c>
      <c r="AU14">
        <f t="shared" si="34"/>
        <v>0</v>
      </c>
    </row>
    <row r="15" spans="1:51" ht="23.1" customHeight="1" x14ac:dyDescent="0.3">
      <c r="A15" s="36" t="s">
        <v>480</v>
      </c>
      <c r="B15" s="36" t="s">
        <v>481</v>
      </c>
      <c r="C15" s="38" t="s">
        <v>106</v>
      </c>
      <c r="D15" s="39">
        <v>7</v>
      </c>
      <c r="E15" s="40">
        <f>단가대비표!O25</f>
        <v>970</v>
      </c>
      <c r="F15" s="40">
        <f t="shared" si="0"/>
        <v>6790</v>
      </c>
      <c r="G15" s="40">
        <v>0</v>
      </c>
      <c r="H15" s="40">
        <f t="shared" si="1"/>
        <v>0</v>
      </c>
      <c r="I15" s="40">
        <v>0</v>
      </c>
      <c r="J15" s="40">
        <f t="shared" si="2"/>
        <v>0</v>
      </c>
      <c r="K15" s="40">
        <f t="shared" si="3"/>
        <v>970</v>
      </c>
      <c r="L15" s="40">
        <f t="shared" si="4"/>
        <v>6790</v>
      </c>
      <c r="M15" s="47"/>
      <c r="O15" t="str">
        <f>"01"</f>
        <v>01</v>
      </c>
      <c r="P15" s="34" t="s">
        <v>254</v>
      </c>
      <c r="Q15">
        <v>1</v>
      </c>
      <c r="R15">
        <f t="shared" si="5"/>
        <v>0</v>
      </c>
      <c r="S15">
        <f t="shared" si="6"/>
        <v>0</v>
      </c>
      <c r="T15">
        <f t="shared" si="7"/>
        <v>0</v>
      </c>
      <c r="U15">
        <f t="shared" si="8"/>
        <v>0</v>
      </c>
      <c r="V15">
        <f t="shared" si="9"/>
        <v>0</v>
      </c>
      <c r="W15">
        <f t="shared" si="10"/>
        <v>0</v>
      </c>
      <c r="X15">
        <f t="shared" si="11"/>
        <v>0</v>
      </c>
      <c r="Y15">
        <f t="shared" si="12"/>
        <v>0</v>
      </c>
      <c r="Z15">
        <f t="shared" si="13"/>
        <v>0</v>
      </c>
      <c r="AA15">
        <f t="shared" si="14"/>
        <v>0</v>
      </c>
      <c r="AB15">
        <f t="shared" si="15"/>
        <v>0</v>
      </c>
      <c r="AC15">
        <f t="shared" si="16"/>
        <v>0</v>
      </c>
      <c r="AD15">
        <f t="shared" si="17"/>
        <v>0</v>
      </c>
      <c r="AE15">
        <f t="shared" si="18"/>
        <v>0</v>
      </c>
      <c r="AF15">
        <f t="shared" si="19"/>
        <v>0</v>
      </c>
      <c r="AG15">
        <f t="shared" si="20"/>
        <v>0</v>
      </c>
      <c r="AH15">
        <f t="shared" si="21"/>
        <v>0</v>
      </c>
      <c r="AI15">
        <f t="shared" si="22"/>
        <v>0</v>
      </c>
      <c r="AJ15">
        <f t="shared" si="23"/>
        <v>0</v>
      </c>
      <c r="AK15">
        <f t="shared" si="24"/>
        <v>0</v>
      </c>
      <c r="AL15">
        <f t="shared" si="25"/>
        <v>0</v>
      </c>
      <c r="AM15">
        <f t="shared" si="26"/>
        <v>0</v>
      </c>
      <c r="AN15">
        <f t="shared" si="27"/>
        <v>0</v>
      </c>
      <c r="AO15">
        <f t="shared" si="28"/>
        <v>0</v>
      </c>
      <c r="AP15">
        <f t="shared" si="29"/>
        <v>0</v>
      </c>
      <c r="AQ15">
        <f t="shared" si="30"/>
        <v>0</v>
      </c>
      <c r="AR15">
        <f t="shared" si="31"/>
        <v>0</v>
      </c>
      <c r="AS15">
        <f t="shared" si="32"/>
        <v>0</v>
      </c>
      <c r="AT15">
        <f t="shared" si="33"/>
        <v>0</v>
      </c>
      <c r="AU15">
        <f t="shared" si="34"/>
        <v>0</v>
      </c>
    </row>
    <row r="16" spans="1:51" ht="23.1" customHeight="1" x14ac:dyDescent="0.3">
      <c r="A16" s="36" t="s">
        <v>66</v>
      </c>
      <c r="B16" s="36" t="s">
        <v>67</v>
      </c>
      <c r="C16" s="38" t="s">
        <v>40</v>
      </c>
      <c r="D16" s="39">
        <v>1</v>
      </c>
      <c r="E16" s="40">
        <f>단가대비표!O16</f>
        <v>206000</v>
      </c>
      <c r="F16" s="40">
        <f t="shared" si="0"/>
        <v>206000</v>
      </c>
      <c r="G16" s="40">
        <v>0</v>
      </c>
      <c r="H16" s="40">
        <f t="shared" si="1"/>
        <v>0</v>
      </c>
      <c r="I16" s="40">
        <v>0</v>
      </c>
      <c r="J16" s="40">
        <f t="shared" si="2"/>
        <v>0</v>
      </c>
      <c r="K16" s="40">
        <f t="shared" si="3"/>
        <v>206000</v>
      </c>
      <c r="L16" s="40">
        <f t="shared" si="4"/>
        <v>206000</v>
      </c>
      <c r="M16" s="49" t="s">
        <v>69</v>
      </c>
      <c r="O16" t="str">
        <f>"01"</f>
        <v>01</v>
      </c>
      <c r="P16" s="34" t="s">
        <v>254</v>
      </c>
      <c r="Q16">
        <v>1</v>
      </c>
      <c r="R16">
        <f t="shared" si="5"/>
        <v>0</v>
      </c>
      <c r="S16">
        <f t="shared" si="6"/>
        <v>0</v>
      </c>
      <c r="T16">
        <f t="shared" si="7"/>
        <v>0</v>
      </c>
      <c r="U16">
        <f t="shared" si="8"/>
        <v>0</v>
      </c>
      <c r="V16">
        <f t="shared" si="9"/>
        <v>0</v>
      </c>
      <c r="W16">
        <f t="shared" si="10"/>
        <v>0</v>
      </c>
      <c r="X16">
        <f t="shared" si="11"/>
        <v>0</v>
      </c>
      <c r="Y16">
        <f t="shared" si="12"/>
        <v>0</v>
      </c>
      <c r="Z16">
        <f t="shared" si="13"/>
        <v>0</v>
      </c>
      <c r="AA16">
        <f t="shared" si="14"/>
        <v>0</v>
      </c>
      <c r="AB16">
        <f t="shared" si="15"/>
        <v>0</v>
      </c>
      <c r="AC16">
        <f t="shared" si="16"/>
        <v>0</v>
      </c>
      <c r="AD16">
        <f t="shared" si="17"/>
        <v>0</v>
      </c>
      <c r="AE16">
        <f t="shared" si="18"/>
        <v>0</v>
      </c>
      <c r="AF16">
        <f t="shared" si="19"/>
        <v>0</v>
      </c>
      <c r="AG16">
        <f t="shared" si="20"/>
        <v>0</v>
      </c>
      <c r="AH16">
        <f t="shared" si="21"/>
        <v>0</v>
      </c>
      <c r="AI16">
        <f t="shared" si="22"/>
        <v>0</v>
      </c>
      <c r="AJ16">
        <f t="shared" si="23"/>
        <v>0</v>
      </c>
      <c r="AK16">
        <f t="shared" si="24"/>
        <v>0</v>
      </c>
      <c r="AL16">
        <f t="shared" si="25"/>
        <v>0</v>
      </c>
      <c r="AM16">
        <f t="shared" si="26"/>
        <v>0</v>
      </c>
      <c r="AN16">
        <f t="shared" si="27"/>
        <v>0</v>
      </c>
      <c r="AO16">
        <f t="shared" si="28"/>
        <v>0</v>
      </c>
      <c r="AP16">
        <f t="shared" si="29"/>
        <v>0</v>
      </c>
      <c r="AQ16">
        <f t="shared" si="30"/>
        <v>0</v>
      </c>
      <c r="AR16">
        <f t="shared" si="31"/>
        <v>0</v>
      </c>
      <c r="AS16">
        <f t="shared" si="32"/>
        <v>0</v>
      </c>
      <c r="AT16">
        <f t="shared" si="33"/>
        <v>0</v>
      </c>
      <c r="AU16">
        <f t="shared" si="34"/>
        <v>0</v>
      </c>
    </row>
    <row r="17" spans="1:51" ht="23.1" customHeight="1" x14ac:dyDescent="0.3">
      <c r="A17" s="36" t="s">
        <v>406</v>
      </c>
      <c r="B17" s="36" t="s">
        <v>407</v>
      </c>
      <c r="C17" s="38" t="s">
        <v>408</v>
      </c>
      <c r="D17" s="39">
        <v>7.4999999999999997E-2</v>
      </c>
      <c r="E17" s="40">
        <f>일위대가목록!G8</f>
        <v>554163</v>
      </c>
      <c r="F17" s="40">
        <f t="shared" si="0"/>
        <v>41562</v>
      </c>
      <c r="G17" s="40">
        <f>일위대가목록!I8</f>
        <v>6927045</v>
      </c>
      <c r="H17" s="40">
        <f t="shared" si="1"/>
        <v>519528</v>
      </c>
      <c r="I17" s="40">
        <f>일위대가목록!K8</f>
        <v>0</v>
      </c>
      <c r="J17" s="40">
        <f t="shared" si="2"/>
        <v>0</v>
      </c>
      <c r="K17" s="40">
        <f t="shared" si="3"/>
        <v>7481208</v>
      </c>
      <c r="L17" s="40">
        <f t="shared" si="4"/>
        <v>561090</v>
      </c>
      <c r="M17" s="49" t="s">
        <v>405</v>
      </c>
      <c r="O17" t="str">
        <f>""</f>
        <v/>
      </c>
      <c r="P17" s="34" t="s">
        <v>254</v>
      </c>
      <c r="Q17">
        <v>1</v>
      </c>
      <c r="R17">
        <f t="shared" si="5"/>
        <v>0</v>
      </c>
      <c r="S17">
        <f t="shared" si="6"/>
        <v>0</v>
      </c>
      <c r="T17">
        <f t="shared" si="7"/>
        <v>0</v>
      </c>
      <c r="U17">
        <f t="shared" si="8"/>
        <v>0</v>
      </c>
      <c r="V17">
        <f t="shared" si="9"/>
        <v>0</v>
      </c>
      <c r="W17">
        <f t="shared" si="10"/>
        <v>0</v>
      </c>
      <c r="X17">
        <f t="shared" si="11"/>
        <v>0</v>
      </c>
      <c r="Y17">
        <f t="shared" si="12"/>
        <v>0</v>
      </c>
      <c r="Z17">
        <f t="shared" si="13"/>
        <v>0</v>
      </c>
      <c r="AA17">
        <f t="shared" si="14"/>
        <v>0</v>
      </c>
      <c r="AB17">
        <f t="shared" si="15"/>
        <v>0</v>
      </c>
      <c r="AC17">
        <f t="shared" si="16"/>
        <v>0</v>
      </c>
      <c r="AD17">
        <f t="shared" si="17"/>
        <v>0</v>
      </c>
      <c r="AE17">
        <f t="shared" si="18"/>
        <v>0</v>
      </c>
      <c r="AF17">
        <f t="shared" si="19"/>
        <v>0</v>
      </c>
      <c r="AG17">
        <f t="shared" si="20"/>
        <v>0</v>
      </c>
      <c r="AH17">
        <f t="shared" si="21"/>
        <v>0</v>
      </c>
      <c r="AI17">
        <f t="shared" si="22"/>
        <v>0</v>
      </c>
      <c r="AJ17">
        <f t="shared" si="23"/>
        <v>0</v>
      </c>
      <c r="AK17">
        <f t="shared" si="24"/>
        <v>0</v>
      </c>
      <c r="AL17">
        <f t="shared" si="25"/>
        <v>0</v>
      </c>
      <c r="AM17">
        <f t="shared" si="26"/>
        <v>0</v>
      </c>
      <c r="AN17">
        <f t="shared" si="27"/>
        <v>0</v>
      </c>
      <c r="AO17">
        <f t="shared" si="28"/>
        <v>0</v>
      </c>
      <c r="AP17">
        <f t="shared" si="29"/>
        <v>0</v>
      </c>
      <c r="AQ17">
        <f t="shared" si="30"/>
        <v>0</v>
      </c>
      <c r="AR17">
        <f t="shared" si="31"/>
        <v>0</v>
      </c>
      <c r="AS17">
        <f t="shared" si="32"/>
        <v>0</v>
      </c>
      <c r="AT17">
        <f t="shared" si="33"/>
        <v>0</v>
      </c>
      <c r="AU17">
        <f t="shared" si="34"/>
        <v>0</v>
      </c>
      <c r="AY17" s="34" t="s">
        <v>409</v>
      </c>
    </row>
    <row r="18" spans="1:51" ht="23.1" customHeight="1" x14ac:dyDescent="0.3">
      <c r="A18" s="36" t="s">
        <v>482</v>
      </c>
      <c r="B18" s="36" t="s">
        <v>46</v>
      </c>
      <c r="C18" s="38" t="s">
        <v>47</v>
      </c>
      <c r="D18" s="39">
        <v>18</v>
      </c>
      <c r="E18" s="40">
        <f>단가대비표!O12</f>
        <v>5900</v>
      </c>
      <c r="F18" s="40">
        <f t="shared" si="0"/>
        <v>106200</v>
      </c>
      <c r="G18" s="40">
        <v>0</v>
      </c>
      <c r="H18" s="40">
        <f t="shared" si="1"/>
        <v>0</v>
      </c>
      <c r="I18" s="40">
        <v>0</v>
      </c>
      <c r="J18" s="40">
        <f t="shared" si="2"/>
        <v>0</v>
      </c>
      <c r="K18" s="40">
        <f t="shared" si="3"/>
        <v>5900</v>
      </c>
      <c r="L18" s="40">
        <f t="shared" si="4"/>
        <v>106200</v>
      </c>
      <c r="M18" s="47"/>
      <c r="O18" t="str">
        <f>"01"</f>
        <v>01</v>
      </c>
      <c r="P18" s="34" t="s">
        <v>254</v>
      </c>
      <c r="Q18">
        <v>1</v>
      </c>
      <c r="R18">
        <f t="shared" si="5"/>
        <v>0</v>
      </c>
      <c r="S18">
        <f t="shared" si="6"/>
        <v>0</v>
      </c>
      <c r="T18">
        <f t="shared" si="7"/>
        <v>0</v>
      </c>
      <c r="U18">
        <f t="shared" si="8"/>
        <v>0</v>
      </c>
      <c r="V18">
        <f t="shared" si="9"/>
        <v>0</v>
      </c>
      <c r="W18">
        <f t="shared" si="10"/>
        <v>0</v>
      </c>
      <c r="X18">
        <f t="shared" si="11"/>
        <v>0</v>
      </c>
      <c r="Y18">
        <f t="shared" si="12"/>
        <v>0</v>
      </c>
      <c r="Z18">
        <f t="shared" si="13"/>
        <v>0</v>
      </c>
      <c r="AA18">
        <f t="shared" si="14"/>
        <v>0</v>
      </c>
      <c r="AB18">
        <f t="shared" si="15"/>
        <v>0</v>
      </c>
      <c r="AC18">
        <f t="shared" si="16"/>
        <v>0</v>
      </c>
      <c r="AD18">
        <f t="shared" si="17"/>
        <v>0</v>
      </c>
      <c r="AE18">
        <f t="shared" si="18"/>
        <v>0</v>
      </c>
      <c r="AF18">
        <f t="shared" si="19"/>
        <v>0</v>
      </c>
      <c r="AG18">
        <f t="shared" si="20"/>
        <v>0</v>
      </c>
      <c r="AH18">
        <f t="shared" si="21"/>
        <v>0</v>
      </c>
      <c r="AI18">
        <f t="shared" si="22"/>
        <v>0</v>
      </c>
      <c r="AJ18">
        <f t="shared" si="23"/>
        <v>0</v>
      </c>
      <c r="AK18">
        <f t="shared" si="24"/>
        <v>0</v>
      </c>
      <c r="AL18">
        <f t="shared" si="25"/>
        <v>0</v>
      </c>
      <c r="AM18">
        <f t="shared" si="26"/>
        <v>0</v>
      </c>
      <c r="AN18">
        <f t="shared" si="27"/>
        <v>0</v>
      </c>
      <c r="AO18">
        <f t="shared" si="28"/>
        <v>0</v>
      </c>
      <c r="AP18">
        <f t="shared" si="29"/>
        <v>0</v>
      </c>
      <c r="AQ18">
        <f t="shared" si="30"/>
        <v>0</v>
      </c>
      <c r="AR18">
        <f t="shared" si="31"/>
        <v>0</v>
      </c>
      <c r="AS18">
        <f t="shared" si="32"/>
        <v>0</v>
      </c>
      <c r="AT18">
        <f t="shared" si="33"/>
        <v>0</v>
      </c>
      <c r="AU18">
        <f t="shared" si="34"/>
        <v>0</v>
      </c>
    </row>
    <row r="19" spans="1:51" ht="23.1" customHeight="1" x14ac:dyDescent="0.3">
      <c r="A19" s="36" t="s">
        <v>483</v>
      </c>
      <c r="B19" s="36" t="s">
        <v>412</v>
      </c>
      <c r="C19" s="38" t="s">
        <v>345</v>
      </c>
      <c r="D19" s="39">
        <v>1</v>
      </c>
      <c r="E19" s="40">
        <f>일위대가목록!G9</f>
        <v>0</v>
      </c>
      <c r="F19" s="40">
        <f t="shared" si="0"/>
        <v>0</v>
      </c>
      <c r="G19" s="40">
        <f>일위대가목록!I9</f>
        <v>586879</v>
      </c>
      <c r="H19" s="40">
        <f t="shared" si="1"/>
        <v>586879</v>
      </c>
      <c r="I19" s="40">
        <f>일위대가목록!K9</f>
        <v>0</v>
      </c>
      <c r="J19" s="40">
        <f t="shared" si="2"/>
        <v>0</v>
      </c>
      <c r="K19" s="40">
        <f t="shared" si="3"/>
        <v>586879</v>
      </c>
      <c r="L19" s="40">
        <f t="shared" si="4"/>
        <v>586879</v>
      </c>
      <c r="M19" s="49" t="s">
        <v>410</v>
      </c>
      <c r="O19" t="str">
        <f>""</f>
        <v/>
      </c>
      <c r="P19" s="34" t="s">
        <v>254</v>
      </c>
      <c r="Q19">
        <v>1</v>
      </c>
      <c r="R19">
        <f t="shared" si="5"/>
        <v>0</v>
      </c>
      <c r="S19">
        <f t="shared" si="6"/>
        <v>0</v>
      </c>
      <c r="T19">
        <f t="shared" si="7"/>
        <v>0</v>
      </c>
      <c r="U19">
        <f t="shared" si="8"/>
        <v>0</v>
      </c>
      <c r="V19">
        <f t="shared" si="9"/>
        <v>0</v>
      </c>
      <c r="W19">
        <f t="shared" si="10"/>
        <v>0</v>
      </c>
      <c r="X19">
        <f t="shared" si="11"/>
        <v>0</v>
      </c>
      <c r="Y19">
        <f t="shared" si="12"/>
        <v>0</v>
      </c>
      <c r="Z19">
        <f t="shared" si="13"/>
        <v>0</v>
      </c>
      <c r="AA19">
        <f t="shared" si="14"/>
        <v>0</v>
      </c>
      <c r="AB19">
        <f t="shared" si="15"/>
        <v>0</v>
      </c>
      <c r="AC19">
        <f t="shared" si="16"/>
        <v>0</v>
      </c>
      <c r="AD19">
        <f t="shared" si="17"/>
        <v>0</v>
      </c>
      <c r="AE19">
        <f t="shared" si="18"/>
        <v>0</v>
      </c>
      <c r="AF19">
        <f t="shared" si="19"/>
        <v>0</v>
      </c>
      <c r="AG19">
        <f t="shared" si="20"/>
        <v>0</v>
      </c>
      <c r="AH19">
        <f t="shared" si="21"/>
        <v>0</v>
      </c>
      <c r="AI19">
        <f t="shared" si="22"/>
        <v>0</v>
      </c>
      <c r="AJ19">
        <f t="shared" si="23"/>
        <v>0</v>
      </c>
      <c r="AK19">
        <f t="shared" si="24"/>
        <v>0</v>
      </c>
      <c r="AL19">
        <f t="shared" si="25"/>
        <v>0</v>
      </c>
      <c r="AM19">
        <f t="shared" si="26"/>
        <v>0</v>
      </c>
      <c r="AN19">
        <f t="shared" si="27"/>
        <v>0</v>
      </c>
      <c r="AO19">
        <f t="shared" si="28"/>
        <v>0</v>
      </c>
      <c r="AP19">
        <f t="shared" si="29"/>
        <v>0</v>
      </c>
      <c r="AQ19">
        <f t="shared" si="30"/>
        <v>0</v>
      </c>
      <c r="AR19">
        <f t="shared" si="31"/>
        <v>0</v>
      </c>
      <c r="AS19">
        <f t="shared" si="32"/>
        <v>0</v>
      </c>
      <c r="AT19">
        <f t="shared" si="33"/>
        <v>0</v>
      </c>
      <c r="AU19">
        <f t="shared" si="34"/>
        <v>0</v>
      </c>
    </row>
    <row r="20" spans="1:51" ht="23.1" customHeight="1" x14ac:dyDescent="0.3">
      <c r="A20" s="37"/>
      <c r="B20" s="37"/>
      <c r="C20" s="38" t="s">
        <v>252</v>
      </c>
      <c r="D20" s="39"/>
      <c r="E20" s="40"/>
      <c r="F20" s="40">
        <f t="shared" si="0"/>
        <v>0</v>
      </c>
      <c r="G20" s="40"/>
      <c r="H20" s="40">
        <f t="shared" si="1"/>
        <v>0</v>
      </c>
      <c r="I20" s="40"/>
      <c r="J20" s="40">
        <f t="shared" si="2"/>
        <v>0</v>
      </c>
      <c r="K20" s="40">
        <f t="shared" si="3"/>
        <v>0</v>
      </c>
      <c r="L20" s="40">
        <f t="shared" si="4"/>
        <v>0</v>
      </c>
      <c r="M20" s="47"/>
      <c r="O20" t="str">
        <f>""</f>
        <v/>
      </c>
      <c r="Q20">
        <v>1</v>
      </c>
      <c r="R20">
        <f t="shared" si="5"/>
        <v>0</v>
      </c>
      <c r="S20">
        <f t="shared" si="6"/>
        <v>0</v>
      </c>
      <c r="T20">
        <f t="shared" si="7"/>
        <v>0</v>
      </c>
      <c r="U20">
        <f t="shared" si="8"/>
        <v>0</v>
      </c>
      <c r="V20">
        <f t="shared" si="9"/>
        <v>0</v>
      </c>
      <c r="W20">
        <f t="shared" si="10"/>
        <v>0</v>
      </c>
      <c r="X20">
        <f t="shared" si="11"/>
        <v>0</v>
      </c>
      <c r="Y20">
        <f t="shared" si="12"/>
        <v>0</v>
      </c>
      <c r="Z20">
        <f t="shared" si="13"/>
        <v>0</v>
      </c>
      <c r="AA20">
        <f t="shared" si="14"/>
        <v>0</v>
      </c>
      <c r="AB20">
        <f t="shared" si="15"/>
        <v>0</v>
      </c>
      <c r="AC20">
        <f t="shared" si="16"/>
        <v>0</v>
      </c>
      <c r="AD20">
        <f t="shared" si="17"/>
        <v>0</v>
      </c>
      <c r="AE20">
        <f t="shared" si="18"/>
        <v>0</v>
      </c>
      <c r="AF20">
        <f t="shared" si="19"/>
        <v>0</v>
      </c>
      <c r="AG20">
        <f t="shared" si="20"/>
        <v>0</v>
      </c>
      <c r="AH20">
        <f t="shared" si="21"/>
        <v>0</v>
      </c>
      <c r="AI20">
        <f t="shared" si="22"/>
        <v>0</v>
      </c>
      <c r="AJ20">
        <f t="shared" si="23"/>
        <v>0</v>
      </c>
      <c r="AK20">
        <f t="shared" si="24"/>
        <v>0</v>
      </c>
      <c r="AL20">
        <f t="shared" si="25"/>
        <v>0</v>
      </c>
      <c r="AM20">
        <f t="shared" si="26"/>
        <v>0</v>
      </c>
      <c r="AN20">
        <f t="shared" si="27"/>
        <v>0</v>
      </c>
      <c r="AO20">
        <f t="shared" si="28"/>
        <v>0</v>
      </c>
      <c r="AP20">
        <f t="shared" si="29"/>
        <v>0</v>
      </c>
      <c r="AQ20">
        <f t="shared" si="30"/>
        <v>0</v>
      </c>
      <c r="AR20">
        <f t="shared" si="31"/>
        <v>0</v>
      </c>
      <c r="AS20">
        <f t="shared" si="32"/>
        <v>0</v>
      </c>
      <c r="AT20">
        <f t="shared" si="33"/>
        <v>0</v>
      </c>
      <c r="AU20">
        <f t="shared" si="34"/>
        <v>0</v>
      </c>
    </row>
    <row r="21" spans="1:51" ht="23.1" customHeight="1" x14ac:dyDescent="0.3">
      <c r="A21" s="36" t="s">
        <v>168</v>
      </c>
      <c r="B21" s="36" t="s">
        <v>291</v>
      </c>
      <c r="C21" s="38" t="s">
        <v>292</v>
      </c>
      <c r="D21" s="39">
        <v>24</v>
      </c>
      <c r="E21" s="40">
        <f>중기경비목록!G5</f>
        <v>11506</v>
      </c>
      <c r="F21" s="40">
        <f t="shared" si="0"/>
        <v>276144</v>
      </c>
      <c r="G21" s="40">
        <f>중기경비목록!I5</f>
        <v>59020</v>
      </c>
      <c r="H21" s="40">
        <f t="shared" si="1"/>
        <v>1416480</v>
      </c>
      <c r="I21" s="40">
        <f>중기경비목록!K5</f>
        <v>15800</v>
      </c>
      <c r="J21" s="40">
        <f t="shared" si="2"/>
        <v>379200</v>
      </c>
      <c r="K21" s="40">
        <f t="shared" si="3"/>
        <v>86326</v>
      </c>
      <c r="L21" s="40">
        <f t="shared" si="4"/>
        <v>2071824</v>
      </c>
      <c r="M21" s="49" t="s">
        <v>290</v>
      </c>
      <c r="O21" t="str">
        <f>""</f>
        <v/>
      </c>
      <c r="P21" s="34" t="s">
        <v>254</v>
      </c>
      <c r="Q21">
        <v>1</v>
      </c>
      <c r="R21">
        <f t="shared" si="5"/>
        <v>379200</v>
      </c>
      <c r="S21">
        <f t="shared" si="6"/>
        <v>0</v>
      </c>
      <c r="T21">
        <f t="shared" si="7"/>
        <v>0</v>
      </c>
      <c r="U21">
        <f t="shared" si="8"/>
        <v>0</v>
      </c>
      <c r="V21">
        <f t="shared" si="9"/>
        <v>0</v>
      </c>
      <c r="W21">
        <f t="shared" si="10"/>
        <v>0</v>
      </c>
      <c r="X21">
        <f t="shared" si="11"/>
        <v>0</v>
      </c>
      <c r="Y21">
        <f t="shared" si="12"/>
        <v>0</v>
      </c>
      <c r="Z21">
        <f t="shared" si="13"/>
        <v>0</v>
      </c>
      <c r="AA21">
        <f t="shared" si="14"/>
        <v>0</v>
      </c>
      <c r="AB21">
        <f t="shared" si="15"/>
        <v>0</v>
      </c>
      <c r="AC21">
        <f t="shared" si="16"/>
        <v>0</v>
      </c>
      <c r="AD21">
        <f t="shared" si="17"/>
        <v>0</v>
      </c>
      <c r="AE21">
        <f t="shared" si="18"/>
        <v>0</v>
      </c>
      <c r="AF21">
        <f t="shared" si="19"/>
        <v>0</v>
      </c>
      <c r="AG21">
        <f t="shared" si="20"/>
        <v>0</v>
      </c>
      <c r="AH21">
        <f t="shared" si="21"/>
        <v>0</v>
      </c>
      <c r="AI21">
        <f t="shared" si="22"/>
        <v>0</v>
      </c>
      <c r="AJ21">
        <f t="shared" si="23"/>
        <v>0</v>
      </c>
      <c r="AK21">
        <f t="shared" si="24"/>
        <v>0</v>
      </c>
      <c r="AL21">
        <f t="shared" si="25"/>
        <v>0</v>
      </c>
      <c r="AM21">
        <f t="shared" si="26"/>
        <v>0</v>
      </c>
      <c r="AN21">
        <f t="shared" si="27"/>
        <v>0</v>
      </c>
      <c r="AO21">
        <f t="shared" si="28"/>
        <v>0</v>
      </c>
      <c r="AP21">
        <f t="shared" si="29"/>
        <v>0</v>
      </c>
      <c r="AQ21">
        <f t="shared" si="30"/>
        <v>0</v>
      </c>
      <c r="AR21">
        <f t="shared" si="31"/>
        <v>0</v>
      </c>
      <c r="AS21">
        <f t="shared" si="32"/>
        <v>0</v>
      </c>
      <c r="AT21">
        <f t="shared" si="33"/>
        <v>0</v>
      </c>
      <c r="AU21">
        <f t="shared" si="34"/>
        <v>0</v>
      </c>
    </row>
    <row r="22" spans="1:51" ht="23.1" customHeight="1" x14ac:dyDescent="0.3">
      <c r="A22" s="37"/>
      <c r="B22" s="37"/>
      <c r="C22" s="46"/>
      <c r="D22" s="47"/>
      <c r="E22" s="47"/>
      <c r="F22" s="47"/>
      <c r="G22" s="47"/>
      <c r="H22" s="47"/>
      <c r="I22" s="47"/>
      <c r="J22" s="47"/>
      <c r="K22" s="47"/>
      <c r="L22" s="47"/>
      <c r="M22" s="47"/>
    </row>
    <row r="23" spans="1:51" ht="23.1" customHeight="1" x14ac:dyDescent="0.3">
      <c r="A23" s="37"/>
      <c r="B23" s="37"/>
      <c r="C23" s="46"/>
      <c r="D23" s="47"/>
      <c r="E23" s="47"/>
      <c r="F23" s="47"/>
      <c r="G23" s="47"/>
      <c r="H23" s="47"/>
      <c r="I23" s="47"/>
      <c r="J23" s="47"/>
      <c r="K23" s="47"/>
      <c r="L23" s="47"/>
      <c r="M23" s="47"/>
    </row>
    <row r="24" spans="1:51" ht="23.1" customHeight="1" x14ac:dyDescent="0.3">
      <c r="A24" s="37"/>
      <c r="B24" s="37"/>
      <c r="C24" s="46"/>
      <c r="D24" s="47"/>
      <c r="E24" s="47"/>
      <c r="F24" s="47"/>
      <c r="G24" s="47"/>
      <c r="H24" s="47"/>
      <c r="I24" s="47"/>
      <c r="J24" s="47"/>
      <c r="K24" s="47"/>
      <c r="L24" s="47"/>
      <c r="M24" s="47"/>
    </row>
    <row r="25" spans="1:51" ht="23.1" customHeight="1" x14ac:dyDescent="0.3">
      <c r="A25" s="37"/>
      <c r="B25" s="37"/>
      <c r="C25" s="46"/>
      <c r="D25" s="47"/>
      <c r="E25" s="47"/>
      <c r="F25" s="47"/>
      <c r="G25" s="47"/>
      <c r="H25" s="47"/>
      <c r="I25" s="47"/>
      <c r="J25" s="47"/>
      <c r="K25" s="47"/>
      <c r="L25" s="47"/>
      <c r="M25" s="47"/>
    </row>
    <row r="26" spans="1:51" ht="23.1" customHeight="1" x14ac:dyDescent="0.3">
      <c r="A26" s="37"/>
      <c r="B26" s="37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</row>
    <row r="27" spans="1:51" ht="23.1" customHeight="1" x14ac:dyDescent="0.3">
      <c r="A27" s="37"/>
      <c r="B27" s="37"/>
      <c r="C27" s="46"/>
      <c r="D27" s="47"/>
      <c r="E27" s="47"/>
      <c r="F27" s="47"/>
      <c r="G27" s="47"/>
      <c r="H27" s="47"/>
      <c r="I27" s="47"/>
      <c r="J27" s="47"/>
      <c r="K27" s="47"/>
      <c r="L27" s="47"/>
      <c r="M27" s="47"/>
    </row>
    <row r="28" spans="1:51" ht="23.1" customHeight="1" x14ac:dyDescent="0.3">
      <c r="A28" s="37"/>
      <c r="B28" s="37"/>
      <c r="C28" s="46"/>
      <c r="D28" s="47"/>
      <c r="E28" s="47"/>
      <c r="F28" s="47"/>
      <c r="G28" s="47"/>
      <c r="H28" s="47"/>
      <c r="I28" s="47"/>
      <c r="J28" s="47"/>
      <c r="K28" s="47"/>
      <c r="L28" s="47"/>
      <c r="M28" s="47"/>
    </row>
    <row r="29" spans="1:51" ht="23.1" customHeight="1" x14ac:dyDescent="0.3">
      <c r="A29" s="37"/>
      <c r="B29" s="37"/>
      <c r="C29" s="46"/>
      <c r="D29" s="47"/>
      <c r="E29" s="47"/>
      <c r="F29" s="47"/>
      <c r="G29" s="47"/>
      <c r="H29" s="47"/>
      <c r="I29" s="47"/>
      <c r="J29" s="47"/>
      <c r="K29" s="47"/>
      <c r="L29" s="47"/>
      <c r="M29" s="47"/>
    </row>
    <row r="30" spans="1:51" ht="23.1" customHeight="1" x14ac:dyDescent="0.3">
      <c r="A30" s="37"/>
      <c r="B30" s="37"/>
      <c r="C30" s="46"/>
      <c r="D30" s="47"/>
      <c r="E30" s="47"/>
      <c r="F30" s="47"/>
      <c r="G30" s="47"/>
      <c r="H30" s="47"/>
      <c r="I30" s="47"/>
      <c r="J30" s="47"/>
      <c r="K30" s="47"/>
      <c r="L30" s="47"/>
      <c r="M30" s="47"/>
    </row>
    <row r="31" spans="1:51" ht="23.1" customHeight="1" x14ac:dyDescent="0.3">
      <c r="A31" s="37"/>
      <c r="B31" s="37"/>
      <c r="C31" s="46"/>
      <c r="D31" s="47"/>
      <c r="E31" s="47"/>
      <c r="F31" s="47"/>
      <c r="G31" s="47"/>
      <c r="H31" s="47"/>
      <c r="I31" s="47"/>
      <c r="J31" s="47"/>
      <c r="K31" s="47"/>
      <c r="L31" s="47"/>
      <c r="M31" s="47"/>
    </row>
    <row r="32" spans="1:51" ht="23.1" customHeight="1" x14ac:dyDescent="0.3">
      <c r="A32" s="37"/>
      <c r="B32" s="37"/>
      <c r="C32" s="46"/>
      <c r="D32" s="47"/>
      <c r="E32" s="47"/>
      <c r="F32" s="47"/>
      <c r="G32" s="47"/>
      <c r="H32" s="47"/>
      <c r="I32" s="47"/>
      <c r="J32" s="47"/>
      <c r="K32" s="47"/>
      <c r="L32" s="47"/>
      <c r="M32" s="47"/>
    </row>
    <row r="33" spans="1:51" ht="23.1" customHeight="1" x14ac:dyDescent="0.3">
      <c r="A33" s="37"/>
      <c r="B33" s="37"/>
      <c r="C33" s="46"/>
      <c r="D33" s="47"/>
      <c r="E33" s="47"/>
      <c r="F33" s="47"/>
      <c r="G33" s="47"/>
      <c r="H33" s="47"/>
      <c r="I33" s="47"/>
      <c r="J33" s="47"/>
      <c r="K33" s="47"/>
      <c r="L33" s="47"/>
      <c r="M33" s="47"/>
    </row>
    <row r="34" spans="1:51" ht="23.1" customHeight="1" x14ac:dyDescent="0.3">
      <c r="A34" s="37"/>
      <c r="B34" s="37"/>
      <c r="C34" s="46"/>
      <c r="D34" s="47"/>
      <c r="E34" s="47"/>
      <c r="F34" s="47"/>
      <c r="G34" s="47"/>
      <c r="H34" s="47"/>
      <c r="I34" s="47"/>
      <c r="J34" s="47"/>
      <c r="K34" s="47"/>
      <c r="L34" s="47"/>
      <c r="M34" s="47"/>
    </row>
    <row r="35" spans="1:51" ht="23.1" customHeight="1" x14ac:dyDescent="0.3">
      <c r="A35" s="37"/>
      <c r="B35" s="37"/>
      <c r="C35" s="46"/>
      <c r="D35" s="47"/>
      <c r="E35" s="47"/>
      <c r="F35" s="47"/>
      <c r="G35" s="47"/>
      <c r="H35" s="47"/>
      <c r="I35" s="47"/>
      <c r="J35" s="47"/>
      <c r="K35" s="47"/>
      <c r="L35" s="47"/>
      <c r="M35" s="47"/>
    </row>
    <row r="36" spans="1:51" ht="23.1" customHeight="1" x14ac:dyDescent="0.3">
      <c r="A36" s="41" t="s">
        <v>216</v>
      </c>
      <c r="B36" s="42"/>
      <c r="C36" s="43"/>
      <c r="D36" s="44"/>
      <c r="E36" s="44"/>
      <c r="F36" s="45">
        <f>ROUNDDOWN(SUMIF(Q6:Q35, "1", F6:F35), 0)</f>
        <v>1846212</v>
      </c>
      <c r="G36" s="44"/>
      <c r="H36" s="45">
        <f>ROUNDDOWN(SUMIF(Q6:Q35, "1", H6:H35), 0)</f>
        <v>4503871</v>
      </c>
      <c r="I36" s="44"/>
      <c r="J36" s="45">
        <f>ROUNDDOWN(SUMIF(Q6:Q35, "1", J6:J35), 0)</f>
        <v>409952</v>
      </c>
      <c r="K36" s="44"/>
      <c r="L36" s="45">
        <f>F36+H36+J36</f>
        <v>6760035</v>
      </c>
      <c r="M36" s="44"/>
      <c r="R36">
        <f t="shared" ref="R36:AY36" si="35">ROUNDDOWN(SUM(R6:R21), 0)</f>
        <v>409952</v>
      </c>
      <c r="S36">
        <f t="shared" si="35"/>
        <v>0</v>
      </c>
      <c r="T36">
        <f t="shared" si="35"/>
        <v>0</v>
      </c>
      <c r="U36">
        <f t="shared" si="35"/>
        <v>0</v>
      </c>
      <c r="V36">
        <f t="shared" si="35"/>
        <v>0</v>
      </c>
      <c r="W36">
        <f t="shared" si="35"/>
        <v>0</v>
      </c>
      <c r="X36">
        <f t="shared" si="35"/>
        <v>0</v>
      </c>
      <c r="Y36">
        <f t="shared" si="35"/>
        <v>0</v>
      </c>
      <c r="Z36">
        <f t="shared" si="35"/>
        <v>0</v>
      </c>
      <c r="AA36">
        <f t="shared" si="35"/>
        <v>0</v>
      </c>
      <c r="AB36">
        <f t="shared" si="35"/>
        <v>0</v>
      </c>
      <c r="AC36">
        <f t="shared" si="35"/>
        <v>0</v>
      </c>
      <c r="AD36">
        <f t="shared" si="35"/>
        <v>0</v>
      </c>
      <c r="AE36">
        <f t="shared" si="35"/>
        <v>0</v>
      </c>
      <c r="AF36">
        <f t="shared" si="35"/>
        <v>0</v>
      </c>
      <c r="AG36">
        <f t="shared" si="35"/>
        <v>0</v>
      </c>
      <c r="AH36">
        <f t="shared" si="35"/>
        <v>0</v>
      </c>
      <c r="AI36">
        <f t="shared" si="35"/>
        <v>0</v>
      </c>
      <c r="AJ36">
        <f t="shared" si="35"/>
        <v>0</v>
      </c>
      <c r="AK36">
        <f t="shared" si="35"/>
        <v>0</v>
      </c>
      <c r="AL36">
        <f t="shared" si="35"/>
        <v>0</v>
      </c>
      <c r="AM36">
        <f t="shared" si="35"/>
        <v>0</v>
      </c>
      <c r="AN36">
        <f t="shared" si="35"/>
        <v>0</v>
      </c>
      <c r="AO36">
        <f t="shared" si="35"/>
        <v>0</v>
      </c>
      <c r="AP36">
        <f t="shared" si="35"/>
        <v>0</v>
      </c>
      <c r="AQ36">
        <f t="shared" si="35"/>
        <v>0</v>
      </c>
      <c r="AR36">
        <f t="shared" si="35"/>
        <v>0</v>
      </c>
      <c r="AS36">
        <f t="shared" si="35"/>
        <v>0</v>
      </c>
      <c r="AT36">
        <f t="shared" si="35"/>
        <v>0</v>
      </c>
      <c r="AU36">
        <f t="shared" si="35"/>
        <v>0</v>
      </c>
      <c r="AV36">
        <f t="shared" si="35"/>
        <v>0</v>
      </c>
      <c r="AW36">
        <f t="shared" si="35"/>
        <v>0</v>
      </c>
      <c r="AX36">
        <f t="shared" si="35"/>
        <v>0</v>
      </c>
      <c r="AY36">
        <f t="shared" si="35"/>
        <v>0</v>
      </c>
    </row>
    <row r="37" spans="1:51" ht="23.1" customHeight="1" x14ac:dyDescent="0.3">
      <c r="A37" s="175" t="s">
        <v>484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</row>
    <row r="38" spans="1:51" ht="23.1" customHeight="1" x14ac:dyDescent="0.3">
      <c r="A38" s="36" t="s">
        <v>212</v>
      </c>
      <c r="B38" s="36" t="s">
        <v>414</v>
      </c>
      <c r="C38" s="38" t="s">
        <v>19</v>
      </c>
      <c r="D38" s="39">
        <v>125</v>
      </c>
      <c r="E38" s="40">
        <f>일위대가목록!G10</f>
        <v>952</v>
      </c>
      <c r="F38" s="40">
        <f t="shared" ref="F38:F51" si="36">ROUNDDOWN(D38*E38, 0)</f>
        <v>119000</v>
      </c>
      <c r="G38" s="40">
        <f>일위대가목록!I10</f>
        <v>5215</v>
      </c>
      <c r="H38" s="40">
        <f t="shared" ref="H38:H51" si="37">ROUNDDOWN(D38*G38, 0)</f>
        <v>651875</v>
      </c>
      <c r="I38" s="40">
        <f>일위대가목록!K10</f>
        <v>0</v>
      </c>
      <c r="J38" s="40">
        <f t="shared" ref="J38:J51" si="38">ROUNDDOWN(D38*I38, 0)</f>
        <v>0</v>
      </c>
      <c r="K38" s="40">
        <f t="shared" ref="K38:K51" si="39">E38+G38+I38</f>
        <v>6167</v>
      </c>
      <c r="L38" s="40">
        <f t="shared" ref="L38:L51" si="40">F38+H38+J38</f>
        <v>770875</v>
      </c>
      <c r="M38" s="49" t="s">
        <v>413</v>
      </c>
      <c r="O38" t="str">
        <f>""</f>
        <v/>
      </c>
      <c r="P38" s="34" t="s">
        <v>254</v>
      </c>
      <c r="Q38">
        <v>1</v>
      </c>
      <c r="R38">
        <f t="shared" ref="R38:R51" si="41">IF(P38="기계경비", J38, 0)</f>
        <v>0</v>
      </c>
      <c r="S38">
        <f t="shared" ref="S38:S51" si="42">IF(P38="운반비", L38, 0)</f>
        <v>0</v>
      </c>
      <c r="T38">
        <f t="shared" ref="T38:T51" si="43">IF(P38="작업부산물", F38, 0)</f>
        <v>0</v>
      </c>
      <c r="U38">
        <f t="shared" ref="U38:U51" si="44">IF(P38="관급", F38, 0)</f>
        <v>0</v>
      </c>
      <c r="V38">
        <f t="shared" ref="V38:V51" si="45">IF(P38="외주비", J38, 0)</f>
        <v>0</v>
      </c>
      <c r="W38">
        <f t="shared" ref="W38:W51" si="46">IF(P38="장비비", J38, 0)</f>
        <v>0</v>
      </c>
      <c r="X38">
        <f t="shared" ref="X38:X51" si="47">IF(P38="폐기물처리비", L38, 0)</f>
        <v>0</v>
      </c>
      <c r="Y38">
        <f t="shared" ref="Y38:Y51" si="48">IF(P38="가설비", J38, 0)</f>
        <v>0</v>
      </c>
      <c r="Z38">
        <f t="shared" ref="Z38:Z51" si="49">IF(P38="잡비제외분", F38, 0)</f>
        <v>0</v>
      </c>
      <c r="AA38">
        <f t="shared" ref="AA38:AA51" si="50">IF(P38="사급자재대", L38, 0)</f>
        <v>0</v>
      </c>
      <c r="AB38">
        <f t="shared" ref="AB38:AB51" si="51">IF(P38="관급자재대", L38, 0)</f>
        <v>0</v>
      </c>
      <c r="AC38">
        <f t="shared" ref="AC38:AC51" si="52">IF(P38="사용자항목1", L38, 0)</f>
        <v>0</v>
      </c>
      <c r="AD38">
        <f t="shared" ref="AD38:AD51" si="53">IF(P38="사용자항목2", L38, 0)</f>
        <v>0</v>
      </c>
      <c r="AE38">
        <f t="shared" ref="AE38:AE51" si="54">IF(P38="안전관리비", L38, 0)</f>
        <v>0</v>
      </c>
      <c r="AF38">
        <f t="shared" ref="AF38:AF51" si="55">IF(P38="품질관리비", L38, 0)</f>
        <v>0</v>
      </c>
      <c r="AG38">
        <f t="shared" ref="AG38:AG51" si="56">IF(P38="작업부산물(철거해체)", L38, 0)</f>
        <v>0</v>
      </c>
      <c r="AH38">
        <f t="shared" ref="AH38:AH51" si="57">IF(P38="사용자항목6", L38, 0)</f>
        <v>0</v>
      </c>
      <c r="AI38">
        <f t="shared" ref="AI38:AI51" si="58">IF(P38="사용자항목7", L38, 0)</f>
        <v>0</v>
      </c>
      <c r="AJ38">
        <f t="shared" ref="AJ38:AJ51" si="59">IF(P38="사용자항목8", L38, 0)</f>
        <v>0</v>
      </c>
      <c r="AK38">
        <f t="shared" ref="AK38:AK51" si="60">IF(P38="사용자항목9", L38, 0)</f>
        <v>0</v>
      </c>
      <c r="AL38">
        <f t="shared" ref="AL38:AL51" si="61">IF(P38="사용자항목10", L38, 0)</f>
        <v>0</v>
      </c>
      <c r="AM38">
        <f t="shared" ref="AM38:AM51" si="62">IF(P38="사용자항목11", L38, 0)</f>
        <v>0</v>
      </c>
      <c r="AN38">
        <f t="shared" ref="AN38:AN51" si="63">IF(P38="사용자항목12", L38, 0)</f>
        <v>0</v>
      </c>
      <c r="AO38">
        <f t="shared" ref="AO38:AO51" si="64">IF(P38="사용자항목13", L38, 0)</f>
        <v>0</v>
      </c>
      <c r="AP38">
        <f t="shared" ref="AP38:AP51" si="65">IF(P38="사용자항목14", L38, 0)</f>
        <v>0</v>
      </c>
      <c r="AQ38">
        <f t="shared" ref="AQ38:AQ51" si="66">IF(P38="사용자항목15", L38, 0)</f>
        <v>0</v>
      </c>
      <c r="AR38">
        <f t="shared" ref="AR38:AR51" si="67">IF(P38="사용자항목16", L38, 0)</f>
        <v>0</v>
      </c>
      <c r="AS38">
        <f t="shared" ref="AS38:AS51" si="68">IF(P38="사용자항목17", L38, 0)</f>
        <v>0</v>
      </c>
      <c r="AT38">
        <f t="shared" ref="AT38:AT51" si="69">IF(P38="사용자항목18", L38, 0)</f>
        <v>0</v>
      </c>
      <c r="AU38">
        <f t="shared" ref="AU38:AU51" si="70">IF(P38="사용자항목19", L38, 0)</f>
        <v>0</v>
      </c>
      <c r="AY38" s="34" t="s">
        <v>415</v>
      </c>
    </row>
    <row r="39" spans="1:51" ht="23.1" customHeight="1" x14ac:dyDescent="0.3">
      <c r="A39" s="36" t="s">
        <v>17</v>
      </c>
      <c r="B39" s="36" t="s">
        <v>18</v>
      </c>
      <c r="C39" s="38" t="s">
        <v>19</v>
      </c>
      <c r="D39" s="39">
        <v>10</v>
      </c>
      <c r="E39" s="40">
        <f>일위대가목록!G11</f>
        <v>15807</v>
      </c>
      <c r="F39" s="40">
        <f t="shared" si="36"/>
        <v>158070</v>
      </c>
      <c r="G39" s="40">
        <f>일위대가목록!I11</f>
        <v>23809</v>
      </c>
      <c r="H39" s="40">
        <f t="shared" si="37"/>
        <v>238090</v>
      </c>
      <c r="I39" s="40">
        <f>일위대가목록!K11</f>
        <v>0</v>
      </c>
      <c r="J39" s="40">
        <f t="shared" si="38"/>
        <v>0</v>
      </c>
      <c r="K39" s="40">
        <f t="shared" si="39"/>
        <v>39616</v>
      </c>
      <c r="L39" s="40">
        <f t="shared" si="40"/>
        <v>396160</v>
      </c>
      <c r="M39" s="49" t="s">
        <v>416</v>
      </c>
      <c r="O39" t="str">
        <f>""</f>
        <v/>
      </c>
      <c r="P39" s="34" t="s">
        <v>254</v>
      </c>
      <c r="Q39">
        <v>1</v>
      </c>
      <c r="R39">
        <f t="shared" si="41"/>
        <v>0</v>
      </c>
      <c r="S39">
        <f t="shared" si="42"/>
        <v>0</v>
      </c>
      <c r="T39">
        <f t="shared" si="43"/>
        <v>0</v>
      </c>
      <c r="U39">
        <f t="shared" si="44"/>
        <v>0</v>
      </c>
      <c r="V39">
        <f t="shared" si="45"/>
        <v>0</v>
      </c>
      <c r="W39">
        <f t="shared" si="46"/>
        <v>0</v>
      </c>
      <c r="X39">
        <f t="shared" si="47"/>
        <v>0</v>
      </c>
      <c r="Y39">
        <f t="shared" si="48"/>
        <v>0</v>
      </c>
      <c r="Z39">
        <f t="shared" si="49"/>
        <v>0</v>
      </c>
      <c r="AA39">
        <f t="shared" si="50"/>
        <v>0</v>
      </c>
      <c r="AB39">
        <f t="shared" si="51"/>
        <v>0</v>
      </c>
      <c r="AC39">
        <f t="shared" si="52"/>
        <v>0</v>
      </c>
      <c r="AD39">
        <f t="shared" si="53"/>
        <v>0</v>
      </c>
      <c r="AE39">
        <f t="shared" si="54"/>
        <v>0</v>
      </c>
      <c r="AF39">
        <f t="shared" si="55"/>
        <v>0</v>
      </c>
      <c r="AG39">
        <f t="shared" si="56"/>
        <v>0</v>
      </c>
      <c r="AH39">
        <f t="shared" si="57"/>
        <v>0</v>
      </c>
      <c r="AI39">
        <f t="shared" si="58"/>
        <v>0</v>
      </c>
      <c r="AJ39">
        <f t="shared" si="59"/>
        <v>0</v>
      </c>
      <c r="AK39">
        <f t="shared" si="60"/>
        <v>0</v>
      </c>
      <c r="AL39">
        <f t="shared" si="61"/>
        <v>0</v>
      </c>
      <c r="AM39">
        <f t="shared" si="62"/>
        <v>0</v>
      </c>
      <c r="AN39">
        <f t="shared" si="63"/>
        <v>0</v>
      </c>
      <c r="AO39">
        <f t="shared" si="64"/>
        <v>0</v>
      </c>
      <c r="AP39">
        <f t="shared" si="65"/>
        <v>0</v>
      </c>
      <c r="AQ39">
        <f t="shared" si="66"/>
        <v>0</v>
      </c>
      <c r="AR39">
        <f t="shared" si="67"/>
        <v>0</v>
      </c>
      <c r="AS39">
        <f t="shared" si="68"/>
        <v>0</v>
      </c>
      <c r="AT39">
        <f t="shared" si="69"/>
        <v>0</v>
      </c>
      <c r="AU39">
        <f t="shared" si="70"/>
        <v>0</v>
      </c>
      <c r="AY39" s="34" t="s">
        <v>417</v>
      </c>
    </row>
    <row r="40" spans="1:51" ht="23.1" customHeight="1" x14ac:dyDescent="0.3">
      <c r="A40" s="36" t="s">
        <v>22</v>
      </c>
      <c r="B40" s="36" t="s">
        <v>28</v>
      </c>
      <c r="C40" s="38" t="s">
        <v>19</v>
      </c>
      <c r="D40" s="39">
        <v>15</v>
      </c>
      <c r="E40" s="40">
        <f>일위대가목록!G12</f>
        <v>4555</v>
      </c>
      <c r="F40" s="40">
        <f t="shared" si="36"/>
        <v>68325</v>
      </c>
      <c r="G40" s="40">
        <f>일위대가목록!I12</f>
        <v>8820</v>
      </c>
      <c r="H40" s="40">
        <f t="shared" si="37"/>
        <v>132300</v>
      </c>
      <c r="I40" s="40">
        <f>일위대가목록!K12</f>
        <v>0</v>
      </c>
      <c r="J40" s="40">
        <f t="shared" si="38"/>
        <v>0</v>
      </c>
      <c r="K40" s="40">
        <f t="shared" si="39"/>
        <v>13375</v>
      </c>
      <c r="L40" s="40">
        <f t="shared" si="40"/>
        <v>200625</v>
      </c>
      <c r="M40" s="49" t="s">
        <v>418</v>
      </c>
      <c r="O40" t="str">
        <f>""</f>
        <v/>
      </c>
      <c r="P40" s="34" t="s">
        <v>254</v>
      </c>
      <c r="Q40">
        <v>1</v>
      </c>
      <c r="R40">
        <f t="shared" si="41"/>
        <v>0</v>
      </c>
      <c r="S40">
        <f t="shared" si="42"/>
        <v>0</v>
      </c>
      <c r="T40">
        <f t="shared" si="43"/>
        <v>0</v>
      </c>
      <c r="U40">
        <f t="shared" si="44"/>
        <v>0</v>
      </c>
      <c r="V40">
        <f t="shared" si="45"/>
        <v>0</v>
      </c>
      <c r="W40">
        <f t="shared" si="46"/>
        <v>0</v>
      </c>
      <c r="X40">
        <f t="shared" si="47"/>
        <v>0</v>
      </c>
      <c r="Y40">
        <f t="shared" si="48"/>
        <v>0</v>
      </c>
      <c r="Z40">
        <f t="shared" si="49"/>
        <v>0</v>
      </c>
      <c r="AA40">
        <f t="shared" si="50"/>
        <v>0</v>
      </c>
      <c r="AB40">
        <f t="shared" si="51"/>
        <v>0</v>
      </c>
      <c r="AC40">
        <f t="shared" si="52"/>
        <v>0</v>
      </c>
      <c r="AD40">
        <f t="shared" si="53"/>
        <v>0</v>
      </c>
      <c r="AE40">
        <f t="shared" si="54"/>
        <v>0</v>
      </c>
      <c r="AF40">
        <f t="shared" si="55"/>
        <v>0</v>
      </c>
      <c r="AG40">
        <f t="shared" si="56"/>
        <v>0</v>
      </c>
      <c r="AH40">
        <f t="shared" si="57"/>
        <v>0</v>
      </c>
      <c r="AI40">
        <f t="shared" si="58"/>
        <v>0</v>
      </c>
      <c r="AJ40">
        <f t="shared" si="59"/>
        <v>0</v>
      </c>
      <c r="AK40">
        <f t="shared" si="60"/>
        <v>0</v>
      </c>
      <c r="AL40">
        <f t="shared" si="61"/>
        <v>0</v>
      </c>
      <c r="AM40">
        <f t="shared" si="62"/>
        <v>0</v>
      </c>
      <c r="AN40">
        <f t="shared" si="63"/>
        <v>0</v>
      </c>
      <c r="AO40">
        <f t="shared" si="64"/>
        <v>0</v>
      </c>
      <c r="AP40">
        <f t="shared" si="65"/>
        <v>0</v>
      </c>
      <c r="AQ40">
        <f t="shared" si="66"/>
        <v>0</v>
      </c>
      <c r="AR40">
        <f t="shared" si="67"/>
        <v>0</v>
      </c>
      <c r="AS40">
        <f t="shared" si="68"/>
        <v>0</v>
      </c>
      <c r="AT40">
        <f t="shared" si="69"/>
        <v>0</v>
      </c>
      <c r="AU40">
        <f t="shared" si="70"/>
        <v>0</v>
      </c>
      <c r="AY40" s="34" t="s">
        <v>417</v>
      </c>
    </row>
    <row r="41" spans="1:51" ht="23.1" customHeight="1" x14ac:dyDescent="0.3">
      <c r="A41" s="36" t="s">
        <v>22</v>
      </c>
      <c r="B41" s="36" t="s">
        <v>23</v>
      </c>
      <c r="C41" s="38" t="s">
        <v>19</v>
      </c>
      <c r="D41" s="39">
        <v>115</v>
      </c>
      <c r="E41" s="40">
        <f>일위대가목록!G13</f>
        <v>3279</v>
      </c>
      <c r="F41" s="40">
        <f t="shared" si="36"/>
        <v>377085</v>
      </c>
      <c r="G41" s="40">
        <f>일위대가목록!I13</f>
        <v>7908</v>
      </c>
      <c r="H41" s="40">
        <f t="shared" si="37"/>
        <v>909420</v>
      </c>
      <c r="I41" s="40">
        <f>일위대가목록!K13</f>
        <v>0</v>
      </c>
      <c r="J41" s="40">
        <f t="shared" si="38"/>
        <v>0</v>
      </c>
      <c r="K41" s="40">
        <f t="shared" si="39"/>
        <v>11187</v>
      </c>
      <c r="L41" s="40">
        <f t="shared" si="40"/>
        <v>1286505</v>
      </c>
      <c r="M41" s="49" t="s">
        <v>419</v>
      </c>
      <c r="O41" t="str">
        <f>""</f>
        <v/>
      </c>
      <c r="P41" s="34" t="s">
        <v>254</v>
      </c>
      <c r="Q41">
        <v>1</v>
      </c>
      <c r="R41">
        <f t="shared" si="41"/>
        <v>0</v>
      </c>
      <c r="S41">
        <f t="shared" si="42"/>
        <v>0</v>
      </c>
      <c r="T41">
        <f t="shared" si="43"/>
        <v>0</v>
      </c>
      <c r="U41">
        <f t="shared" si="44"/>
        <v>0</v>
      </c>
      <c r="V41">
        <f t="shared" si="45"/>
        <v>0</v>
      </c>
      <c r="W41">
        <f t="shared" si="46"/>
        <v>0</v>
      </c>
      <c r="X41">
        <f t="shared" si="47"/>
        <v>0</v>
      </c>
      <c r="Y41">
        <f t="shared" si="48"/>
        <v>0</v>
      </c>
      <c r="Z41">
        <f t="shared" si="49"/>
        <v>0</v>
      </c>
      <c r="AA41">
        <f t="shared" si="50"/>
        <v>0</v>
      </c>
      <c r="AB41">
        <f t="shared" si="51"/>
        <v>0</v>
      </c>
      <c r="AC41">
        <f t="shared" si="52"/>
        <v>0</v>
      </c>
      <c r="AD41">
        <f t="shared" si="53"/>
        <v>0</v>
      </c>
      <c r="AE41">
        <f t="shared" si="54"/>
        <v>0</v>
      </c>
      <c r="AF41">
        <f t="shared" si="55"/>
        <v>0</v>
      </c>
      <c r="AG41">
        <f t="shared" si="56"/>
        <v>0</v>
      </c>
      <c r="AH41">
        <f t="shared" si="57"/>
        <v>0</v>
      </c>
      <c r="AI41">
        <f t="shared" si="58"/>
        <v>0</v>
      </c>
      <c r="AJ41">
        <f t="shared" si="59"/>
        <v>0</v>
      </c>
      <c r="AK41">
        <f t="shared" si="60"/>
        <v>0</v>
      </c>
      <c r="AL41">
        <f t="shared" si="61"/>
        <v>0</v>
      </c>
      <c r="AM41">
        <f t="shared" si="62"/>
        <v>0</v>
      </c>
      <c r="AN41">
        <f t="shared" si="63"/>
        <v>0</v>
      </c>
      <c r="AO41">
        <f t="shared" si="64"/>
        <v>0</v>
      </c>
      <c r="AP41">
        <f t="shared" si="65"/>
        <v>0</v>
      </c>
      <c r="AQ41">
        <f t="shared" si="66"/>
        <v>0</v>
      </c>
      <c r="AR41">
        <f t="shared" si="67"/>
        <v>0</v>
      </c>
      <c r="AS41">
        <f t="shared" si="68"/>
        <v>0</v>
      </c>
      <c r="AT41">
        <f t="shared" si="69"/>
        <v>0</v>
      </c>
      <c r="AU41">
        <f t="shared" si="70"/>
        <v>0</v>
      </c>
      <c r="AY41" s="34" t="s">
        <v>417</v>
      </c>
    </row>
    <row r="42" spans="1:51" ht="23.1" customHeight="1" x14ac:dyDescent="0.3">
      <c r="A42" s="36" t="s">
        <v>421</v>
      </c>
      <c r="B42" s="36" t="s">
        <v>422</v>
      </c>
      <c r="C42" s="38" t="s">
        <v>98</v>
      </c>
      <c r="D42" s="39">
        <v>58</v>
      </c>
      <c r="E42" s="40">
        <f>일위대가목록!G14</f>
        <v>4742</v>
      </c>
      <c r="F42" s="40">
        <f t="shared" si="36"/>
        <v>275036</v>
      </c>
      <c r="G42" s="40">
        <f>일위대가목록!I14</f>
        <v>15267</v>
      </c>
      <c r="H42" s="40">
        <f t="shared" si="37"/>
        <v>885486</v>
      </c>
      <c r="I42" s="40">
        <f>일위대가목록!K14</f>
        <v>0</v>
      </c>
      <c r="J42" s="40">
        <f t="shared" si="38"/>
        <v>0</v>
      </c>
      <c r="K42" s="40">
        <f t="shared" si="39"/>
        <v>20009</v>
      </c>
      <c r="L42" s="40">
        <f t="shared" si="40"/>
        <v>1160522</v>
      </c>
      <c r="M42" s="49" t="s">
        <v>420</v>
      </c>
      <c r="O42" t="str">
        <f>""</f>
        <v/>
      </c>
      <c r="P42" s="34" t="s">
        <v>254</v>
      </c>
      <c r="Q42">
        <v>1</v>
      </c>
      <c r="R42">
        <f t="shared" si="41"/>
        <v>0</v>
      </c>
      <c r="S42">
        <f t="shared" si="42"/>
        <v>0</v>
      </c>
      <c r="T42">
        <f t="shared" si="43"/>
        <v>0</v>
      </c>
      <c r="U42">
        <f t="shared" si="44"/>
        <v>0</v>
      </c>
      <c r="V42">
        <f t="shared" si="45"/>
        <v>0</v>
      </c>
      <c r="W42">
        <f t="shared" si="46"/>
        <v>0</v>
      </c>
      <c r="X42">
        <f t="shared" si="47"/>
        <v>0</v>
      </c>
      <c r="Y42">
        <f t="shared" si="48"/>
        <v>0</v>
      </c>
      <c r="Z42">
        <f t="shared" si="49"/>
        <v>0</v>
      </c>
      <c r="AA42">
        <f t="shared" si="50"/>
        <v>0</v>
      </c>
      <c r="AB42">
        <f t="shared" si="51"/>
        <v>0</v>
      </c>
      <c r="AC42">
        <f t="shared" si="52"/>
        <v>0</v>
      </c>
      <c r="AD42">
        <f t="shared" si="53"/>
        <v>0</v>
      </c>
      <c r="AE42">
        <f t="shared" si="54"/>
        <v>0</v>
      </c>
      <c r="AF42">
        <f t="shared" si="55"/>
        <v>0</v>
      </c>
      <c r="AG42">
        <f t="shared" si="56"/>
        <v>0</v>
      </c>
      <c r="AH42">
        <f t="shared" si="57"/>
        <v>0</v>
      </c>
      <c r="AI42">
        <f t="shared" si="58"/>
        <v>0</v>
      </c>
      <c r="AJ42">
        <f t="shared" si="59"/>
        <v>0</v>
      </c>
      <c r="AK42">
        <f t="shared" si="60"/>
        <v>0</v>
      </c>
      <c r="AL42">
        <f t="shared" si="61"/>
        <v>0</v>
      </c>
      <c r="AM42">
        <f t="shared" si="62"/>
        <v>0</v>
      </c>
      <c r="AN42">
        <f t="shared" si="63"/>
        <v>0</v>
      </c>
      <c r="AO42">
        <f t="shared" si="64"/>
        <v>0</v>
      </c>
      <c r="AP42">
        <f t="shared" si="65"/>
        <v>0</v>
      </c>
      <c r="AQ42">
        <f t="shared" si="66"/>
        <v>0</v>
      </c>
      <c r="AR42">
        <f t="shared" si="67"/>
        <v>0</v>
      </c>
      <c r="AS42">
        <f t="shared" si="68"/>
        <v>0</v>
      </c>
      <c r="AT42">
        <f t="shared" si="69"/>
        <v>0</v>
      </c>
      <c r="AU42">
        <f t="shared" si="70"/>
        <v>0</v>
      </c>
      <c r="AY42" s="34" t="s">
        <v>423</v>
      </c>
    </row>
    <row r="43" spans="1:51" ht="23.1" customHeight="1" x14ac:dyDescent="0.3">
      <c r="A43" s="36" t="s">
        <v>91</v>
      </c>
      <c r="B43" s="36" t="s">
        <v>92</v>
      </c>
      <c r="C43" s="38" t="s">
        <v>19</v>
      </c>
      <c r="D43" s="39">
        <v>13</v>
      </c>
      <c r="E43" s="40">
        <f>일위대가목록!G15</f>
        <v>1229</v>
      </c>
      <c r="F43" s="40">
        <f t="shared" si="36"/>
        <v>15977</v>
      </c>
      <c r="G43" s="40">
        <f>일위대가목록!I15</f>
        <v>1642</v>
      </c>
      <c r="H43" s="40">
        <f t="shared" si="37"/>
        <v>21346</v>
      </c>
      <c r="I43" s="40">
        <f>일위대가목록!K15</f>
        <v>0</v>
      </c>
      <c r="J43" s="40">
        <f t="shared" si="38"/>
        <v>0</v>
      </c>
      <c r="K43" s="40">
        <f t="shared" si="39"/>
        <v>2871</v>
      </c>
      <c r="L43" s="40">
        <f t="shared" si="40"/>
        <v>37323</v>
      </c>
      <c r="M43" s="49" t="s">
        <v>424</v>
      </c>
      <c r="O43" t="str">
        <f>""</f>
        <v/>
      </c>
      <c r="P43" s="34" t="s">
        <v>254</v>
      </c>
      <c r="Q43">
        <v>1</v>
      </c>
      <c r="R43">
        <f t="shared" si="41"/>
        <v>0</v>
      </c>
      <c r="S43">
        <f t="shared" si="42"/>
        <v>0</v>
      </c>
      <c r="T43">
        <f t="shared" si="43"/>
        <v>0</v>
      </c>
      <c r="U43">
        <f t="shared" si="44"/>
        <v>0</v>
      </c>
      <c r="V43">
        <f t="shared" si="45"/>
        <v>0</v>
      </c>
      <c r="W43">
        <f t="shared" si="46"/>
        <v>0</v>
      </c>
      <c r="X43">
        <f t="shared" si="47"/>
        <v>0</v>
      </c>
      <c r="Y43">
        <f t="shared" si="48"/>
        <v>0</v>
      </c>
      <c r="Z43">
        <f t="shared" si="49"/>
        <v>0</v>
      </c>
      <c r="AA43">
        <f t="shared" si="50"/>
        <v>0</v>
      </c>
      <c r="AB43">
        <f t="shared" si="51"/>
        <v>0</v>
      </c>
      <c r="AC43">
        <f t="shared" si="52"/>
        <v>0</v>
      </c>
      <c r="AD43">
        <f t="shared" si="53"/>
        <v>0</v>
      </c>
      <c r="AE43">
        <f t="shared" si="54"/>
        <v>0</v>
      </c>
      <c r="AF43">
        <f t="shared" si="55"/>
        <v>0</v>
      </c>
      <c r="AG43">
        <f t="shared" si="56"/>
        <v>0</v>
      </c>
      <c r="AH43">
        <f t="shared" si="57"/>
        <v>0</v>
      </c>
      <c r="AI43">
        <f t="shared" si="58"/>
        <v>0</v>
      </c>
      <c r="AJ43">
        <f t="shared" si="59"/>
        <v>0</v>
      </c>
      <c r="AK43">
        <f t="shared" si="60"/>
        <v>0</v>
      </c>
      <c r="AL43">
        <f t="shared" si="61"/>
        <v>0</v>
      </c>
      <c r="AM43">
        <f t="shared" si="62"/>
        <v>0</v>
      </c>
      <c r="AN43">
        <f t="shared" si="63"/>
        <v>0</v>
      </c>
      <c r="AO43">
        <f t="shared" si="64"/>
        <v>0</v>
      </c>
      <c r="AP43">
        <f t="shared" si="65"/>
        <v>0</v>
      </c>
      <c r="AQ43">
        <f t="shared" si="66"/>
        <v>0</v>
      </c>
      <c r="AR43">
        <f t="shared" si="67"/>
        <v>0</v>
      </c>
      <c r="AS43">
        <f t="shared" si="68"/>
        <v>0</v>
      </c>
      <c r="AT43">
        <f t="shared" si="69"/>
        <v>0</v>
      </c>
      <c r="AU43">
        <f t="shared" si="70"/>
        <v>0</v>
      </c>
      <c r="AY43" s="34" t="s">
        <v>417</v>
      </c>
    </row>
    <row r="44" spans="1:51" ht="23.1" customHeight="1" x14ac:dyDescent="0.3">
      <c r="A44" s="36" t="s">
        <v>426</v>
      </c>
      <c r="B44" s="36" t="s">
        <v>427</v>
      </c>
      <c r="C44" s="38" t="s">
        <v>428</v>
      </c>
      <c r="D44" s="39">
        <v>2</v>
      </c>
      <c r="E44" s="40">
        <f>일위대가목록!G16</f>
        <v>3381</v>
      </c>
      <c r="F44" s="40">
        <f t="shared" si="36"/>
        <v>6762</v>
      </c>
      <c r="G44" s="40">
        <f>일위대가목록!I16</f>
        <v>43869</v>
      </c>
      <c r="H44" s="40">
        <f t="shared" si="37"/>
        <v>87738</v>
      </c>
      <c r="I44" s="40">
        <f>일위대가목록!K16</f>
        <v>0</v>
      </c>
      <c r="J44" s="40">
        <f t="shared" si="38"/>
        <v>0</v>
      </c>
      <c r="K44" s="40">
        <f t="shared" si="39"/>
        <v>47250</v>
      </c>
      <c r="L44" s="40">
        <f t="shared" si="40"/>
        <v>94500</v>
      </c>
      <c r="M44" s="49" t="s">
        <v>425</v>
      </c>
      <c r="O44" t="str">
        <f>""</f>
        <v/>
      </c>
      <c r="P44" s="34" t="s">
        <v>254</v>
      </c>
      <c r="Q44">
        <v>1</v>
      </c>
      <c r="R44">
        <f t="shared" si="41"/>
        <v>0</v>
      </c>
      <c r="S44">
        <f t="shared" si="42"/>
        <v>0</v>
      </c>
      <c r="T44">
        <f t="shared" si="43"/>
        <v>0</v>
      </c>
      <c r="U44">
        <f t="shared" si="44"/>
        <v>0</v>
      </c>
      <c r="V44">
        <f t="shared" si="45"/>
        <v>0</v>
      </c>
      <c r="W44">
        <f t="shared" si="46"/>
        <v>0</v>
      </c>
      <c r="X44">
        <f t="shared" si="47"/>
        <v>0</v>
      </c>
      <c r="Y44">
        <f t="shared" si="48"/>
        <v>0</v>
      </c>
      <c r="Z44">
        <f t="shared" si="49"/>
        <v>0</v>
      </c>
      <c r="AA44">
        <f t="shared" si="50"/>
        <v>0</v>
      </c>
      <c r="AB44">
        <f t="shared" si="51"/>
        <v>0</v>
      </c>
      <c r="AC44">
        <f t="shared" si="52"/>
        <v>0</v>
      </c>
      <c r="AD44">
        <f t="shared" si="53"/>
        <v>0</v>
      </c>
      <c r="AE44">
        <f t="shared" si="54"/>
        <v>0</v>
      </c>
      <c r="AF44">
        <f t="shared" si="55"/>
        <v>0</v>
      </c>
      <c r="AG44">
        <f t="shared" si="56"/>
        <v>0</v>
      </c>
      <c r="AH44">
        <f t="shared" si="57"/>
        <v>0</v>
      </c>
      <c r="AI44">
        <f t="shared" si="58"/>
        <v>0</v>
      </c>
      <c r="AJ44">
        <f t="shared" si="59"/>
        <v>0</v>
      </c>
      <c r="AK44">
        <f t="shared" si="60"/>
        <v>0</v>
      </c>
      <c r="AL44">
        <f t="shared" si="61"/>
        <v>0</v>
      </c>
      <c r="AM44">
        <f t="shared" si="62"/>
        <v>0</v>
      </c>
      <c r="AN44">
        <f t="shared" si="63"/>
        <v>0</v>
      </c>
      <c r="AO44">
        <f t="shared" si="64"/>
        <v>0</v>
      </c>
      <c r="AP44">
        <f t="shared" si="65"/>
        <v>0</v>
      </c>
      <c r="AQ44">
        <f t="shared" si="66"/>
        <v>0</v>
      </c>
      <c r="AR44">
        <f t="shared" si="67"/>
        <v>0</v>
      </c>
      <c r="AS44">
        <f t="shared" si="68"/>
        <v>0</v>
      </c>
      <c r="AT44">
        <f t="shared" si="69"/>
        <v>0</v>
      </c>
      <c r="AU44">
        <f t="shared" si="70"/>
        <v>0</v>
      </c>
    </row>
    <row r="45" spans="1:51" ht="23.1" customHeight="1" x14ac:dyDescent="0.3">
      <c r="A45" s="37"/>
      <c r="B45" s="37"/>
      <c r="C45" s="38" t="s">
        <v>252</v>
      </c>
      <c r="D45" s="39"/>
      <c r="E45" s="40"/>
      <c r="F45" s="40">
        <f t="shared" si="36"/>
        <v>0</v>
      </c>
      <c r="G45" s="40"/>
      <c r="H45" s="40">
        <f t="shared" si="37"/>
        <v>0</v>
      </c>
      <c r="I45" s="40"/>
      <c r="J45" s="40">
        <f t="shared" si="38"/>
        <v>0</v>
      </c>
      <c r="K45" s="40">
        <f t="shared" si="39"/>
        <v>0</v>
      </c>
      <c r="L45" s="40">
        <f t="shared" si="40"/>
        <v>0</v>
      </c>
      <c r="M45" s="47"/>
      <c r="O45" t="str">
        <f>""</f>
        <v/>
      </c>
      <c r="Q45">
        <v>1</v>
      </c>
      <c r="R45">
        <f t="shared" si="41"/>
        <v>0</v>
      </c>
      <c r="S45">
        <f t="shared" si="42"/>
        <v>0</v>
      </c>
      <c r="T45">
        <f t="shared" si="43"/>
        <v>0</v>
      </c>
      <c r="U45">
        <f t="shared" si="44"/>
        <v>0</v>
      </c>
      <c r="V45">
        <f t="shared" si="45"/>
        <v>0</v>
      </c>
      <c r="W45">
        <f t="shared" si="46"/>
        <v>0</v>
      </c>
      <c r="X45">
        <f t="shared" si="47"/>
        <v>0</v>
      </c>
      <c r="Y45">
        <f t="shared" si="48"/>
        <v>0</v>
      </c>
      <c r="Z45">
        <f t="shared" si="49"/>
        <v>0</v>
      </c>
      <c r="AA45">
        <f t="shared" si="50"/>
        <v>0</v>
      </c>
      <c r="AB45">
        <f t="shared" si="51"/>
        <v>0</v>
      </c>
      <c r="AC45">
        <f t="shared" si="52"/>
        <v>0</v>
      </c>
      <c r="AD45">
        <f t="shared" si="53"/>
        <v>0</v>
      </c>
      <c r="AE45">
        <f t="shared" si="54"/>
        <v>0</v>
      </c>
      <c r="AF45">
        <f t="shared" si="55"/>
        <v>0</v>
      </c>
      <c r="AG45">
        <f t="shared" si="56"/>
        <v>0</v>
      </c>
      <c r="AH45">
        <f t="shared" si="57"/>
        <v>0</v>
      </c>
      <c r="AI45">
        <f t="shared" si="58"/>
        <v>0</v>
      </c>
      <c r="AJ45">
        <f t="shared" si="59"/>
        <v>0</v>
      </c>
      <c r="AK45">
        <f t="shared" si="60"/>
        <v>0</v>
      </c>
      <c r="AL45">
        <f t="shared" si="61"/>
        <v>0</v>
      </c>
      <c r="AM45">
        <f t="shared" si="62"/>
        <v>0</v>
      </c>
      <c r="AN45">
        <f t="shared" si="63"/>
        <v>0</v>
      </c>
      <c r="AO45">
        <f t="shared" si="64"/>
        <v>0</v>
      </c>
      <c r="AP45">
        <f t="shared" si="65"/>
        <v>0</v>
      </c>
      <c r="AQ45">
        <f t="shared" si="66"/>
        <v>0</v>
      </c>
      <c r="AR45">
        <f t="shared" si="67"/>
        <v>0</v>
      </c>
      <c r="AS45">
        <f t="shared" si="68"/>
        <v>0</v>
      </c>
      <c r="AT45">
        <f t="shared" si="69"/>
        <v>0</v>
      </c>
      <c r="AU45">
        <f t="shared" si="70"/>
        <v>0</v>
      </c>
    </row>
    <row r="46" spans="1:51" ht="23.1" customHeight="1" x14ac:dyDescent="0.3">
      <c r="A46" s="36" t="s">
        <v>127</v>
      </c>
      <c r="B46" s="36" t="s">
        <v>128</v>
      </c>
      <c r="C46" s="38" t="s">
        <v>72</v>
      </c>
      <c r="D46" s="39">
        <v>1</v>
      </c>
      <c r="E46" s="40">
        <f>일위대가목록!G17</f>
        <v>22998</v>
      </c>
      <c r="F46" s="40">
        <f t="shared" si="36"/>
        <v>22998</v>
      </c>
      <c r="G46" s="40">
        <f>일위대가목록!I17</f>
        <v>95786</v>
      </c>
      <c r="H46" s="40">
        <f t="shared" si="37"/>
        <v>95786</v>
      </c>
      <c r="I46" s="40">
        <f>일위대가목록!K17</f>
        <v>0</v>
      </c>
      <c r="J46" s="40">
        <f t="shared" si="38"/>
        <v>0</v>
      </c>
      <c r="K46" s="40">
        <f t="shared" si="39"/>
        <v>118784</v>
      </c>
      <c r="L46" s="40">
        <f t="shared" si="40"/>
        <v>118784</v>
      </c>
      <c r="M46" s="49" t="s">
        <v>429</v>
      </c>
      <c r="O46" t="str">
        <f>""</f>
        <v/>
      </c>
      <c r="P46" s="34" t="s">
        <v>254</v>
      </c>
      <c r="Q46">
        <v>1</v>
      </c>
      <c r="R46">
        <f t="shared" si="41"/>
        <v>0</v>
      </c>
      <c r="S46">
        <f t="shared" si="42"/>
        <v>0</v>
      </c>
      <c r="T46">
        <f t="shared" si="43"/>
        <v>0</v>
      </c>
      <c r="U46">
        <f t="shared" si="44"/>
        <v>0</v>
      </c>
      <c r="V46">
        <f t="shared" si="45"/>
        <v>0</v>
      </c>
      <c r="W46">
        <f t="shared" si="46"/>
        <v>0</v>
      </c>
      <c r="X46">
        <f t="shared" si="47"/>
        <v>0</v>
      </c>
      <c r="Y46">
        <f t="shared" si="48"/>
        <v>0</v>
      </c>
      <c r="Z46">
        <f t="shared" si="49"/>
        <v>0</v>
      </c>
      <c r="AA46">
        <f t="shared" si="50"/>
        <v>0</v>
      </c>
      <c r="AB46">
        <f t="shared" si="51"/>
        <v>0</v>
      </c>
      <c r="AC46">
        <f t="shared" si="52"/>
        <v>0</v>
      </c>
      <c r="AD46">
        <f t="shared" si="53"/>
        <v>0</v>
      </c>
      <c r="AE46">
        <f t="shared" si="54"/>
        <v>0</v>
      </c>
      <c r="AF46">
        <f t="shared" si="55"/>
        <v>0</v>
      </c>
      <c r="AG46">
        <f t="shared" si="56"/>
        <v>0</v>
      </c>
      <c r="AH46">
        <f t="shared" si="57"/>
        <v>0</v>
      </c>
      <c r="AI46">
        <f t="shared" si="58"/>
        <v>0</v>
      </c>
      <c r="AJ46">
        <f t="shared" si="59"/>
        <v>0</v>
      </c>
      <c r="AK46">
        <f t="shared" si="60"/>
        <v>0</v>
      </c>
      <c r="AL46">
        <f t="shared" si="61"/>
        <v>0</v>
      </c>
      <c r="AM46">
        <f t="shared" si="62"/>
        <v>0</v>
      </c>
      <c r="AN46">
        <f t="shared" si="63"/>
        <v>0</v>
      </c>
      <c r="AO46">
        <f t="shared" si="64"/>
        <v>0</v>
      </c>
      <c r="AP46">
        <f t="shared" si="65"/>
        <v>0</v>
      </c>
      <c r="AQ46">
        <f t="shared" si="66"/>
        <v>0</v>
      </c>
      <c r="AR46">
        <f t="shared" si="67"/>
        <v>0</v>
      </c>
      <c r="AS46">
        <f t="shared" si="68"/>
        <v>0</v>
      </c>
      <c r="AT46">
        <f t="shared" si="69"/>
        <v>0</v>
      </c>
      <c r="AU46">
        <f t="shared" si="70"/>
        <v>0</v>
      </c>
      <c r="AY46" s="34" t="s">
        <v>417</v>
      </c>
    </row>
    <row r="47" spans="1:51" ht="23.1" customHeight="1" x14ac:dyDescent="0.3">
      <c r="A47" s="36" t="s">
        <v>38</v>
      </c>
      <c r="B47" s="36" t="s">
        <v>39</v>
      </c>
      <c r="C47" s="38" t="s">
        <v>40</v>
      </c>
      <c r="D47" s="39">
        <v>2</v>
      </c>
      <c r="E47" s="40">
        <f>단가대비표!O10</f>
        <v>1890</v>
      </c>
      <c r="F47" s="40">
        <f t="shared" si="36"/>
        <v>3780</v>
      </c>
      <c r="G47" s="40">
        <v>0</v>
      </c>
      <c r="H47" s="40">
        <f t="shared" si="37"/>
        <v>0</v>
      </c>
      <c r="I47" s="40">
        <v>0</v>
      </c>
      <c r="J47" s="40">
        <f t="shared" si="38"/>
        <v>0</v>
      </c>
      <c r="K47" s="40">
        <f t="shared" si="39"/>
        <v>1890</v>
      </c>
      <c r="L47" s="40">
        <f t="shared" si="40"/>
        <v>3780</v>
      </c>
      <c r="M47" s="49" t="s">
        <v>43</v>
      </c>
      <c r="O47" t="str">
        <f>"01"</f>
        <v>01</v>
      </c>
      <c r="P47" s="34" t="s">
        <v>254</v>
      </c>
      <c r="Q47">
        <v>1</v>
      </c>
      <c r="R47">
        <f t="shared" si="41"/>
        <v>0</v>
      </c>
      <c r="S47">
        <f t="shared" si="42"/>
        <v>0</v>
      </c>
      <c r="T47">
        <f t="shared" si="43"/>
        <v>0</v>
      </c>
      <c r="U47">
        <f t="shared" si="44"/>
        <v>0</v>
      </c>
      <c r="V47">
        <f t="shared" si="45"/>
        <v>0</v>
      </c>
      <c r="W47">
        <f t="shared" si="46"/>
        <v>0</v>
      </c>
      <c r="X47">
        <f t="shared" si="47"/>
        <v>0</v>
      </c>
      <c r="Y47">
        <f t="shared" si="48"/>
        <v>0</v>
      </c>
      <c r="Z47">
        <f t="shared" si="49"/>
        <v>0</v>
      </c>
      <c r="AA47">
        <f t="shared" si="50"/>
        <v>0</v>
      </c>
      <c r="AB47">
        <f t="shared" si="51"/>
        <v>0</v>
      </c>
      <c r="AC47">
        <f t="shared" si="52"/>
        <v>0</v>
      </c>
      <c r="AD47">
        <f t="shared" si="53"/>
        <v>0</v>
      </c>
      <c r="AE47">
        <f t="shared" si="54"/>
        <v>0</v>
      </c>
      <c r="AF47">
        <f t="shared" si="55"/>
        <v>0</v>
      </c>
      <c r="AG47">
        <f t="shared" si="56"/>
        <v>0</v>
      </c>
      <c r="AH47">
        <f t="shared" si="57"/>
        <v>0</v>
      </c>
      <c r="AI47">
        <f t="shared" si="58"/>
        <v>0</v>
      </c>
      <c r="AJ47">
        <f t="shared" si="59"/>
        <v>0</v>
      </c>
      <c r="AK47">
        <f t="shared" si="60"/>
        <v>0</v>
      </c>
      <c r="AL47">
        <f t="shared" si="61"/>
        <v>0</v>
      </c>
      <c r="AM47">
        <f t="shared" si="62"/>
        <v>0</v>
      </c>
      <c r="AN47">
        <f t="shared" si="63"/>
        <v>0</v>
      </c>
      <c r="AO47">
        <f t="shared" si="64"/>
        <v>0</v>
      </c>
      <c r="AP47">
        <f t="shared" si="65"/>
        <v>0</v>
      </c>
      <c r="AQ47">
        <f t="shared" si="66"/>
        <v>0</v>
      </c>
      <c r="AR47">
        <f t="shared" si="67"/>
        <v>0</v>
      </c>
      <c r="AS47">
        <f t="shared" si="68"/>
        <v>0</v>
      </c>
      <c r="AT47">
        <f t="shared" si="69"/>
        <v>0</v>
      </c>
      <c r="AU47">
        <f t="shared" si="70"/>
        <v>0</v>
      </c>
    </row>
    <row r="48" spans="1:51" ht="23.1" customHeight="1" x14ac:dyDescent="0.3">
      <c r="A48" s="36" t="s">
        <v>38</v>
      </c>
      <c r="B48" s="36" t="s">
        <v>44</v>
      </c>
      <c r="C48" s="38" t="s">
        <v>40</v>
      </c>
      <c r="D48" s="39">
        <v>1</v>
      </c>
      <c r="E48" s="40">
        <f>단가대비표!O11</f>
        <v>1160</v>
      </c>
      <c r="F48" s="40">
        <f t="shared" si="36"/>
        <v>1160</v>
      </c>
      <c r="G48" s="40">
        <v>0</v>
      </c>
      <c r="H48" s="40">
        <f t="shared" si="37"/>
        <v>0</v>
      </c>
      <c r="I48" s="40">
        <v>0</v>
      </c>
      <c r="J48" s="40">
        <f t="shared" si="38"/>
        <v>0</v>
      </c>
      <c r="K48" s="40">
        <f t="shared" si="39"/>
        <v>1160</v>
      </c>
      <c r="L48" s="40">
        <f t="shared" si="40"/>
        <v>1160</v>
      </c>
      <c r="M48" s="49" t="s">
        <v>43</v>
      </c>
      <c r="O48" t="str">
        <f>"01"</f>
        <v>01</v>
      </c>
      <c r="P48" s="34" t="s">
        <v>254</v>
      </c>
      <c r="Q48">
        <v>1</v>
      </c>
      <c r="R48">
        <f t="shared" si="41"/>
        <v>0</v>
      </c>
      <c r="S48">
        <f t="shared" si="42"/>
        <v>0</v>
      </c>
      <c r="T48">
        <f t="shared" si="43"/>
        <v>0</v>
      </c>
      <c r="U48">
        <f t="shared" si="44"/>
        <v>0</v>
      </c>
      <c r="V48">
        <f t="shared" si="45"/>
        <v>0</v>
      </c>
      <c r="W48">
        <f t="shared" si="46"/>
        <v>0</v>
      </c>
      <c r="X48">
        <f t="shared" si="47"/>
        <v>0</v>
      </c>
      <c r="Y48">
        <f t="shared" si="48"/>
        <v>0</v>
      </c>
      <c r="Z48">
        <f t="shared" si="49"/>
        <v>0</v>
      </c>
      <c r="AA48">
        <f t="shared" si="50"/>
        <v>0</v>
      </c>
      <c r="AB48">
        <f t="shared" si="51"/>
        <v>0</v>
      </c>
      <c r="AC48">
        <f t="shared" si="52"/>
        <v>0</v>
      </c>
      <c r="AD48">
        <f t="shared" si="53"/>
        <v>0</v>
      </c>
      <c r="AE48">
        <f t="shared" si="54"/>
        <v>0</v>
      </c>
      <c r="AF48">
        <f t="shared" si="55"/>
        <v>0</v>
      </c>
      <c r="AG48">
        <f t="shared" si="56"/>
        <v>0</v>
      </c>
      <c r="AH48">
        <f t="shared" si="57"/>
        <v>0</v>
      </c>
      <c r="AI48">
        <f t="shared" si="58"/>
        <v>0</v>
      </c>
      <c r="AJ48">
        <f t="shared" si="59"/>
        <v>0</v>
      </c>
      <c r="AK48">
        <f t="shared" si="60"/>
        <v>0</v>
      </c>
      <c r="AL48">
        <f t="shared" si="61"/>
        <v>0</v>
      </c>
      <c r="AM48">
        <f t="shared" si="62"/>
        <v>0</v>
      </c>
      <c r="AN48">
        <f t="shared" si="63"/>
        <v>0</v>
      </c>
      <c r="AO48">
        <f t="shared" si="64"/>
        <v>0</v>
      </c>
      <c r="AP48">
        <f t="shared" si="65"/>
        <v>0</v>
      </c>
      <c r="AQ48">
        <f t="shared" si="66"/>
        <v>0</v>
      </c>
      <c r="AR48">
        <f t="shared" si="67"/>
        <v>0</v>
      </c>
      <c r="AS48">
        <f t="shared" si="68"/>
        <v>0</v>
      </c>
      <c r="AT48">
        <f t="shared" si="69"/>
        <v>0</v>
      </c>
      <c r="AU48">
        <f t="shared" si="70"/>
        <v>0</v>
      </c>
    </row>
    <row r="49" spans="1:51" ht="23.1" customHeight="1" x14ac:dyDescent="0.3">
      <c r="A49" s="36" t="s">
        <v>431</v>
      </c>
      <c r="B49" s="36" t="s">
        <v>432</v>
      </c>
      <c r="C49" s="38" t="s">
        <v>19</v>
      </c>
      <c r="D49" s="39">
        <v>2</v>
      </c>
      <c r="E49" s="40">
        <f>일위대가목록!G18</f>
        <v>3306</v>
      </c>
      <c r="F49" s="40">
        <f t="shared" si="36"/>
        <v>6612</v>
      </c>
      <c r="G49" s="40">
        <f>일위대가목록!I18</f>
        <v>110220</v>
      </c>
      <c r="H49" s="40">
        <f t="shared" si="37"/>
        <v>220440</v>
      </c>
      <c r="I49" s="40">
        <f>일위대가목록!K18</f>
        <v>0</v>
      </c>
      <c r="J49" s="40">
        <f t="shared" si="38"/>
        <v>0</v>
      </c>
      <c r="K49" s="40">
        <f t="shared" si="39"/>
        <v>113526</v>
      </c>
      <c r="L49" s="40">
        <f t="shared" si="40"/>
        <v>227052</v>
      </c>
      <c r="M49" s="49" t="s">
        <v>430</v>
      </c>
      <c r="O49" t="str">
        <f>""</f>
        <v/>
      </c>
      <c r="P49" s="34" t="s">
        <v>254</v>
      </c>
      <c r="Q49">
        <v>1</v>
      </c>
      <c r="R49">
        <f t="shared" si="41"/>
        <v>0</v>
      </c>
      <c r="S49">
        <f t="shared" si="42"/>
        <v>0</v>
      </c>
      <c r="T49">
        <f t="shared" si="43"/>
        <v>0</v>
      </c>
      <c r="U49">
        <f t="shared" si="44"/>
        <v>0</v>
      </c>
      <c r="V49">
        <f t="shared" si="45"/>
        <v>0</v>
      </c>
      <c r="W49">
        <f t="shared" si="46"/>
        <v>0</v>
      </c>
      <c r="X49">
        <f t="shared" si="47"/>
        <v>0</v>
      </c>
      <c r="Y49">
        <f t="shared" si="48"/>
        <v>0</v>
      </c>
      <c r="Z49">
        <f t="shared" si="49"/>
        <v>0</v>
      </c>
      <c r="AA49">
        <f t="shared" si="50"/>
        <v>0</v>
      </c>
      <c r="AB49">
        <f t="shared" si="51"/>
        <v>0</v>
      </c>
      <c r="AC49">
        <f t="shared" si="52"/>
        <v>0</v>
      </c>
      <c r="AD49">
        <f t="shared" si="53"/>
        <v>0</v>
      </c>
      <c r="AE49">
        <f t="shared" si="54"/>
        <v>0</v>
      </c>
      <c r="AF49">
        <f t="shared" si="55"/>
        <v>0</v>
      </c>
      <c r="AG49">
        <f t="shared" si="56"/>
        <v>0</v>
      </c>
      <c r="AH49">
        <f t="shared" si="57"/>
        <v>0</v>
      </c>
      <c r="AI49">
        <f t="shared" si="58"/>
        <v>0</v>
      </c>
      <c r="AJ49">
        <f t="shared" si="59"/>
        <v>0</v>
      </c>
      <c r="AK49">
        <f t="shared" si="60"/>
        <v>0</v>
      </c>
      <c r="AL49">
        <f t="shared" si="61"/>
        <v>0</v>
      </c>
      <c r="AM49">
        <f t="shared" si="62"/>
        <v>0</v>
      </c>
      <c r="AN49">
        <f t="shared" si="63"/>
        <v>0</v>
      </c>
      <c r="AO49">
        <f t="shared" si="64"/>
        <v>0</v>
      </c>
      <c r="AP49">
        <f t="shared" si="65"/>
        <v>0</v>
      </c>
      <c r="AQ49">
        <f t="shared" si="66"/>
        <v>0</v>
      </c>
      <c r="AR49">
        <f t="shared" si="67"/>
        <v>0</v>
      </c>
      <c r="AS49">
        <f t="shared" si="68"/>
        <v>0</v>
      </c>
      <c r="AT49">
        <f t="shared" si="69"/>
        <v>0</v>
      </c>
      <c r="AU49">
        <f t="shared" si="70"/>
        <v>0</v>
      </c>
    </row>
    <row r="50" spans="1:51" ht="23.1" customHeight="1" x14ac:dyDescent="0.3">
      <c r="A50" s="36" t="s">
        <v>434</v>
      </c>
      <c r="B50" s="36" t="s">
        <v>435</v>
      </c>
      <c r="C50" s="38" t="s">
        <v>428</v>
      </c>
      <c r="D50" s="39">
        <v>1</v>
      </c>
      <c r="E50" s="40">
        <f>일위대가목록!G19</f>
        <v>2113</v>
      </c>
      <c r="F50" s="40">
        <f t="shared" si="36"/>
        <v>2113</v>
      </c>
      <c r="G50" s="40">
        <f>일위대가목록!I19</f>
        <v>105692</v>
      </c>
      <c r="H50" s="40">
        <f t="shared" si="37"/>
        <v>105692</v>
      </c>
      <c r="I50" s="40">
        <f>일위대가목록!K19</f>
        <v>0</v>
      </c>
      <c r="J50" s="40">
        <f t="shared" si="38"/>
        <v>0</v>
      </c>
      <c r="K50" s="40">
        <f t="shared" si="39"/>
        <v>107805</v>
      </c>
      <c r="L50" s="40">
        <f t="shared" si="40"/>
        <v>107805</v>
      </c>
      <c r="M50" s="49" t="s">
        <v>433</v>
      </c>
      <c r="O50" t="str">
        <f>""</f>
        <v/>
      </c>
      <c r="P50" s="34" t="s">
        <v>254</v>
      </c>
      <c r="Q50">
        <v>1</v>
      </c>
      <c r="R50">
        <f t="shared" si="41"/>
        <v>0</v>
      </c>
      <c r="S50">
        <f t="shared" si="42"/>
        <v>0</v>
      </c>
      <c r="T50">
        <f t="shared" si="43"/>
        <v>0</v>
      </c>
      <c r="U50">
        <f t="shared" si="44"/>
        <v>0</v>
      </c>
      <c r="V50">
        <f t="shared" si="45"/>
        <v>0</v>
      </c>
      <c r="W50">
        <f t="shared" si="46"/>
        <v>0</v>
      </c>
      <c r="X50">
        <f t="shared" si="47"/>
        <v>0</v>
      </c>
      <c r="Y50">
        <f t="shared" si="48"/>
        <v>0</v>
      </c>
      <c r="Z50">
        <f t="shared" si="49"/>
        <v>0</v>
      </c>
      <c r="AA50">
        <f t="shared" si="50"/>
        <v>0</v>
      </c>
      <c r="AB50">
        <f t="shared" si="51"/>
        <v>0</v>
      </c>
      <c r="AC50">
        <f t="shared" si="52"/>
        <v>0</v>
      </c>
      <c r="AD50">
        <f t="shared" si="53"/>
        <v>0</v>
      </c>
      <c r="AE50">
        <f t="shared" si="54"/>
        <v>0</v>
      </c>
      <c r="AF50">
        <f t="shared" si="55"/>
        <v>0</v>
      </c>
      <c r="AG50">
        <f t="shared" si="56"/>
        <v>0</v>
      </c>
      <c r="AH50">
        <f t="shared" si="57"/>
        <v>0</v>
      </c>
      <c r="AI50">
        <f t="shared" si="58"/>
        <v>0</v>
      </c>
      <c r="AJ50">
        <f t="shared" si="59"/>
        <v>0</v>
      </c>
      <c r="AK50">
        <f t="shared" si="60"/>
        <v>0</v>
      </c>
      <c r="AL50">
        <f t="shared" si="61"/>
        <v>0</v>
      </c>
      <c r="AM50">
        <f t="shared" si="62"/>
        <v>0</v>
      </c>
      <c r="AN50">
        <f t="shared" si="63"/>
        <v>0</v>
      </c>
      <c r="AO50">
        <f t="shared" si="64"/>
        <v>0</v>
      </c>
      <c r="AP50">
        <f t="shared" si="65"/>
        <v>0</v>
      </c>
      <c r="AQ50">
        <f t="shared" si="66"/>
        <v>0</v>
      </c>
      <c r="AR50">
        <f t="shared" si="67"/>
        <v>0</v>
      </c>
      <c r="AS50">
        <f t="shared" si="68"/>
        <v>0</v>
      </c>
      <c r="AT50">
        <f t="shared" si="69"/>
        <v>0</v>
      </c>
      <c r="AU50">
        <f t="shared" si="70"/>
        <v>0</v>
      </c>
    </row>
    <row r="51" spans="1:51" ht="23.1" customHeight="1" x14ac:dyDescent="0.3">
      <c r="A51" s="36" t="s">
        <v>56</v>
      </c>
      <c r="B51" s="36" t="s">
        <v>57</v>
      </c>
      <c r="C51" s="38" t="s">
        <v>58</v>
      </c>
      <c r="D51" s="39">
        <v>2</v>
      </c>
      <c r="E51" s="40">
        <f>일위대가목록!G20</f>
        <v>1195075</v>
      </c>
      <c r="F51" s="40">
        <f t="shared" si="36"/>
        <v>2390150</v>
      </c>
      <c r="G51" s="40">
        <f>일위대가목록!I20</f>
        <v>402502</v>
      </c>
      <c r="H51" s="40">
        <f t="shared" si="37"/>
        <v>805004</v>
      </c>
      <c r="I51" s="40">
        <f>일위대가목록!K20</f>
        <v>0</v>
      </c>
      <c r="J51" s="40">
        <f t="shared" si="38"/>
        <v>0</v>
      </c>
      <c r="K51" s="40">
        <f t="shared" si="39"/>
        <v>1597577</v>
      </c>
      <c r="L51" s="40">
        <f t="shared" si="40"/>
        <v>3195154</v>
      </c>
      <c r="M51" s="49" t="s">
        <v>436</v>
      </c>
      <c r="O51" t="str">
        <f>""</f>
        <v/>
      </c>
      <c r="P51" s="34" t="s">
        <v>254</v>
      </c>
      <c r="Q51">
        <v>1</v>
      </c>
      <c r="R51">
        <f t="shared" si="41"/>
        <v>0</v>
      </c>
      <c r="S51">
        <f t="shared" si="42"/>
        <v>0</v>
      </c>
      <c r="T51">
        <f t="shared" si="43"/>
        <v>0</v>
      </c>
      <c r="U51">
        <f t="shared" si="44"/>
        <v>0</v>
      </c>
      <c r="V51">
        <f t="shared" si="45"/>
        <v>0</v>
      </c>
      <c r="W51">
        <f t="shared" si="46"/>
        <v>0</v>
      </c>
      <c r="X51">
        <f t="shared" si="47"/>
        <v>0</v>
      </c>
      <c r="Y51">
        <f t="shared" si="48"/>
        <v>0</v>
      </c>
      <c r="Z51">
        <f t="shared" si="49"/>
        <v>0</v>
      </c>
      <c r="AA51">
        <f t="shared" si="50"/>
        <v>0</v>
      </c>
      <c r="AB51">
        <f t="shared" si="51"/>
        <v>0</v>
      </c>
      <c r="AC51">
        <f t="shared" si="52"/>
        <v>0</v>
      </c>
      <c r="AD51">
        <f t="shared" si="53"/>
        <v>0</v>
      </c>
      <c r="AE51">
        <f t="shared" si="54"/>
        <v>0</v>
      </c>
      <c r="AF51">
        <f t="shared" si="55"/>
        <v>0</v>
      </c>
      <c r="AG51">
        <f t="shared" si="56"/>
        <v>0</v>
      </c>
      <c r="AH51">
        <f t="shared" si="57"/>
        <v>0</v>
      </c>
      <c r="AI51">
        <f t="shared" si="58"/>
        <v>0</v>
      </c>
      <c r="AJ51">
        <f t="shared" si="59"/>
        <v>0</v>
      </c>
      <c r="AK51">
        <f t="shared" si="60"/>
        <v>0</v>
      </c>
      <c r="AL51">
        <f t="shared" si="61"/>
        <v>0</v>
      </c>
      <c r="AM51">
        <f t="shared" si="62"/>
        <v>0</v>
      </c>
      <c r="AN51">
        <f t="shared" si="63"/>
        <v>0</v>
      </c>
      <c r="AO51">
        <f t="shared" si="64"/>
        <v>0</v>
      </c>
      <c r="AP51">
        <f t="shared" si="65"/>
        <v>0</v>
      </c>
      <c r="AQ51">
        <f t="shared" si="66"/>
        <v>0</v>
      </c>
      <c r="AR51">
        <f t="shared" si="67"/>
        <v>0</v>
      </c>
      <c r="AS51">
        <f t="shared" si="68"/>
        <v>0</v>
      </c>
      <c r="AT51">
        <f t="shared" si="69"/>
        <v>0</v>
      </c>
      <c r="AU51">
        <f t="shared" si="70"/>
        <v>0</v>
      </c>
      <c r="AY51" s="34" t="s">
        <v>417</v>
      </c>
    </row>
    <row r="52" spans="1:51" ht="23.1" customHeight="1" x14ac:dyDescent="0.3">
      <c r="A52" s="41" t="s">
        <v>216</v>
      </c>
      <c r="B52" s="42"/>
      <c r="C52" s="43"/>
      <c r="D52" s="44"/>
      <c r="E52" s="44"/>
      <c r="F52" s="45">
        <f>ROUNDDOWN(SUMIF(Q38:Q51, "1", F38:F51), 0)</f>
        <v>3447068</v>
      </c>
      <c r="G52" s="44"/>
      <c r="H52" s="45">
        <f>ROUNDDOWN(SUMIF(Q38:Q51, "1", H38:H51), 0)</f>
        <v>4153177</v>
      </c>
      <c r="I52" s="44"/>
      <c r="J52" s="45">
        <f>ROUNDDOWN(SUMIF(Q38:Q51, "1", J38:J51), 0)</f>
        <v>0</v>
      </c>
      <c r="K52" s="44"/>
      <c r="L52" s="45">
        <f>F52+H52+J52</f>
        <v>7600245</v>
      </c>
      <c r="M52" s="44"/>
      <c r="R52">
        <f t="shared" ref="R52:AY52" si="71">ROUNDDOWN(SUM(R38:R51), 0)</f>
        <v>0</v>
      </c>
      <c r="S52">
        <f t="shared" si="71"/>
        <v>0</v>
      </c>
      <c r="T52">
        <f t="shared" si="71"/>
        <v>0</v>
      </c>
      <c r="U52">
        <f t="shared" si="71"/>
        <v>0</v>
      </c>
      <c r="V52">
        <f t="shared" si="71"/>
        <v>0</v>
      </c>
      <c r="W52">
        <f t="shared" si="71"/>
        <v>0</v>
      </c>
      <c r="X52">
        <f t="shared" si="71"/>
        <v>0</v>
      </c>
      <c r="Y52">
        <f t="shared" si="71"/>
        <v>0</v>
      </c>
      <c r="Z52">
        <f t="shared" si="71"/>
        <v>0</v>
      </c>
      <c r="AA52">
        <f t="shared" si="71"/>
        <v>0</v>
      </c>
      <c r="AB52">
        <f t="shared" si="71"/>
        <v>0</v>
      </c>
      <c r="AC52">
        <f t="shared" si="71"/>
        <v>0</v>
      </c>
      <c r="AD52">
        <f t="shared" si="71"/>
        <v>0</v>
      </c>
      <c r="AE52">
        <f t="shared" si="71"/>
        <v>0</v>
      </c>
      <c r="AF52">
        <f t="shared" si="71"/>
        <v>0</v>
      </c>
      <c r="AG52">
        <f t="shared" si="71"/>
        <v>0</v>
      </c>
      <c r="AH52">
        <f t="shared" si="71"/>
        <v>0</v>
      </c>
      <c r="AI52">
        <f t="shared" si="71"/>
        <v>0</v>
      </c>
      <c r="AJ52">
        <f t="shared" si="71"/>
        <v>0</v>
      </c>
      <c r="AK52">
        <f t="shared" si="71"/>
        <v>0</v>
      </c>
      <c r="AL52">
        <f t="shared" si="71"/>
        <v>0</v>
      </c>
      <c r="AM52">
        <f t="shared" si="71"/>
        <v>0</v>
      </c>
      <c r="AN52">
        <f t="shared" si="71"/>
        <v>0</v>
      </c>
      <c r="AO52">
        <f t="shared" si="71"/>
        <v>0</v>
      </c>
      <c r="AP52">
        <f t="shared" si="71"/>
        <v>0</v>
      </c>
      <c r="AQ52">
        <f t="shared" si="71"/>
        <v>0</v>
      </c>
      <c r="AR52">
        <f t="shared" si="71"/>
        <v>0</v>
      </c>
      <c r="AS52">
        <f t="shared" si="71"/>
        <v>0</v>
      </c>
      <c r="AT52">
        <f t="shared" si="71"/>
        <v>0</v>
      </c>
      <c r="AU52">
        <f t="shared" si="71"/>
        <v>0</v>
      </c>
      <c r="AV52">
        <f t="shared" si="71"/>
        <v>0</v>
      </c>
      <c r="AW52">
        <f t="shared" si="71"/>
        <v>0</v>
      </c>
      <c r="AX52">
        <f t="shared" si="71"/>
        <v>0</v>
      </c>
      <c r="AY52">
        <f t="shared" si="71"/>
        <v>0</v>
      </c>
    </row>
    <row r="53" spans="1:51" ht="23.1" customHeight="1" x14ac:dyDescent="0.3">
      <c r="A53" s="175" t="s">
        <v>485</v>
      </c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</row>
    <row r="54" spans="1:51" ht="23.1" customHeight="1" x14ac:dyDescent="0.3">
      <c r="A54" s="36" t="s">
        <v>438</v>
      </c>
      <c r="B54" s="36" t="s">
        <v>439</v>
      </c>
      <c r="C54" s="38" t="s">
        <v>72</v>
      </c>
      <c r="D54" s="39">
        <v>1</v>
      </c>
      <c r="E54" s="40">
        <f>일위대가목록!G21</f>
        <v>0</v>
      </c>
      <c r="F54" s="40">
        <f t="shared" ref="F54:F59" si="72">ROUNDDOWN(D54*E54, 0)</f>
        <v>0</v>
      </c>
      <c r="G54" s="40">
        <f>일위대가목록!I21</f>
        <v>716818</v>
      </c>
      <c r="H54" s="40">
        <f t="shared" ref="H54:H59" si="73">ROUNDDOWN(D54*G54, 0)</f>
        <v>716818</v>
      </c>
      <c r="I54" s="40">
        <f>일위대가목록!K21</f>
        <v>0</v>
      </c>
      <c r="J54" s="40">
        <f t="shared" ref="J54:J59" si="74">ROUNDDOWN(D54*I54, 0)</f>
        <v>0</v>
      </c>
      <c r="K54" s="40">
        <f t="shared" ref="K54:L59" si="75">E54+G54+I54</f>
        <v>716818</v>
      </c>
      <c r="L54" s="40">
        <f t="shared" si="75"/>
        <v>716818</v>
      </c>
      <c r="M54" s="49" t="s">
        <v>437</v>
      </c>
      <c r="O54" t="str">
        <f>""</f>
        <v/>
      </c>
      <c r="P54" s="34" t="s">
        <v>254</v>
      </c>
      <c r="Q54">
        <v>1</v>
      </c>
      <c r="R54">
        <f t="shared" ref="R54:R60" si="76">IF(P54="기계경비", J54, 0)</f>
        <v>0</v>
      </c>
      <c r="S54">
        <f t="shared" ref="S54:S60" si="77">IF(P54="운반비", L54, 0)</f>
        <v>0</v>
      </c>
      <c r="T54">
        <f t="shared" ref="T54:T60" si="78">IF(P54="작업부산물", F54, 0)</f>
        <v>0</v>
      </c>
      <c r="U54">
        <f t="shared" ref="U54:U60" si="79">IF(P54="관급", F54, 0)</f>
        <v>0</v>
      </c>
      <c r="V54">
        <f t="shared" ref="V54:V60" si="80">IF(P54="외주비", J54, 0)</f>
        <v>0</v>
      </c>
      <c r="W54">
        <f t="shared" ref="W54:W60" si="81">IF(P54="장비비", J54, 0)</f>
        <v>0</v>
      </c>
      <c r="X54">
        <f t="shared" ref="X54:X60" si="82">IF(P54="폐기물처리비", L54, 0)</f>
        <v>0</v>
      </c>
      <c r="Y54">
        <f t="shared" ref="Y54:Y60" si="83">IF(P54="가설비", J54, 0)</f>
        <v>0</v>
      </c>
      <c r="Z54">
        <f t="shared" ref="Z54:Z60" si="84">IF(P54="잡비제외분", F54, 0)</f>
        <v>0</v>
      </c>
      <c r="AA54">
        <f t="shared" ref="AA54:AA60" si="85">IF(P54="사급자재대", L54, 0)</f>
        <v>0</v>
      </c>
      <c r="AB54">
        <f t="shared" ref="AB54:AB60" si="86">IF(P54="관급자재대", L54, 0)</f>
        <v>0</v>
      </c>
      <c r="AC54">
        <f t="shared" ref="AC54:AC60" si="87">IF(P54="사용자항목1", L54, 0)</f>
        <v>0</v>
      </c>
      <c r="AD54">
        <f t="shared" ref="AD54:AD60" si="88">IF(P54="사용자항목2", L54, 0)</f>
        <v>0</v>
      </c>
      <c r="AE54">
        <f t="shared" ref="AE54:AE60" si="89">IF(P54="안전관리비", L54, 0)</f>
        <v>0</v>
      </c>
      <c r="AF54">
        <f t="shared" ref="AF54:AF60" si="90">IF(P54="품질관리비", L54, 0)</f>
        <v>0</v>
      </c>
      <c r="AG54">
        <f t="shared" ref="AG54:AG60" si="91">IF(P54="작업부산물(철거해체)", L54, 0)</f>
        <v>0</v>
      </c>
      <c r="AH54">
        <f t="shared" ref="AH54:AH60" si="92">IF(P54="사용자항목6", L54, 0)</f>
        <v>0</v>
      </c>
      <c r="AI54">
        <f t="shared" ref="AI54:AI60" si="93">IF(P54="사용자항목7", L54, 0)</f>
        <v>0</v>
      </c>
      <c r="AJ54">
        <f t="shared" ref="AJ54:AJ60" si="94">IF(P54="사용자항목8", L54, 0)</f>
        <v>0</v>
      </c>
      <c r="AK54">
        <f t="shared" ref="AK54:AK60" si="95">IF(P54="사용자항목9", L54, 0)</f>
        <v>0</v>
      </c>
      <c r="AL54">
        <f t="shared" ref="AL54:AL60" si="96">IF(P54="사용자항목10", L54, 0)</f>
        <v>0</v>
      </c>
      <c r="AM54">
        <f t="shared" ref="AM54:AM60" si="97">IF(P54="사용자항목11", L54, 0)</f>
        <v>0</v>
      </c>
      <c r="AN54">
        <f t="shared" ref="AN54:AN60" si="98">IF(P54="사용자항목12", L54, 0)</f>
        <v>0</v>
      </c>
      <c r="AO54">
        <f t="shared" ref="AO54:AO60" si="99">IF(P54="사용자항목13", L54, 0)</f>
        <v>0</v>
      </c>
      <c r="AP54">
        <f t="shared" ref="AP54:AP60" si="100">IF(P54="사용자항목14", L54, 0)</f>
        <v>0</v>
      </c>
      <c r="AQ54">
        <f t="shared" ref="AQ54:AQ60" si="101">IF(P54="사용자항목15", L54, 0)</f>
        <v>0</v>
      </c>
      <c r="AR54">
        <f t="shared" ref="AR54:AR60" si="102">IF(P54="사용자항목16", L54, 0)</f>
        <v>0</v>
      </c>
      <c r="AS54">
        <f t="shared" ref="AS54:AS60" si="103">IF(P54="사용자항목17", L54, 0)</f>
        <v>0</v>
      </c>
      <c r="AT54">
        <f t="shared" ref="AT54:AT60" si="104">IF(P54="사용자항목18", L54, 0)</f>
        <v>0</v>
      </c>
      <c r="AU54">
        <f t="shared" ref="AU54:AU60" si="105">IF(P54="사용자항목19", L54, 0)</f>
        <v>0</v>
      </c>
      <c r="AY54" s="34" t="s">
        <v>440</v>
      </c>
    </row>
    <row r="55" spans="1:51" ht="23.1" customHeight="1" x14ac:dyDescent="0.3">
      <c r="A55" s="36" t="s">
        <v>70</v>
      </c>
      <c r="B55" s="36" t="s">
        <v>71</v>
      </c>
      <c r="C55" s="38" t="s">
        <v>72</v>
      </c>
      <c r="D55" s="39">
        <v>1</v>
      </c>
      <c r="E55" s="40">
        <f>일위대가목록!G22</f>
        <v>314718</v>
      </c>
      <c r="F55" s="40">
        <f t="shared" si="72"/>
        <v>314718</v>
      </c>
      <c r="G55" s="40">
        <f>일위대가목록!I22</f>
        <v>180626</v>
      </c>
      <c r="H55" s="40">
        <f t="shared" si="73"/>
        <v>180626</v>
      </c>
      <c r="I55" s="40">
        <f>일위대가목록!K22</f>
        <v>0</v>
      </c>
      <c r="J55" s="40">
        <f t="shared" si="74"/>
        <v>0</v>
      </c>
      <c r="K55" s="40">
        <f t="shared" si="75"/>
        <v>495344</v>
      </c>
      <c r="L55" s="40">
        <f t="shared" si="75"/>
        <v>495344</v>
      </c>
      <c r="M55" s="49" t="s">
        <v>441</v>
      </c>
      <c r="O55" t="str">
        <f>""</f>
        <v/>
      </c>
      <c r="P55" s="34" t="s">
        <v>254</v>
      </c>
      <c r="Q55">
        <v>1</v>
      </c>
      <c r="R55">
        <f t="shared" si="76"/>
        <v>0</v>
      </c>
      <c r="S55">
        <f t="shared" si="77"/>
        <v>0</v>
      </c>
      <c r="T55">
        <f t="shared" si="78"/>
        <v>0</v>
      </c>
      <c r="U55">
        <f t="shared" si="79"/>
        <v>0</v>
      </c>
      <c r="V55">
        <f t="shared" si="80"/>
        <v>0</v>
      </c>
      <c r="W55">
        <f t="shared" si="81"/>
        <v>0</v>
      </c>
      <c r="X55">
        <f t="shared" si="82"/>
        <v>0</v>
      </c>
      <c r="Y55">
        <f t="shared" si="83"/>
        <v>0</v>
      </c>
      <c r="Z55">
        <f t="shared" si="84"/>
        <v>0</v>
      </c>
      <c r="AA55">
        <f t="shared" si="85"/>
        <v>0</v>
      </c>
      <c r="AB55">
        <f t="shared" si="86"/>
        <v>0</v>
      </c>
      <c r="AC55">
        <f t="shared" si="87"/>
        <v>0</v>
      </c>
      <c r="AD55">
        <f t="shared" si="88"/>
        <v>0</v>
      </c>
      <c r="AE55">
        <f t="shared" si="89"/>
        <v>0</v>
      </c>
      <c r="AF55">
        <f t="shared" si="90"/>
        <v>0</v>
      </c>
      <c r="AG55">
        <f t="shared" si="91"/>
        <v>0</v>
      </c>
      <c r="AH55">
        <f t="shared" si="92"/>
        <v>0</v>
      </c>
      <c r="AI55">
        <f t="shared" si="93"/>
        <v>0</v>
      </c>
      <c r="AJ55">
        <f t="shared" si="94"/>
        <v>0</v>
      </c>
      <c r="AK55">
        <f t="shared" si="95"/>
        <v>0</v>
      </c>
      <c r="AL55">
        <f t="shared" si="96"/>
        <v>0</v>
      </c>
      <c r="AM55">
        <f t="shared" si="97"/>
        <v>0</v>
      </c>
      <c r="AN55">
        <f t="shared" si="98"/>
        <v>0</v>
      </c>
      <c r="AO55">
        <f t="shared" si="99"/>
        <v>0</v>
      </c>
      <c r="AP55">
        <f t="shared" si="100"/>
        <v>0</v>
      </c>
      <c r="AQ55">
        <f t="shared" si="101"/>
        <v>0</v>
      </c>
      <c r="AR55">
        <f t="shared" si="102"/>
        <v>0</v>
      </c>
      <c r="AS55">
        <f t="shared" si="103"/>
        <v>0</v>
      </c>
      <c r="AT55">
        <f t="shared" si="104"/>
        <v>0</v>
      </c>
      <c r="AU55">
        <f t="shared" si="105"/>
        <v>0</v>
      </c>
      <c r="AY55" s="34" t="s">
        <v>417</v>
      </c>
    </row>
    <row r="56" spans="1:51" ht="23.1" customHeight="1" x14ac:dyDescent="0.3">
      <c r="A56" s="36" t="s">
        <v>50</v>
      </c>
      <c r="B56" s="36" t="s">
        <v>51</v>
      </c>
      <c r="C56" s="38" t="s">
        <v>40</v>
      </c>
      <c r="D56" s="39">
        <v>1</v>
      </c>
      <c r="E56" s="40">
        <f>일위대가목록!G23</f>
        <v>45963</v>
      </c>
      <c r="F56" s="40">
        <f t="shared" si="72"/>
        <v>45963</v>
      </c>
      <c r="G56" s="40">
        <f>일위대가목록!I23</f>
        <v>192120</v>
      </c>
      <c r="H56" s="40">
        <f t="shared" si="73"/>
        <v>192120</v>
      </c>
      <c r="I56" s="40">
        <f>일위대가목록!K23</f>
        <v>0</v>
      </c>
      <c r="J56" s="40">
        <f t="shared" si="74"/>
        <v>0</v>
      </c>
      <c r="K56" s="40">
        <f t="shared" si="75"/>
        <v>238083</v>
      </c>
      <c r="L56" s="40">
        <f t="shared" si="75"/>
        <v>238083</v>
      </c>
      <c r="M56" s="49" t="s">
        <v>442</v>
      </c>
      <c r="O56" t="str">
        <f>""</f>
        <v/>
      </c>
      <c r="P56" s="34" t="s">
        <v>254</v>
      </c>
      <c r="Q56">
        <v>1</v>
      </c>
      <c r="R56">
        <f t="shared" si="76"/>
        <v>0</v>
      </c>
      <c r="S56">
        <f t="shared" si="77"/>
        <v>0</v>
      </c>
      <c r="T56">
        <f t="shared" si="78"/>
        <v>0</v>
      </c>
      <c r="U56">
        <f t="shared" si="79"/>
        <v>0</v>
      </c>
      <c r="V56">
        <f t="shared" si="80"/>
        <v>0</v>
      </c>
      <c r="W56">
        <f t="shared" si="81"/>
        <v>0</v>
      </c>
      <c r="X56">
        <f t="shared" si="82"/>
        <v>0</v>
      </c>
      <c r="Y56">
        <f t="shared" si="83"/>
        <v>0</v>
      </c>
      <c r="Z56">
        <f t="shared" si="84"/>
        <v>0</v>
      </c>
      <c r="AA56">
        <f t="shared" si="85"/>
        <v>0</v>
      </c>
      <c r="AB56">
        <f t="shared" si="86"/>
        <v>0</v>
      </c>
      <c r="AC56">
        <f t="shared" si="87"/>
        <v>0</v>
      </c>
      <c r="AD56">
        <f t="shared" si="88"/>
        <v>0</v>
      </c>
      <c r="AE56">
        <f t="shared" si="89"/>
        <v>0</v>
      </c>
      <c r="AF56">
        <f t="shared" si="90"/>
        <v>0</v>
      </c>
      <c r="AG56">
        <f t="shared" si="91"/>
        <v>0</v>
      </c>
      <c r="AH56">
        <f t="shared" si="92"/>
        <v>0</v>
      </c>
      <c r="AI56">
        <f t="shared" si="93"/>
        <v>0</v>
      </c>
      <c r="AJ56">
        <f t="shared" si="94"/>
        <v>0</v>
      </c>
      <c r="AK56">
        <f t="shared" si="95"/>
        <v>0</v>
      </c>
      <c r="AL56">
        <f t="shared" si="96"/>
        <v>0</v>
      </c>
      <c r="AM56">
        <f t="shared" si="97"/>
        <v>0</v>
      </c>
      <c r="AN56">
        <f t="shared" si="98"/>
        <v>0</v>
      </c>
      <c r="AO56">
        <f t="shared" si="99"/>
        <v>0</v>
      </c>
      <c r="AP56">
        <f t="shared" si="100"/>
        <v>0</v>
      </c>
      <c r="AQ56">
        <f t="shared" si="101"/>
        <v>0</v>
      </c>
      <c r="AR56">
        <f t="shared" si="102"/>
        <v>0</v>
      </c>
      <c r="AS56">
        <f t="shared" si="103"/>
        <v>0</v>
      </c>
      <c r="AT56">
        <f t="shared" si="104"/>
        <v>0</v>
      </c>
      <c r="AU56">
        <f t="shared" si="105"/>
        <v>0</v>
      </c>
      <c r="AY56" s="34" t="s">
        <v>417</v>
      </c>
    </row>
    <row r="57" spans="1:51" ht="23.1" customHeight="1" x14ac:dyDescent="0.3">
      <c r="A57" s="36" t="s">
        <v>114</v>
      </c>
      <c r="B57" s="36" t="s">
        <v>115</v>
      </c>
      <c r="C57" s="38" t="s">
        <v>116</v>
      </c>
      <c r="D57" s="39">
        <v>91</v>
      </c>
      <c r="E57" s="40">
        <f>단가대비표!O27</f>
        <v>-1900</v>
      </c>
      <c r="F57" s="40">
        <f t="shared" si="72"/>
        <v>-172900</v>
      </c>
      <c r="G57" s="40">
        <v>0</v>
      </c>
      <c r="H57" s="40">
        <f t="shared" si="73"/>
        <v>0</v>
      </c>
      <c r="I57" s="40">
        <v>0</v>
      </c>
      <c r="J57" s="40">
        <f t="shared" si="74"/>
        <v>0</v>
      </c>
      <c r="K57" s="40">
        <f t="shared" si="75"/>
        <v>-1900</v>
      </c>
      <c r="L57" s="40">
        <f t="shared" si="75"/>
        <v>-172900</v>
      </c>
      <c r="M57" s="49" t="s">
        <v>119</v>
      </c>
      <c r="O57" t="str">
        <f>"01"</f>
        <v>01</v>
      </c>
      <c r="P57" s="34" t="s">
        <v>254</v>
      </c>
      <c r="Q57">
        <v>1</v>
      </c>
      <c r="R57">
        <f t="shared" si="76"/>
        <v>0</v>
      </c>
      <c r="S57">
        <f t="shared" si="77"/>
        <v>0</v>
      </c>
      <c r="T57">
        <f t="shared" si="78"/>
        <v>0</v>
      </c>
      <c r="U57">
        <f t="shared" si="79"/>
        <v>0</v>
      </c>
      <c r="V57">
        <f t="shared" si="80"/>
        <v>0</v>
      </c>
      <c r="W57">
        <f t="shared" si="81"/>
        <v>0</v>
      </c>
      <c r="X57">
        <f t="shared" si="82"/>
        <v>0</v>
      </c>
      <c r="Y57">
        <f t="shared" si="83"/>
        <v>0</v>
      </c>
      <c r="Z57">
        <f t="shared" si="84"/>
        <v>0</v>
      </c>
      <c r="AA57">
        <f t="shared" si="85"/>
        <v>0</v>
      </c>
      <c r="AB57">
        <f t="shared" si="86"/>
        <v>0</v>
      </c>
      <c r="AC57">
        <f t="shared" si="87"/>
        <v>0</v>
      </c>
      <c r="AD57">
        <f t="shared" si="88"/>
        <v>0</v>
      </c>
      <c r="AE57">
        <f t="shared" si="89"/>
        <v>0</v>
      </c>
      <c r="AF57">
        <f t="shared" si="90"/>
        <v>0</v>
      </c>
      <c r="AG57">
        <f t="shared" si="91"/>
        <v>0</v>
      </c>
      <c r="AH57">
        <f t="shared" si="92"/>
        <v>0</v>
      </c>
      <c r="AI57">
        <f t="shared" si="93"/>
        <v>0</v>
      </c>
      <c r="AJ57">
        <f t="shared" si="94"/>
        <v>0</v>
      </c>
      <c r="AK57">
        <f t="shared" si="95"/>
        <v>0</v>
      </c>
      <c r="AL57">
        <f t="shared" si="96"/>
        <v>0</v>
      </c>
      <c r="AM57">
        <f t="shared" si="97"/>
        <v>0</v>
      </c>
      <c r="AN57">
        <f t="shared" si="98"/>
        <v>0</v>
      </c>
      <c r="AO57">
        <f t="shared" si="99"/>
        <v>0</v>
      </c>
      <c r="AP57">
        <f t="shared" si="100"/>
        <v>0</v>
      </c>
      <c r="AQ57">
        <f t="shared" si="101"/>
        <v>0</v>
      </c>
      <c r="AR57">
        <f t="shared" si="102"/>
        <v>0</v>
      </c>
      <c r="AS57">
        <f t="shared" si="103"/>
        <v>0</v>
      </c>
      <c r="AT57">
        <f t="shared" si="104"/>
        <v>0</v>
      </c>
      <c r="AU57">
        <f t="shared" si="105"/>
        <v>0</v>
      </c>
    </row>
    <row r="58" spans="1:51" ht="23.1" customHeight="1" x14ac:dyDescent="0.3">
      <c r="A58" s="36" t="s">
        <v>162</v>
      </c>
      <c r="B58" s="36" t="s">
        <v>294</v>
      </c>
      <c r="C58" s="38" t="s">
        <v>292</v>
      </c>
      <c r="D58" s="39">
        <v>4</v>
      </c>
      <c r="E58" s="40">
        <f>중기경비목록!G6</f>
        <v>5766</v>
      </c>
      <c r="F58" s="40">
        <f t="shared" si="72"/>
        <v>23064</v>
      </c>
      <c r="G58" s="40">
        <f>중기경비목록!I6</f>
        <v>49778</v>
      </c>
      <c r="H58" s="40">
        <f t="shared" si="73"/>
        <v>199112</v>
      </c>
      <c r="I58" s="40">
        <f>중기경비목록!K6</f>
        <v>10694</v>
      </c>
      <c r="J58" s="40">
        <f t="shared" si="74"/>
        <v>42776</v>
      </c>
      <c r="K58" s="40">
        <f t="shared" si="75"/>
        <v>66238</v>
      </c>
      <c r="L58" s="40">
        <f t="shared" si="75"/>
        <v>264952</v>
      </c>
      <c r="M58" s="49" t="s">
        <v>293</v>
      </c>
      <c r="O58" t="str">
        <f>""</f>
        <v/>
      </c>
      <c r="P58" s="34" t="s">
        <v>254</v>
      </c>
      <c r="Q58">
        <v>1</v>
      </c>
      <c r="R58">
        <f t="shared" si="76"/>
        <v>42776</v>
      </c>
      <c r="S58">
        <f t="shared" si="77"/>
        <v>0</v>
      </c>
      <c r="T58">
        <f t="shared" si="78"/>
        <v>0</v>
      </c>
      <c r="U58">
        <f t="shared" si="79"/>
        <v>0</v>
      </c>
      <c r="V58">
        <f t="shared" si="80"/>
        <v>0</v>
      </c>
      <c r="W58">
        <f t="shared" si="81"/>
        <v>0</v>
      </c>
      <c r="X58">
        <f t="shared" si="82"/>
        <v>0</v>
      </c>
      <c r="Y58">
        <f t="shared" si="83"/>
        <v>0</v>
      </c>
      <c r="Z58">
        <f t="shared" si="84"/>
        <v>0</v>
      </c>
      <c r="AA58">
        <f t="shared" si="85"/>
        <v>0</v>
      </c>
      <c r="AB58">
        <f t="shared" si="86"/>
        <v>0</v>
      </c>
      <c r="AC58">
        <f t="shared" si="87"/>
        <v>0</v>
      </c>
      <c r="AD58">
        <f t="shared" si="88"/>
        <v>0</v>
      </c>
      <c r="AE58">
        <f t="shared" si="89"/>
        <v>0</v>
      </c>
      <c r="AF58">
        <f t="shared" si="90"/>
        <v>0</v>
      </c>
      <c r="AG58">
        <f t="shared" si="91"/>
        <v>0</v>
      </c>
      <c r="AH58">
        <f t="shared" si="92"/>
        <v>0</v>
      </c>
      <c r="AI58">
        <f t="shared" si="93"/>
        <v>0</v>
      </c>
      <c r="AJ58">
        <f t="shared" si="94"/>
        <v>0</v>
      </c>
      <c r="AK58">
        <f t="shared" si="95"/>
        <v>0</v>
      </c>
      <c r="AL58">
        <f t="shared" si="96"/>
        <v>0</v>
      </c>
      <c r="AM58">
        <f t="shared" si="97"/>
        <v>0</v>
      </c>
      <c r="AN58">
        <f t="shared" si="98"/>
        <v>0</v>
      </c>
      <c r="AO58">
        <f t="shared" si="99"/>
        <v>0</v>
      </c>
      <c r="AP58">
        <f t="shared" si="100"/>
        <v>0</v>
      </c>
      <c r="AQ58">
        <f t="shared" si="101"/>
        <v>0</v>
      </c>
      <c r="AR58">
        <f t="shared" si="102"/>
        <v>0</v>
      </c>
      <c r="AS58">
        <f t="shared" si="103"/>
        <v>0</v>
      </c>
      <c r="AT58">
        <f t="shared" si="104"/>
        <v>0</v>
      </c>
      <c r="AU58">
        <f t="shared" si="105"/>
        <v>0</v>
      </c>
    </row>
    <row r="59" spans="1:51" ht="23.1" customHeight="1" x14ac:dyDescent="0.3">
      <c r="A59" s="37"/>
      <c r="B59" s="37"/>
      <c r="C59" s="38" t="s">
        <v>252</v>
      </c>
      <c r="D59" s="39"/>
      <c r="E59" s="40"/>
      <c r="F59" s="40">
        <f t="shared" si="72"/>
        <v>0</v>
      </c>
      <c r="G59" s="40"/>
      <c r="H59" s="40">
        <f t="shared" si="73"/>
        <v>0</v>
      </c>
      <c r="I59" s="40"/>
      <c r="J59" s="40">
        <f t="shared" si="74"/>
        <v>0</v>
      </c>
      <c r="K59" s="40">
        <f t="shared" si="75"/>
        <v>0</v>
      </c>
      <c r="L59" s="40">
        <f t="shared" si="75"/>
        <v>0</v>
      </c>
      <c r="M59" s="47"/>
      <c r="O59" t="str">
        <f>""</f>
        <v/>
      </c>
      <c r="Q59">
        <v>1</v>
      </c>
      <c r="R59">
        <f t="shared" si="76"/>
        <v>0</v>
      </c>
      <c r="S59">
        <f t="shared" si="77"/>
        <v>0</v>
      </c>
      <c r="T59">
        <f t="shared" si="78"/>
        <v>0</v>
      </c>
      <c r="U59">
        <f t="shared" si="79"/>
        <v>0</v>
      </c>
      <c r="V59">
        <f t="shared" si="80"/>
        <v>0</v>
      </c>
      <c r="W59">
        <f t="shared" si="81"/>
        <v>0</v>
      </c>
      <c r="X59">
        <f t="shared" si="82"/>
        <v>0</v>
      </c>
      <c r="Y59">
        <f t="shared" si="83"/>
        <v>0</v>
      </c>
      <c r="Z59">
        <f t="shared" si="84"/>
        <v>0</v>
      </c>
      <c r="AA59">
        <f t="shared" si="85"/>
        <v>0</v>
      </c>
      <c r="AB59">
        <f t="shared" si="86"/>
        <v>0</v>
      </c>
      <c r="AC59">
        <f t="shared" si="87"/>
        <v>0</v>
      </c>
      <c r="AD59">
        <f t="shared" si="88"/>
        <v>0</v>
      </c>
      <c r="AE59">
        <f t="shared" si="89"/>
        <v>0</v>
      </c>
      <c r="AF59">
        <f t="shared" si="90"/>
        <v>0</v>
      </c>
      <c r="AG59">
        <f t="shared" si="91"/>
        <v>0</v>
      </c>
      <c r="AH59">
        <f t="shared" si="92"/>
        <v>0</v>
      </c>
      <c r="AI59">
        <f t="shared" si="93"/>
        <v>0</v>
      </c>
      <c r="AJ59">
        <f t="shared" si="94"/>
        <v>0</v>
      </c>
      <c r="AK59">
        <f t="shared" si="95"/>
        <v>0</v>
      </c>
      <c r="AL59">
        <f t="shared" si="96"/>
        <v>0</v>
      </c>
      <c r="AM59">
        <f t="shared" si="97"/>
        <v>0</v>
      </c>
      <c r="AN59">
        <f t="shared" si="98"/>
        <v>0</v>
      </c>
      <c r="AO59">
        <f t="shared" si="99"/>
        <v>0</v>
      </c>
      <c r="AP59">
        <f t="shared" si="100"/>
        <v>0</v>
      </c>
      <c r="AQ59">
        <f t="shared" si="101"/>
        <v>0</v>
      </c>
      <c r="AR59">
        <f t="shared" si="102"/>
        <v>0</v>
      </c>
      <c r="AS59">
        <f t="shared" si="103"/>
        <v>0</v>
      </c>
      <c r="AT59">
        <f t="shared" si="104"/>
        <v>0</v>
      </c>
      <c r="AU59">
        <f t="shared" si="105"/>
        <v>0</v>
      </c>
    </row>
    <row r="60" spans="1:51" ht="23.1" customHeight="1" x14ac:dyDescent="0.3">
      <c r="A60" s="36" t="s">
        <v>83</v>
      </c>
      <c r="B60" s="36" t="s">
        <v>84</v>
      </c>
      <c r="C60" s="38" t="s">
        <v>85</v>
      </c>
      <c r="D60" s="39">
        <v>1</v>
      </c>
      <c r="E60" s="40"/>
      <c r="F60" s="40"/>
      <c r="G60" s="40"/>
      <c r="H60" s="40"/>
      <c r="I60" s="40"/>
      <c r="J60" s="40"/>
      <c r="K60" s="40"/>
      <c r="L60" s="51" t="s">
        <v>451</v>
      </c>
      <c r="M60" s="47"/>
      <c r="O60" t="str">
        <f>"01"</f>
        <v>01</v>
      </c>
      <c r="P60" s="34" t="s">
        <v>254</v>
      </c>
      <c r="Q60">
        <v>1</v>
      </c>
      <c r="R60">
        <f t="shared" si="76"/>
        <v>0</v>
      </c>
      <c r="S60">
        <f t="shared" si="77"/>
        <v>0</v>
      </c>
      <c r="T60">
        <f t="shared" si="78"/>
        <v>0</v>
      </c>
      <c r="U60">
        <f t="shared" si="79"/>
        <v>0</v>
      </c>
      <c r="V60">
        <f t="shared" si="80"/>
        <v>0</v>
      </c>
      <c r="W60">
        <f t="shared" si="81"/>
        <v>0</v>
      </c>
      <c r="X60">
        <f t="shared" si="82"/>
        <v>0</v>
      </c>
      <c r="Y60">
        <f t="shared" si="83"/>
        <v>0</v>
      </c>
      <c r="Z60">
        <f t="shared" si="84"/>
        <v>0</v>
      </c>
      <c r="AA60">
        <f t="shared" si="85"/>
        <v>0</v>
      </c>
      <c r="AB60">
        <f t="shared" si="86"/>
        <v>0</v>
      </c>
      <c r="AC60">
        <f t="shared" si="87"/>
        <v>0</v>
      </c>
      <c r="AD60">
        <f t="shared" si="88"/>
        <v>0</v>
      </c>
      <c r="AE60">
        <f t="shared" si="89"/>
        <v>0</v>
      </c>
      <c r="AF60">
        <f t="shared" si="90"/>
        <v>0</v>
      </c>
      <c r="AG60">
        <f t="shared" si="91"/>
        <v>0</v>
      </c>
      <c r="AH60">
        <f t="shared" si="92"/>
        <v>0</v>
      </c>
      <c r="AI60">
        <f t="shared" si="93"/>
        <v>0</v>
      </c>
      <c r="AJ60">
        <f t="shared" si="94"/>
        <v>0</v>
      </c>
      <c r="AK60">
        <f t="shared" si="95"/>
        <v>0</v>
      </c>
      <c r="AL60">
        <f t="shared" si="96"/>
        <v>0</v>
      </c>
      <c r="AM60">
        <f t="shared" si="97"/>
        <v>0</v>
      </c>
      <c r="AN60">
        <f t="shared" si="98"/>
        <v>0</v>
      </c>
      <c r="AO60">
        <f t="shared" si="99"/>
        <v>0</v>
      </c>
      <c r="AP60">
        <f t="shared" si="100"/>
        <v>0</v>
      </c>
      <c r="AQ60">
        <f t="shared" si="101"/>
        <v>0</v>
      </c>
      <c r="AR60">
        <f t="shared" si="102"/>
        <v>0</v>
      </c>
      <c r="AS60">
        <f t="shared" si="103"/>
        <v>0</v>
      </c>
      <c r="AT60">
        <f t="shared" si="104"/>
        <v>0</v>
      </c>
      <c r="AU60">
        <f t="shared" si="105"/>
        <v>0</v>
      </c>
    </row>
    <row r="61" spans="1:51" ht="23.1" customHeight="1" x14ac:dyDescent="0.3">
      <c r="A61" s="37"/>
      <c r="B61" s="37"/>
      <c r="C61" s="46"/>
      <c r="D61" s="47"/>
      <c r="E61" s="47"/>
      <c r="F61" s="47"/>
      <c r="G61" s="47"/>
      <c r="H61" s="47"/>
      <c r="I61" s="47"/>
      <c r="J61" s="47"/>
      <c r="K61" s="47"/>
      <c r="L61" s="47"/>
      <c r="M61" s="47"/>
    </row>
    <row r="62" spans="1:51" ht="23.1" customHeight="1" x14ac:dyDescent="0.3">
      <c r="A62" s="37"/>
      <c r="B62" s="37"/>
      <c r="C62" s="46"/>
      <c r="D62" s="47"/>
      <c r="E62" s="47"/>
      <c r="F62" s="47"/>
      <c r="G62" s="47"/>
      <c r="H62" s="47"/>
      <c r="I62" s="47"/>
      <c r="J62" s="47"/>
      <c r="K62" s="47"/>
      <c r="L62" s="47"/>
      <c r="M62" s="47"/>
    </row>
    <row r="63" spans="1:51" ht="23.1" customHeight="1" x14ac:dyDescent="0.3">
      <c r="A63" s="37"/>
      <c r="B63" s="37"/>
      <c r="C63" s="46"/>
      <c r="D63" s="47"/>
      <c r="E63" s="47"/>
      <c r="F63" s="47"/>
      <c r="G63" s="47"/>
      <c r="H63" s="47"/>
      <c r="I63" s="47"/>
      <c r="J63" s="47"/>
      <c r="K63" s="47"/>
      <c r="L63" s="47"/>
      <c r="M63" s="47"/>
    </row>
    <row r="64" spans="1:51" ht="23.1" customHeight="1" x14ac:dyDescent="0.3">
      <c r="A64" s="37"/>
      <c r="B64" s="37"/>
      <c r="C64" s="46"/>
      <c r="D64" s="47"/>
      <c r="E64" s="47"/>
      <c r="F64" s="47"/>
      <c r="G64" s="47"/>
      <c r="H64" s="47"/>
      <c r="I64" s="47"/>
      <c r="J64" s="47"/>
      <c r="K64" s="47"/>
      <c r="L64" s="47"/>
      <c r="M64" s="47"/>
    </row>
    <row r="65" spans="1:51" ht="23.1" customHeight="1" x14ac:dyDescent="0.3">
      <c r="A65" s="37"/>
      <c r="B65" s="37"/>
      <c r="C65" s="46"/>
      <c r="D65" s="47"/>
      <c r="E65" s="47"/>
      <c r="F65" s="47"/>
      <c r="G65" s="47"/>
      <c r="H65" s="47"/>
      <c r="I65" s="47"/>
      <c r="J65" s="47"/>
      <c r="K65" s="47"/>
      <c r="L65" s="47"/>
      <c r="M65" s="47"/>
    </row>
    <row r="66" spans="1:51" ht="23.1" customHeight="1" x14ac:dyDescent="0.3">
      <c r="A66" s="37"/>
      <c r="B66" s="37"/>
      <c r="C66" s="46"/>
      <c r="D66" s="47"/>
      <c r="E66" s="47"/>
      <c r="F66" s="47"/>
      <c r="G66" s="47"/>
      <c r="H66" s="47"/>
      <c r="I66" s="47"/>
      <c r="J66" s="47"/>
      <c r="K66" s="47"/>
      <c r="L66" s="47"/>
      <c r="M66" s="47"/>
    </row>
    <row r="67" spans="1:51" ht="23.1" customHeight="1" x14ac:dyDescent="0.3">
      <c r="A67" s="37"/>
      <c r="B67" s="37"/>
      <c r="C67" s="46"/>
      <c r="D67" s="47"/>
      <c r="E67" s="47"/>
      <c r="F67" s="47"/>
      <c r="G67" s="47"/>
      <c r="H67" s="47"/>
      <c r="I67" s="47"/>
      <c r="J67" s="47"/>
      <c r="K67" s="47"/>
      <c r="L67" s="47"/>
      <c r="M67" s="47"/>
    </row>
    <row r="68" spans="1:51" ht="23.1" customHeight="1" x14ac:dyDescent="0.3">
      <c r="A68" s="41" t="s">
        <v>216</v>
      </c>
      <c r="B68" s="42"/>
      <c r="C68" s="43"/>
      <c r="D68" s="44"/>
      <c r="E68" s="44"/>
      <c r="F68" s="45">
        <f>ROUNDDOWN(SUMIF(Q54:Q67, "1", F54:F67), 0)</f>
        <v>210845</v>
      </c>
      <c r="G68" s="44"/>
      <c r="H68" s="45">
        <f>ROUNDDOWN(SUMIF(Q54:Q67, "1", H54:H67), 0)</f>
        <v>1288676</v>
      </c>
      <c r="I68" s="44"/>
      <c r="J68" s="45">
        <f>ROUNDDOWN(SUMIF(Q54:Q67, "1", J54:J67), 0)</f>
        <v>42776</v>
      </c>
      <c r="K68" s="44"/>
      <c r="L68" s="45">
        <f>F68+H68+J68</f>
        <v>1542297</v>
      </c>
      <c r="M68" s="44"/>
      <c r="R68">
        <f t="shared" ref="R68:AY68" si="106">ROUNDDOWN(SUM(R54:R60), 0)</f>
        <v>42776</v>
      </c>
      <c r="S68">
        <f t="shared" si="106"/>
        <v>0</v>
      </c>
      <c r="T68">
        <f t="shared" si="106"/>
        <v>0</v>
      </c>
      <c r="U68">
        <f t="shared" si="106"/>
        <v>0</v>
      </c>
      <c r="V68">
        <f t="shared" si="106"/>
        <v>0</v>
      </c>
      <c r="W68">
        <f t="shared" si="106"/>
        <v>0</v>
      </c>
      <c r="X68">
        <f t="shared" si="106"/>
        <v>0</v>
      </c>
      <c r="Y68">
        <f t="shared" si="106"/>
        <v>0</v>
      </c>
      <c r="Z68">
        <f t="shared" si="106"/>
        <v>0</v>
      </c>
      <c r="AA68">
        <f t="shared" si="106"/>
        <v>0</v>
      </c>
      <c r="AB68">
        <f t="shared" si="106"/>
        <v>0</v>
      </c>
      <c r="AC68">
        <f t="shared" si="106"/>
        <v>0</v>
      </c>
      <c r="AD68">
        <f t="shared" si="106"/>
        <v>0</v>
      </c>
      <c r="AE68">
        <f t="shared" si="106"/>
        <v>0</v>
      </c>
      <c r="AF68">
        <f t="shared" si="106"/>
        <v>0</v>
      </c>
      <c r="AG68">
        <f t="shared" si="106"/>
        <v>0</v>
      </c>
      <c r="AH68">
        <f t="shared" si="106"/>
        <v>0</v>
      </c>
      <c r="AI68">
        <f t="shared" si="106"/>
        <v>0</v>
      </c>
      <c r="AJ68">
        <f t="shared" si="106"/>
        <v>0</v>
      </c>
      <c r="AK68">
        <f t="shared" si="106"/>
        <v>0</v>
      </c>
      <c r="AL68">
        <f t="shared" si="106"/>
        <v>0</v>
      </c>
      <c r="AM68">
        <f t="shared" si="106"/>
        <v>0</v>
      </c>
      <c r="AN68">
        <f t="shared" si="106"/>
        <v>0</v>
      </c>
      <c r="AO68">
        <f t="shared" si="106"/>
        <v>0</v>
      </c>
      <c r="AP68">
        <f t="shared" si="106"/>
        <v>0</v>
      </c>
      <c r="AQ68">
        <f t="shared" si="106"/>
        <v>0</v>
      </c>
      <c r="AR68">
        <f t="shared" si="106"/>
        <v>0</v>
      </c>
      <c r="AS68">
        <f t="shared" si="106"/>
        <v>0</v>
      </c>
      <c r="AT68">
        <f t="shared" si="106"/>
        <v>0</v>
      </c>
      <c r="AU68">
        <f t="shared" si="106"/>
        <v>0</v>
      </c>
      <c r="AV68">
        <f t="shared" si="106"/>
        <v>0</v>
      </c>
      <c r="AW68">
        <f t="shared" si="106"/>
        <v>0</v>
      </c>
      <c r="AX68">
        <f t="shared" si="106"/>
        <v>0</v>
      </c>
      <c r="AY68">
        <f t="shared" si="106"/>
        <v>0</v>
      </c>
    </row>
    <row r="69" spans="1:51" ht="23.1" customHeight="1" x14ac:dyDescent="0.3">
      <c r="A69" s="175" t="s">
        <v>486</v>
      </c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</row>
    <row r="70" spans="1:51" ht="23.1" customHeight="1" x14ac:dyDescent="0.3">
      <c r="A70" s="36" t="s">
        <v>444</v>
      </c>
      <c r="B70" s="36" t="s">
        <v>445</v>
      </c>
      <c r="C70" s="38" t="s">
        <v>191</v>
      </c>
      <c r="D70" s="39">
        <v>8</v>
      </c>
      <c r="E70" s="40">
        <f>일위대가목록!G24</f>
        <v>0</v>
      </c>
      <c r="F70" s="40">
        <f>ROUNDDOWN(D70*E70, 0)</f>
        <v>0</v>
      </c>
      <c r="G70" s="40">
        <f>일위대가목록!I24</f>
        <v>0</v>
      </c>
      <c r="H70" s="40">
        <f>ROUNDDOWN(D70*G70, 0)</f>
        <v>0</v>
      </c>
      <c r="I70" s="40">
        <f>일위대가목록!K24</f>
        <v>49571</v>
      </c>
      <c r="J70" s="40">
        <f>ROUNDDOWN(D70*I70, 0)</f>
        <v>396568</v>
      </c>
      <c r="K70" s="40">
        <f>E70+G70+I70</f>
        <v>49571</v>
      </c>
      <c r="L70" s="40">
        <f>F70+H70+J70</f>
        <v>396568</v>
      </c>
      <c r="M70" s="49" t="s">
        <v>443</v>
      </c>
      <c r="O70" t="str">
        <f>""</f>
        <v/>
      </c>
      <c r="P70" t="s">
        <v>463</v>
      </c>
      <c r="Q70">
        <v>1</v>
      </c>
      <c r="R70">
        <f>IF(P70="기계경비", J70, 0)</f>
        <v>0</v>
      </c>
      <c r="S70">
        <f>IF(P70="운반비", L70, 0)</f>
        <v>0</v>
      </c>
      <c r="T70">
        <f>IF(P70="작업부산물", F70, 0)</f>
        <v>0</v>
      </c>
      <c r="U70">
        <f>IF(P70="관급", F70, 0)</f>
        <v>0</v>
      </c>
      <c r="V70">
        <f>IF(P70="외주비", J70, 0)</f>
        <v>0</v>
      </c>
      <c r="W70">
        <f>IF(P70="장비비", J70, 0)</f>
        <v>0</v>
      </c>
      <c r="X70">
        <f>IF(P70="폐기물처리비", L70, 0)</f>
        <v>0</v>
      </c>
      <c r="Y70">
        <f>IF(P70="가설비", J70, 0)</f>
        <v>0</v>
      </c>
      <c r="Z70">
        <f>IF(P70="잡비제외분", F70, 0)</f>
        <v>0</v>
      </c>
      <c r="AA70">
        <f>IF(P70="사급자재대", L70, 0)</f>
        <v>0</v>
      </c>
      <c r="AB70">
        <f>IF(P70="관급자재대", L70, 0)</f>
        <v>0</v>
      </c>
      <c r="AC70">
        <f>IF(P70="사용자항목1", L70, 0)</f>
        <v>0</v>
      </c>
      <c r="AD70">
        <f>IF(P70="사용자항목2", L70, 0)</f>
        <v>0</v>
      </c>
      <c r="AE70">
        <f>IF(P70="안전관리비", L70, 0)</f>
        <v>0</v>
      </c>
      <c r="AF70">
        <f>IF(P70="품질관리비", L70, 0)</f>
        <v>0</v>
      </c>
      <c r="AG70">
        <f>IF(P70="작업부산물(철거해체)", L70, 0)</f>
        <v>396568</v>
      </c>
      <c r="AH70">
        <f>IF(P70="사용자항목6", L70, 0)</f>
        <v>0</v>
      </c>
      <c r="AI70">
        <f>IF(P70="사용자항목7", L70, 0)</f>
        <v>0</v>
      </c>
      <c r="AJ70">
        <f>IF(P70="사용자항목8", L70, 0)</f>
        <v>0</v>
      </c>
      <c r="AK70">
        <f>IF(P70="사용자항목9", L70, 0)</f>
        <v>0</v>
      </c>
      <c r="AL70">
        <f>IF(P70="사용자항목10", L70, 0)</f>
        <v>0</v>
      </c>
      <c r="AM70">
        <f>IF(P70="사용자항목11", L70, 0)</f>
        <v>0</v>
      </c>
      <c r="AN70">
        <f>IF(P70="사용자항목12", L70, 0)</f>
        <v>0</v>
      </c>
      <c r="AO70">
        <f>IF(P70="사용자항목13", L70, 0)</f>
        <v>0</v>
      </c>
      <c r="AP70">
        <f>IF(P70="사용자항목14", L70, 0)</f>
        <v>0</v>
      </c>
      <c r="AQ70">
        <f>IF(P70="사용자항목15", L70, 0)</f>
        <v>0</v>
      </c>
      <c r="AR70">
        <f>IF(P70="사용자항목16", L70, 0)</f>
        <v>0</v>
      </c>
      <c r="AS70">
        <f>IF(P70="사용자항목17", L70, 0)</f>
        <v>0</v>
      </c>
      <c r="AT70">
        <f>IF(P70="사용자항목18", L70, 0)</f>
        <v>0</v>
      </c>
      <c r="AU70">
        <f>IF(P70="사용자항목19", L70, 0)</f>
        <v>0</v>
      </c>
    </row>
    <row r="71" spans="1:51" ht="23.1" customHeight="1" x14ac:dyDescent="0.3">
      <c r="A71" s="36" t="s">
        <v>155</v>
      </c>
      <c r="B71" s="36" t="s">
        <v>156</v>
      </c>
      <c r="C71" s="38" t="s">
        <v>157</v>
      </c>
      <c r="D71" s="39">
        <v>8</v>
      </c>
      <c r="E71" s="40">
        <v>0</v>
      </c>
      <c r="F71" s="40">
        <f>ROUNDDOWN(D71*E71, 0)</f>
        <v>0</v>
      </c>
      <c r="G71" s="40">
        <v>0</v>
      </c>
      <c r="H71" s="40">
        <f>ROUNDDOWN(D71*G71, 0)</f>
        <v>0</v>
      </c>
      <c r="I71" s="40">
        <f>단가대비표!O47</f>
        <v>63290</v>
      </c>
      <c r="J71" s="40">
        <f>ROUNDDOWN(D71*I71, 0)</f>
        <v>506320</v>
      </c>
      <c r="K71" s="40">
        <f>E71+G71+I71</f>
        <v>63290</v>
      </c>
      <c r="L71" s="40">
        <f>F71+H71+J71</f>
        <v>506320</v>
      </c>
      <c r="M71" s="49" t="s">
        <v>161</v>
      </c>
      <c r="O71" t="str">
        <f>"03"</f>
        <v>03</v>
      </c>
      <c r="P71" t="s">
        <v>463</v>
      </c>
      <c r="Q71">
        <v>1</v>
      </c>
      <c r="R71">
        <f>IF(P71="기계경비", J71, 0)</f>
        <v>0</v>
      </c>
      <c r="S71">
        <f>IF(P71="운반비", L71, 0)</f>
        <v>0</v>
      </c>
      <c r="T71">
        <f>IF(P71="작업부산물", F71, 0)</f>
        <v>0</v>
      </c>
      <c r="U71">
        <f>IF(P71="관급", F71, 0)</f>
        <v>0</v>
      </c>
      <c r="V71">
        <f>IF(P71="외주비", J71, 0)</f>
        <v>0</v>
      </c>
      <c r="W71">
        <f>IF(P71="장비비", J71, 0)</f>
        <v>0</v>
      </c>
      <c r="X71">
        <f>IF(P71="폐기물처리비", L71, 0)</f>
        <v>0</v>
      </c>
      <c r="Y71">
        <f>IF(P71="가설비", J71, 0)</f>
        <v>0</v>
      </c>
      <c r="Z71">
        <f>IF(P71="잡비제외분", F71, 0)</f>
        <v>0</v>
      </c>
      <c r="AA71">
        <f>IF(P71="사급자재대", L71, 0)</f>
        <v>0</v>
      </c>
      <c r="AB71">
        <f>IF(P71="관급자재대", L71, 0)</f>
        <v>0</v>
      </c>
      <c r="AC71">
        <f>IF(P71="사용자항목1", L71, 0)</f>
        <v>0</v>
      </c>
      <c r="AD71">
        <f>IF(P71="사용자항목2", L71, 0)</f>
        <v>0</v>
      </c>
      <c r="AE71">
        <f>IF(P71="안전관리비", L71, 0)</f>
        <v>0</v>
      </c>
      <c r="AF71">
        <f>IF(P71="품질관리비", L71, 0)</f>
        <v>0</v>
      </c>
      <c r="AG71">
        <f>IF(P71="작업부산물(철거해체)", L71, 0)</f>
        <v>506320</v>
      </c>
      <c r="AH71">
        <f>IF(P71="사용자항목6", L71, 0)</f>
        <v>0</v>
      </c>
      <c r="AI71">
        <f>IF(P71="사용자항목7", L71, 0)</f>
        <v>0</v>
      </c>
      <c r="AJ71">
        <f>IF(P71="사용자항목8", L71, 0)</f>
        <v>0</v>
      </c>
      <c r="AK71">
        <f>IF(P71="사용자항목9", L71, 0)</f>
        <v>0</v>
      </c>
      <c r="AL71">
        <f>IF(P71="사용자항목10", L71, 0)</f>
        <v>0</v>
      </c>
      <c r="AM71">
        <f>IF(P71="사용자항목11", L71, 0)</f>
        <v>0</v>
      </c>
      <c r="AN71">
        <f>IF(P71="사용자항목12", L71, 0)</f>
        <v>0</v>
      </c>
      <c r="AO71">
        <f>IF(P71="사용자항목13", L71, 0)</f>
        <v>0</v>
      </c>
      <c r="AP71">
        <f>IF(P71="사용자항목14", L71, 0)</f>
        <v>0</v>
      </c>
      <c r="AQ71">
        <f>IF(P71="사용자항목15", L71, 0)</f>
        <v>0</v>
      </c>
      <c r="AR71">
        <f>IF(P71="사용자항목16", L71, 0)</f>
        <v>0</v>
      </c>
      <c r="AS71">
        <f>IF(P71="사용자항목17", L71, 0)</f>
        <v>0</v>
      </c>
      <c r="AT71">
        <f>IF(P71="사용자항목18", L71, 0)</f>
        <v>0</v>
      </c>
      <c r="AU71">
        <f>IF(P71="사용자항목19", L71, 0)</f>
        <v>0</v>
      </c>
    </row>
    <row r="72" spans="1:51" ht="23.1" customHeight="1" x14ac:dyDescent="0.3">
      <c r="A72" s="37"/>
      <c r="B72" s="37"/>
      <c r="C72" s="46"/>
      <c r="D72" s="47"/>
      <c r="E72" s="47"/>
      <c r="F72" s="47"/>
      <c r="G72" s="47"/>
      <c r="H72" s="47"/>
      <c r="I72" s="47"/>
      <c r="J72" s="47"/>
      <c r="K72" s="47"/>
      <c r="L72" s="47"/>
      <c r="M72" s="47"/>
    </row>
    <row r="73" spans="1:51" ht="23.1" customHeight="1" x14ac:dyDescent="0.3">
      <c r="A73" s="37"/>
      <c r="B73" s="37"/>
      <c r="C73" s="46"/>
      <c r="D73" s="47"/>
      <c r="E73" s="47"/>
      <c r="F73" s="47"/>
      <c r="G73" s="47"/>
      <c r="H73" s="47"/>
      <c r="I73" s="47"/>
      <c r="J73" s="47"/>
      <c r="K73" s="47"/>
      <c r="L73" s="47"/>
      <c r="M73" s="47"/>
    </row>
    <row r="74" spans="1:51" ht="23.1" customHeight="1" x14ac:dyDescent="0.3">
      <c r="A74" s="37"/>
      <c r="B74" s="37"/>
      <c r="C74" s="46"/>
      <c r="D74" s="47"/>
      <c r="E74" s="47"/>
      <c r="F74" s="47"/>
      <c r="G74" s="47"/>
      <c r="H74" s="47"/>
      <c r="I74" s="47"/>
      <c r="J74" s="47"/>
      <c r="K74" s="47"/>
      <c r="L74" s="47"/>
      <c r="M74" s="47"/>
    </row>
    <row r="75" spans="1:51" ht="23.1" customHeight="1" x14ac:dyDescent="0.3">
      <c r="A75" s="37"/>
      <c r="B75" s="37"/>
      <c r="C75" s="46"/>
      <c r="D75" s="47"/>
      <c r="E75" s="47"/>
      <c r="F75" s="47"/>
      <c r="G75" s="47"/>
      <c r="H75" s="47"/>
      <c r="I75" s="47"/>
      <c r="J75" s="47"/>
      <c r="K75" s="47"/>
      <c r="L75" s="47"/>
      <c r="M75" s="47"/>
    </row>
    <row r="76" spans="1:51" ht="23.1" customHeight="1" x14ac:dyDescent="0.3">
      <c r="A76" s="37"/>
      <c r="B76" s="37"/>
      <c r="C76" s="46"/>
      <c r="D76" s="47"/>
      <c r="E76" s="47"/>
      <c r="F76" s="47"/>
      <c r="G76" s="47"/>
      <c r="H76" s="47"/>
      <c r="I76" s="47"/>
      <c r="J76" s="47"/>
      <c r="K76" s="47"/>
      <c r="L76" s="47"/>
      <c r="M76" s="47"/>
    </row>
    <row r="77" spans="1:51" ht="23.1" customHeight="1" x14ac:dyDescent="0.3">
      <c r="A77" s="37"/>
      <c r="B77" s="37"/>
      <c r="C77" s="46"/>
      <c r="D77" s="47"/>
      <c r="E77" s="47"/>
      <c r="F77" s="47"/>
      <c r="G77" s="47"/>
      <c r="H77" s="47"/>
      <c r="I77" s="47"/>
      <c r="J77" s="47"/>
      <c r="K77" s="47"/>
      <c r="L77" s="47"/>
      <c r="M77" s="47"/>
    </row>
    <row r="78" spans="1:51" ht="23.1" customHeight="1" x14ac:dyDescent="0.3">
      <c r="A78" s="37"/>
      <c r="B78" s="37"/>
      <c r="C78" s="46"/>
      <c r="D78" s="47"/>
      <c r="E78" s="47"/>
      <c r="F78" s="47"/>
      <c r="G78" s="47"/>
      <c r="H78" s="47"/>
      <c r="I78" s="47"/>
      <c r="J78" s="47"/>
      <c r="K78" s="47"/>
      <c r="L78" s="47"/>
      <c r="M78" s="47"/>
    </row>
    <row r="79" spans="1:51" ht="23.1" customHeight="1" x14ac:dyDescent="0.3">
      <c r="A79" s="37"/>
      <c r="B79" s="37"/>
      <c r="C79" s="46"/>
      <c r="D79" s="47"/>
      <c r="E79" s="47"/>
      <c r="F79" s="47"/>
      <c r="G79" s="47"/>
      <c r="H79" s="47"/>
      <c r="I79" s="47"/>
      <c r="J79" s="47"/>
      <c r="K79" s="47"/>
      <c r="L79" s="47"/>
      <c r="M79" s="47"/>
    </row>
    <row r="80" spans="1:51" ht="23.1" customHeight="1" x14ac:dyDescent="0.3">
      <c r="A80" s="37"/>
      <c r="B80" s="37"/>
      <c r="C80" s="46"/>
      <c r="D80" s="47"/>
      <c r="E80" s="47"/>
      <c r="F80" s="47"/>
      <c r="G80" s="47"/>
      <c r="H80" s="47"/>
      <c r="I80" s="47"/>
      <c r="J80" s="47"/>
      <c r="K80" s="47"/>
      <c r="L80" s="47"/>
      <c r="M80" s="47"/>
    </row>
    <row r="81" spans="1:51" ht="23.1" customHeight="1" x14ac:dyDescent="0.3">
      <c r="A81" s="37"/>
      <c r="B81" s="37"/>
      <c r="C81" s="46"/>
      <c r="D81" s="47"/>
      <c r="E81" s="47"/>
      <c r="F81" s="47"/>
      <c r="G81" s="47"/>
      <c r="H81" s="47"/>
      <c r="I81" s="47"/>
      <c r="J81" s="47"/>
      <c r="K81" s="47"/>
      <c r="L81" s="47"/>
      <c r="M81" s="47"/>
    </row>
    <row r="82" spans="1:51" ht="23.1" customHeight="1" x14ac:dyDescent="0.3">
      <c r="A82" s="37"/>
      <c r="B82" s="37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</row>
    <row r="83" spans="1:51" ht="23.1" customHeight="1" x14ac:dyDescent="0.3">
      <c r="A83" s="37"/>
      <c r="B83" s="37"/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7"/>
    </row>
    <row r="84" spans="1:51" ht="23.1" customHeight="1" x14ac:dyDescent="0.3">
      <c r="A84" s="41" t="s">
        <v>216</v>
      </c>
      <c r="B84" s="42"/>
      <c r="C84" s="43"/>
      <c r="D84" s="44"/>
      <c r="E84" s="44"/>
      <c r="F84" s="45">
        <f>ROUNDDOWN(SUMIF(Q70:Q83, "1", F70:F83), 0)</f>
        <v>0</v>
      </c>
      <c r="G84" s="44"/>
      <c r="H84" s="45">
        <f>ROUNDDOWN(SUMIF(Q70:Q83, "1", H70:H83), 0)</f>
        <v>0</v>
      </c>
      <c r="I84" s="44"/>
      <c r="J84" s="45">
        <f>ROUNDDOWN(SUMIF(Q70:Q83, "1", J70:J83), 0)</f>
        <v>902888</v>
      </c>
      <c r="K84" s="44"/>
      <c r="L84" s="45">
        <f>F84+H84+J84</f>
        <v>902888</v>
      </c>
      <c r="M84" s="44"/>
      <c r="R84">
        <f t="shared" ref="R84:AY84" si="107">ROUNDDOWN(SUM(R70:R71), 0)</f>
        <v>0</v>
      </c>
      <c r="S84">
        <f t="shared" si="107"/>
        <v>0</v>
      </c>
      <c r="T84">
        <f t="shared" si="107"/>
        <v>0</v>
      </c>
      <c r="U84">
        <f t="shared" si="107"/>
        <v>0</v>
      </c>
      <c r="V84">
        <f t="shared" si="107"/>
        <v>0</v>
      </c>
      <c r="W84">
        <f t="shared" si="107"/>
        <v>0</v>
      </c>
      <c r="X84">
        <f t="shared" si="107"/>
        <v>0</v>
      </c>
      <c r="Y84">
        <f t="shared" si="107"/>
        <v>0</v>
      </c>
      <c r="Z84">
        <f t="shared" si="107"/>
        <v>0</v>
      </c>
      <c r="AA84">
        <f t="shared" si="107"/>
        <v>0</v>
      </c>
      <c r="AB84">
        <f t="shared" si="107"/>
        <v>0</v>
      </c>
      <c r="AC84">
        <f t="shared" si="107"/>
        <v>0</v>
      </c>
      <c r="AD84">
        <f t="shared" si="107"/>
        <v>0</v>
      </c>
      <c r="AE84">
        <f t="shared" si="107"/>
        <v>0</v>
      </c>
      <c r="AF84">
        <f t="shared" si="107"/>
        <v>0</v>
      </c>
      <c r="AG84">
        <f t="shared" si="107"/>
        <v>902888</v>
      </c>
      <c r="AH84">
        <f t="shared" si="107"/>
        <v>0</v>
      </c>
      <c r="AI84">
        <f t="shared" si="107"/>
        <v>0</v>
      </c>
      <c r="AJ84">
        <f t="shared" si="107"/>
        <v>0</v>
      </c>
      <c r="AK84">
        <f t="shared" si="107"/>
        <v>0</v>
      </c>
      <c r="AL84">
        <f t="shared" si="107"/>
        <v>0</v>
      </c>
      <c r="AM84">
        <f t="shared" si="107"/>
        <v>0</v>
      </c>
      <c r="AN84">
        <f t="shared" si="107"/>
        <v>0</v>
      </c>
      <c r="AO84">
        <f t="shared" si="107"/>
        <v>0</v>
      </c>
      <c r="AP84">
        <f t="shared" si="107"/>
        <v>0</v>
      </c>
      <c r="AQ84">
        <f t="shared" si="107"/>
        <v>0</v>
      </c>
      <c r="AR84">
        <f t="shared" si="107"/>
        <v>0</v>
      </c>
      <c r="AS84">
        <f t="shared" si="107"/>
        <v>0</v>
      </c>
      <c r="AT84">
        <f t="shared" si="107"/>
        <v>0</v>
      </c>
      <c r="AU84">
        <f t="shared" si="107"/>
        <v>0</v>
      </c>
      <c r="AV84">
        <f t="shared" si="107"/>
        <v>0</v>
      </c>
      <c r="AW84">
        <f t="shared" si="107"/>
        <v>0</v>
      </c>
      <c r="AX84">
        <f t="shared" si="107"/>
        <v>0</v>
      </c>
      <c r="AY84">
        <f t="shared" si="107"/>
        <v>0</v>
      </c>
    </row>
    <row r="85" spans="1:51" ht="23.1" customHeight="1" x14ac:dyDescent="0.3">
      <c r="A85" s="175" t="s">
        <v>487</v>
      </c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</row>
    <row r="86" spans="1:51" ht="23.1" customHeight="1" x14ac:dyDescent="0.3">
      <c r="A86" s="36" t="s">
        <v>80</v>
      </c>
      <c r="B86" s="36" t="s">
        <v>81</v>
      </c>
      <c r="C86" s="38" t="s">
        <v>82</v>
      </c>
      <c r="D86" s="39">
        <v>4</v>
      </c>
      <c r="E86" s="40">
        <f>단가대비표!O19</f>
        <v>133100</v>
      </c>
      <c r="F86" s="40">
        <f t="shared" ref="F86:F95" si="108">ROUNDDOWN(D86*E86, 0)</f>
        <v>532400</v>
      </c>
      <c r="G86" s="40">
        <v>0</v>
      </c>
      <c r="H86" s="40">
        <f t="shared" ref="H86:H95" si="109">ROUNDDOWN(D86*G86, 0)</f>
        <v>0</v>
      </c>
      <c r="I86" s="40">
        <v>0</v>
      </c>
      <c r="J86" s="40">
        <f t="shared" ref="J86:J95" si="110">ROUNDDOWN(D86*I86, 0)</f>
        <v>0</v>
      </c>
      <c r="K86" s="40">
        <f t="shared" ref="K86:K96" si="111">E86+G86+I86</f>
        <v>133100</v>
      </c>
      <c r="L86" s="40">
        <f t="shared" ref="L86:L96" si="112">F86+H86+J86</f>
        <v>532400</v>
      </c>
      <c r="M86" s="47"/>
      <c r="O86" t="str">
        <f>"01"</f>
        <v>01</v>
      </c>
      <c r="P86" t="s">
        <v>457</v>
      </c>
      <c r="Q86">
        <v>1</v>
      </c>
      <c r="R86">
        <f t="shared" ref="R86:R96" si="113">IF(P86="기계경비", J86, 0)</f>
        <v>0</v>
      </c>
      <c r="S86">
        <f t="shared" ref="S86:S96" si="114">IF(P86="운반비", L86, 0)</f>
        <v>0</v>
      </c>
      <c r="T86">
        <f t="shared" ref="T86:T96" si="115">IF(P86="작업부산물", F86, 0)</f>
        <v>0</v>
      </c>
      <c r="U86">
        <f t="shared" ref="U86:U96" si="116">IF(P86="관급", F86, 0)</f>
        <v>0</v>
      </c>
      <c r="V86">
        <f t="shared" ref="V86:V96" si="117">IF(P86="외주비", J86, 0)</f>
        <v>0</v>
      </c>
      <c r="W86">
        <f t="shared" ref="W86:W96" si="118">IF(P86="장비비", J86, 0)</f>
        <v>0</v>
      </c>
      <c r="X86">
        <f t="shared" ref="X86:X96" si="119">IF(P86="폐기물처리비", L86, 0)</f>
        <v>0</v>
      </c>
      <c r="Y86">
        <f t="shared" ref="Y86:Y96" si="120">IF(P86="가설비", J86, 0)</f>
        <v>0</v>
      </c>
      <c r="Z86">
        <f t="shared" ref="Z86:Z96" si="121">IF(P86="잡비제외분", F86, 0)</f>
        <v>0</v>
      </c>
      <c r="AA86">
        <f t="shared" ref="AA86:AA96" si="122">IF(P86="사급자재대", L86, 0)</f>
        <v>532400</v>
      </c>
      <c r="AB86">
        <f t="shared" ref="AB86:AB96" si="123">IF(P86="관급자재대", L86, 0)</f>
        <v>0</v>
      </c>
      <c r="AC86">
        <f t="shared" ref="AC86:AC96" si="124">IF(P86="사용자항목1", L86, 0)</f>
        <v>0</v>
      </c>
      <c r="AD86">
        <f t="shared" ref="AD86:AD96" si="125">IF(P86="사용자항목2", L86, 0)</f>
        <v>0</v>
      </c>
      <c r="AE86">
        <f t="shared" ref="AE86:AE96" si="126">IF(P86="안전관리비", L86, 0)</f>
        <v>0</v>
      </c>
      <c r="AF86">
        <f t="shared" ref="AF86:AF96" si="127">IF(P86="품질관리비", L86, 0)</f>
        <v>0</v>
      </c>
      <c r="AG86">
        <f t="shared" ref="AG86:AG96" si="128">IF(P86="작업부산물(철거해체)", L86, 0)</f>
        <v>0</v>
      </c>
      <c r="AH86">
        <f t="shared" ref="AH86:AH96" si="129">IF(P86="사용자항목6", L86, 0)</f>
        <v>0</v>
      </c>
      <c r="AI86">
        <f t="shared" ref="AI86:AI96" si="130">IF(P86="사용자항목7", L86, 0)</f>
        <v>0</v>
      </c>
      <c r="AJ86">
        <f t="shared" ref="AJ86:AJ96" si="131">IF(P86="사용자항목8", L86, 0)</f>
        <v>0</v>
      </c>
      <c r="AK86">
        <f t="shared" ref="AK86:AK96" si="132">IF(P86="사용자항목9", L86, 0)</f>
        <v>0</v>
      </c>
      <c r="AL86">
        <f t="shared" ref="AL86:AL96" si="133">IF(P86="사용자항목10", L86, 0)</f>
        <v>0</v>
      </c>
      <c r="AM86">
        <f t="shared" ref="AM86:AM96" si="134">IF(P86="사용자항목11", L86, 0)</f>
        <v>0</v>
      </c>
      <c r="AN86">
        <f t="shared" ref="AN86:AN96" si="135">IF(P86="사용자항목12", L86, 0)</f>
        <v>0</v>
      </c>
      <c r="AO86">
        <f t="shared" ref="AO86:AO96" si="136">IF(P86="사용자항목13", L86, 0)</f>
        <v>0</v>
      </c>
      <c r="AP86">
        <f t="shared" ref="AP86:AP96" si="137">IF(P86="사용자항목14", L86, 0)</f>
        <v>0</v>
      </c>
      <c r="AQ86">
        <f t="shared" ref="AQ86:AQ96" si="138">IF(P86="사용자항목15", L86, 0)</f>
        <v>0</v>
      </c>
      <c r="AR86">
        <f t="shared" ref="AR86:AR96" si="139">IF(P86="사용자항목16", L86, 0)</f>
        <v>0</v>
      </c>
      <c r="AS86">
        <f t="shared" ref="AS86:AS96" si="140">IF(P86="사용자항목17", L86, 0)</f>
        <v>0</v>
      </c>
      <c r="AT86">
        <f t="shared" ref="AT86:AT96" si="141">IF(P86="사용자항목18", L86, 0)</f>
        <v>0</v>
      </c>
      <c r="AU86">
        <f t="shared" ref="AU86:AU96" si="142">IF(P86="사용자항목19", L86, 0)</f>
        <v>0</v>
      </c>
    </row>
    <row r="87" spans="1:51" ht="23.1" customHeight="1" x14ac:dyDescent="0.3">
      <c r="A87" s="37"/>
      <c r="B87" s="37"/>
      <c r="C87" s="38" t="s">
        <v>252</v>
      </c>
      <c r="D87" s="39"/>
      <c r="E87" s="40"/>
      <c r="F87" s="40">
        <f t="shared" si="108"/>
        <v>0</v>
      </c>
      <c r="G87" s="40"/>
      <c r="H87" s="40">
        <f t="shared" si="109"/>
        <v>0</v>
      </c>
      <c r="I87" s="40"/>
      <c r="J87" s="40">
        <f t="shared" si="110"/>
        <v>0</v>
      </c>
      <c r="K87" s="40">
        <f t="shared" si="111"/>
        <v>0</v>
      </c>
      <c r="L87" s="40">
        <f t="shared" si="112"/>
        <v>0</v>
      </c>
      <c r="M87" s="47"/>
      <c r="O87" t="str">
        <f>""</f>
        <v/>
      </c>
      <c r="P87" t="s">
        <v>457</v>
      </c>
      <c r="Q87">
        <v>1</v>
      </c>
      <c r="R87">
        <f t="shared" si="113"/>
        <v>0</v>
      </c>
      <c r="S87">
        <f t="shared" si="114"/>
        <v>0</v>
      </c>
      <c r="T87">
        <f t="shared" si="115"/>
        <v>0</v>
      </c>
      <c r="U87">
        <f t="shared" si="116"/>
        <v>0</v>
      </c>
      <c r="V87">
        <f t="shared" si="117"/>
        <v>0</v>
      </c>
      <c r="W87">
        <f t="shared" si="118"/>
        <v>0</v>
      </c>
      <c r="X87">
        <f t="shared" si="119"/>
        <v>0</v>
      </c>
      <c r="Y87">
        <f t="shared" si="120"/>
        <v>0</v>
      </c>
      <c r="Z87">
        <f t="shared" si="121"/>
        <v>0</v>
      </c>
      <c r="AA87">
        <f t="shared" si="122"/>
        <v>0</v>
      </c>
      <c r="AB87">
        <f t="shared" si="123"/>
        <v>0</v>
      </c>
      <c r="AC87">
        <f t="shared" si="124"/>
        <v>0</v>
      </c>
      <c r="AD87">
        <f t="shared" si="125"/>
        <v>0</v>
      </c>
      <c r="AE87">
        <f t="shared" si="126"/>
        <v>0</v>
      </c>
      <c r="AF87">
        <f t="shared" si="127"/>
        <v>0</v>
      </c>
      <c r="AG87">
        <f t="shared" si="128"/>
        <v>0</v>
      </c>
      <c r="AH87">
        <f t="shared" si="129"/>
        <v>0</v>
      </c>
      <c r="AI87">
        <f t="shared" si="130"/>
        <v>0</v>
      </c>
      <c r="AJ87">
        <f t="shared" si="131"/>
        <v>0</v>
      </c>
      <c r="AK87">
        <f t="shared" si="132"/>
        <v>0</v>
      </c>
      <c r="AL87">
        <f t="shared" si="133"/>
        <v>0</v>
      </c>
      <c r="AM87">
        <f t="shared" si="134"/>
        <v>0</v>
      </c>
      <c r="AN87">
        <f t="shared" si="135"/>
        <v>0</v>
      </c>
      <c r="AO87">
        <f t="shared" si="136"/>
        <v>0</v>
      </c>
      <c r="AP87">
        <f t="shared" si="137"/>
        <v>0</v>
      </c>
      <c r="AQ87">
        <f t="shared" si="138"/>
        <v>0</v>
      </c>
      <c r="AR87">
        <f t="shared" si="139"/>
        <v>0</v>
      </c>
      <c r="AS87">
        <f t="shared" si="140"/>
        <v>0</v>
      </c>
      <c r="AT87">
        <f t="shared" si="141"/>
        <v>0</v>
      </c>
      <c r="AU87">
        <f t="shared" si="142"/>
        <v>0</v>
      </c>
    </row>
    <row r="88" spans="1:51" ht="23.1" customHeight="1" x14ac:dyDescent="0.3">
      <c r="A88" s="37"/>
      <c r="B88" s="37"/>
      <c r="C88" s="38" t="s">
        <v>252</v>
      </c>
      <c r="D88" s="39"/>
      <c r="E88" s="40"/>
      <c r="F88" s="40">
        <f t="shared" si="108"/>
        <v>0</v>
      </c>
      <c r="G88" s="40"/>
      <c r="H88" s="40">
        <f t="shared" si="109"/>
        <v>0</v>
      </c>
      <c r="I88" s="40"/>
      <c r="J88" s="40">
        <f t="shared" si="110"/>
        <v>0</v>
      </c>
      <c r="K88" s="40">
        <f t="shared" si="111"/>
        <v>0</v>
      </c>
      <c r="L88" s="40">
        <f t="shared" si="112"/>
        <v>0</v>
      </c>
      <c r="M88" s="47"/>
      <c r="O88" t="str">
        <f>""</f>
        <v/>
      </c>
      <c r="P88" t="s">
        <v>457</v>
      </c>
      <c r="Q88">
        <v>1</v>
      </c>
      <c r="R88">
        <f t="shared" si="113"/>
        <v>0</v>
      </c>
      <c r="S88">
        <f t="shared" si="114"/>
        <v>0</v>
      </c>
      <c r="T88">
        <f t="shared" si="115"/>
        <v>0</v>
      </c>
      <c r="U88">
        <f t="shared" si="116"/>
        <v>0</v>
      </c>
      <c r="V88">
        <f t="shared" si="117"/>
        <v>0</v>
      </c>
      <c r="W88">
        <f t="shared" si="118"/>
        <v>0</v>
      </c>
      <c r="X88">
        <f t="shared" si="119"/>
        <v>0</v>
      </c>
      <c r="Y88">
        <f t="shared" si="120"/>
        <v>0</v>
      </c>
      <c r="Z88">
        <f t="shared" si="121"/>
        <v>0</v>
      </c>
      <c r="AA88">
        <f t="shared" si="122"/>
        <v>0</v>
      </c>
      <c r="AB88">
        <f t="shared" si="123"/>
        <v>0</v>
      </c>
      <c r="AC88">
        <f t="shared" si="124"/>
        <v>0</v>
      </c>
      <c r="AD88">
        <f t="shared" si="125"/>
        <v>0</v>
      </c>
      <c r="AE88">
        <f t="shared" si="126"/>
        <v>0</v>
      </c>
      <c r="AF88">
        <f t="shared" si="127"/>
        <v>0</v>
      </c>
      <c r="AG88">
        <f t="shared" si="128"/>
        <v>0</v>
      </c>
      <c r="AH88">
        <f t="shared" si="129"/>
        <v>0</v>
      </c>
      <c r="AI88">
        <f t="shared" si="130"/>
        <v>0</v>
      </c>
      <c r="AJ88">
        <f t="shared" si="131"/>
        <v>0</v>
      </c>
      <c r="AK88">
        <f t="shared" si="132"/>
        <v>0</v>
      </c>
      <c r="AL88">
        <f t="shared" si="133"/>
        <v>0</v>
      </c>
      <c r="AM88">
        <f t="shared" si="134"/>
        <v>0</v>
      </c>
      <c r="AN88">
        <f t="shared" si="135"/>
        <v>0</v>
      </c>
      <c r="AO88">
        <f t="shared" si="136"/>
        <v>0</v>
      </c>
      <c r="AP88">
        <f t="shared" si="137"/>
        <v>0</v>
      </c>
      <c r="AQ88">
        <f t="shared" si="138"/>
        <v>0</v>
      </c>
      <c r="AR88">
        <f t="shared" si="139"/>
        <v>0</v>
      </c>
      <c r="AS88">
        <f t="shared" si="140"/>
        <v>0</v>
      </c>
      <c r="AT88">
        <f t="shared" si="141"/>
        <v>0</v>
      </c>
      <c r="AU88">
        <f t="shared" si="142"/>
        <v>0</v>
      </c>
    </row>
    <row r="89" spans="1:51" ht="23.1" customHeight="1" x14ac:dyDescent="0.3">
      <c r="A89" s="37"/>
      <c r="B89" s="37"/>
      <c r="C89" s="38" t="s">
        <v>252</v>
      </c>
      <c r="D89" s="39"/>
      <c r="E89" s="40"/>
      <c r="F89" s="40">
        <f t="shared" si="108"/>
        <v>0</v>
      </c>
      <c r="G89" s="40"/>
      <c r="H89" s="40">
        <f t="shared" si="109"/>
        <v>0</v>
      </c>
      <c r="I89" s="40"/>
      <c r="J89" s="40">
        <f t="shared" si="110"/>
        <v>0</v>
      </c>
      <c r="K89" s="40">
        <f t="shared" si="111"/>
        <v>0</v>
      </c>
      <c r="L89" s="40">
        <f t="shared" si="112"/>
        <v>0</v>
      </c>
      <c r="M89" s="47"/>
      <c r="O89" t="str">
        <f>""</f>
        <v/>
      </c>
      <c r="P89" t="s">
        <v>457</v>
      </c>
      <c r="Q89">
        <v>1</v>
      </c>
      <c r="R89">
        <f t="shared" si="113"/>
        <v>0</v>
      </c>
      <c r="S89">
        <f t="shared" si="114"/>
        <v>0</v>
      </c>
      <c r="T89">
        <f t="shared" si="115"/>
        <v>0</v>
      </c>
      <c r="U89">
        <f t="shared" si="116"/>
        <v>0</v>
      </c>
      <c r="V89">
        <f t="shared" si="117"/>
        <v>0</v>
      </c>
      <c r="W89">
        <f t="shared" si="118"/>
        <v>0</v>
      </c>
      <c r="X89">
        <f t="shared" si="119"/>
        <v>0</v>
      </c>
      <c r="Y89">
        <f t="shared" si="120"/>
        <v>0</v>
      </c>
      <c r="Z89">
        <f t="shared" si="121"/>
        <v>0</v>
      </c>
      <c r="AA89">
        <f t="shared" si="122"/>
        <v>0</v>
      </c>
      <c r="AB89">
        <f t="shared" si="123"/>
        <v>0</v>
      </c>
      <c r="AC89">
        <f t="shared" si="124"/>
        <v>0</v>
      </c>
      <c r="AD89">
        <f t="shared" si="125"/>
        <v>0</v>
      </c>
      <c r="AE89">
        <f t="shared" si="126"/>
        <v>0</v>
      </c>
      <c r="AF89">
        <f t="shared" si="127"/>
        <v>0</v>
      </c>
      <c r="AG89">
        <f t="shared" si="128"/>
        <v>0</v>
      </c>
      <c r="AH89">
        <f t="shared" si="129"/>
        <v>0</v>
      </c>
      <c r="AI89">
        <f t="shared" si="130"/>
        <v>0</v>
      </c>
      <c r="AJ89">
        <f t="shared" si="131"/>
        <v>0</v>
      </c>
      <c r="AK89">
        <f t="shared" si="132"/>
        <v>0</v>
      </c>
      <c r="AL89">
        <f t="shared" si="133"/>
        <v>0</v>
      </c>
      <c r="AM89">
        <f t="shared" si="134"/>
        <v>0</v>
      </c>
      <c r="AN89">
        <f t="shared" si="135"/>
        <v>0</v>
      </c>
      <c r="AO89">
        <f t="shared" si="136"/>
        <v>0</v>
      </c>
      <c r="AP89">
        <f t="shared" si="137"/>
        <v>0</v>
      </c>
      <c r="AQ89">
        <f t="shared" si="138"/>
        <v>0</v>
      </c>
      <c r="AR89">
        <f t="shared" si="139"/>
        <v>0</v>
      </c>
      <c r="AS89">
        <f t="shared" si="140"/>
        <v>0</v>
      </c>
      <c r="AT89">
        <f t="shared" si="141"/>
        <v>0</v>
      </c>
      <c r="AU89">
        <f t="shared" si="142"/>
        <v>0</v>
      </c>
    </row>
    <row r="90" spans="1:51" ht="23.1" customHeight="1" x14ac:dyDescent="0.3">
      <c r="A90" s="37"/>
      <c r="B90" s="37"/>
      <c r="C90" s="38" t="s">
        <v>252</v>
      </c>
      <c r="D90" s="39"/>
      <c r="E90" s="40"/>
      <c r="F90" s="40">
        <f t="shared" si="108"/>
        <v>0</v>
      </c>
      <c r="G90" s="40"/>
      <c r="H90" s="40">
        <f t="shared" si="109"/>
        <v>0</v>
      </c>
      <c r="I90" s="40"/>
      <c r="J90" s="40">
        <f t="shared" si="110"/>
        <v>0</v>
      </c>
      <c r="K90" s="40">
        <f t="shared" si="111"/>
        <v>0</v>
      </c>
      <c r="L90" s="40">
        <f t="shared" si="112"/>
        <v>0</v>
      </c>
      <c r="M90" s="47"/>
      <c r="O90" t="str">
        <f>""</f>
        <v/>
      </c>
      <c r="P90" t="s">
        <v>457</v>
      </c>
      <c r="Q90">
        <v>1</v>
      </c>
      <c r="R90">
        <f t="shared" si="113"/>
        <v>0</v>
      </c>
      <c r="S90">
        <f t="shared" si="114"/>
        <v>0</v>
      </c>
      <c r="T90">
        <f t="shared" si="115"/>
        <v>0</v>
      </c>
      <c r="U90">
        <f t="shared" si="116"/>
        <v>0</v>
      </c>
      <c r="V90">
        <f t="shared" si="117"/>
        <v>0</v>
      </c>
      <c r="W90">
        <f t="shared" si="118"/>
        <v>0</v>
      </c>
      <c r="X90">
        <f t="shared" si="119"/>
        <v>0</v>
      </c>
      <c r="Y90">
        <f t="shared" si="120"/>
        <v>0</v>
      </c>
      <c r="Z90">
        <f t="shared" si="121"/>
        <v>0</v>
      </c>
      <c r="AA90">
        <f t="shared" si="122"/>
        <v>0</v>
      </c>
      <c r="AB90">
        <f t="shared" si="123"/>
        <v>0</v>
      </c>
      <c r="AC90">
        <f t="shared" si="124"/>
        <v>0</v>
      </c>
      <c r="AD90">
        <f t="shared" si="125"/>
        <v>0</v>
      </c>
      <c r="AE90">
        <f t="shared" si="126"/>
        <v>0</v>
      </c>
      <c r="AF90">
        <f t="shared" si="127"/>
        <v>0</v>
      </c>
      <c r="AG90">
        <f t="shared" si="128"/>
        <v>0</v>
      </c>
      <c r="AH90">
        <f t="shared" si="129"/>
        <v>0</v>
      </c>
      <c r="AI90">
        <f t="shared" si="130"/>
        <v>0</v>
      </c>
      <c r="AJ90">
        <f t="shared" si="131"/>
        <v>0</v>
      </c>
      <c r="AK90">
        <f t="shared" si="132"/>
        <v>0</v>
      </c>
      <c r="AL90">
        <f t="shared" si="133"/>
        <v>0</v>
      </c>
      <c r="AM90">
        <f t="shared" si="134"/>
        <v>0</v>
      </c>
      <c r="AN90">
        <f t="shared" si="135"/>
        <v>0</v>
      </c>
      <c r="AO90">
        <f t="shared" si="136"/>
        <v>0</v>
      </c>
      <c r="AP90">
        <f t="shared" si="137"/>
        <v>0</v>
      </c>
      <c r="AQ90">
        <f t="shared" si="138"/>
        <v>0</v>
      </c>
      <c r="AR90">
        <f t="shared" si="139"/>
        <v>0</v>
      </c>
      <c r="AS90">
        <f t="shared" si="140"/>
        <v>0</v>
      </c>
      <c r="AT90">
        <f t="shared" si="141"/>
        <v>0</v>
      </c>
      <c r="AU90">
        <f t="shared" si="142"/>
        <v>0</v>
      </c>
    </row>
    <row r="91" spans="1:51" ht="23.1" customHeight="1" x14ac:dyDescent="0.3">
      <c r="A91" s="37"/>
      <c r="B91" s="37"/>
      <c r="C91" s="38" t="s">
        <v>252</v>
      </c>
      <c r="D91" s="39"/>
      <c r="E91" s="40"/>
      <c r="F91" s="40">
        <f t="shared" si="108"/>
        <v>0</v>
      </c>
      <c r="G91" s="40"/>
      <c r="H91" s="40">
        <f t="shared" si="109"/>
        <v>0</v>
      </c>
      <c r="I91" s="40"/>
      <c r="J91" s="40">
        <f t="shared" si="110"/>
        <v>0</v>
      </c>
      <c r="K91" s="40">
        <f t="shared" si="111"/>
        <v>0</v>
      </c>
      <c r="L91" s="40">
        <f t="shared" si="112"/>
        <v>0</v>
      </c>
      <c r="M91" s="47"/>
      <c r="O91" t="str">
        <f>""</f>
        <v/>
      </c>
      <c r="P91" t="s">
        <v>457</v>
      </c>
      <c r="Q91">
        <v>1</v>
      </c>
      <c r="R91">
        <f t="shared" si="113"/>
        <v>0</v>
      </c>
      <c r="S91">
        <f t="shared" si="114"/>
        <v>0</v>
      </c>
      <c r="T91">
        <f t="shared" si="115"/>
        <v>0</v>
      </c>
      <c r="U91">
        <f t="shared" si="116"/>
        <v>0</v>
      </c>
      <c r="V91">
        <f t="shared" si="117"/>
        <v>0</v>
      </c>
      <c r="W91">
        <f t="shared" si="118"/>
        <v>0</v>
      </c>
      <c r="X91">
        <f t="shared" si="119"/>
        <v>0</v>
      </c>
      <c r="Y91">
        <f t="shared" si="120"/>
        <v>0</v>
      </c>
      <c r="Z91">
        <f t="shared" si="121"/>
        <v>0</v>
      </c>
      <c r="AA91">
        <f t="shared" si="122"/>
        <v>0</v>
      </c>
      <c r="AB91">
        <f t="shared" si="123"/>
        <v>0</v>
      </c>
      <c r="AC91">
        <f t="shared" si="124"/>
        <v>0</v>
      </c>
      <c r="AD91">
        <f t="shared" si="125"/>
        <v>0</v>
      </c>
      <c r="AE91">
        <f t="shared" si="126"/>
        <v>0</v>
      </c>
      <c r="AF91">
        <f t="shared" si="127"/>
        <v>0</v>
      </c>
      <c r="AG91">
        <f t="shared" si="128"/>
        <v>0</v>
      </c>
      <c r="AH91">
        <f t="shared" si="129"/>
        <v>0</v>
      </c>
      <c r="AI91">
        <f t="shared" si="130"/>
        <v>0</v>
      </c>
      <c r="AJ91">
        <f t="shared" si="131"/>
        <v>0</v>
      </c>
      <c r="AK91">
        <f t="shared" si="132"/>
        <v>0</v>
      </c>
      <c r="AL91">
        <f t="shared" si="133"/>
        <v>0</v>
      </c>
      <c r="AM91">
        <f t="shared" si="134"/>
        <v>0</v>
      </c>
      <c r="AN91">
        <f t="shared" si="135"/>
        <v>0</v>
      </c>
      <c r="AO91">
        <f t="shared" si="136"/>
        <v>0</v>
      </c>
      <c r="AP91">
        <f t="shared" si="137"/>
        <v>0</v>
      </c>
      <c r="AQ91">
        <f t="shared" si="138"/>
        <v>0</v>
      </c>
      <c r="AR91">
        <f t="shared" si="139"/>
        <v>0</v>
      </c>
      <c r="AS91">
        <f t="shared" si="140"/>
        <v>0</v>
      </c>
      <c r="AT91">
        <f t="shared" si="141"/>
        <v>0</v>
      </c>
      <c r="AU91">
        <f t="shared" si="142"/>
        <v>0</v>
      </c>
    </row>
    <row r="92" spans="1:51" ht="23.1" customHeight="1" x14ac:dyDescent="0.3">
      <c r="A92" s="37"/>
      <c r="B92" s="37"/>
      <c r="C92" s="38" t="s">
        <v>252</v>
      </c>
      <c r="D92" s="39"/>
      <c r="E92" s="40"/>
      <c r="F92" s="40">
        <f t="shared" si="108"/>
        <v>0</v>
      </c>
      <c r="G92" s="40"/>
      <c r="H92" s="40">
        <f t="shared" si="109"/>
        <v>0</v>
      </c>
      <c r="I92" s="40"/>
      <c r="J92" s="40">
        <f t="shared" si="110"/>
        <v>0</v>
      </c>
      <c r="K92" s="40">
        <f t="shared" si="111"/>
        <v>0</v>
      </c>
      <c r="L92" s="40">
        <f t="shared" si="112"/>
        <v>0</v>
      </c>
      <c r="M92" s="47"/>
      <c r="O92" t="str">
        <f>""</f>
        <v/>
      </c>
      <c r="P92" t="s">
        <v>457</v>
      </c>
      <c r="Q92">
        <v>1</v>
      </c>
      <c r="R92">
        <f t="shared" si="113"/>
        <v>0</v>
      </c>
      <c r="S92">
        <f t="shared" si="114"/>
        <v>0</v>
      </c>
      <c r="T92">
        <f t="shared" si="115"/>
        <v>0</v>
      </c>
      <c r="U92">
        <f t="shared" si="116"/>
        <v>0</v>
      </c>
      <c r="V92">
        <f t="shared" si="117"/>
        <v>0</v>
      </c>
      <c r="W92">
        <f t="shared" si="118"/>
        <v>0</v>
      </c>
      <c r="X92">
        <f t="shared" si="119"/>
        <v>0</v>
      </c>
      <c r="Y92">
        <f t="shared" si="120"/>
        <v>0</v>
      </c>
      <c r="Z92">
        <f t="shared" si="121"/>
        <v>0</v>
      </c>
      <c r="AA92">
        <f t="shared" si="122"/>
        <v>0</v>
      </c>
      <c r="AB92">
        <f t="shared" si="123"/>
        <v>0</v>
      </c>
      <c r="AC92">
        <f t="shared" si="124"/>
        <v>0</v>
      </c>
      <c r="AD92">
        <f t="shared" si="125"/>
        <v>0</v>
      </c>
      <c r="AE92">
        <f t="shared" si="126"/>
        <v>0</v>
      </c>
      <c r="AF92">
        <f t="shared" si="127"/>
        <v>0</v>
      </c>
      <c r="AG92">
        <f t="shared" si="128"/>
        <v>0</v>
      </c>
      <c r="AH92">
        <f t="shared" si="129"/>
        <v>0</v>
      </c>
      <c r="AI92">
        <f t="shared" si="130"/>
        <v>0</v>
      </c>
      <c r="AJ92">
        <f t="shared" si="131"/>
        <v>0</v>
      </c>
      <c r="AK92">
        <f t="shared" si="132"/>
        <v>0</v>
      </c>
      <c r="AL92">
        <f t="shared" si="133"/>
        <v>0</v>
      </c>
      <c r="AM92">
        <f t="shared" si="134"/>
        <v>0</v>
      </c>
      <c r="AN92">
        <f t="shared" si="135"/>
        <v>0</v>
      </c>
      <c r="AO92">
        <f t="shared" si="136"/>
        <v>0</v>
      </c>
      <c r="AP92">
        <f t="shared" si="137"/>
        <v>0</v>
      </c>
      <c r="AQ92">
        <f t="shared" si="138"/>
        <v>0</v>
      </c>
      <c r="AR92">
        <f t="shared" si="139"/>
        <v>0</v>
      </c>
      <c r="AS92">
        <f t="shared" si="140"/>
        <v>0</v>
      </c>
      <c r="AT92">
        <f t="shared" si="141"/>
        <v>0</v>
      </c>
      <c r="AU92">
        <f t="shared" si="142"/>
        <v>0</v>
      </c>
    </row>
    <row r="93" spans="1:51" ht="23.1" customHeight="1" x14ac:dyDescent="0.3">
      <c r="A93" s="37"/>
      <c r="B93" s="37"/>
      <c r="C93" s="38" t="s">
        <v>252</v>
      </c>
      <c r="D93" s="39"/>
      <c r="E93" s="40"/>
      <c r="F93" s="40">
        <f t="shared" si="108"/>
        <v>0</v>
      </c>
      <c r="G93" s="40"/>
      <c r="H93" s="40">
        <f t="shared" si="109"/>
        <v>0</v>
      </c>
      <c r="I93" s="40"/>
      <c r="J93" s="40">
        <f t="shared" si="110"/>
        <v>0</v>
      </c>
      <c r="K93" s="40">
        <f t="shared" si="111"/>
        <v>0</v>
      </c>
      <c r="L93" s="40">
        <f t="shared" si="112"/>
        <v>0</v>
      </c>
      <c r="M93" s="47"/>
      <c r="O93" t="str">
        <f>""</f>
        <v/>
      </c>
      <c r="P93" t="s">
        <v>457</v>
      </c>
      <c r="Q93">
        <v>1</v>
      </c>
      <c r="R93">
        <f t="shared" si="113"/>
        <v>0</v>
      </c>
      <c r="S93">
        <f t="shared" si="114"/>
        <v>0</v>
      </c>
      <c r="T93">
        <f t="shared" si="115"/>
        <v>0</v>
      </c>
      <c r="U93">
        <f t="shared" si="116"/>
        <v>0</v>
      </c>
      <c r="V93">
        <f t="shared" si="117"/>
        <v>0</v>
      </c>
      <c r="W93">
        <f t="shared" si="118"/>
        <v>0</v>
      </c>
      <c r="X93">
        <f t="shared" si="119"/>
        <v>0</v>
      </c>
      <c r="Y93">
        <f t="shared" si="120"/>
        <v>0</v>
      </c>
      <c r="Z93">
        <f t="shared" si="121"/>
        <v>0</v>
      </c>
      <c r="AA93">
        <f t="shared" si="122"/>
        <v>0</v>
      </c>
      <c r="AB93">
        <f t="shared" si="123"/>
        <v>0</v>
      </c>
      <c r="AC93">
        <f t="shared" si="124"/>
        <v>0</v>
      </c>
      <c r="AD93">
        <f t="shared" si="125"/>
        <v>0</v>
      </c>
      <c r="AE93">
        <f t="shared" si="126"/>
        <v>0</v>
      </c>
      <c r="AF93">
        <f t="shared" si="127"/>
        <v>0</v>
      </c>
      <c r="AG93">
        <f t="shared" si="128"/>
        <v>0</v>
      </c>
      <c r="AH93">
        <f t="shared" si="129"/>
        <v>0</v>
      </c>
      <c r="AI93">
        <f t="shared" si="130"/>
        <v>0</v>
      </c>
      <c r="AJ93">
        <f t="shared" si="131"/>
        <v>0</v>
      </c>
      <c r="AK93">
        <f t="shared" si="132"/>
        <v>0</v>
      </c>
      <c r="AL93">
        <f t="shared" si="133"/>
        <v>0</v>
      </c>
      <c r="AM93">
        <f t="shared" si="134"/>
        <v>0</v>
      </c>
      <c r="AN93">
        <f t="shared" si="135"/>
        <v>0</v>
      </c>
      <c r="AO93">
        <f t="shared" si="136"/>
        <v>0</v>
      </c>
      <c r="AP93">
        <f t="shared" si="137"/>
        <v>0</v>
      </c>
      <c r="AQ93">
        <f t="shared" si="138"/>
        <v>0</v>
      </c>
      <c r="AR93">
        <f t="shared" si="139"/>
        <v>0</v>
      </c>
      <c r="AS93">
        <f t="shared" si="140"/>
        <v>0</v>
      </c>
      <c r="AT93">
        <f t="shared" si="141"/>
        <v>0</v>
      </c>
      <c r="AU93">
        <f t="shared" si="142"/>
        <v>0</v>
      </c>
    </row>
    <row r="94" spans="1:51" ht="23.1" customHeight="1" x14ac:dyDescent="0.3">
      <c r="A94" s="37"/>
      <c r="B94" s="37"/>
      <c r="C94" s="38" t="s">
        <v>252</v>
      </c>
      <c r="D94" s="39"/>
      <c r="E94" s="40"/>
      <c r="F94" s="40">
        <f t="shared" si="108"/>
        <v>0</v>
      </c>
      <c r="G94" s="40"/>
      <c r="H94" s="40">
        <f t="shared" si="109"/>
        <v>0</v>
      </c>
      <c r="I94" s="40"/>
      <c r="J94" s="40">
        <f t="shared" si="110"/>
        <v>0</v>
      </c>
      <c r="K94" s="40">
        <f t="shared" si="111"/>
        <v>0</v>
      </c>
      <c r="L94" s="40">
        <f t="shared" si="112"/>
        <v>0</v>
      </c>
      <c r="M94" s="47"/>
      <c r="O94" t="str">
        <f>""</f>
        <v/>
      </c>
      <c r="P94" t="s">
        <v>457</v>
      </c>
      <c r="Q94">
        <v>1</v>
      </c>
      <c r="R94">
        <f t="shared" si="113"/>
        <v>0</v>
      </c>
      <c r="S94">
        <f t="shared" si="114"/>
        <v>0</v>
      </c>
      <c r="T94">
        <f t="shared" si="115"/>
        <v>0</v>
      </c>
      <c r="U94">
        <f t="shared" si="116"/>
        <v>0</v>
      </c>
      <c r="V94">
        <f t="shared" si="117"/>
        <v>0</v>
      </c>
      <c r="W94">
        <f t="shared" si="118"/>
        <v>0</v>
      </c>
      <c r="X94">
        <f t="shared" si="119"/>
        <v>0</v>
      </c>
      <c r="Y94">
        <f t="shared" si="120"/>
        <v>0</v>
      </c>
      <c r="Z94">
        <f t="shared" si="121"/>
        <v>0</v>
      </c>
      <c r="AA94">
        <f t="shared" si="122"/>
        <v>0</v>
      </c>
      <c r="AB94">
        <f t="shared" si="123"/>
        <v>0</v>
      </c>
      <c r="AC94">
        <f t="shared" si="124"/>
        <v>0</v>
      </c>
      <c r="AD94">
        <f t="shared" si="125"/>
        <v>0</v>
      </c>
      <c r="AE94">
        <f t="shared" si="126"/>
        <v>0</v>
      </c>
      <c r="AF94">
        <f t="shared" si="127"/>
        <v>0</v>
      </c>
      <c r="AG94">
        <f t="shared" si="128"/>
        <v>0</v>
      </c>
      <c r="AH94">
        <f t="shared" si="129"/>
        <v>0</v>
      </c>
      <c r="AI94">
        <f t="shared" si="130"/>
        <v>0</v>
      </c>
      <c r="AJ94">
        <f t="shared" si="131"/>
        <v>0</v>
      </c>
      <c r="AK94">
        <f t="shared" si="132"/>
        <v>0</v>
      </c>
      <c r="AL94">
        <f t="shared" si="133"/>
        <v>0</v>
      </c>
      <c r="AM94">
        <f t="shared" si="134"/>
        <v>0</v>
      </c>
      <c r="AN94">
        <f t="shared" si="135"/>
        <v>0</v>
      </c>
      <c r="AO94">
        <f t="shared" si="136"/>
        <v>0</v>
      </c>
      <c r="AP94">
        <f t="shared" si="137"/>
        <v>0</v>
      </c>
      <c r="AQ94">
        <f t="shared" si="138"/>
        <v>0</v>
      </c>
      <c r="AR94">
        <f t="shared" si="139"/>
        <v>0</v>
      </c>
      <c r="AS94">
        <f t="shared" si="140"/>
        <v>0</v>
      </c>
      <c r="AT94">
        <f t="shared" si="141"/>
        <v>0</v>
      </c>
      <c r="AU94">
        <f t="shared" si="142"/>
        <v>0</v>
      </c>
    </row>
    <row r="95" spans="1:51" ht="23.1" customHeight="1" x14ac:dyDescent="0.3">
      <c r="A95" s="37"/>
      <c r="B95" s="37"/>
      <c r="C95" s="38" t="s">
        <v>252</v>
      </c>
      <c r="D95" s="39"/>
      <c r="E95" s="40"/>
      <c r="F95" s="40">
        <f t="shared" si="108"/>
        <v>0</v>
      </c>
      <c r="G95" s="40"/>
      <c r="H95" s="40">
        <f t="shared" si="109"/>
        <v>0</v>
      </c>
      <c r="I95" s="40"/>
      <c r="J95" s="40">
        <f t="shared" si="110"/>
        <v>0</v>
      </c>
      <c r="K95" s="40">
        <f t="shared" si="111"/>
        <v>0</v>
      </c>
      <c r="L95" s="40">
        <f t="shared" si="112"/>
        <v>0</v>
      </c>
      <c r="M95" s="47"/>
      <c r="O95" t="str">
        <f>""</f>
        <v/>
      </c>
      <c r="P95" t="s">
        <v>457</v>
      </c>
      <c r="Q95">
        <v>1</v>
      </c>
      <c r="R95">
        <f t="shared" si="113"/>
        <v>0</v>
      </c>
      <c r="S95">
        <f t="shared" si="114"/>
        <v>0</v>
      </c>
      <c r="T95">
        <f t="shared" si="115"/>
        <v>0</v>
      </c>
      <c r="U95">
        <f t="shared" si="116"/>
        <v>0</v>
      </c>
      <c r="V95">
        <f t="shared" si="117"/>
        <v>0</v>
      </c>
      <c r="W95">
        <f t="shared" si="118"/>
        <v>0</v>
      </c>
      <c r="X95">
        <f t="shared" si="119"/>
        <v>0</v>
      </c>
      <c r="Y95">
        <f t="shared" si="120"/>
        <v>0</v>
      </c>
      <c r="Z95">
        <f t="shared" si="121"/>
        <v>0</v>
      </c>
      <c r="AA95">
        <f t="shared" si="122"/>
        <v>0</v>
      </c>
      <c r="AB95">
        <f t="shared" si="123"/>
        <v>0</v>
      </c>
      <c r="AC95">
        <f t="shared" si="124"/>
        <v>0</v>
      </c>
      <c r="AD95">
        <f t="shared" si="125"/>
        <v>0</v>
      </c>
      <c r="AE95">
        <f t="shared" si="126"/>
        <v>0</v>
      </c>
      <c r="AF95">
        <f t="shared" si="127"/>
        <v>0</v>
      </c>
      <c r="AG95">
        <f t="shared" si="128"/>
        <v>0</v>
      </c>
      <c r="AH95">
        <f t="shared" si="129"/>
        <v>0</v>
      </c>
      <c r="AI95">
        <f t="shared" si="130"/>
        <v>0</v>
      </c>
      <c r="AJ95">
        <f t="shared" si="131"/>
        <v>0</v>
      </c>
      <c r="AK95">
        <f t="shared" si="132"/>
        <v>0</v>
      </c>
      <c r="AL95">
        <f t="shared" si="133"/>
        <v>0</v>
      </c>
      <c r="AM95">
        <f t="shared" si="134"/>
        <v>0</v>
      </c>
      <c r="AN95">
        <f t="shared" si="135"/>
        <v>0</v>
      </c>
      <c r="AO95">
        <f t="shared" si="136"/>
        <v>0</v>
      </c>
      <c r="AP95">
        <f t="shared" si="137"/>
        <v>0</v>
      </c>
      <c r="AQ95">
        <f t="shared" si="138"/>
        <v>0</v>
      </c>
      <c r="AR95">
        <f t="shared" si="139"/>
        <v>0</v>
      </c>
      <c r="AS95">
        <f t="shared" si="140"/>
        <v>0</v>
      </c>
      <c r="AT95">
        <f t="shared" si="141"/>
        <v>0</v>
      </c>
      <c r="AU95">
        <f t="shared" si="142"/>
        <v>0</v>
      </c>
    </row>
    <row r="96" spans="1:51" ht="23.1" customHeight="1" x14ac:dyDescent="0.3">
      <c r="A96" s="36" t="s">
        <v>488</v>
      </c>
      <c r="B96" s="36" t="s">
        <v>489</v>
      </c>
      <c r="C96" s="38" t="s">
        <v>490</v>
      </c>
      <c r="D96" s="39">
        <v>10</v>
      </c>
      <c r="E96" s="40">
        <v>532400</v>
      </c>
      <c r="F96" s="40">
        <f>ROUNDDOWN(D96*E96*0.01, 0)</f>
        <v>53240</v>
      </c>
      <c r="G96" s="40"/>
      <c r="H96" s="40">
        <f>ROUNDDOWN(D96*G96*0.01, 0)</f>
        <v>0</v>
      </c>
      <c r="I96" s="40"/>
      <c r="J96" s="40">
        <f>ROUNDDOWN(D96*I96*0.01, 0)</f>
        <v>0</v>
      </c>
      <c r="K96" s="40">
        <f t="shared" si="111"/>
        <v>532400</v>
      </c>
      <c r="L96" s="40">
        <f t="shared" si="112"/>
        <v>53240</v>
      </c>
      <c r="M96" s="47"/>
      <c r="N96">
        <v>0.1</v>
      </c>
      <c r="O96" t="str">
        <f>""</f>
        <v/>
      </c>
      <c r="P96" t="s">
        <v>457</v>
      </c>
      <c r="Q96">
        <v>1</v>
      </c>
      <c r="R96">
        <f t="shared" si="113"/>
        <v>0</v>
      </c>
      <c r="S96">
        <f t="shared" si="114"/>
        <v>0</v>
      </c>
      <c r="T96">
        <f t="shared" si="115"/>
        <v>0</v>
      </c>
      <c r="U96">
        <f t="shared" si="116"/>
        <v>0</v>
      </c>
      <c r="V96">
        <f t="shared" si="117"/>
        <v>0</v>
      </c>
      <c r="W96">
        <f t="shared" si="118"/>
        <v>0</v>
      </c>
      <c r="X96">
        <f t="shared" si="119"/>
        <v>0</v>
      </c>
      <c r="Y96">
        <f t="shared" si="120"/>
        <v>0</v>
      </c>
      <c r="Z96">
        <f t="shared" si="121"/>
        <v>0</v>
      </c>
      <c r="AA96">
        <f t="shared" si="122"/>
        <v>53240</v>
      </c>
      <c r="AB96">
        <f t="shared" si="123"/>
        <v>0</v>
      </c>
      <c r="AC96">
        <f t="shared" si="124"/>
        <v>0</v>
      </c>
      <c r="AD96">
        <f t="shared" si="125"/>
        <v>0</v>
      </c>
      <c r="AE96">
        <f t="shared" si="126"/>
        <v>0</v>
      </c>
      <c r="AF96">
        <f t="shared" si="127"/>
        <v>0</v>
      </c>
      <c r="AG96">
        <f t="shared" si="128"/>
        <v>0</v>
      </c>
      <c r="AH96">
        <f t="shared" si="129"/>
        <v>0</v>
      </c>
      <c r="AI96">
        <f t="shared" si="130"/>
        <v>0</v>
      </c>
      <c r="AJ96">
        <f t="shared" si="131"/>
        <v>0</v>
      </c>
      <c r="AK96">
        <f t="shared" si="132"/>
        <v>0</v>
      </c>
      <c r="AL96">
        <f t="shared" si="133"/>
        <v>0</v>
      </c>
      <c r="AM96">
        <f t="shared" si="134"/>
        <v>0</v>
      </c>
      <c r="AN96">
        <f t="shared" si="135"/>
        <v>0</v>
      </c>
      <c r="AO96">
        <f t="shared" si="136"/>
        <v>0</v>
      </c>
      <c r="AP96">
        <f t="shared" si="137"/>
        <v>0</v>
      </c>
      <c r="AQ96">
        <f t="shared" si="138"/>
        <v>0</v>
      </c>
      <c r="AR96">
        <f t="shared" si="139"/>
        <v>0</v>
      </c>
      <c r="AS96">
        <f t="shared" si="140"/>
        <v>0</v>
      </c>
      <c r="AT96">
        <f t="shared" si="141"/>
        <v>0</v>
      </c>
      <c r="AU96">
        <f t="shared" si="142"/>
        <v>0</v>
      </c>
    </row>
    <row r="97" spans="1:51" ht="23.1" customHeight="1" x14ac:dyDescent="0.3">
      <c r="A97" s="37"/>
      <c r="B97" s="37"/>
      <c r="C97" s="46"/>
      <c r="D97" s="47"/>
      <c r="E97" s="47"/>
      <c r="F97" s="47"/>
      <c r="G97" s="47"/>
      <c r="H97" s="47"/>
      <c r="I97" s="47"/>
      <c r="J97" s="47"/>
      <c r="K97" s="47"/>
      <c r="L97" s="47"/>
      <c r="M97" s="47"/>
    </row>
    <row r="98" spans="1:51" ht="23.1" customHeight="1" x14ac:dyDescent="0.3">
      <c r="A98" s="37"/>
      <c r="B98" s="37"/>
      <c r="C98" s="46"/>
      <c r="D98" s="47"/>
      <c r="E98" s="47"/>
      <c r="F98" s="47"/>
      <c r="G98" s="47"/>
      <c r="H98" s="47"/>
      <c r="I98" s="47"/>
      <c r="J98" s="47"/>
      <c r="K98" s="47"/>
      <c r="L98" s="47"/>
      <c r="M98" s="47"/>
    </row>
    <row r="99" spans="1:51" ht="23.1" customHeight="1" x14ac:dyDescent="0.3">
      <c r="A99" s="37"/>
      <c r="B99" s="37"/>
      <c r="C99" s="46"/>
      <c r="D99" s="47"/>
      <c r="E99" s="47"/>
      <c r="F99" s="47"/>
      <c r="G99" s="47"/>
      <c r="H99" s="47"/>
      <c r="I99" s="47"/>
      <c r="J99" s="47"/>
      <c r="K99" s="47"/>
      <c r="L99" s="47"/>
      <c r="M99" s="47"/>
    </row>
    <row r="100" spans="1:51" ht="23.1" customHeight="1" x14ac:dyDescent="0.3">
      <c r="A100" s="41" t="s">
        <v>216</v>
      </c>
      <c r="B100" s="42"/>
      <c r="C100" s="43"/>
      <c r="D100" s="44"/>
      <c r="E100" s="44"/>
      <c r="F100" s="45">
        <f>ROUNDDOWN(SUMIF(Q86:Q99, "1", F86:F99), 0)</f>
        <v>585640</v>
      </c>
      <c r="G100" s="44"/>
      <c r="H100" s="45">
        <f>ROUNDDOWN(SUMIF(Q86:Q99, "1", H86:H99), 0)</f>
        <v>0</v>
      </c>
      <c r="I100" s="44"/>
      <c r="J100" s="45">
        <f>ROUNDDOWN(SUMIF(Q86:Q99, "1", J86:J99), 0)</f>
        <v>0</v>
      </c>
      <c r="K100" s="44"/>
      <c r="L100" s="45">
        <f>F100+H100+J100</f>
        <v>585640</v>
      </c>
      <c r="M100" s="44"/>
      <c r="R100">
        <f t="shared" ref="R100:AY100" si="143">ROUNDDOWN(SUM(R86:R96), 0)</f>
        <v>0</v>
      </c>
      <c r="S100">
        <f t="shared" si="143"/>
        <v>0</v>
      </c>
      <c r="T100">
        <f t="shared" si="143"/>
        <v>0</v>
      </c>
      <c r="U100">
        <f t="shared" si="143"/>
        <v>0</v>
      </c>
      <c r="V100">
        <f t="shared" si="143"/>
        <v>0</v>
      </c>
      <c r="W100">
        <f t="shared" si="143"/>
        <v>0</v>
      </c>
      <c r="X100">
        <f t="shared" si="143"/>
        <v>0</v>
      </c>
      <c r="Y100">
        <f t="shared" si="143"/>
        <v>0</v>
      </c>
      <c r="Z100">
        <f t="shared" si="143"/>
        <v>0</v>
      </c>
      <c r="AA100">
        <f t="shared" si="143"/>
        <v>585640</v>
      </c>
      <c r="AB100">
        <f t="shared" si="143"/>
        <v>0</v>
      </c>
      <c r="AC100">
        <f t="shared" si="143"/>
        <v>0</v>
      </c>
      <c r="AD100">
        <f t="shared" si="143"/>
        <v>0</v>
      </c>
      <c r="AE100">
        <f t="shared" si="143"/>
        <v>0</v>
      </c>
      <c r="AF100">
        <f t="shared" si="143"/>
        <v>0</v>
      </c>
      <c r="AG100">
        <f t="shared" si="143"/>
        <v>0</v>
      </c>
      <c r="AH100">
        <f t="shared" si="143"/>
        <v>0</v>
      </c>
      <c r="AI100">
        <f t="shared" si="143"/>
        <v>0</v>
      </c>
      <c r="AJ100">
        <f t="shared" si="143"/>
        <v>0</v>
      </c>
      <c r="AK100">
        <f t="shared" si="143"/>
        <v>0</v>
      </c>
      <c r="AL100">
        <f t="shared" si="143"/>
        <v>0</v>
      </c>
      <c r="AM100">
        <f t="shared" si="143"/>
        <v>0</v>
      </c>
      <c r="AN100">
        <f t="shared" si="143"/>
        <v>0</v>
      </c>
      <c r="AO100">
        <f t="shared" si="143"/>
        <v>0</v>
      </c>
      <c r="AP100">
        <f t="shared" si="143"/>
        <v>0</v>
      </c>
      <c r="AQ100">
        <f t="shared" si="143"/>
        <v>0</v>
      </c>
      <c r="AR100">
        <f t="shared" si="143"/>
        <v>0</v>
      </c>
      <c r="AS100">
        <f t="shared" si="143"/>
        <v>0</v>
      </c>
      <c r="AT100">
        <f t="shared" si="143"/>
        <v>0</v>
      </c>
      <c r="AU100">
        <f t="shared" si="143"/>
        <v>0</v>
      </c>
      <c r="AV100">
        <f t="shared" si="143"/>
        <v>0</v>
      </c>
      <c r="AW100">
        <f t="shared" si="143"/>
        <v>0</v>
      </c>
      <c r="AX100">
        <f t="shared" si="143"/>
        <v>0</v>
      </c>
      <c r="AY100">
        <f t="shared" si="143"/>
        <v>0</v>
      </c>
    </row>
    <row r="101" spans="1:51" ht="23.1" customHeight="1" x14ac:dyDescent="0.3">
      <c r="A101" s="175" t="s">
        <v>491</v>
      </c>
      <c r="B101" s="176"/>
      <c r="C101" s="176"/>
      <c r="D101" s="176"/>
      <c r="E101" s="176"/>
      <c r="F101" s="176"/>
      <c r="G101" s="176"/>
      <c r="H101" s="176"/>
      <c r="I101" s="176"/>
      <c r="J101" s="176"/>
      <c r="K101" s="176"/>
      <c r="L101" s="176"/>
      <c r="M101" s="176"/>
    </row>
    <row r="102" spans="1:51" ht="23.1" customHeight="1" x14ac:dyDescent="0.3">
      <c r="A102" s="36" t="s">
        <v>83</v>
      </c>
      <c r="B102" s="36" t="s">
        <v>84</v>
      </c>
      <c r="C102" s="38" t="s">
        <v>85</v>
      </c>
      <c r="D102" s="39">
        <v>1</v>
      </c>
      <c r="E102" s="40">
        <f>단가대비표!O20</f>
        <v>11059400</v>
      </c>
      <c r="F102" s="40">
        <f>ROUNDDOWN(D102*E102, 0)</f>
        <v>11059400</v>
      </c>
      <c r="G102" s="40">
        <v>0</v>
      </c>
      <c r="H102" s="40">
        <f>ROUNDDOWN(D102*G102, 0)</f>
        <v>0</v>
      </c>
      <c r="I102" s="40">
        <v>0</v>
      </c>
      <c r="J102" s="40">
        <f>ROUNDDOWN(D102*I102, 0)</f>
        <v>0</v>
      </c>
      <c r="K102" s="40">
        <f>E102+G102+I102</f>
        <v>11059400</v>
      </c>
      <c r="L102" s="40">
        <f>F102+H102+J102</f>
        <v>11059400</v>
      </c>
      <c r="M102" s="47"/>
      <c r="O102" t="str">
        <f>"01"</f>
        <v>01</v>
      </c>
      <c r="P102" t="s">
        <v>458</v>
      </c>
      <c r="Q102">
        <v>1</v>
      </c>
      <c r="R102">
        <f>IF(P102="기계경비", J102, 0)</f>
        <v>0</v>
      </c>
      <c r="S102">
        <f>IF(P102="운반비", L102, 0)</f>
        <v>0</v>
      </c>
      <c r="T102">
        <f>IF(P102="작업부산물", F102, 0)</f>
        <v>0</v>
      </c>
      <c r="U102">
        <f>IF(P102="관급", F102, 0)</f>
        <v>0</v>
      </c>
      <c r="V102">
        <f>IF(P102="외주비", J102, 0)</f>
        <v>0</v>
      </c>
      <c r="W102">
        <f>IF(P102="장비비", J102, 0)</f>
        <v>0</v>
      </c>
      <c r="X102">
        <f>IF(P102="폐기물처리비", L102, 0)</f>
        <v>0</v>
      </c>
      <c r="Y102">
        <f>IF(P102="가설비", J102, 0)</f>
        <v>0</v>
      </c>
      <c r="Z102">
        <f>IF(P102="잡비제외분", F102, 0)</f>
        <v>0</v>
      </c>
      <c r="AA102">
        <f>IF(P102="사급자재대", L102, 0)</f>
        <v>0</v>
      </c>
      <c r="AB102">
        <f>IF(P102="관급자재대", L102, 0)</f>
        <v>11059400</v>
      </c>
      <c r="AC102">
        <f>IF(P102="사용자항목1", L102, 0)</f>
        <v>0</v>
      </c>
      <c r="AD102">
        <f>IF(P102="사용자항목2", L102, 0)</f>
        <v>0</v>
      </c>
      <c r="AE102">
        <f>IF(P102="안전관리비", L102, 0)</f>
        <v>0</v>
      </c>
      <c r="AF102">
        <f>IF(P102="품질관리비", L102, 0)</f>
        <v>0</v>
      </c>
      <c r="AG102">
        <f>IF(P102="작업부산물(철거해체)", L102, 0)</f>
        <v>0</v>
      </c>
      <c r="AH102">
        <f>IF(P102="사용자항목6", L102, 0)</f>
        <v>0</v>
      </c>
      <c r="AI102">
        <f>IF(P102="사용자항목7", L102, 0)</f>
        <v>0</v>
      </c>
      <c r="AJ102">
        <f>IF(P102="사용자항목8", L102, 0)</f>
        <v>0</v>
      </c>
      <c r="AK102">
        <f>IF(P102="사용자항목9", L102, 0)</f>
        <v>0</v>
      </c>
      <c r="AL102">
        <f>IF(P102="사용자항목10", L102, 0)</f>
        <v>0</v>
      </c>
      <c r="AM102">
        <f>IF(P102="사용자항목11", L102, 0)</f>
        <v>0</v>
      </c>
      <c r="AN102">
        <f>IF(P102="사용자항목12", L102, 0)</f>
        <v>0</v>
      </c>
      <c r="AO102">
        <f>IF(P102="사용자항목13", L102, 0)</f>
        <v>0</v>
      </c>
      <c r="AP102">
        <f>IF(P102="사용자항목14", L102, 0)</f>
        <v>0</v>
      </c>
      <c r="AQ102">
        <f>IF(P102="사용자항목15", L102, 0)</f>
        <v>0</v>
      </c>
      <c r="AR102">
        <f>IF(P102="사용자항목16", L102, 0)</f>
        <v>0</v>
      </c>
      <c r="AS102">
        <f>IF(P102="사용자항목17", L102, 0)</f>
        <v>0</v>
      </c>
      <c r="AT102">
        <f>IF(P102="사용자항목18", L102, 0)</f>
        <v>0</v>
      </c>
      <c r="AU102">
        <f>IF(P102="사용자항목19", L102, 0)</f>
        <v>0</v>
      </c>
    </row>
    <row r="103" spans="1:51" ht="23.1" customHeight="1" x14ac:dyDescent="0.3">
      <c r="A103" s="37"/>
      <c r="B103" s="37"/>
      <c r="C103" s="46"/>
      <c r="D103" s="47"/>
      <c r="E103" s="47"/>
      <c r="F103" s="47"/>
      <c r="G103" s="47"/>
      <c r="H103" s="47"/>
      <c r="I103" s="47"/>
      <c r="J103" s="47"/>
      <c r="K103" s="47"/>
      <c r="L103" s="47"/>
      <c r="M103" s="47"/>
    </row>
    <row r="104" spans="1:51" ht="23.1" customHeight="1" x14ac:dyDescent="0.3">
      <c r="A104" s="37"/>
      <c r="B104" s="37"/>
      <c r="C104" s="46"/>
      <c r="D104" s="47"/>
      <c r="E104" s="47"/>
      <c r="F104" s="47"/>
      <c r="G104" s="47"/>
      <c r="H104" s="47"/>
      <c r="I104" s="47"/>
      <c r="J104" s="47"/>
      <c r="K104" s="47"/>
      <c r="L104" s="47"/>
      <c r="M104" s="47"/>
    </row>
    <row r="105" spans="1:51" ht="23.1" customHeight="1" x14ac:dyDescent="0.3">
      <c r="A105" s="37"/>
      <c r="B105" s="37"/>
      <c r="C105" s="46"/>
      <c r="D105" s="47"/>
      <c r="E105" s="47"/>
      <c r="F105" s="47"/>
      <c r="G105" s="47"/>
      <c r="H105" s="47"/>
      <c r="I105" s="47"/>
      <c r="J105" s="47"/>
      <c r="K105" s="47"/>
      <c r="L105" s="47"/>
      <c r="M105" s="47"/>
    </row>
    <row r="106" spans="1:51" ht="23.1" customHeight="1" x14ac:dyDescent="0.3">
      <c r="A106" s="37"/>
      <c r="B106" s="37"/>
      <c r="C106" s="46"/>
      <c r="D106" s="47"/>
      <c r="E106" s="47"/>
      <c r="F106" s="47"/>
      <c r="G106" s="47"/>
      <c r="H106" s="47"/>
      <c r="I106" s="47"/>
      <c r="J106" s="47"/>
      <c r="K106" s="47"/>
      <c r="L106" s="47"/>
      <c r="M106" s="47"/>
    </row>
    <row r="107" spans="1:51" ht="23.1" customHeight="1" x14ac:dyDescent="0.3">
      <c r="A107" s="37"/>
      <c r="B107" s="37"/>
      <c r="C107" s="46"/>
      <c r="D107" s="47"/>
      <c r="E107" s="47"/>
      <c r="F107" s="47"/>
      <c r="G107" s="47"/>
      <c r="H107" s="47"/>
      <c r="I107" s="47"/>
      <c r="J107" s="47"/>
      <c r="K107" s="47"/>
      <c r="L107" s="47"/>
      <c r="M107" s="47"/>
    </row>
    <row r="108" spans="1:51" ht="23.1" customHeight="1" x14ac:dyDescent="0.3">
      <c r="A108" s="37"/>
      <c r="B108" s="37"/>
      <c r="C108" s="46"/>
      <c r="D108" s="47"/>
      <c r="E108" s="47"/>
      <c r="F108" s="47"/>
      <c r="G108" s="47"/>
      <c r="H108" s="47"/>
      <c r="I108" s="47"/>
      <c r="J108" s="47"/>
      <c r="K108" s="47"/>
      <c r="L108" s="47"/>
      <c r="M108" s="47"/>
    </row>
    <row r="109" spans="1:51" ht="23.1" customHeight="1" x14ac:dyDescent="0.3">
      <c r="A109" s="37"/>
      <c r="B109" s="37"/>
      <c r="C109" s="46"/>
      <c r="D109" s="47"/>
      <c r="E109" s="47"/>
      <c r="F109" s="47"/>
      <c r="G109" s="47"/>
      <c r="H109" s="47"/>
      <c r="I109" s="47"/>
      <c r="J109" s="47"/>
      <c r="K109" s="47"/>
      <c r="L109" s="47"/>
      <c r="M109" s="47"/>
    </row>
    <row r="110" spans="1:51" ht="23.1" customHeight="1" x14ac:dyDescent="0.3">
      <c r="A110" s="37"/>
      <c r="B110" s="37"/>
      <c r="C110" s="46"/>
      <c r="D110" s="47"/>
      <c r="E110" s="47"/>
      <c r="F110" s="47"/>
      <c r="G110" s="47"/>
      <c r="H110" s="47"/>
      <c r="I110" s="47"/>
      <c r="J110" s="47"/>
      <c r="K110" s="47"/>
      <c r="L110" s="47"/>
      <c r="M110" s="47"/>
    </row>
    <row r="111" spans="1:51" ht="23.1" customHeight="1" x14ac:dyDescent="0.3">
      <c r="A111" s="37"/>
      <c r="B111" s="37"/>
      <c r="C111" s="46"/>
      <c r="D111" s="47"/>
      <c r="E111" s="47"/>
      <c r="F111" s="47"/>
      <c r="G111" s="47"/>
      <c r="H111" s="47"/>
      <c r="I111" s="47"/>
      <c r="J111" s="47"/>
      <c r="K111" s="47"/>
      <c r="L111" s="47"/>
      <c r="M111" s="47"/>
    </row>
    <row r="112" spans="1:51" ht="23.1" customHeight="1" x14ac:dyDescent="0.3">
      <c r="A112" s="37"/>
      <c r="B112" s="37"/>
      <c r="C112" s="46"/>
      <c r="D112" s="47"/>
      <c r="E112" s="47"/>
      <c r="F112" s="47"/>
      <c r="G112" s="47"/>
      <c r="H112" s="47"/>
      <c r="I112" s="47"/>
      <c r="J112" s="47"/>
      <c r="K112" s="47"/>
      <c r="L112" s="47"/>
      <c r="M112" s="47"/>
    </row>
    <row r="113" spans="1:51" ht="23.1" customHeight="1" x14ac:dyDescent="0.3">
      <c r="A113" s="37"/>
      <c r="B113" s="37"/>
      <c r="C113" s="46"/>
      <c r="D113" s="47"/>
      <c r="E113" s="47"/>
      <c r="F113" s="47"/>
      <c r="G113" s="47"/>
      <c r="H113" s="47"/>
      <c r="I113" s="47"/>
      <c r="J113" s="47"/>
      <c r="K113" s="47"/>
      <c r="L113" s="47"/>
      <c r="M113" s="47"/>
    </row>
    <row r="114" spans="1:51" ht="23.1" customHeight="1" x14ac:dyDescent="0.3">
      <c r="A114" s="37"/>
      <c r="B114" s="37"/>
      <c r="C114" s="46"/>
      <c r="D114" s="47"/>
      <c r="E114" s="47"/>
      <c r="F114" s="47"/>
      <c r="G114" s="47"/>
      <c r="H114" s="47"/>
      <c r="I114" s="47"/>
      <c r="J114" s="47"/>
      <c r="K114" s="47"/>
      <c r="L114" s="47"/>
      <c r="M114" s="47"/>
    </row>
    <row r="115" spans="1:51" ht="23.1" customHeight="1" x14ac:dyDescent="0.3">
      <c r="A115" s="37"/>
      <c r="B115" s="37"/>
      <c r="C115" s="46"/>
      <c r="D115" s="47"/>
      <c r="E115" s="47"/>
      <c r="F115" s="47"/>
      <c r="G115" s="47"/>
      <c r="H115" s="47"/>
      <c r="I115" s="47"/>
      <c r="J115" s="47"/>
      <c r="K115" s="47"/>
      <c r="L115" s="47"/>
      <c r="M115" s="47"/>
    </row>
    <row r="116" spans="1:51" ht="23.1" customHeight="1" x14ac:dyDescent="0.3">
      <c r="A116" s="41" t="s">
        <v>216</v>
      </c>
      <c r="B116" s="42"/>
      <c r="C116" s="43"/>
      <c r="D116" s="44"/>
      <c r="E116" s="44"/>
      <c r="F116" s="45">
        <f>ROUNDDOWN(SUMIF(Q102:Q115, "1", F102:F115), 0)</f>
        <v>11059400</v>
      </c>
      <c r="G116" s="44"/>
      <c r="H116" s="45">
        <f>ROUNDDOWN(SUMIF(Q102:Q115, "1", H102:H115), 0)</f>
        <v>0</v>
      </c>
      <c r="I116" s="44"/>
      <c r="J116" s="45">
        <f>ROUNDDOWN(SUMIF(Q102:Q115, "1", J102:J115), 0)</f>
        <v>0</v>
      </c>
      <c r="K116" s="44"/>
      <c r="L116" s="45">
        <f>F116+H116+J116</f>
        <v>11059400</v>
      </c>
      <c r="M116" s="44"/>
      <c r="R116">
        <f t="shared" ref="R116:AY116" si="144">ROUNDDOWN(SUM(R102:R102), 0)</f>
        <v>0</v>
      </c>
      <c r="S116">
        <f t="shared" si="144"/>
        <v>0</v>
      </c>
      <c r="T116">
        <f t="shared" si="144"/>
        <v>0</v>
      </c>
      <c r="U116">
        <f t="shared" si="144"/>
        <v>0</v>
      </c>
      <c r="V116">
        <f t="shared" si="144"/>
        <v>0</v>
      </c>
      <c r="W116">
        <f t="shared" si="144"/>
        <v>0</v>
      </c>
      <c r="X116">
        <f t="shared" si="144"/>
        <v>0</v>
      </c>
      <c r="Y116">
        <f t="shared" si="144"/>
        <v>0</v>
      </c>
      <c r="Z116">
        <f t="shared" si="144"/>
        <v>0</v>
      </c>
      <c r="AA116">
        <f t="shared" si="144"/>
        <v>0</v>
      </c>
      <c r="AB116">
        <f t="shared" si="144"/>
        <v>11059400</v>
      </c>
      <c r="AC116">
        <f t="shared" si="144"/>
        <v>0</v>
      </c>
      <c r="AD116">
        <f t="shared" si="144"/>
        <v>0</v>
      </c>
      <c r="AE116">
        <f t="shared" si="144"/>
        <v>0</v>
      </c>
      <c r="AF116">
        <f t="shared" si="144"/>
        <v>0</v>
      </c>
      <c r="AG116">
        <f t="shared" si="144"/>
        <v>0</v>
      </c>
      <c r="AH116">
        <f t="shared" si="144"/>
        <v>0</v>
      </c>
      <c r="AI116">
        <f t="shared" si="144"/>
        <v>0</v>
      </c>
      <c r="AJ116">
        <f t="shared" si="144"/>
        <v>0</v>
      </c>
      <c r="AK116">
        <f t="shared" si="144"/>
        <v>0</v>
      </c>
      <c r="AL116">
        <f t="shared" si="144"/>
        <v>0</v>
      </c>
      <c r="AM116">
        <f t="shared" si="144"/>
        <v>0</v>
      </c>
      <c r="AN116">
        <f t="shared" si="144"/>
        <v>0</v>
      </c>
      <c r="AO116">
        <f t="shared" si="144"/>
        <v>0</v>
      </c>
      <c r="AP116">
        <f t="shared" si="144"/>
        <v>0</v>
      </c>
      <c r="AQ116">
        <f t="shared" si="144"/>
        <v>0</v>
      </c>
      <c r="AR116">
        <f t="shared" si="144"/>
        <v>0</v>
      </c>
      <c r="AS116">
        <f t="shared" si="144"/>
        <v>0</v>
      </c>
      <c r="AT116">
        <f t="shared" si="144"/>
        <v>0</v>
      </c>
      <c r="AU116">
        <f t="shared" si="144"/>
        <v>0</v>
      </c>
      <c r="AV116">
        <f t="shared" si="144"/>
        <v>0</v>
      </c>
      <c r="AW116">
        <f t="shared" si="144"/>
        <v>0</v>
      </c>
      <c r="AX116">
        <f t="shared" si="144"/>
        <v>0</v>
      </c>
      <c r="AY116">
        <f t="shared" si="144"/>
        <v>0</v>
      </c>
    </row>
  </sheetData>
  <mergeCells count="17">
    <mergeCell ref="A101:M101"/>
    <mergeCell ref="K3:L3"/>
    <mergeCell ref="A5:M5"/>
    <mergeCell ref="A37:M37"/>
    <mergeCell ref="A53:M53"/>
    <mergeCell ref="A69:M69"/>
    <mergeCell ref="A85:M8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7" manualBreakCount="7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19D86"/>
  </sheetPr>
  <dimension ref="A1:O36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N1"/>
    </sheetView>
  </sheetViews>
  <sheetFormatPr defaultRowHeight="16.5" x14ac:dyDescent="0.3"/>
  <cols>
    <col min="1" max="1" width="6.625" style="2" customWidth="1"/>
    <col min="2" max="3" width="20.625" style="1" customWidth="1"/>
    <col min="4" max="4" width="4.625" style="2" customWidth="1"/>
    <col min="5" max="5" width="6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1" customWidth="1"/>
    <col min="15" max="18" width="0" hidden="1" customWidth="1"/>
  </cols>
  <sheetData>
    <row r="1" spans="1:15" ht="30" customHeight="1" x14ac:dyDescent="0.3">
      <c r="A1" s="158" t="s">
        <v>390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5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</row>
    <row r="3" spans="1:15" ht="23.1" customHeight="1" x14ac:dyDescent="0.3">
      <c r="A3" s="167" t="s">
        <v>285</v>
      </c>
      <c r="B3" s="167" t="s">
        <v>347</v>
      </c>
      <c r="C3" s="167" t="s">
        <v>348</v>
      </c>
      <c r="D3" s="167" t="s">
        <v>4</v>
      </c>
      <c r="E3" s="167" t="s">
        <v>202</v>
      </c>
      <c r="F3" s="167" t="s">
        <v>286</v>
      </c>
      <c r="G3" s="167"/>
      <c r="H3" s="167" t="s">
        <v>287</v>
      </c>
      <c r="I3" s="167"/>
      <c r="J3" s="167" t="s">
        <v>288</v>
      </c>
      <c r="K3" s="167"/>
      <c r="L3" s="167" t="s">
        <v>289</v>
      </c>
      <c r="M3" s="167"/>
      <c r="N3" s="167" t="s">
        <v>240</v>
      </c>
    </row>
    <row r="4" spans="1:15" ht="23.1" customHeight="1" x14ac:dyDescent="0.3">
      <c r="A4" s="167"/>
      <c r="B4" s="167"/>
      <c r="C4" s="167"/>
      <c r="D4" s="167"/>
      <c r="E4" s="167"/>
      <c r="F4" s="12" t="s">
        <v>241</v>
      </c>
      <c r="G4" s="12" t="s">
        <v>391</v>
      </c>
      <c r="H4" s="12" t="s">
        <v>241</v>
      </c>
      <c r="I4" s="12" t="s">
        <v>391</v>
      </c>
      <c r="J4" s="12" t="s">
        <v>241</v>
      </c>
      <c r="K4" s="12" t="s">
        <v>391</v>
      </c>
      <c r="L4" s="12" t="s">
        <v>241</v>
      </c>
      <c r="M4" s="12" t="s">
        <v>391</v>
      </c>
      <c r="N4" s="167"/>
      <c r="O4" t="s">
        <v>16</v>
      </c>
    </row>
    <row r="5" spans="1:15" ht="23.1" customHeight="1" x14ac:dyDescent="0.3">
      <c r="A5" s="38" t="s">
        <v>392</v>
      </c>
      <c r="B5" s="36" t="s">
        <v>393</v>
      </c>
      <c r="C5" s="36" t="s">
        <v>394</v>
      </c>
      <c r="D5" s="38" t="s">
        <v>345</v>
      </c>
      <c r="E5" s="46">
        <v>1</v>
      </c>
      <c r="F5" s="40">
        <f>일위대가표!F8</f>
        <v>1032</v>
      </c>
      <c r="G5" s="40">
        <f t="shared" ref="G5:G24" si="0">E5*F5</f>
        <v>1032</v>
      </c>
      <c r="H5" s="40">
        <f>일위대가표!H8</f>
        <v>34413</v>
      </c>
      <c r="I5" s="40">
        <f t="shared" ref="I5:I24" si="1">E5*H5</f>
        <v>34413</v>
      </c>
      <c r="J5" s="40">
        <f>일위대가표!J8</f>
        <v>0</v>
      </c>
      <c r="K5" s="40">
        <f t="shared" ref="K5:K24" si="2">E5*J5</f>
        <v>0</v>
      </c>
      <c r="L5" s="40">
        <f t="shared" ref="L5:L24" si="3">F5+H5+J5</f>
        <v>35445</v>
      </c>
      <c r="M5" s="40">
        <f t="shared" ref="M5:M24" si="4">G5+I5+K5</f>
        <v>35445</v>
      </c>
      <c r="N5" s="36" t="s">
        <v>354</v>
      </c>
      <c r="O5" s="34" t="s">
        <v>395</v>
      </c>
    </row>
    <row r="6" spans="1:15" ht="23.1" customHeight="1" x14ac:dyDescent="0.3">
      <c r="A6" s="38" t="s">
        <v>396</v>
      </c>
      <c r="B6" s="36" t="s">
        <v>397</v>
      </c>
      <c r="C6" s="36" t="s">
        <v>398</v>
      </c>
      <c r="D6" s="38" t="s">
        <v>345</v>
      </c>
      <c r="E6" s="46">
        <v>1</v>
      </c>
      <c r="F6" s="40">
        <f>일위대가표!F18</f>
        <v>1486</v>
      </c>
      <c r="G6" s="40">
        <f t="shared" si="0"/>
        <v>1486</v>
      </c>
      <c r="H6" s="40">
        <f>일위대가표!H18</f>
        <v>8228</v>
      </c>
      <c r="I6" s="40">
        <f t="shared" si="1"/>
        <v>8228</v>
      </c>
      <c r="J6" s="40">
        <f>일위대가표!J18</f>
        <v>1281</v>
      </c>
      <c r="K6" s="40">
        <f t="shared" si="2"/>
        <v>1281</v>
      </c>
      <c r="L6" s="40">
        <f t="shared" si="3"/>
        <v>10995</v>
      </c>
      <c r="M6" s="40">
        <f t="shared" si="4"/>
        <v>10995</v>
      </c>
      <c r="N6" s="36" t="s">
        <v>359</v>
      </c>
      <c r="O6" s="34" t="s">
        <v>399</v>
      </c>
    </row>
    <row r="7" spans="1:15" ht="23.1" customHeight="1" x14ac:dyDescent="0.3">
      <c r="A7" s="38" t="s">
        <v>400</v>
      </c>
      <c r="B7" s="36" t="s">
        <v>401</v>
      </c>
      <c r="C7" s="36" t="s">
        <v>402</v>
      </c>
      <c r="D7" s="38" t="s">
        <v>403</v>
      </c>
      <c r="E7" s="46">
        <v>1</v>
      </c>
      <c r="F7" s="40">
        <f>일위대가표!F27</f>
        <v>652</v>
      </c>
      <c r="G7" s="40">
        <f t="shared" si="0"/>
        <v>652</v>
      </c>
      <c r="H7" s="40">
        <f>일위대가표!H27</f>
        <v>6572</v>
      </c>
      <c r="I7" s="40">
        <f t="shared" si="1"/>
        <v>6572</v>
      </c>
      <c r="J7" s="40">
        <f>일위대가표!J27</f>
        <v>402</v>
      </c>
      <c r="K7" s="40">
        <f t="shared" si="2"/>
        <v>402</v>
      </c>
      <c r="L7" s="40">
        <f t="shared" si="3"/>
        <v>7626</v>
      </c>
      <c r="M7" s="40">
        <f t="shared" si="4"/>
        <v>7626</v>
      </c>
      <c r="N7" s="36" t="s">
        <v>365</v>
      </c>
      <c r="O7" s="34" t="s">
        <v>404</v>
      </c>
    </row>
    <row r="8" spans="1:15" ht="23.1" customHeight="1" x14ac:dyDescent="0.3">
      <c r="A8" s="38" t="s">
        <v>405</v>
      </c>
      <c r="B8" s="36" t="s">
        <v>406</v>
      </c>
      <c r="C8" s="36" t="s">
        <v>407</v>
      </c>
      <c r="D8" s="38" t="s">
        <v>408</v>
      </c>
      <c r="E8" s="46">
        <v>1</v>
      </c>
      <c r="F8" s="40">
        <f>일위대가표!F37</f>
        <v>554163</v>
      </c>
      <c r="G8" s="40">
        <f t="shared" si="0"/>
        <v>554163</v>
      </c>
      <c r="H8" s="40">
        <f>일위대가표!H37</f>
        <v>6927045</v>
      </c>
      <c r="I8" s="40">
        <f t="shared" si="1"/>
        <v>6927045</v>
      </c>
      <c r="J8" s="40">
        <f>일위대가표!J37</f>
        <v>0</v>
      </c>
      <c r="K8" s="40">
        <f t="shared" si="2"/>
        <v>0</v>
      </c>
      <c r="L8" s="40">
        <f t="shared" si="3"/>
        <v>7481208</v>
      </c>
      <c r="M8" s="40">
        <f t="shared" si="4"/>
        <v>7481208</v>
      </c>
      <c r="N8" s="36" t="s">
        <v>367</v>
      </c>
      <c r="O8" s="34" t="s">
        <v>409</v>
      </c>
    </row>
    <row r="9" spans="1:15" ht="23.1" customHeight="1" x14ac:dyDescent="0.3">
      <c r="A9" s="38" t="s">
        <v>410</v>
      </c>
      <c r="B9" s="36" t="s">
        <v>411</v>
      </c>
      <c r="C9" s="36" t="s">
        <v>412</v>
      </c>
      <c r="D9" s="38" t="s">
        <v>345</v>
      </c>
      <c r="E9" s="46">
        <v>1</v>
      </c>
      <c r="F9" s="40">
        <f>일위대가표!F42</f>
        <v>0</v>
      </c>
      <c r="G9" s="40">
        <f t="shared" si="0"/>
        <v>0</v>
      </c>
      <c r="H9" s="40">
        <f>일위대가표!H42</f>
        <v>586879</v>
      </c>
      <c r="I9" s="40">
        <f t="shared" si="1"/>
        <v>586879</v>
      </c>
      <c r="J9" s="40">
        <f>일위대가표!J42</f>
        <v>0</v>
      </c>
      <c r="K9" s="40">
        <f t="shared" si="2"/>
        <v>0</v>
      </c>
      <c r="L9" s="40">
        <f t="shared" si="3"/>
        <v>586879</v>
      </c>
      <c r="M9" s="40">
        <f t="shared" si="4"/>
        <v>586879</v>
      </c>
      <c r="N9" s="36" t="s">
        <v>373</v>
      </c>
    </row>
    <row r="10" spans="1:15" ht="23.1" customHeight="1" x14ac:dyDescent="0.3">
      <c r="A10" s="38" t="s">
        <v>413</v>
      </c>
      <c r="B10" s="36" t="s">
        <v>212</v>
      </c>
      <c r="C10" s="36" t="s">
        <v>414</v>
      </c>
      <c r="D10" s="38" t="s">
        <v>19</v>
      </c>
      <c r="E10" s="46">
        <v>1</v>
      </c>
      <c r="F10" s="40">
        <f>일위대가표!F51</f>
        <v>952</v>
      </c>
      <c r="G10" s="40">
        <f t="shared" si="0"/>
        <v>952</v>
      </c>
      <c r="H10" s="40">
        <f>일위대가표!H51</f>
        <v>5215</v>
      </c>
      <c r="I10" s="40">
        <f t="shared" si="1"/>
        <v>5215</v>
      </c>
      <c r="J10" s="40">
        <f>일위대가표!J51</f>
        <v>0</v>
      </c>
      <c r="K10" s="40">
        <f t="shared" si="2"/>
        <v>0</v>
      </c>
      <c r="L10" s="40">
        <f t="shared" si="3"/>
        <v>6167</v>
      </c>
      <c r="M10" s="40">
        <f t="shared" si="4"/>
        <v>6167</v>
      </c>
      <c r="N10" s="36" t="s">
        <v>215</v>
      </c>
      <c r="O10" s="34" t="s">
        <v>415</v>
      </c>
    </row>
    <row r="11" spans="1:15" ht="23.1" customHeight="1" x14ac:dyDescent="0.3">
      <c r="A11" s="38" t="s">
        <v>416</v>
      </c>
      <c r="B11" s="36" t="s">
        <v>17</v>
      </c>
      <c r="C11" s="36" t="s">
        <v>18</v>
      </c>
      <c r="D11" s="38" t="s">
        <v>19</v>
      </c>
      <c r="E11" s="46">
        <v>1</v>
      </c>
      <c r="F11" s="40">
        <f>일위대가표!F59</f>
        <v>15807</v>
      </c>
      <c r="G11" s="40">
        <f t="shared" si="0"/>
        <v>15807</v>
      </c>
      <c r="H11" s="40">
        <f>일위대가표!H59</f>
        <v>23809</v>
      </c>
      <c r="I11" s="40">
        <f t="shared" si="1"/>
        <v>23809</v>
      </c>
      <c r="J11" s="40">
        <f>일위대가표!J59</f>
        <v>0</v>
      </c>
      <c r="K11" s="40">
        <f t="shared" si="2"/>
        <v>0</v>
      </c>
      <c r="L11" s="40">
        <f t="shared" si="3"/>
        <v>39616</v>
      </c>
      <c r="M11" s="40">
        <f t="shared" si="4"/>
        <v>39616</v>
      </c>
      <c r="N11" s="36" t="s">
        <v>218</v>
      </c>
      <c r="O11" s="34" t="s">
        <v>417</v>
      </c>
    </row>
    <row r="12" spans="1:15" ht="23.1" customHeight="1" x14ac:dyDescent="0.3">
      <c r="A12" s="38" t="s">
        <v>418</v>
      </c>
      <c r="B12" s="36" t="s">
        <v>22</v>
      </c>
      <c r="C12" s="36" t="s">
        <v>28</v>
      </c>
      <c r="D12" s="38" t="s">
        <v>19</v>
      </c>
      <c r="E12" s="46">
        <v>1</v>
      </c>
      <c r="F12" s="40">
        <f>일위대가표!F66</f>
        <v>4555</v>
      </c>
      <c r="G12" s="40">
        <f t="shared" si="0"/>
        <v>4555</v>
      </c>
      <c r="H12" s="40">
        <f>일위대가표!H66</f>
        <v>8820</v>
      </c>
      <c r="I12" s="40">
        <f t="shared" si="1"/>
        <v>8820</v>
      </c>
      <c r="J12" s="40">
        <f>일위대가표!J66</f>
        <v>0</v>
      </c>
      <c r="K12" s="40">
        <f t="shared" si="2"/>
        <v>0</v>
      </c>
      <c r="L12" s="40">
        <f t="shared" si="3"/>
        <v>13375</v>
      </c>
      <c r="M12" s="40">
        <f t="shared" si="4"/>
        <v>13375</v>
      </c>
      <c r="N12" s="36" t="s">
        <v>220</v>
      </c>
      <c r="O12" s="34" t="s">
        <v>417</v>
      </c>
    </row>
    <row r="13" spans="1:15" ht="23.1" customHeight="1" x14ac:dyDescent="0.3">
      <c r="A13" s="38" t="s">
        <v>419</v>
      </c>
      <c r="B13" s="36" t="s">
        <v>22</v>
      </c>
      <c r="C13" s="36" t="s">
        <v>23</v>
      </c>
      <c r="D13" s="38" t="s">
        <v>19</v>
      </c>
      <c r="E13" s="46">
        <v>1</v>
      </c>
      <c r="F13" s="40">
        <f>일위대가표!F73</f>
        <v>3279</v>
      </c>
      <c r="G13" s="40">
        <f t="shared" si="0"/>
        <v>3279</v>
      </c>
      <c r="H13" s="40">
        <f>일위대가표!H73</f>
        <v>7908</v>
      </c>
      <c r="I13" s="40">
        <f t="shared" si="1"/>
        <v>7908</v>
      </c>
      <c r="J13" s="40">
        <f>일위대가표!J73</f>
        <v>0</v>
      </c>
      <c r="K13" s="40">
        <f t="shared" si="2"/>
        <v>0</v>
      </c>
      <c r="L13" s="40">
        <f t="shared" si="3"/>
        <v>11187</v>
      </c>
      <c r="M13" s="40">
        <f t="shared" si="4"/>
        <v>11187</v>
      </c>
      <c r="N13" s="36" t="s">
        <v>220</v>
      </c>
      <c r="O13" s="34" t="s">
        <v>417</v>
      </c>
    </row>
    <row r="14" spans="1:15" ht="23.1" customHeight="1" x14ac:dyDescent="0.3">
      <c r="A14" s="38" t="s">
        <v>420</v>
      </c>
      <c r="B14" s="36" t="s">
        <v>421</v>
      </c>
      <c r="C14" s="36" t="s">
        <v>422</v>
      </c>
      <c r="D14" s="38" t="s">
        <v>98</v>
      </c>
      <c r="E14" s="46">
        <v>1</v>
      </c>
      <c r="F14" s="40">
        <f>일위대가표!F81</f>
        <v>4742</v>
      </c>
      <c r="G14" s="40">
        <f t="shared" si="0"/>
        <v>4742</v>
      </c>
      <c r="H14" s="40">
        <f>일위대가표!H81</f>
        <v>15267</v>
      </c>
      <c r="I14" s="40">
        <f t="shared" si="1"/>
        <v>15267</v>
      </c>
      <c r="J14" s="40">
        <f>일위대가표!J81</f>
        <v>0</v>
      </c>
      <c r="K14" s="40">
        <f t="shared" si="2"/>
        <v>0</v>
      </c>
      <c r="L14" s="40">
        <f t="shared" si="3"/>
        <v>20009</v>
      </c>
      <c r="M14" s="40">
        <f t="shared" si="4"/>
        <v>20009</v>
      </c>
      <c r="N14" s="36" t="s">
        <v>380</v>
      </c>
      <c r="O14" s="34" t="s">
        <v>423</v>
      </c>
    </row>
    <row r="15" spans="1:15" ht="23.1" customHeight="1" x14ac:dyDescent="0.3">
      <c r="A15" s="38" t="s">
        <v>424</v>
      </c>
      <c r="B15" s="36" t="s">
        <v>91</v>
      </c>
      <c r="C15" s="36" t="s">
        <v>92</v>
      </c>
      <c r="D15" s="38" t="s">
        <v>19</v>
      </c>
      <c r="E15" s="46">
        <v>1</v>
      </c>
      <c r="F15" s="40">
        <f>일위대가표!F88</f>
        <v>1229</v>
      </c>
      <c r="G15" s="40">
        <f t="shared" si="0"/>
        <v>1229</v>
      </c>
      <c r="H15" s="40">
        <f>일위대가표!H88</f>
        <v>1642</v>
      </c>
      <c r="I15" s="40">
        <f t="shared" si="1"/>
        <v>1642</v>
      </c>
      <c r="J15" s="40">
        <f>일위대가표!J88</f>
        <v>0</v>
      </c>
      <c r="K15" s="40">
        <f t="shared" si="2"/>
        <v>0</v>
      </c>
      <c r="L15" s="40">
        <f t="shared" si="3"/>
        <v>2871</v>
      </c>
      <c r="M15" s="40">
        <f t="shared" si="4"/>
        <v>2871</v>
      </c>
      <c r="N15" s="36" t="s">
        <v>223</v>
      </c>
      <c r="O15" s="34" t="s">
        <v>417</v>
      </c>
    </row>
    <row r="16" spans="1:15" ht="23.1" customHeight="1" x14ac:dyDescent="0.3">
      <c r="A16" s="38" t="s">
        <v>425</v>
      </c>
      <c r="B16" s="36" t="s">
        <v>426</v>
      </c>
      <c r="C16" s="36" t="s">
        <v>427</v>
      </c>
      <c r="D16" s="38" t="s">
        <v>428</v>
      </c>
      <c r="E16" s="46">
        <v>1</v>
      </c>
      <c r="F16" s="40">
        <f>일위대가표!F96</f>
        <v>3381</v>
      </c>
      <c r="G16" s="40">
        <f t="shared" si="0"/>
        <v>3381</v>
      </c>
      <c r="H16" s="40">
        <f>일위대가표!H96</f>
        <v>43869</v>
      </c>
      <c r="I16" s="40">
        <f t="shared" si="1"/>
        <v>43869</v>
      </c>
      <c r="J16" s="40">
        <f>일위대가표!J96</f>
        <v>0</v>
      </c>
      <c r="K16" s="40">
        <f t="shared" si="2"/>
        <v>0</v>
      </c>
      <c r="L16" s="40">
        <f t="shared" si="3"/>
        <v>47250</v>
      </c>
      <c r="M16" s="40">
        <f t="shared" si="4"/>
        <v>47250</v>
      </c>
      <c r="N16" s="37"/>
    </row>
    <row r="17" spans="1:15" ht="23.1" customHeight="1" x14ac:dyDescent="0.3">
      <c r="A17" s="38" t="s">
        <v>429</v>
      </c>
      <c r="B17" s="36" t="s">
        <v>127</v>
      </c>
      <c r="C17" s="36" t="s">
        <v>128</v>
      </c>
      <c r="D17" s="38" t="s">
        <v>72</v>
      </c>
      <c r="E17" s="46">
        <v>1</v>
      </c>
      <c r="F17" s="40">
        <f>일위대가표!F102</f>
        <v>22998</v>
      </c>
      <c r="G17" s="40">
        <f t="shared" si="0"/>
        <v>22998</v>
      </c>
      <c r="H17" s="40">
        <f>일위대가표!H102</f>
        <v>95786</v>
      </c>
      <c r="I17" s="40">
        <f t="shared" si="1"/>
        <v>95786</v>
      </c>
      <c r="J17" s="40">
        <f>일위대가표!J102</f>
        <v>0</v>
      </c>
      <c r="K17" s="40">
        <f t="shared" si="2"/>
        <v>0</v>
      </c>
      <c r="L17" s="40">
        <f t="shared" si="3"/>
        <v>118784</v>
      </c>
      <c r="M17" s="40">
        <f t="shared" si="4"/>
        <v>118784</v>
      </c>
      <c r="N17" s="36" t="s">
        <v>225</v>
      </c>
      <c r="O17" s="34" t="s">
        <v>417</v>
      </c>
    </row>
    <row r="18" spans="1:15" ht="23.1" customHeight="1" x14ac:dyDescent="0.3">
      <c r="A18" s="38" t="s">
        <v>430</v>
      </c>
      <c r="B18" s="36" t="s">
        <v>431</v>
      </c>
      <c r="C18" s="36" t="s">
        <v>432</v>
      </c>
      <c r="D18" s="38" t="s">
        <v>19</v>
      </c>
      <c r="E18" s="46">
        <v>1</v>
      </c>
      <c r="F18" s="40">
        <f>일위대가표!F108</f>
        <v>3306</v>
      </c>
      <c r="G18" s="40">
        <f t="shared" si="0"/>
        <v>3306</v>
      </c>
      <c r="H18" s="40">
        <f>일위대가표!H108</f>
        <v>110220</v>
      </c>
      <c r="I18" s="40">
        <f t="shared" si="1"/>
        <v>110220</v>
      </c>
      <c r="J18" s="40">
        <f>일위대가표!J108</f>
        <v>0</v>
      </c>
      <c r="K18" s="40">
        <f t="shared" si="2"/>
        <v>0</v>
      </c>
      <c r="L18" s="40">
        <f t="shared" si="3"/>
        <v>113526</v>
      </c>
      <c r="M18" s="40">
        <f t="shared" si="4"/>
        <v>113526</v>
      </c>
      <c r="N18" s="36" t="s">
        <v>384</v>
      </c>
    </row>
    <row r="19" spans="1:15" ht="23.1" customHeight="1" x14ac:dyDescent="0.3">
      <c r="A19" s="38" t="s">
        <v>433</v>
      </c>
      <c r="B19" s="36" t="s">
        <v>434</v>
      </c>
      <c r="C19" s="36" t="s">
        <v>435</v>
      </c>
      <c r="D19" s="38" t="s">
        <v>428</v>
      </c>
      <c r="E19" s="46">
        <v>1</v>
      </c>
      <c r="F19" s="40">
        <f>일위대가표!F114</f>
        <v>2113</v>
      </c>
      <c r="G19" s="40">
        <f t="shared" si="0"/>
        <v>2113</v>
      </c>
      <c r="H19" s="40">
        <f>일위대가표!H114</f>
        <v>105692</v>
      </c>
      <c r="I19" s="40">
        <f t="shared" si="1"/>
        <v>105692</v>
      </c>
      <c r="J19" s="40">
        <f>일위대가표!J114</f>
        <v>0</v>
      </c>
      <c r="K19" s="40">
        <f t="shared" si="2"/>
        <v>0</v>
      </c>
      <c r="L19" s="40">
        <f t="shared" si="3"/>
        <v>107805</v>
      </c>
      <c r="M19" s="40">
        <f t="shared" si="4"/>
        <v>107805</v>
      </c>
      <c r="N19" s="36" t="s">
        <v>386</v>
      </c>
    </row>
    <row r="20" spans="1:15" ht="23.1" customHeight="1" x14ac:dyDescent="0.3">
      <c r="A20" s="38" t="s">
        <v>436</v>
      </c>
      <c r="B20" s="36" t="s">
        <v>56</v>
      </c>
      <c r="C20" s="36" t="s">
        <v>57</v>
      </c>
      <c r="D20" s="38" t="s">
        <v>58</v>
      </c>
      <c r="E20" s="46">
        <v>1</v>
      </c>
      <c r="F20" s="40">
        <f>일위대가표!F121</f>
        <v>1195075</v>
      </c>
      <c r="G20" s="40">
        <f t="shared" si="0"/>
        <v>1195075</v>
      </c>
      <c r="H20" s="40">
        <f>일위대가표!H121</f>
        <v>402502</v>
      </c>
      <c r="I20" s="40">
        <f t="shared" si="1"/>
        <v>402502</v>
      </c>
      <c r="J20" s="40">
        <f>일위대가표!J121</f>
        <v>0</v>
      </c>
      <c r="K20" s="40">
        <f t="shared" si="2"/>
        <v>0</v>
      </c>
      <c r="L20" s="40">
        <f t="shared" si="3"/>
        <v>1597577</v>
      </c>
      <c r="M20" s="40">
        <f t="shared" si="4"/>
        <v>1597577</v>
      </c>
      <c r="N20" s="36" t="s">
        <v>228</v>
      </c>
      <c r="O20" s="34" t="s">
        <v>417</v>
      </c>
    </row>
    <row r="21" spans="1:15" ht="23.1" customHeight="1" x14ac:dyDescent="0.3">
      <c r="A21" s="38" t="s">
        <v>437</v>
      </c>
      <c r="B21" s="36" t="s">
        <v>438</v>
      </c>
      <c r="C21" s="36" t="s">
        <v>439</v>
      </c>
      <c r="D21" s="38" t="s">
        <v>72</v>
      </c>
      <c r="E21" s="46">
        <v>1</v>
      </c>
      <c r="F21" s="40">
        <f>일위대가표!F128</f>
        <v>0</v>
      </c>
      <c r="G21" s="40">
        <f t="shared" si="0"/>
        <v>0</v>
      </c>
      <c r="H21" s="40">
        <f>일위대가표!H128</f>
        <v>716818</v>
      </c>
      <c r="I21" s="40">
        <f t="shared" si="1"/>
        <v>716818</v>
      </c>
      <c r="J21" s="40">
        <f>일위대가표!J128</f>
        <v>0</v>
      </c>
      <c r="K21" s="40">
        <f t="shared" si="2"/>
        <v>0</v>
      </c>
      <c r="L21" s="40">
        <f t="shared" si="3"/>
        <v>716818</v>
      </c>
      <c r="M21" s="40">
        <f t="shared" si="4"/>
        <v>716818</v>
      </c>
      <c r="N21" s="36" t="s">
        <v>388</v>
      </c>
      <c r="O21" s="34" t="s">
        <v>440</v>
      </c>
    </row>
    <row r="22" spans="1:15" ht="23.1" customHeight="1" x14ac:dyDescent="0.3">
      <c r="A22" s="38" t="s">
        <v>441</v>
      </c>
      <c r="B22" s="36" t="s">
        <v>70</v>
      </c>
      <c r="C22" s="36" t="s">
        <v>71</v>
      </c>
      <c r="D22" s="38" t="s">
        <v>72</v>
      </c>
      <c r="E22" s="46">
        <v>1</v>
      </c>
      <c r="F22" s="40">
        <f>일위대가표!F134</f>
        <v>314718</v>
      </c>
      <c r="G22" s="40">
        <f t="shared" si="0"/>
        <v>314718</v>
      </c>
      <c r="H22" s="40">
        <f>일위대가표!H134</f>
        <v>180626</v>
      </c>
      <c r="I22" s="40">
        <f t="shared" si="1"/>
        <v>180626</v>
      </c>
      <c r="J22" s="40">
        <f>일위대가표!J134</f>
        <v>0</v>
      </c>
      <c r="K22" s="40">
        <f t="shared" si="2"/>
        <v>0</v>
      </c>
      <c r="L22" s="40">
        <f t="shared" si="3"/>
        <v>495344</v>
      </c>
      <c r="M22" s="40">
        <f t="shared" si="4"/>
        <v>495344</v>
      </c>
      <c r="N22" s="36" t="s">
        <v>225</v>
      </c>
      <c r="O22" s="34" t="s">
        <v>417</v>
      </c>
    </row>
    <row r="23" spans="1:15" ht="23.1" customHeight="1" x14ac:dyDescent="0.3">
      <c r="A23" s="38" t="s">
        <v>442</v>
      </c>
      <c r="B23" s="36" t="s">
        <v>50</v>
      </c>
      <c r="C23" s="36" t="s">
        <v>51</v>
      </c>
      <c r="D23" s="38" t="s">
        <v>40</v>
      </c>
      <c r="E23" s="46">
        <v>1</v>
      </c>
      <c r="F23" s="40">
        <f>일위대가표!F140</f>
        <v>45963</v>
      </c>
      <c r="G23" s="40">
        <f t="shared" si="0"/>
        <v>45963</v>
      </c>
      <c r="H23" s="40">
        <f>일위대가표!H140</f>
        <v>192120</v>
      </c>
      <c r="I23" s="40">
        <f t="shared" si="1"/>
        <v>192120</v>
      </c>
      <c r="J23" s="40">
        <f>일위대가표!J140</f>
        <v>0</v>
      </c>
      <c r="K23" s="40">
        <f t="shared" si="2"/>
        <v>0</v>
      </c>
      <c r="L23" s="40">
        <f t="shared" si="3"/>
        <v>238083</v>
      </c>
      <c r="M23" s="40">
        <f t="shared" si="4"/>
        <v>238083</v>
      </c>
      <c r="N23" s="36" t="s">
        <v>231</v>
      </c>
      <c r="O23" s="34" t="s">
        <v>417</v>
      </c>
    </row>
    <row r="24" spans="1:15" ht="23.1" customHeight="1" x14ac:dyDescent="0.3">
      <c r="A24" s="38" t="s">
        <v>443</v>
      </c>
      <c r="B24" s="36" t="s">
        <v>444</v>
      </c>
      <c r="C24" s="36" t="s">
        <v>445</v>
      </c>
      <c r="D24" s="38" t="s">
        <v>191</v>
      </c>
      <c r="E24" s="46">
        <v>1</v>
      </c>
      <c r="F24" s="40">
        <f>일위대가표!F144</f>
        <v>0</v>
      </c>
      <c r="G24" s="40">
        <f t="shared" si="0"/>
        <v>0</v>
      </c>
      <c r="H24" s="40">
        <f>일위대가표!H144</f>
        <v>0</v>
      </c>
      <c r="I24" s="40">
        <f t="shared" si="1"/>
        <v>0</v>
      </c>
      <c r="J24" s="40">
        <f>일위대가표!J144</f>
        <v>49571</v>
      </c>
      <c r="K24" s="40">
        <f t="shared" si="2"/>
        <v>49571</v>
      </c>
      <c r="L24" s="40">
        <f t="shared" si="3"/>
        <v>49571</v>
      </c>
      <c r="M24" s="40">
        <f t="shared" si="4"/>
        <v>49571</v>
      </c>
      <c r="N24" s="36" t="s">
        <v>195</v>
      </c>
    </row>
    <row r="25" spans="1:15" ht="23.1" customHeight="1" x14ac:dyDescent="0.3">
      <c r="A25" s="46"/>
      <c r="B25" s="37"/>
      <c r="C25" s="37"/>
      <c r="D25" s="46"/>
      <c r="E25" s="46"/>
      <c r="F25" s="47"/>
      <c r="G25" s="47"/>
      <c r="H25" s="47"/>
      <c r="I25" s="47"/>
      <c r="J25" s="47"/>
      <c r="K25" s="47"/>
      <c r="L25" s="47"/>
      <c r="M25" s="47"/>
      <c r="N25" s="37"/>
    </row>
    <row r="26" spans="1:15" ht="23.1" customHeight="1" x14ac:dyDescent="0.3">
      <c r="A26" s="46"/>
      <c r="B26" s="37"/>
      <c r="C26" s="37"/>
      <c r="D26" s="46"/>
      <c r="E26" s="46"/>
      <c r="F26" s="47"/>
      <c r="G26" s="47"/>
      <c r="H26" s="47"/>
      <c r="I26" s="47"/>
      <c r="J26" s="47"/>
      <c r="K26" s="47"/>
      <c r="L26" s="47"/>
      <c r="M26" s="47"/>
      <c r="N26" s="37"/>
    </row>
    <row r="27" spans="1:15" ht="23.1" customHeight="1" x14ac:dyDescent="0.3">
      <c r="A27" s="46"/>
      <c r="B27" s="37"/>
      <c r="C27" s="37"/>
      <c r="D27" s="46"/>
      <c r="E27" s="46"/>
      <c r="F27" s="47"/>
      <c r="G27" s="47"/>
      <c r="H27" s="47"/>
      <c r="I27" s="47"/>
      <c r="J27" s="47"/>
      <c r="K27" s="47"/>
      <c r="L27" s="47"/>
      <c r="M27" s="47"/>
      <c r="N27" s="37"/>
    </row>
    <row r="28" spans="1:15" ht="23.1" customHeight="1" x14ac:dyDescent="0.3">
      <c r="A28" s="46"/>
      <c r="B28" s="37"/>
      <c r="C28" s="37"/>
      <c r="D28" s="46"/>
      <c r="E28" s="46"/>
      <c r="F28" s="47"/>
      <c r="G28" s="47"/>
      <c r="H28" s="47"/>
      <c r="I28" s="47"/>
      <c r="J28" s="47"/>
      <c r="K28" s="47"/>
      <c r="L28" s="47"/>
      <c r="M28" s="47"/>
      <c r="N28" s="37"/>
    </row>
    <row r="29" spans="1:15" ht="23.1" customHeight="1" x14ac:dyDescent="0.3">
      <c r="A29" s="46"/>
      <c r="B29" s="37"/>
      <c r="C29" s="37"/>
      <c r="D29" s="46"/>
      <c r="E29" s="46"/>
      <c r="F29" s="47"/>
      <c r="G29" s="47"/>
      <c r="H29" s="47"/>
      <c r="I29" s="47"/>
      <c r="J29" s="47"/>
      <c r="K29" s="47"/>
      <c r="L29" s="47"/>
      <c r="M29" s="47"/>
      <c r="N29" s="37"/>
    </row>
    <row r="30" spans="1:15" ht="23.1" customHeight="1" x14ac:dyDescent="0.3">
      <c r="A30" s="46"/>
      <c r="B30" s="37"/>
      <c r="C30" s="37"/>
      <c r="D30" s="46"/>
      <c r="E30" s="46"/>
      <c r="F30" s="47"/>
      <c r="G30" s="47"/>
      <c r="H30" s="47"/>
      <c r="I30" s="47"/>
      <c r="J30" s="47"/>
      <c r="K30" s="47"/>
      <c r="L30" s="47"/>
      <c r="M30" s="47"/>
      <c r="N30" s="37"/>
    </row>
    <row r="31" spans="1:15" ht="23.1" customHeight="1" x14ac:dyDescent="0.3">
      <c r="A31" s="46"/>
      <c r="B31" s="37"/>
      <c r="C31" s="37"/>
      <c r="D31" s="46"/>
      <c r="E31" s="46"/>
      <c r="F31" s="47"/>
      <c r="G31" s="47"/>
      <c r="H31" s="47"/>
      <c r="I31" s="47"/>
      <c r="J31" s="47"/>
      <c r="K31" s="47"/>
      <c r="L31" s="47"/>
      <c r="M31" s="47"/>
      <c r="N31" s="37"/>
    </row>
    <row r="32" spans="1:15" ht="23.1" customHeight="1" x14ac:dyDescent="0.3">
      <c r="A32" s="46"/>
      <c r="B32" s="37"/>
      <c r="C32" s="37"/>
      <c r="D32" s="46"/>
      <c r="E32" s="46"/>
      <c r="F32" s="47"/>
      <c r="G32" s="47"/>
      <c r="H32" s="47"/>
      <c r="I32" s="47"/>
      <c r="J32" s="47"/>
      <c r="K32" s="47"/>
      <c r="L32" s="47"/>
      <c r="M32" s="47"/>
      <c r="N32" s="37"/>
    </row>
    <row r="33" spans="1:14" ht="23.1" customHeight="1" x14ac:dyDescent="0.3">
      <c r="A33" s="46"/>
      <c r="B33" s="37"/>
      <c r="C33" s="37"/>
      <c r="D33" s="46"/>
      <c r="E33" s="46"/>
      <c r="F33" s="47"/>
      <c r="G33" s="47"/>
      <c r="H33" s="47"/>
      <c r="I33" s="47"/>
      <c r="J33" s="47"/>
      <c r="K33" s="47"/>
      <c r="L33" s="47"/>
      <c r="M33" s="47"/>
      <c r="N33" s="37"/>
    </row>
    <row r="34" spans="1:14" ht="23.1" customHeight="1" x14ac:dyDescent="0.3">
      <c r="A34" s="46"/>
      <c r="B34" s="37"/>
      <c r="C34" s="37"/>
      <c r="D34" s="46"/>
      <c r="E34" s="46"/>
      <c r="F34" s="47"/>
      <c r="G34" s="47"/>
      <c r="H34" s="47"/>
      <c r="I34" s="47"/>
      <c r="J34" s="47"/>
      <c r="K34" s="47"/>
      <c r="L34" s="47"/>
      <c r="M34" s="47"/>
      <c r="N34" s="37"/>
    </row>
    <row r="35" spans="1:14" ht="23.1" customHeight="1" x14ac:dyDescent="0.3">
      <c r="A35" s="46"/>
      <c r="B35" s="37"/>
      <c r="C35" s="37"/>
      <c r="D35" s="46"/>
      <c r="E35" s="46"/>
      <c r="F35" s="47"/>
      <c r="G35" s="47"/>
      <c r="H35" s="47"/>
      <c r="I35" s="47"/>
      <c r="J35" s="47"/>
      <c r="K35" s="47"/>
      <c r="L35" s="47"/>
      <c r="M35" s="47"/>
      <c r="N35" s="37"/>
    </row>
    <row r="36" spans="1:14" ht="23.1" customHeight="1" x14ac:dyDescent="0.3">
      <c r="A36" s="46"/>
      <c r="B36" s="37"/>
      <c r="C36" s="37"/>
      <c r="D36" s="46"/>
      <c r="E36" s="46"/>
      <c r="F36" s="47"/>
      <c r="G36" s="47"/>
      <c r="H36" s="47"/>
      <c r="I36" s="47"/>
      <c r="J36" s="47"/>
      <c r="K36" s="47"/>
      <c r="L36" s="47"/>
      <c r="M36" s="47"/>
      <c r="N36" s="37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2" manualBreakCount="2">
    <brk id="20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B7"/>
  </sheetPr>
  <dimension ref="A1:T148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1" customWidth="1"/>
    <col min="14" max="20" width="0" hidden="1" customWidth="1"/>
  </cols>
  <sheetData>
    <row r="1" spans="1:20" ht="30" customHeight="1" x14ac:dyDescent="0.3">
      <c r="A1" s="158" t="s">
        <v>346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20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</row>
    <row r="3" spans="1:20" ht="23.1" customHeight="1" x14ac:dyDescent="0.3">
      <c r="A3" s="167" t="s">
        <v>347</v>
      </c>
      <c r="B3" s="167" t="s">
        <v>348</v>
      </c>
      <c r="C3" s="167" t="s">
        <v>4</v>
      </c>
      <c r="D3" s="167" t="s">
        <v>235</v>
      </c>
      <c r="E3" s="167" t="s">
        <v>349</v>
      </c>
      <c r="F3" s="167"/>
      <c r="G3" s="167" t="s">
        <v>350</v>
      </c>
      <c r="H3" s="167"/>
      <c r="I3" s="167" t="s">
        <v>351</v>
      </c>
      <c r="J3" s="167"/>
      <c r="K3" s="167" t="s">
        <v>352</v>
      </c>
      <c r="L3" s="167"/>
      <c r="M3" s="167" t="s">
        <v>240</v>
      </c>
    </row>
    <row r="4" spans="1:20" ht="23.1" customHeight="1" x14ac:dyDescent="0.3">
      <c r="A4" s="167"/>
      <c r="B4" s="167"/>
      <c r="C4" s="167"/>
      <c r="D4" s="167"/>
      <c r="E4" s="12" t="s">
        <v>241</v>
      </c>
      <c r="F4" s="12" t="s">
        <v>242</v>
      </c>
      <c r="G4" s="12" t="s">
        <v>241</v>
      </c>
      <c r="H4" s="12" t="s">
        <v>242</v>
      </c>
      <c r="I4" s="12" t="s">
        <v>241</v>
      </c>
      <c r="J4" s="12" t="s">
        <v>242</v>
      </c>
      <c r="K4" s="12" t="s">
        <v>241</v>
      </c>
      <c r="L4" s="12" t="s">
        <v>242</v>
      </c>
      <c r="M4" s="167"/>
      <c r="N4" t="s">
        <v>243</v>
      </c>
      <c r="O4" t="s">
        <v>244</v>
      </c>
      <c r="P4" t="s">
        <v>245</v>
      </c>
      <c r="Q4" t="s">
        <v>246</v>
      </c>
      <c r="R4" t="s">
        <v>247</v>
      </c>
      <c r="S4" t="s">
        <v>248</v>
      </c>
      <c r="T4" t="s">
        <v>16</v>
      </c>
    </row>
    <row r="5" spans="1:20" ht="23.1" customHeight="1" x14ac:dyDescent="0.3">
      <c r="A5" s="182" t="s">
        <v>353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5" t="s">
        <v>354</v>
      </c>
    </row>
    <row r="6" spans="1:20" ht="23.1" customHeight="1" x14ac:dyDescent="0.3">
      <c r="A6" s="36" t="s">
        <v>140</v>
      </c>
      <c r="B6" s="36" t="s">
        <v>131</v>
      </c>
      <c r="C6" s="38" t="s">
        <v>132</v>
      </c>
      <c r="D6" s="39">
        <v>0.2</v>
      </c>
      <c r="E6" s="40">
        <v>0</v>
      </c>
      <c r="F6" s="40">
        <f>ROUNDDOWN(D6*E6, 1)</f>
        <v>0</v>
      </c>
      <c r="G6" s="40">
        <f>ROUNDDOWN(단가대비표!O35, 0)</f>
        <v>172068</v>
      </c>
      <c r="H6" s="39">
        <f>ROUNDDOWN(D6*G6, 1)</f>
        <v>34413.599999999999</v>
      </c>
      <c r="I6" s="40">
        <v>0</v>
      </c>
      <c r="J6" s="40">
        <f>ROUNDDOWN(D6*I6, 1)</f>
        <v>0</v>
      </c>
      <c r="K6" s="40">
        <f>E6+G6+I6</f>
        <v>172068</v>
      </c>
      <c r="L6" s="39">
        <f>F6+H6+J6</f>
        <v>34413.599999999999</v>
      </c>
      <c r="M6" s="37"/>
      <c r="O6" s="34" t="s">
        <v>265</v>
      </c>
      <c r="P6" s="34" t="s">
        <v>254</v>
      </c>
      <c r="Q6">
        <v>1</v>
      </c>
    </row>
    <row r="7" spans="1:20" ht="23.1" customHeight="1" x14ac:dyDescent="0.3">
      <c r="A7" s="36" t="s">
        <v>355</v>
      </c>
      <c r="B7" s="37" t="str">
        <f>"인력품의 " &amp; N7*100 &amp; "%"</f>
        <v>인력품의 3%</v>
      </c>
      <c r="C7" s="38" t="s">
        <v>259</v>
      </c>
      <c r="D7" s="39">
        <v>1</v>
      </c>
      <c r="E7" s="39">
        <f>SUMIF(O6:O7, "02", H6:H7)</f>
        <v>34413.599999999999</v>
      </c>
      <c r="F7" s="39">
        <f>ROUNDDOWN((E7)*N7, 1)</f>
        <v>1032.4000000000001</v>
      </c>
      <c r="G7" s="40">
        <v>0</v>
      </c>
      <c r="H7" s="40">
        <v>0</v>
      </c>
      <c r="I7" s="40">
        <v>0</v>
      </c>
      <c r="J7" s="40">
        <v>0</v>
      </c>
      <c r="K7" s="39">
        <f>E7+G7+I7</f>
        <v>34413.599999999999</v>
      </c>
      <c r="L7" s="39">
        <f>F7+H7+J7</f>
        <v>1032.4000000000001</v>
      </c>
      <c r="M7" s="37"/>
      <c r="N7">
        <v>0.03</v>
      </c>
      <c r="P7" s="34" t="s">
        <v>254</v>
      </c>
      <c r="Q7">
        <v>1</v>
      </c>
      <c r="R7" s="34" t="s">
        <v>356</v>
      </c>
      <c r="S7" s="34" t="s">
        <v>357</v>
      </c>
      <c r="T7" s="34" t="s">
        <v>263</v>
      </c>
    </row>
    <row r="8" spans="1:20" ht="23.1" customHeight="1" x14ac:dyDescent="0.3">
      <c r="A8" s="41" t="s">
        <v>216</v>
      </c>
      <c r="B8" s="42"/>
      <c r="C8" s="43"/>
      <c r="D8" s="44"/>
      <c r="E8" s="44"/>
      <c r="F8" s="45">
        <f>ROUNDDOWN(SUMIF(Q6:Q7, "1", F6:F7), 0)</f>
        <v>1032</v>
      </c>
      <c r="G8" s="44"/>
      <c r="H8" s="45">
        <f>ROUNDDOWN(SUMIF(Q6:Q7, "1", H6:H7), 0)</f>
        <v>34413</v>
      </c>
      <c r="I8" s="44"/>
      <c r="J8" s="45">
        <f>ROUNDDOWN(SUMIF(Q6:Q7, "1", J6:J7), 0)</f>
        <v>0</v>
      </c>
      <c r="K8" s="44"/>
      <c r="L8" s="45">
        <f>F8+H8+J8</f>
        <v>35445</v>
      </c>
      <c r="M8" s="42"/>
    </row>
    <row r="9" spans="1:20" ht="23.1" customHeight="1" x14ac:dyDescent="0.3">
      <c r="A9" s="37"/>
      <c r="B9" s="37"/>
      <c r="C9" s="46"/>
      <c r="D9" s="47"/>
      <c r="E9" s="47"/>
      <c r="F9" s="47"/>
      <c r="G9" s="47"/>
      <c r="H9" s="47"/>
      <c r="I9" s="47"/>
      <c r="J9" s="47"/>
      <c r="K9" s="47"/>
      <c r="L9" s="47"/>
      <c r="M9" s="37"/>
    </row>
    <row r="10" spans="1:20" ht="23.1" customHeight="1" x14ac:dyDescent="0.3">
      <c r="A10" s="180" t="s">
        <v>358</v>
      </c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35" t="s">
        <v>359</v>
      </c>
    </row>
    <row r="11" spans="1:20" ht="23.1" customHeight="1" x14ac:dyDescent="0.3">
      <c r="A11" s="36" t="s">
        <v>151</v>
      </c>
      <c r="B11" s="36" t="s">
        <v>131</v>
      </c>
      <c r="C11" s="38" t="s">
        <v>132</v>
      </c>
      <c r="D11" s="39">
        <v>7.7000000000000002E-3</v>
      </c>
      <c r="E11" s="40">
        <v>0</v>
      </c>
      <c r="F11" s="40">
        <f>ROUNDDOWN(D11*E11, 1)</f>
        <v>0</v>
      </c>
      <c r="G11" s="40">
        <f>ROUNDDOWN(단가대비표!O44, 0)</f>
        <v>226122</v>
      </c>
      <c r="H11" s="39">
        <f>ROUNDDOWN(D11*G11, 1)</f>
        <v>1741.1</v>
      </c>
      <c r="I11" s="40">
        <v>0</v>
      </c>
      <c r="J11" s="40">
        <f>ROUNDDOWN(D11*I11, 1)</f>
        <v>0</v>
      </c>
      <c r="K11" s="40">
        <f t="shared" ref="K11:L17" si="0">E11+G11+I11</f>
        <v>226122</v>
      </c>
      <c r="L11" s="39">
        <f t="shared" si="0"/>
        <v>1741.1</v>
      </c>
      <c r="M11" s="37"/>
      <c r="O11" s="34" t="s">
        <v>265</v>
      </c>
      <c r="P11" s="34" t="s">
        <v>254</v>
      </c>
      <c r="Q11">
        <v>1</v>
      </c>
    </row>
    <row r="12" spans="1:20" ht="23.1" customHeight="1" x14ac:dyDescent="0.3">
      <c r="A12" s="36" t="s">
        <v>140</v>
      </c>
      <c r="B12" s="36" t="s">
        <v>131</v>
      </c>
      <c r="C12" s="38" t="s">
        <v>132</v>
      </c>
      <c r="D12" s="39">
        <v>7.7000000000000002E-3</v>
      </c>
      <c r="E12" s="40">
        <v>0</v>
      </c>
      <c r="F12" s="40">
        <f>ROUNDDOWN(D12*E12, 1)</f>
        <v>0</v>
      </c>
      <c r="G12" s="40">
        <f>ROUNDDOWN(단가대비표!O35, 0)</f>
        <v>172068</v>
      </c>
      <c r="H12" s="39">
        <f>ROUNDDOWN(D12*G12, 1)</f>
        <v>1324.9</v>
      </c>
      <c r="I12" s="40">
        <v>0</v>
      </c>
      <c r="J12" s="40">
        <f>ROUNDDOWN(D12*I12, 1)</f>
        <v>0</v>
      </c>
      <c r="K12" s="40">
        <f t="shared" si="0"/>
        <v>172068</v>
      </c>
      <c r="L12" s="39">
        <f t="shared" si="0"/>
        <v>1324.9</v>
      </c>
      <c r="M12" s="37"/>
      <c r="O12" s="34" t="s">
        <v>265</v>
      </c>
      <c r="P12" s="34" t="s">
        <v>254</v>
      </c>
      <c r="Q12">
        <v>1</v>
      </c>
    </row>
    <row r="13" spans="1:20" ht="23.1" customHeight="1" x14ac:dyDescent="0.3">
      <c r="A13" s="36" t="s">
        <v>308</v>
      </c>
      <c r="B13" s="36" t="s">
        <v>309</v>
      </c>
      <c r="C13" s="38" t="s">
        <v>292</v>
      </c>
      <c r="D13" s="39">
        <v>6.1499999999999999E-2</v>
      </c>
      <c r="E13" s="40">
        <f>ROUNDDOWN(중기경비목록!G13, 0)</f>
        <v>10024</v>
      </c>
      <c r="F13" s="39">
        <f>ROUNDDOWN(D13*E13, 1)</f>
        <v>616.4</v>
      </c>
      <c r="G13" s="40">
        <f>ROUNDDOWN(중기경비목록!I13, 0)</f>
        <v>59020</v>
      </c>
      <c r="H13" s="39">
        <f>ROUNDDOWN(D13*G13, 1)</f>
        <v>3629.7</v>
      </c>
      <c r="I13" s="40">
        <f>ROUNDDOWN(중기경비목록!K13, 0)</f>
        <v>13873</v>
      </c>
      <c r="J13" s="39">
        <f>ROUNDDOWN(D13*I13, 1)</f>
        <v>853.1</v>
      </c>
      <c r="K13" s="40">
        <f t="shared" si="0"/>
        <v>82917</v>
      </c>
      <c r="L13" s="39">
        <f t="shared" si="0"/>
        <v>5099.2</v>
      </c>
      <c r="M13" s="36" t="s">
        <v>307</v>
      </c>
      <c r="O13" s="34" t="s">
        <v>360</v>
      </c>
      <c r="P13" s="34" t="s">
        <v>254</v>
      </c>
      <c r="Q13">
        <v>1</v>
      </c>
    </row>
    <row r="14" spans="1:20" ht="23.1" customHeight="1" x14ac:dyDescent="0.3">
      <c r="A14" s="36" t="s">
        <v>298</v>
      </c>
      <c r="B14" s="36" t="s">
        <v>299</v>
      </c>
      <c r="C14" s="38" t="s">
        <v>292</v>
      </c>
      <c r="D14" s="39">
        <v>6.1499999999999999E-2</v>
      </c>
      <c r="E14" s="40">
        <f>ROUNDDOWN(중기경비목록!G8, 0)</f>
        <v>4119</v>
      </c>
      <c r="F14" s="39">
        <f>ROUNDDOWN(D14*E14, 1)</f>
        <v>253.3</v>
      </c>
      <c r="G14" s="40">
        <f>ROUNDDOWN(중기경비목록!I8, 0)</f>
        <v>36248</v>
      </c>
      <c r="H14" s="39">
        <f>ROUNDDOWN(D14*G14, 1)</f>
        <v>2229.1999999999998</v>
      </c>
      <c r="I14" s="40">
        <f>ROUNDDOWN(중기경비목록!K8, 0)</f>
        <v>1967</v>
      </c>
      <c r="J14" s="39">
        <f>ROUNDDOWN(D14*I14, 1)</f>
        <v>120.9</v>
      </c>
      <c r="K14" s="40">
        <f t="shared" si="0"/>
        <v>42334</v>
      </c>
      <c r="L14" s="39">
        <f t="shared" si="0"/>
        <v>2603.4</v>
      </c>
      <c r="M14" s="37" t="s">
        <v>361</v>
      </c>
      <c r="O14" s="34" t="s">
        <v>257</v>
      </c>
      <c r="P14" s="34" t="s">
        <v>361</v>
      </c>
    </row>
    <row r="15" spans="1:20" ht="23.1" customHeight="1" x14ac:dyDescent="0.3">
      <c r="A15" s="36" t="s">
        <v>362</v>
      </c>
      <c r="B15" s="37" t="str">
        <f>"경비의 " &amp; N15*100 &amp; "%"</f>
        <v>경비의 100%</v>
      </c>
      <c r="C15" s="38" t="s">
        <v>259</v>
      </c>
      <c r="D15" s="39">
        <v>1</v>
      </c>
      <c r="E15" s="40">
        <v>0</v>
      </c>
      <c r="F15" s="40">
        <v>0</v>
      </c>
      <c r="G15" s="40">
        <v>0</v>
      </c>
      <c r="H15" s="40">
        <v>0</v>
      </c>
      <c r="I15" s="39">
        <f>SUMIF(O11:O17, "01", J11:J17)</f>
        <v>120.9</v>
      </c>
      <c r="J15" s="39">
        <f>ROUNDDOWN((I15)*N15, 1)</f>
        <v>120.9</v>
      </c>
      <c r="K15" s="39">
        <f t="shared" si="0"/>
        <v>120.9</v>
      </c>
      <c r="L15" s="39">
        <f t="shared" si="0"/>
        <v>120.9</v>
      </c>
      <c r="M15" s="37"/>
      <c r="N15">
        <v>1</v>
      </c>
      <c r="P15" s="34" t="s">
        <v>254</v>
      </c>
      <c r="Q15">
        <v>1</v>
      </c>
      <c r="R15" s="34" t="s">
        <v>363</v>
      </c>
      <c r="S15" s="34" t="s">
        <v>262</v>
      </c>
    </row>
    <row r="16" spans="1:20" ht="23.1" customHeight="1" x14ac:dyDescent="0.3">
      <c r="A16" s="36" t="s">
        <v>362</v>
      </c>
      <c r="B16" s="37" t="str">
        <f>"재료비의 " &amp; N16*100 &amp; "%"</f>
        <v>재료비의 100%</v>
      </c>
      <c r="C16" s="38" t="s">
        <v>259</v>
      </c>
      <c r="D16" s="39">
        <v>1</v>
      </c>
      <c r="E16" s="39">
        <f>SUMIF(O11:O17, "01", F11:F17)</f>
        <v>253.3</v>
      </c>
      <c r="F16" s="39">
        <f>ROUNDDOWN((E16)*N16, 1)</f>
        <v>253.3</v>
      </c>
      <c r="G16" s="40">
        <v>0</v>
      </c>
      <c r="H16" s="40">
        <v>0</v>
      </c>
      <c r="I16" s="40">
        <v>0</v>
      </c>
      <c r="J16" s="40">
        <v>0</v>
      </c>
      <c r="K16" s="39">
        <f t="shared" si="0"/>
        <v>253.3</v>
      </c>
      <c r="L16" s="39">
        <f t="shared" si="0"/>
        <v>253.3</v>
      </c>
      <c r="M16" s="37"/>
      <c r="N16">
        <v>1</v>
      </c>
      <c r="P16" s="34" t="s">
        <v>254</v>
      </c>
      <c r="Q16">
        <v>1</v>
      </c>
      <c r="R16" s="34" t="s">
        <v>261</v>
      </c>
      <c r="S16" s="34" t="s">
        <v>262</v>
      </c>
    </row>
    <row r="17" spans="1:17" ht="23.1" customHeight="1" x14ac:dyDescent="0.3">
      <c r="A17" s="36" t="s">
        <v>180</v>
      </c>
      <c r="B17" s="36" t="s">
        <v>296</v>
      </c>
      <c r="C17" s="38" t="s">
        <v>292</v>
      </c>
      <c r="D17" s="39">
        <v>3.0800000000000001E-2</v>
      </c>
      <c r="E17" s="40">
        <f>ROUNDDOWN(중기경비목록!G7, 0)</f>
        <v>20033</v>
      </c>
      <c r="F17" s="40">
        <f>ROUNDDOWN(D17*E17, 1)</f>
        <v>617</v>
      </c>
      <c r="G17" s="40">
        <f>ROUNDDOWN(중기경비목록!I7, 0)</f>
        <v>49778</v>
      </c>
      <c r="H17" s="39">
        <f>ROUNDDOWN(D17*G17, 1)</f>
        <v>1533.1</v>
      </c>
      <c r="I17" s="40">
        <f>ROUNDDOWN(중기경비목록!K7, 0)</f>
        <v>9986</v>
      </c>
      <c r="J17" s="39">
        <f>ROUNDDOWN(D17*I17, 1)</f>
        <v>307.5</v>
      </c>
      <c r="K17" s="40">
        <f t="shared" si="0"/>
        <v>79797</v>
      </c>
      <c r="L17" s="39">
        <f t="shared" si="0"/>
        <v>2457.6</v>
      </c>
      <c r="M17" s="36" t="s">
        <v>295</v>
      </c>
      <c r="O17" s="34" t="s">
        <v>360</v>
      </c>
      <c r="P17" s="34" t="s">
        <v>254</v>
      </c>
      <c r="Q17">
        <v>1</v>
      </c>
    </row>
    <row r="18" spans="1:17" ht="23.1" customHeight="1" x14ac:dyDescent="0.3">
      <c r="A18" s="41" t="s">
        <v>216</v>
      </c>
      <c r="B18" s="42"/>
      <c r="C18" s="43"/>
      <c r="D18" s="44"/>
      <c r="E18" s="44"/>
      <c r="F18" s="45">
        <f>ROUNDDOWN(SUMIF(Q11:Q17, "1", F11:F17), 0)</f>
        <v>1486</v>
      </c>
      <c r="G18" s="44"/>
      <c r="H18" s="45">
        <f>ROUNDDOWN(SUMIF(Q11:Q17, "1", H11:H17), 0)</f>
        <v>8228</v>
      </c>
      <c r="I18" s="44"/>
      <c r="J18" s="45">
        <f>ROUNDDOWN(SUMIF(Q11:Q17, "1", J11:J17), 0)</f>
        <v>1281</v>
      </c>
      <c r="K18" s="44"/>
      <c r="L18" s="45">
        <f>F18+H18+J18</f>
        <v>10995</v>
      </c>
      <c r="M18" s="42"/>
    </row>
    <row r="19" spans="1:17" ht="23.1" customHeight="1" x14ac:dyDescent="0.3">
      <c r="A19" s="37"/>
      <c r="B19" s="37"/>
      <c r="C19" s="46"/>
      <c r="D19" s="47"/>
      <c r="E19" s="47"/>
      <c r="F19" s="47"/>
      <c r="G19" s="47"/>
      <c r="H19" s="47"/>
      <c r="I19" s="47"/>
      <c r="J19" s="47"/>
      <c r="K19" s="47"/>
      <c r="L19" s="47"/>
      <c r="M19" s="37"/>
    </row>
    <row r="20" spans="1:17" ht="23.1" customHeight="1" x14ac:dyDescent="0.3">
      <c r="A20" s="180" t="s">
        <v>364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35" t="s">
        <v>365</v>
      </c>
    </row>
    <row r="21" spans="1:17" ht="23.1" customHeight="1" x14ac:dyDescent="0.3">
      <c r="A21" s="36" t="s">
        <v>152</v>
      </c>
      <c r="B21" s="36" t="s">
        <v>131</v>
      </c>
      <c r="C21" s="38" t="s">
        <v>132</v>
      </c>
      <c r="D21" s="39">
        <v>6.7000000000000002E-3</v>
      </c>
      <c r="E21" s="40">
        <v>0</v>
      </c>
      <c r="F21" s="40">
        <f t="shared" ref="F21:F26" si="1">ROUNDDOWN(D21*E21, 1)</f>
        <v>0</v>
      </c>
      <c r="G21" s="40">
        <f>ROUNDDOWN(단가대비표!O45, 0)</f>
        <v>273308</v>
      </c>
      <c r="H21" s="39">
        <f t="shared" ref="H21:H26" si="2">ROUNDDOWN(D21*G21, 1)</f>
        <v>1831.1</v>
      </c>
      <c r="I21" s="40">
        <v>0</v>
      </c>
      <c r="J21" s="40">
        <f t="shared" ref="J21:J26" si="3">ROUNDDOWN(D21*I21, 1)</f>
        <v>0</v>
      </c>
      <c r="K21" s="40">
        <f t="shared" ref="K21:L26" si="4">E21+G21+I21</f>
        <v>273308</v>
      </c>
      <c r="L21" s="39">
        <f t="shared" si="4"/>
        <v>1831.1</v>
      </c>
      <c r="M21" s="37"/>
      <c r="O21" s="34" t="s">
        <v>265</v>
      </c>
      <c r="P21" s="34" t="s">
        <v>254</v>
      </c>
      <c r="Q21">
        <v>1</v>
      </c>
    </row>
    <row r="22" spans="1:17" ht="23.1" customHeight="1" x14ac:dyDescent="0.3">
      <c r="A22" s="36" t="s">
        <v>140</v>
      </c>
      <c r="B22" s="36" t="s">
        <v>131</v>
      </c>
      <c r="C22" s="38" t="s">
        <v>132</v>
      </c>
      <c r="D22" s="39">
        <v>3.3E-3</v>
      </c>
      <c r="E22" s="40">
        <v>0</v>
      </c>
      <c r="F22" s="40">
        <f t="shared" si="1"/>
        <v>0</v>
      </c>
      <c r="G22" s="40">
        <f>ROUNDDOWN(단가대비표!O35, 0)</f>
        <v>172068</v>
      </c>
      <c r="H22" s="39">
        <f t="shared" si="2"/>
        <v>567.79999999999995</v>
      </c>
      <c r="I22" s="40">
        <v>0</v>
      </c>
      <c r="J22" s="40">
        <f t="shared" si="3"/>
        <v>0</v>
      </c>
      <c r="K22" s="40">
        <f t="shared" si="4"/>
        <v>172068</v>
      </c>
      <c r="L22" s="39">
        <f t="shared" si="4"/>
        <v>567.79999999999995</v>
      </c>
      <c r="M22" s="37"/>
      <c r="O22" s="34" t="s">
        <v>265</v>
      </c>
      <c r="P22" s="34" t="s">
        <v>254</v>
      </c>
      <c r="Q22">
        <v>1</v>
      </c>
    </row>
    <row r="23" spans="1:17" ht="23.1" customHeight="1" x14ac:dyDescent="0.3">
      <c r="A23" s="36" t="s">
        <v>196</v>
      </c>
      <c r="B23" s="36" t="s">
        <v>301</v>
      </c>
      <c r="C23" s="38" t="s">
        <v>292</v>
      </c>
      <c r="D23" s="39">
        <v>2.6700000000000002E-2</v>
      </c>
      <c r="E23" s="40">
        <f>ROUNDDOWN(중기경비목록!G9, 0)</f>
        <v>2011</v>
      </c>
      <c r="F23" s="39">
        <f t="shared" si="1"/>
        <v>53.6</v>
      </c>
      <c r="G23" s="40">
        <f>ROUNDDOWN(중기경비목록!I9, 0)</f>
        <v>36248</v>
      </c>
      <c r="H23" s="39">
        <f t="shared" si="2"/>
        <v>967.8</v>
      </c>
      <c r="I23" s="40">
        <f>ROUNDDOWN(중기경비목록!K9, 0)</f>
        <v>620</v>
      </c>
      <c r="J23" s="39">
        <f t="shared" si="3"/>
        <v>16.5</v>
      </c>
      <c r="K23" s="40">
        <f t="shared" si="4"/>
        <v>38879</v>
      </c>
      <c r="L23" s="39">
        <f t="shared" si="4"/>
        <v>1037.9000000000001</v>
      </c>
      <c r="M23" s="36" t="s">
        <v>300</v>
      </c>
      <c r="O23" s="34" t="s">
        <v>360</v>
      </c>
      <c r="P23" s="34" t="s">
        <v>254</v>
      </c>
      <c r="Q23">
        <v>1</v>
      </c>
    </row>
    <row r="24" spans="1:17" ht="23.1" customHeight="1" x14ac:dyDescent="0.3">
      <c r="A24" s="36" t="s">
        <v>298</v>
      </c>
      <c r="B24" s="36" t="s">
        <v>299</v>
      </c>
      <c r="C24" s="38" t="s">
        <v>292</v>
      </c>
      <c r="D24" s="39">
        <v>2.6700000000000002E-2</v>
      </c>
      <c r="E24" s="40">
        <f>ROUNDDOWN(중기경비목록!G8, 0)</f>
        <v>4119</v>
      </c>
      <c r="F24" s="39">
        <f t="shared" si="1"/>
        <v>109.9</v>
      </c>
      <c r="G24" s="40">
        <f>ROUNDDOWN(중기경비목록!I8, 0)</f>
        <v>36248</v>
      </c>
      <c r="H24" s="39">
        <f t="shared" si="2"/>
        <v>967.8</v>
      </c>
      <c r="I24" s="40">
        <f>ROUNDDOWN(중기경비목록!K8, 0)</f>
        <v>1967</v>
      </c>
      <c r="J24" s="39">
        <f t="shared" si="3"/>
        <v>52.5</v>
      </c>
      <c r="K24" s="40">
        <f t="shared" si="4"/>
        <v>42334</v>
      </c>
      <c r="L24" s="39">
        <f t="shared" si="4"/>
        <v>1130.2</v>
      </c>
      <c r="M24" s="36" t="s">
        <v>297</v>
      </c>
      <c r="O24" s="34" t="s">
        <v>360</v>
      </c>
      <c r="P24" s="34" t="s">
        <v>254</v>
      </c>
      <c r="Q24">
        <v>1</v>
      </c>
    </row>
    <row r="25" spans="1:17" ht="23.1" customHeight="1" x14ac:dyDescent="0.3">
      <c r="A25" s="36" t="s">
        <v>177</v>
      </c>
      <c r="B25" s="36" t="s">
        <v>178</v>
      </c>
      <c r="C25" s="38" t="s">
        <v>292</v>
      </c>
      <c r="D25" s="39">
        <v>2.6700000000000002E-2</v>
      </c>
      <c r="E25" s="40">
        <f>ROUNDDOWN(중기경비목록!G10, 0)</f>
        <v>8351</v>
      </c>
      <c r="F25" s="39">
        <f t="shared" si="1"/>
        <v>222.9</v>
      </c>
      <c r="G25" s="40">
        <f>ROUNDDOWN(중기경비목록!I10, 0)</f>
        <v>59020</v>
      </c>
      <c r="H25" s="39">
        <f t="shared" si="2"/>
        <v>1575.8</v>
      </c>
      <c r="I25" s="40">
        <f>ROUNDDOWN(중기경비목록!K10, 0)</f>
        <v>7505</v>
      </c>
      <c r="J25" s="39">
        <f t="shared" si="3"/>
        <v>200.3</v>
      </c>
      <c r="K25" s="40">
        <f t="shared" si="4"/>
        <v>74876</v>
      </c>
      <c r="L25" s="40">
        <f t="shared" si="4"/>
        <v>1999</v>
      </c>
      <c r="M25" s="36" t="s">
        <v>302</v>
      </c>
      <c r="O25" s="34" t="s">
        <v>360</v>
      </c>
      <c r="P25" s="34" t="s">
        <v>254</v>
      </c>
      <c r="Q25">
        <v>1</v>
      </c>
    </row>
    <row r="26" spans="1:17" ht="23.1" customHeight="1" x14ac:dyDescent="0.3">
      <c r="A26" s="36" t="s">
        <v>180</v>
      </c>
      <c r="B26" s="36" t="s">
        <v>296</v>
      </c>
      <c r="C26" s="38" t="s">
        <v>292</v>
      </c>
      <c r="D26" s="39">
        <v>1.3299999999999999E-2</v>
      </c>
      <c r="E26" s="40">
        <f>ROUNDDOWN(중기경비목록!G7, 0)</f>
        <v>20033</v>
      </c>
      <c r="F26" s="39">
        <f t="shared" si="1"/>
        <v>266.39999999999998</v>
      </c>
      <c r="G26" s="40">
        <f>ROUNDDOWN(중기경비목록!I7, 0)</f>
        <v>49778</v>
      </c>
      <c r="H26" s="40">
        <f t="shared" si="2"/>
        <v>662</v>
      </c>
      <c r="I26" s="40">
        <f>ROUNDDOWN(중기경비목록!K7, 0)</f>
        <v>9986</v>
      </c>
      <c r="J26" s="39">
        <f t="shared" si="3"/>
        <v>132.80000000000001</v>
      </c>
      <c r="K26" s="40">
        <f t="shared" si="4"/>
        <v>79797</v>
      </c>
      <c r="L26" s="39">
        <f t="shared" si="4"/>
        <v>1061.2</v>
      </c>
      <c r="M26" s="36" t="s">
        <v>295</v>
      </c>
      <c r="O26" s="34" t="s">
        <v>360</v>
      </c>
      <c r="P26" s="34" t="s">
        <v>254</v>
      </c>
      <c r="Q26">
        <v>1</v>
      </c>
    </row>
    <row r="27" spans="1:17" ht="23.1" customHeight="1" x14ac:dyDescent="0.3">
      <c r="A27" s="41" t="s">
        <v>216</v>
      </c>
      <c r="B27" s="42"/>
      <c r="C27" s="43"/>
      <c r="D27" s="44"/>
      <c r="E27" s="44"/>
      <c r="F27" s="45">
        <f>ROUNDDOWN(SUMIF(Q21:Q26, "1", F21:F26), 0)</f>
        <v>652</v>
      </c>
      <c r="G27" s="44"/>
      <c r="H27" s="45">
        <f>ROUNDDOWN(SUMIF(Q21:Q26, "1", H21:H26), 0)</f>
        <v>6572</v>
      </c>
      <c r="I27" s="44"/>
      <c r="J27" s="45">
        <f>ROUNDDOWN(SUMIF(Q21:Q26, "1", J21:J26), 0)</f>
        <v>402</v>
      </c>
      <c r="K27" s="44"/>
      <c r="L27" s="45">
        <f>F27+H27+J27</f>
        <v>7626</v>
      </c>
      <c r="M27" s="42"/>
    </row>
    <row r="28" spans="1:17" ht="23.1" customHeight="1" x14ac:dyDescent="0.3">
      <c r="A28" s="37"/>
      <c r="B28" s="37"/>
      <c r="C28" s="46"/>
      <c r="D28" s="47"/>
      <c r="E28" s="47"/>
      <c r="F28" s="47"/>
      <c r="G28" s="47"/>
      <c r="H28" s="47"/>
      <c r="I28" s="47"/>
      <c r="J28" s="47"/>
      <c r="K28" s="47"/>
      <c r="L28" s="47"/>
      <c r="M28" s="37"/>
    </row>
    <row r="29" spans="1:17" ht="23.1" customHeight="1" x14ac:dyDescent="0.3">
      <c r="A29" s="180" t="s">
        <v>366</v>
      </c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35" t="s">
        <v>367</v>
      </c>
    </row>
    <row r="30" spans="1:17" ht="23.1" customHeight="1" x14ac:dyDescent="0.3">
      <c r="A30" s="36" t="s">
        <v>148</v>
      </c>
      <c r="B30" s="36" t="s">
        <v>131</v>
      </c>
      <c r="C30" s="38" t="s">
        <v>132</v>
      </c>
      <c r="D30" s="39">
        <v>12.38</v>
      </c>
      <c r="E30" s="40">
        <v>0</v>
      </c>
      <c r="F30" s="40">
        <f>ROUNDDOWN(D30*E30, 1)</f>
        <v>0</v>
      </c>
      <c r="G30" s="40">
        <f>ROUNDDOWN(단가대비표!O41, 0)</f>
        <v>239808</v>
      </c>
      <c r="H30" s="40">
        <f>ROUNDDOWN(D30*G30, 1)</f>
        <v>2968823</v>
      </c>
      <c r="I30" s="40">
        <v>0</v>
      </c>
      <c r="J30" s="40">
        <f>ROUNDDOWN(D30*I30, 1)</f>
        <v>0</v>
      </c>
      <c r="K30" s="40">
        <f t="shared" ref="K30:L36" si="5">E30+G30+I30</f>
        <v>239808</v>
      </c>
      <c r="L30" s="40">
        <f t="shared" si="5"/>
        <v>2968823</v>
      </c>
      <c r="M30" s="37"/>
      <c r="O30" s="34" t="s">
        <v>257</v>
      </c>
      <c r="P30" s="34" t="s">
        <v>254</v>
      </c>
      <c r="Q30">
        <v>1</v>
      </c>
    </row>
    <row r="31" spans="1:17" ht="23.1" customHeight="1" x14ac:dyDescent="0.3">
      <c r="A31" s="36" t="s">
        <v>142</v>
      </c>
      <c r="B31" s="36" t="s">
        <v>131</v>
      </c>
      <c r="C31" s="38" t="s">
        <v>132</v>
      </c>
      <c r="D31" s="39">
        <v>3.38</v>
      </c>
      <c r="E31" s="40">
        <v>0</v>
      </c>
      <c r="F31" s="40">
        <f>ROUNDDOWN(D31*E31, 1)</f>
        <v>0</v>
      </c>
      <c r="G31" s="40">
        <f>ROUNDDOWN(단가대비표!O37, 0)</f>
        <v>282536</v>
      </c>
      <c r="H31" s="39">
        <f>ROUNDDOWN(D31*G31, 1)</f>
        <v>954971.6</v>
      </c>
      <c r="I31" s="40">
        <v>0</v>
      </c>
      <c r="J31" s="40">
        <f>ROUNDDOWN(D31*I31, 1)</f>
        <v>0</v>
      </c>
      <c r="K31" s="40">
        <f t="shared" si="5"/>
        <v>282536</v>
      </c>
      <c r="L31" s="39">
        <f t="shared" si="5"/>
        <v>954971.6</v>
      </c>
      <c r="M31" s="36" t="s">
        <v>143</v>
      </c>
      <c r="O31" s="34" t="s">
        <v>257</v>
      </c>
      <c r="P31" s="34" t="s">
        <v>254</v>
      </c>
      <c r="Q31">
        <v>1</v>
      </c>
    </row>
    <row r="32" spans="1:17" ht="23.1" customHeight="1" x14ac:dyDescent="0.3">
      <c r="A32" s="36" t="s">
        <v>151</v>
      </c>
      <c r="B32" s="36" t="s">
        <v>131</v>
      </c>
      <c r="C32" s="38" t="s">
        <v>132</v>
      </c>
      <c r="D32" s="39">
        <v>4.5</v>
      </c>
      <c r="E32" s="40">
        <v>0</v>
      </c>
      <c r="F32" s="40">
        <f>ROUNDDOWN(D32*E32, 1)</f>
        <v>0</v>
      </c>
      <c r="G32" s="40">
        <f>ROUNDDOWN(단가대비표!O44, 0)</f>
        <v>226122</v>
      </c>
      <c r="H32" s="40">
        <f>ROUNDDOWN(D32*G32, 1)</f>
        <v>1017549</v>
      </c>
      <c r="I32" s="40">
        <v>0</v>
      </c>
      <c r="J32" s="40">
        <f>ROUNDDOWN(D32*I32, 1)</f>
        <v>0</v>
      </c>
      <c r="K32" s="40">
        <f t="shared" si="5"/>
        <v>226122</v>
      </c>
      <c r="L32" s="40">
        <f t="shared" si="5"/>
        <v>1017549</v>
      </c>
      <c r="M32" s="37"/>
      <c r="O32" s="34" t="s">
        <v>257</v>
      </c>
      <c r="P32" s="34" t="s">
        <v>254</v>
      </c>
      <c r="Q32">
        <v>1</v>
      </c>
    </row>
    <row r="33" spans="1:20" ht="23.1" customHeight="1" x14ac:dyDescent="0.3">
      <c r="A33" s="36" t="s">
        <v>140</v>
      </c>
      <c r="B33" s="36" t="s">
        <v>131</v>
      </c>
      <c r="C33" s="38" t="s">
        <v>132</v>
      </c>
      <c r="D33" s="39">
        <v>2.25</v>
      </c>
      <c r="E33" s="40">
        <v>0</v>
      </c>
      <c r="F33" s="40">
        <f>ROUNDDOWN(D33*E33, 1)</f>
        <v>0</v>
      </c>
      <c r="G33" s="40">
        <f>ROUNDDOWN(단가대비표!O35, 0)</f>
        <v>172068</v>
      </c>
      <c r="H33" s="40">
        <f>ROUNDDOWN(D33*G33, 1)</f>
        <v>387153</v>
      </c>
      <c r="I33" s="40">
        <v>0</v>
      </c>
      <c r="J33" s="40">
        <f>ROUNDDOWN(D33*I33, 1)</f>
        <v>0</v>
      </c>
      <c r="K33" s="40">
        <f t="shared" si="5"/>
        <v>172068</v>
      </c>
      <c r="L33" s="40">
        <f t="shared" si="5"/>
        <v>387153</v>
      </c>
      <c r="M33" s="37"/>
      <c r="O33" s="34" t="s">
        <v>257</v>
      </c>
      <c r="P33" s="34" t="s">
        <v>254</v>
      </c>
      <c r="Q33">
        <v>1</v>
      </c>
    </row>
    <row r="34" spans="1:20" ht="23.1" customHeight="1" x14ac:dyDescent="0.3">
      <c r="A34" s="36" t="s">
        <v>368</v>
      </c>
      <c r="B34" s="37" t="str">
        <f>"노무비의 " &amp; N34*100 &amp; "%"</f>
        <v>노무비의 30%</v>
      </c>
      <c r="C34" s="38" t="s">
        <v>259</v>
      </c>
      <c r="D34" s="39">
        <v>1</v>
      </c>
      <c r="E34" s="40">
        <v>0</v>
      </c>
      <c r="F34" s="40">
        <v>0</v>
      </c>
      <c r="G34" s="39">
        <f>SUMIF(O30:O36, "01", H30:H36)</f>
        <v>5328496.5999999996</v>
      </c>
      <c r="H34" s="39">
        <f>ROUNDDOWN((G34)*N34, 1)</f>
        <v>1598548.9</v>
      </c>
      <c r="I34" s="40">
        <v>0</v>
      </c>
      <c r="J34" s="40">
        <v>0</v>
      </c>
      <c r="K34" s="39">
        <f t="shared" si="5"/>
        <v>5328496.5999999996</v>
      </c>
      <c r="L34" s="39">
        <f t="shared" si="5"/>
        <v>1598548.9</v>
      </c>
      <c r="M34" s="37"/>
      <c r="N34">
        <v>0.3</v>
      </c>
      <c r="O34" s="34" t="s">
        <v>265</v>
      </c>
      <c r="P34" s="34" t="s">
        <v>254</v>
      </c>
      <c r="Q34">
        <v>1</v>
      </c>
      <c r="R34" s="34" t="s">
        <v>369</v>
      </c>
      <c r="S34" s="34" t="s">
        <v>262</v>
      </c>
    </row>
    <row r="35" spans="1:20" ht="23.1" customHeight="1" x14ac:dyDescent="0.3">
      <c r="A35" s="36" t="s">
        <v>355</v>
      </c>
      <c r="B35" s="37" t="str">
        <f>"노무비의 " &amp; N35*100 &amp; "%"</f>
        <v>노무비의 5%</v>
      </c>
      <c r="C35" s="38" t="s">
        <v>259</v>
      </c>
      <c r="D35" s="39">
        <v>1</v>
      </c>
      <c r="E35" s="39">
        <f>SUMIF(O30:O36, "01", H30:H36)+SUMIF(O30:O36, "02", H30:H36)</f>
        <v>6927045.5</v>
      </c>
      <c r="F35" s="39">
        <f>ROUNDDOWN((E35)*N35, 1)</f>
        <v>346352.2</v>
      </c>
      <c r="G35" s="40">
        <v>0</v>
      </c>
      <c r="H35" s="40">
        <v>0</v>
      </c>
      <c r="I35" s="40">
        <v>0</v>
      </c>
      <c r="J35" s="40">
        <v>0</v>
      </c>
      <c r="K35" s="39">
        <f t="shared" si="5"/>
        <v>6927045.5</v>
      </c>
      <c r="L35" s="39">
        <f t="shared" si="5"/>
        <v>346352.2</v>
      </c>
      <c r="M35" s="37"/>
      <c r="N35">
        <v>0.05</v>
      </c>
      <c r="P35" s="34" t="s">
        <v>254</v>
      </c>
      <c r="Q35">
        <v>1</v>
      </c>
      <c r="R35" s="34" t="s">
        <v>356</v>
      </c>
      <c r="S35" s="34" t="s">
        <v>370</v>
      </c>
    </row>
    <row r="36" spans="1:20" ht="23.1" customHeight="1" x14ac:dyDescent="0.3">
      <c r="A36" s="36" t="s">
        <v>371</v>
      </c>
      <c r="B36" s="37" t="str">
        <f>"노무비의 " &amp; N36*100 &amp; "%"</f>
        <v>노무비의 3%</v>
      </c>
      <c r="C36" s="38" t="s">
        <v>259</v>
      </c>
      <c r="D36" s="39">
        <v>1</v>
      </c>
      <c r="E36" s="39">
        <f>SUMIF(O30:O36, "01", H30:H36)+SUMIF(O30:O36, "02", H30:H36)</f>
        <v>6927045.5</v>
      </c>
      <c r="F36" s="39">
        <f>ROUNDDOWN((E36)*N36, 1)</f>
        <v>207811.3</v>
      </c>
      <c r="G36" s="40">
        <v>0</v>
      </c>
      <c r="H36" s="40">
        <v>0</v>
      </c>
      <c r="I36" s="40">
        <v>0</v>
      </c>
      <c r="J36" s="40">
        <v>0</v>
      </c>
      <c r="K36" s="39">
        <f t="shared" si="5"/>
        <v>6927045.5</v>
      </c>
      <c r="L36" s="39">
        <f t="shared" si="5"/>
        <v>207811.3</v>
      </c>
      <c r="M36" s="37"/>
      <c r="N36">
        <v>0.03</v>
      </c>
      <c r="P36" s="34" t="s">
        <v>254</v>
      </c>
      <c r="Q36">
        <v>1</v>
      </c>
      <c r="R36" s="34" t="s">
        <v>356</v>
      </c>
      <c r="S36" s="34" t="s">
        <v>370</v>
      </c>
    </row>
    <row r="37" spans="1:20" ht="23.1" customHeight="1" x14ac:dyDescent="0.3">
      <c r="A37" s="41" t="s">
        <v>216</v>
      </c>
      <c r="B37" s="42"/>
      <c r="C37" s="43"/>
      <c r="D37" s="44"/>
      <c r="E37" s="44"/>
      <c r="F37" s="45">
        <f>ROUNDDOWN(SUMIF(Q30:Q36, "1", F30:F36), 0)</f>
        <v>554163</v>
      </c>
      <c r="G37" s="44"/>
      <c r="H37" s="45">
        <f>ROUNDDOWN(SUMIF(Q30:Q36, "1", H30:H36), 0)</f>
        <v>6927045</v>
      </c>
      <c r="I37" s="44"/>
      <c r="J37" s="45">
        <f>ROUNDDOWN(SUMIF(Q30:Q36, "1", J30:J36), 0)</f>
        <v>0</v>
      </c>
      <c r="K37" s="44"/>
      <c r="L37" s="45">
        <f>F37+H37+J37</f>
        <v>7481208</v>
      </c>
      <c r="M37" s="42"/>
    </row>
    <row r="38" spans="1:20" ht="23.1" customHeight="1" x14ac:dyDescent="0.3">
      <c r="A38" s="37"/>
      <c r="B38" s="37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37"/>
    </row>
    <row r="39" spans="1:20" ht="23.1" customHeight="1" x14ac:dyDescent="0.3">
      <c r="A39" s="180" t="s">
        <v>372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35" t="s">
        <v>373</v>
      </c>
    </row>
    <row r="40" spans="1:20" ht="23.1" customHeight="1" x14ac:dyDescent="0.3">
      <c r="A40" s="36" t="s">
        <v>149</v>
      </c>
      <c r="B40" s="36" t="s">
        <v>131</v>
      </c>
      <c r="C40" s="38" t="s">
        <v>132</v>
      </c>
      <c r="D40" s="39">
        <v>1.29</v>
      </c>
      <c r="E40" s="40">
        <v>0</v>
      </c>
      <c r="F40" s="40">
        <f>ROUNDDOWN(D40*E40, 1)</f>
        <v>0</v>
      </c>
      <c r="G40" s="40">
        <f>ROUNDDOWN(단가대비표!O42, 0)</f>
        <v>273540</v>
      </c>
      <c r="H40" s="39">
        <f>ROUNDDOWN(D40*G40, 1)</f>
        <v>352866.6</v>
      </c>
      <c r="I40" s="40">
        <v>0</v>
      </c>
      <c r="J40" s="40">
        <f>ROUNDDOWN(D40*I40, 1)</f>
        <v>0</v>
      </c>
      <c r="K40" s="40">
        <f>E40+G40+I40</f>
        <v>273540</v>
      </c>
      <c r="L40" s="39">
        <f>F40+H40+J40</f>
        <v>352866.6</v>
      </c>
      <c r="M40" s="37"/>
      <c r="O40" s="34" t="s">
        <v>265</v>
      </c>
      <c r="P40" s="34" t="s">
        <v>254</v>
      </c>
      <c r="Q40">
        <v>1</v>
      </c>
    </row>
    <row r="41" spans="1:20" ht="23.1" customHeight="1" x14ac:dyDescent="0.3">
      <c r="A41" s="36" t="s">
        <v>140</v>
      </c>
      <c r="B41" s="36" t="s">
        <v>131</v>
      </c>
      <c r="C41" s="38" t="s">
        <v>132</v>
      </c>
      <c r="D41" s="39">
        <v>1.36</v>
      </c>
      <c r="E41" s="40">
        <v>0</v>
      </c>
      <c r="F41" s="40">
        <f>ROUNDDOWN(D41*E41, 1)</f>
        <v>0</v>
      </c>
      <c r="G41" s="40">
        <f>ROUNDDOWN(단가대비표!O35, 0)</f>
        <v>172068</v>
      </c>
      <c r="H41" s="39">
        <f>ROUNDDOWN(D41*G41, 1)</f>
        <v>234012.4</v>
      </c>
      <c r="I41" s="40">
        <v>0</v>
      </c>
      <c r="J41" s="40">
        <f>ROUNDDOWN(D41*I41, 1)</f>
        <v>0</v>
      </c>
      <c r="K41" s="40">
        <f>E41+G41+I41</f>
        <v>172068</v>
      </c>
      <c r="L41" s="39">
        <f>F41+H41+J41</f>
        <v>234012.4</v>
      </c>
      <c r="M41" s="37"/>
      <c r="O41" s="34" t="s">
        <v>265</v>
      </c>
      <c r="P41" s="34" t="s">
        <v>254</v>
      </c>
      <c r="Q41">
        <v>1</v>
      </c>
    </row>
    <row r="42" spans="1:20" ht="23.1" customHeight="1" x14ac:dyDescent="0.3">
      <c r="A42" s="41" t="s">
        <v>216</v>
      </c>
      <c r="B42" s="42"/>
      <c r="C42" s="43"/>
      <c r="D42" s="44"/>
      <c r="E42" s="44"/>
      <c r="F42" s="45">
        <f>ROUNDDOWN(SUMIF(Q40:Q41, "1", F40:F41), 0)</f>
        <v>0</v>
      </c>
      <c r="G42" s="44"/>
      <c r="H42" s="45">
        <f>ROUNDDOWN(SUMIF(Q40:Q41, "1", H40:H41), 0)</f>
        <v>586879</v>
      </c>
      <c r="I42" s="44"/>
      <c r="J42" s="45">
        <f>ROUNDDOWN(SUMIF(Q40:Q41, "1", J40:J41), 0)</f>
        <v>0</v>
      </c>
      <c r="K42" s="44"/>
      <c r="L42" s="45">
        <f>F42+H42+J42</f>
        <v>586879</v>
      </c>
      <c r="M42" s="42"/>
    </row>
    <row r="43" spans="1:20" ht="23.1" customHeight="1" x14ac:dyDescent="0.3">
      <c r="A43" s="37"/>
      <c r="B43" s="37"/>
      <c r="C43" s="46"/>
      <c r="D43" s="47"/>
      <c r="E43" s="47"/>
      <c r="F43" s="47"/>
      <c r="G43" s="47"/>
      <c r="H43" s="47"/>
      <c r="I43" s="47"/>
      <c r="J43" s="47"/>
      <c r="K43" s="47"/>
      <c r="L43" s="47"/>
      <c r="M43" s="37"/>
    </row>
    <row r="44" spans="1:20" ht="23.1" customHeight="1" x14ac:dyDescent="0.3">
      <c r="A44" s="180" t="s">
        <v>211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35" t="s">
        <v>215</v>
      </c>
    </row>
    <row r="45" spans="1:20" ht="23.1" customHeight="1" x14ac:dyDescent="0.3">
      <c r="A45" s="36" t="s">
        <v>212</v>
      </c>
      <c r="B45" s="36" t="s">
        <v>121</v>
      </c>
      <c r="C45" s="38" t="s">
        <v>19</v>
      </c>
      <c r="D45" s="39">
        <f>일위공량산출서!F8</f>
        <v>1</v>
      </c>
      <c r="E45" s="40">
        <f>ROUNDDOWN(단가대비표!O28, 0)</f>
        <v>680</v>
      </c>
      <c r="F45" s="40">
        <f>ROUNDDOWN(D45*E45, 1)</f>
        <v>680</v>
      </c>
      <c r="G45" s="40">
        <v>0</v>
      </c>
      <c r="H45" s="40">
        <f>ROUNDDOWN(D45*G45, 1)</f>
        <v>0</v>
      </c>
      <c r="I45" s="40">
        <v>0</v>
      </c>
      <c r="J45" s="40">
        <f>ROUNDDOWN(D45*I45, 1)</f>
        <v>0</v>
      </c>
      <c r="K45" s="40">
        <f t="shared" ref="K45:L50" si="6">E45+G45+I45</f>
        <v>680</v>
      </c>
      <c r="L45" s="40">
        <f t="shared" si="6"/>
        <v>680</v>
      </c>
      <c r="M45" s="36" t="s">
        <v>126</v>
      </c>
      <c r="O45" s="34" t="s">
        <v>374</v>
      </c>
      <c r="P45" s="34" t="s">
        <v>254</v>
      </c>
      <c r="Q45">
        <v>1</v>
      </c>
    </row>
    <row r="46" spans="1:20" ht="23.1" customHeight="1" x14ac:dyDescent="0.3">
      <c r="A46" s="36" t="s">
        <v>375</v>
      </c>
      <c r="B46" s="37" t="str">
        <f>"전선관의 " &amp; N46*100 &amp; "%"</f>
        <v>전선관의 15%</v>
      </c>
      <c r="C46" s="38" t="s">
        <v>259</v>
      </c>
      <c r="D46" s="39">
        <v>1</v>
      </c>
      <c r="E46" s="40">
        <f>SUMIF(O45:O50, "04", F45:F50)</f>
        <v>680</v>
      </c>
      <c r="F46" s="40">
        <f>ROUNDDOWN((E46)*N46, 1)</f>
        <v>102</v>
      </c>
      <c r="G46" s="40"/>
      <c r="H46" s="40"/>
      <c r="I46" s="40"/>
      <c r="J46" s="40"/>
      <c r="K46" s="40">
        <f t="shared" si="6"/>
        <v>680</v>
      </c>
      <c r="L46" s="40">
        <f t="shared" si="6"/>
        <v>102</v>
      </c>
      <c r="M46" s="37"/>
      <c r="N46">
        <v>0.15</v>
      </c>
      <c r="P46" s="34" t="s">
        <v>254</v>
      </c>
      <c r="Q46">
        <v>1</v>
      </c>
      <c r="R46" s="34" t="s">
        <v>261</v>
      </c>
      <c r="S46" s="34" t="s">
        <v>376</v>
      </c>
      <c r="T46" s="34" t="s">
        <v>377</v>
      </c>
    </row>
    <row r="47" spans="1:20" ht="23.1" customHeight="1" x14ac:dyDescent="0.3">
      <c r="A47" s="36" t="s">
        <v>378</v>
      </c>
      <c r="B47" s="37" t="str">
        <f>"배관배선의 " &amp; N47*100 &amp; "%"</f>
        <v>배관배선의 2%</v>
      </c>
      <c r="C47" s="38" t="s">
        <v>259</v>
      </c>
      <c r="D47" s="39">
        <v>1</v>
      </c>
      <c r="E47" s="40">
        <f>SUMIF(O45:O50, "04", F45:F50)</f>
        <v>680</v>
      </c>
      <c r="F47" s="39">
        <f>ROUNDDOWN((E47)*N47, 1)</f>
        <v>13.6</v>
      </c>
      <c r="G47" s="40"/>
      <c r="H47" s="40"/>
      <c r="I47" s="40"/>
      <c r="J47" s="40"/>
      <c r="K47" s="40">
        <f t="shared" si="6"/>
        <v>680</v>
      </c>
      <c r="L47" s="39">
        <f t="shared" si="6"/>
        <v>13.6</v>
      </c>
      <c r="M47" s="37"/>
      <c r="N47">
        <v>0.02</v>
      </c>
      <c r="P47" s="34" t="s">
        <v>254</v>
      </c>
      <c r="Q47">
        <v>1</v>
      </c>
      <c r="R47" s="34" t="s">
        <v>261</v>
      </c>
      <c r="S47" s="34" t="s">
        <v>376</v>
      </c>
    </row>
    <row r="48" spans="1:20" ht="23.1" customHeight="1" x14ac:dyDescent="0.3">
      <c r="A48" s="36" t="s">
        <v>137</v>
      </c>
      <c r="B48" s="36" t="s">
        <v>131</v>
      </c>
      <c r="C48" s="38" t="s">
        <v>132</v>
      </c>
      <c r="D48" s="39">
        <f>일위공량산출서!G11</f>
        <v>6.1000000000000004E-3</v>
      </c>
      <c r="E48" s="40"/>
      <c r="F48" s="40">
        <f>ROUNDDOWN(D48*E48, 1)</f>
        <v>0</v>
      </c>
      <c r="G48" s="40">
        <f>ROUNDDOWN(단가대비표!O33, 0)</f>
        <v>414968</v>
      </c>
      <c r="H48" s="39">
        <f>ROUNDDOWN(D48*G48, 1)</f>
        <v>2531.3000000000002</v>
      </c>
      <c r="I48" s="40"/>
      <c r="J48" s="40">
        <f>ROUNDDOWN(D48*I48, 1)</f>
        <v>0</v>
      </c>
      <c r="K48" s="40">
        <f t="shared" si="6"/>
        <v>414968</v>
      </c>
      <c r="L48" s="39">
        <f t="shared" si="6"/>
        <v>2531.3000000000002</v>
      </c>
      <c r="M48" s="37"/>
      <c r="O48" s="34" t="s">
        <v>265</v>
      </c>
      <c r="P48" s="34" t="s">
        <v>254</v>
      </c>
      <c r="Q48">
        <v>1</v>
      </c>
    </row>
    <row r="49" spans="1:20" ht="23.1" customHeight="1" x14ac:dyDescent="0.3">
      <c r="A49" s="36" t="s">
        <v>140</v>
      </c>
      <c r="B49" s="36" t="s">
        <v>131</v>
      </c>
      <c r="C49" s="38" t="s">
        <v>132</v>
      </c>
      <c r="D49" s="39">
        <f>일위공량산출서!H11</f>
        <v>1.5599999999999999E-2</v>
      </c>
      <c r="E49" s="40"/>
      <c r="F49" s="40">
        <f>ROUNDDOWN(D49*E49, 1)</f>
        <v>0</v>
      </c>
      <c r="G49" s="40">
        <f>ROUNDDOWN(단가대비표!O35, 0)</f>
        <v>172068</v>
      </c>
      <c r="H49" s="39">
        <f>ROUNDDOWN(D49*G49, 1)</f>
        <v>2684.2</v>
      </c>
      <c r="I49" s="40"/>
      <c r="J49" s="40">
        <f>ROUNDDOWN(D49*I49, 1)</f>
        <v>0</v>
      </c>
      <c r="K49" s="40">
        <f t="shared" si="6"/>
        <v>172068</v>
      </c>
      <c r="L49" s="39">
        <f t="shared" si="6"/>
        <v>2684.2</v>
      </c>
      <c r="M49" s="37"/>
      <c r="O49" s="34" t="s">
        <v>265</v>
      </c>
      <c r="P49" s="34" t="s">
        <v>254</v>
      </c>
      <c r="Q49">
        <v>1</v>
      </c>
    </row>
    <row r="50" spans="1:20" ht="23.1" customHeight="1" x14ac:dyDescent="0.3">
      <c r="A50" s="36" t="s">
        <v>355</v>
      </c>
      <c r="B50" s="37" t="str">
        <f>"노무비의 " &amp; N50*100 &amp; "%"</f>
        <v>노무비의 3%</v>
      </c>
      <c r="C50" s="38" t="s">
        <v>259</v>
      </c>
      <c r="D50" s="39">
        <v>1</v>
      </c>
      <c r="E50" s="39">
        <f>SUMIF(O45:O50, "02", H45:H50)</f>
        <v>5215.5</v>
      </c>
      <c r="F50" s="39">
        <f>ROUNDDOWN((E50)*N50, 1)</f>
        <v>156.4</v>
      </c>
      <c r="G50" s="40"/>
      <c r="H50" s="40"/>
      <c r="I50" s="40"/>
      <c r="J50" s="40"/>
      <c r="K50" s="39">
        <f t="shared" si="6"/>
        <v>5215.5</v>
      </c>
      <c r="L50" s="39">
        <f t="shared" si="6"/>
        <v>156.4</v>
      </c>
      <c r="M50" s="37"/>
      <c r="N50">
        <v>0.03</v>
      </c>
      <c r="P50" s="34" t="s">
        <v>254</v>
      </c>
      <c r="Q50">
        <v>1</v>
      </c>
      <c r="R50" s="34" t="s">
        <v>356</v>
      </c>
      <c r="S50" s="34" t="s">
        <v>357</v>
      </c>
    </row>
    <row r="51" spans="1:20" ht="23.1" customHeight="1" x14ac:dyDescent="0.3">
      <c r="A51" s="41" t="s">
        <v>216</v>
      </c>
      <c r="B51" s="42"/>
      <c r="C51" s="43"/>
      <c r="D51" s="44"/>
      <c r="E51" s="44"/>
      <c r="F51" s="45">
        <f>ROUNDDOWN(SUMIF(Q45:Q50, "1", F45:F50), 0)</f>
        <v>952</v>
      </c>
      <c r="G51" s="44"/>
      <c r="H51" s="45">
        <f>ROUNDDOWN(SUMIF(Q45:Q50, "1", H45:H50), 0)</f>
        <v>5215</v>
      </c>
      <c r="I51" s="44"/>
      <c r="J51" s="45">
        <f>ROUNDDOWN(SUMIF(Q45:Q50, "1", J45:J50), 0)</f>
        <v>0</v>
      </c>
      <c r="K51" s="44"/>
      <c r="L51" s="45">
        <f>F51+H51+J51</f>
        <v>6167</v>
      </c>
      <c r="M51" s="42"/>
    </row>
    <row r="52" spans="1:20" ht="23.1" customHeight="1" x14ac:dyDescent="0.3">
      <c r="A52" s="37"/>
      <c r="B52" s="37"/>
      <c r="C52" s="46"/>
      <c r="D52" s="47"/>
      <c r="E52" s="47"/>
      <c r="F52" s="47"/>
      <c r="G52" s="47"/>
      <c r="H52" s="47"/>
      <c r="I52" s="47"/>
      <c r="J52" s="47"/>
      <c r="K52" s="47"/>
      <c r="L52" s="47"/>
      <c r="M52" s="37"/>
    </row>
    <row r="53" spans="1:20" ht="23.1" customHeight="1" x14ac:dyDescent="0.3">
      <c r="A53" s="180" t="s">
        <v>217</v>
      </c>
      <c r="B53" s="181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35" t="s">
        <v>218</v>
      </c>
    </row>
    <row r="54" spans="1:20" ht="23.1" customHeight="1" x14ac:dyDescent="0.3">
      <c r="A54" s="36" t="s">
        <v>17</v>
      </c>
      <c r="B54" s="36" t="s">
        <v>18</v>
      </c>
      <c r="C54" s="38" t="s">
        <v>19</v>
      </c>
      <c r="D54" s="39">
        <f>일위공량산출서!F16</f>
        <v>1</v>
      </c>
      <c r="E54" s="40">
        <f>ROUNDDOWN(단가대비표!O5, 0)</f>
        <v>12900</v>
      </c>
      <c r="F54" s="40">
        <f>ROUNDDOWN(D54*E54, 1)</f>
        <v>12900</v>
      </c>
      <c r="G54" s="40">
        <v>0</v>
      </c>
      <c r="H54" s="40">
        <f>ROUNDDOWN(D54*G54, 1)</f>
        <v>0</v>
      </c>
      <c r="I54" s="40">
        <v>0</v>
      </c>
      <c r="J54" s="40">
        <f>ROUNDDOWN(D54*I54, 1)</f>
        <v>0</v>
      </c>
      <c r="K54" s="40">
        <f t="shared" ref="K54:L58" si="7">E54+G54+I54</f>
        <v>12900</v>
      </c>
      <c r="L54" s="40">
        <f t="shared" si="7"/>
        <v>12900</v>
      </c>
      <c r="M54" s="37"/>
      <c r="O54" s="34" t="s">
        <v>374</v>
      </c>
      <c r="P54" s="34" t="s">
        <v>254</v>
      </c>
      <c r="Q54">
        <v>1</v>
      </c>
    </row>
    <row r="55" spans="1:20" ht="23.1" customHeight="1" x14ac:dyDescent="0.3">
      <c r="A55" s="36" t="s">
        <v>375</v>
      </c>
      <c r="B55" s="37" t="str">
        <f>"전선관의 " &amp; N55*100 &amp; "%"</f>
        <v>전선관의 15%</v>
      </c>
      <c r="C55" s="38" t="s">
        <v>259</v>
      </c>
      <c r="D55" s="39">
        <v>1</v>
      </c>
      <c r="E55" s="40">
        <f>SUMIF(O54:O58, "04", F54:F58)</f>
        <v>12900</v>
      </c>
      <c r="F55" s="40">
        <f>ROUNDDOWN((E55)*N55, 1)</f>
        <v>1935</v>
      </c>
      <c r="G55" s="40"/>
      <c r="H55" s="40"/>
      <c r="I55" s="40"/>
      <c r="J55" s="40"/>
      <c r="K55" s="40">
        <f t="shared" si="7"/>
        <v>12900</v>
      </c>
      <c r="L55" s="40">
        <f t="shared" si="7"/>
        <v>1935</v>
      </c>
      <c r="M55" s="37"/>
      <c r="N55">
        <v>0.15</v>
      </c>
      <c r="P55" s="34" t="s">
        <v>254</v>
      </c>
      <c r="Q55">
        <v>1</v>
      </c>
      <c r="R55" s="34" t="s">
        <v>261</v>
      </c>
      <c r="S55" s="34" t="s">
        <v>376</v>
      </c>
      <c r="T55" s="34" t="s">
        <v>377</v>
      </c>
    </row>
    <row r="56" spans="1:20" ht="23.1" customHeight="1" x14ac:dyDescent="0.3">
      <c r="A56" s="36" t="s">
        <v>378</v>
      </c>
      <c r="B56" s="37" t="str">
        <f>"배관배선의 " &amp; N56*100 &amp; "%"</f>
        <v>배관배선의 2%</v>
      </c>
      <c r="C56" s="38" t="s">
        <v>259</v>
      </c>
      <c r="D56" s="39">
        <v>1</v>
      </c>
      <c r="E56" s="40">
        <f>SUMIF(O54:O58, "04", F54:F58)</f>
        <v>12900</v>
      </c>
      <c r="F56" s="40">
        <f>ROUNDDOWN((E56)*N56, 1)</f>
        <v>258</v>
      </c>
      <c r="G56" s="40"/>
      <c r="H56" s="40"/>
      <c r="I56" s="40"/>
      <c r="J56" s="40"/>
      <c r="K56" s="40">
        <f t="shared" si="7"/>
        <v>12900</v>
      </c>
      <c r="L56" s="40">
        <f t="shared" si="7"/>
        <v>258</v>
      </c>
      <c r="M56" s="37"/>
      <c r="N56">
        <v>0.02</v>
      </c>
      <c r="P56" s="34" t="s">
        <v>254</v>
      </c>
      <c r="Q56">
        <v>1</v>
      </c>
      <c r="R56" s="34" t="s">
        <v>261</v>
      </c>
      <c r="S56" s="34" t="s">
        <v>376</v>
      </c>
    </row>
    <row r="57" spans="1:20" ht="23.1" customHeight="1" x14ac:dyDescent="0.3">
      <c r="A57" s="36" t="s">
        <v>136</v>
      </c>
      <c r="B57" s="36" t="s">
        <v>131</v>
      </c>
      <c r="C57" s="38" t="s">
        <v>132</v>
      </c>
      <c r="D57" s="39">
        <f>일위공량산출서!G19</f>
        <v>8.6999999999999994E-2</v>
      </c>
      <c r="E57" s="40"/>
      <c r="F57" s="40">
        <f>ROUNDDOWN(D57*E57, 1)</f>
        <v>0</v>
      </c>
      <c r="G57" s="40">
        <f>ROUNDDOWN(단가대비표!O32, 0)</f>
        <v>273676</v>
      </c>
      <c r="H57" s="39">
        <f>ROUNDDOWN(D57*G57, 1)</f>
        <v>23809.8</v>
      </c>
      <c r="I57" s="40"/>
      <c r="J57" s="40">
        <f>ROUNDDOWN(D57*I57, 1)</f>
        <v>0</v>
      </c>
      <c r="K57" s="40">
        <f t="shared" si="7"/>
        <v>273676</v>
      </c>
      <c r="L57" s="39">
        <f t="shared" si="7"/>
        <v>23809.8</v>
      </c>
      <c r="M57" s="37"/>
      <c r="O57" s="34" t="s">
        <v>265</v>
      </c>
      <c r="P57" s="34" t="s">
        <v>254</v>
      </c>
      <c r="Q57">
        <v>1</v>
      </c>
    </row>
    <row r="58" spans="1:20" ht="23.1" customHeight="1" x14ac:dyDescent="0.3">
      <c r="A58" s="36" t="s">
        <v>355</v>
      </c>
      <c r="B58" s="37" t="str">
        <f>"노무비의 " &amp; N58*100 &amp; "%"</f>
        <v>노무비의 3%</v>
      </c>
      <c r="C58" s="38" t="s">
        <v>259</v>
      </c>
      <c r="D58" s="39">
        <v>1</v>
      </c>
      <c r="E58" s="39">
        <f>SUMIF(O54:O58, "02", H54:H58)</f>
        <v>23809.8</v>
      </c>
      <c r="F58" s="39">
        <f>ROUNDDOWN((E58)*N58, 1)</f>
        <v>714.2</v>
      </c>
      <c r="G58" s="40"/>
      <c r="H58" s="40"/>
      <c r="I58" s="40"/>
      <c r="J58" s="40"/>
      <c r="K58" s="39">
        <f t="shared" si="7"/>
        <v>23809.8</v>
      </c>
      <c r="L58" s="39">
        <f t="shared" si="7"/>
        <v>714.2</v>
      </c>
      <c r="M58" s="37"/>
      <c r="N58">
        <v>0.03</v>
      </c>
      <c r="P58" s="34" t="s">
        <v>254</v>
      </c>
      <c r="Q58">
        <v>1</v>
      </c>
      <c r="R58" s="34" t="s">
        <v>356</v>
      </c>
      <c r="S58" s="34" t="s">
        <v>357</v>
      </c>
    </row>
    <row r="59" spans="1:20" ht="23.1" customHeight="1" x14ac:dyDescent="0.3">
      <c r="A59" s="41" t="s">
        <v>216</v>
      </c>
      <c r="B59" s="42"/>
      <c r="C59" s="43"/>
      <c r="D59" s="44"/>
      <c r="E59" s="44"/>
      <c r="F59" s="45">
        <f>ROUNDDOWN(SUMIF(Q54:Q58, "1", F54:F58), 0)</f>
        <v>15807</v>
      </c>
      <c r="G59" s="44"/>
      <c r="H59" s="45">
        <f>ROUNDDOWN(SUMIF(Q54:Q58, "1", H54:H58), 0)</f>
        <v>23809</v>
      </c>
      <c r="I59" s="44"/>
      <c r="J59" s="45">
        <f>ROUNDDOWN(SUMIF(Q54:Q58, "1", J54:J58), 0)</f>
        <v>0</v>
      </c>
      <c r="K59" s="44"/>
      <c r="L59" s="45">
        <f>F59+H59+J59</f>
        <v>39616</v>
      </c>
      <c r="M59" s="42"/>
    </row>
    <row r="60" spans="1:20" ht="23.1" customHeight="1" x14ac:dyDescent="0.3">
      <c r="A60" s="37"/>
      <c r="B60" s="37"/>
      <c r="C60" s="46"/>
      <c r="D60" s="47"/>
      <c r="E60" s="47"/>
      <c r="F60" s="47"/>
      <c r="G60" s="47"/>
      <c r="H60" s="47"/>
      <c r="I60" s="47"/>
      <c r="J60" s="47"/>
      <c r="K60" s="47"/>
      <c r="L60" s="47"/>
      <c r="M60" s="37"/>
    </row>
    <row r="61" spans="1:20" ht="23.1" customHeight="1" x14ac:dyDescent="0.3">
      <c r="A61" s="180" t="s">
        <v>219</v>
      </c>
      <c r="B61" s="181"/>
      <c r="C61" s="181"/>
      <c r="D61" s="181"/>
      <c r="E61" s="181"/>
      <c r="F61" s="181"/>
      <c r="G61" s="181"/>
      <c r="H61" s="181"/>
      <c r="I61" s="181"/>
      <c r="J61" s="181"/>
      <c r="K61" s="181"/>
      <c r="L61" s="181"/>
      <c r="M61" s="35" t="s">
        <v>220</v>
      </c>
    </row>
    <row r="62" spans="1:20" ht="23.1" customHeight="1" x14ac:dyDescent="0.3">
      <c r="A62" s="36" t="s">
        <v>22</v>
      </c>
      <c r="B62" s="36" t="s">
        <v>28</v>
      </c>
      <c r="C62" s="38" t="s">
        <v>19</v>
      </c>
      <c r="D62" s="39">
        <f>일위공량산출서!F24</f>
        <v>1</v>
      </c>
      <c r="E62" s="40">
        <f>ROUNDDOWN(단가대비표!O7, 0)</f>
        <v>4207</v>
      </c>
      <c r="F62" s="40">
        <f>ROUNDDOWN(D62*E62, 1)</f>
        <v>4207</v>
      </c>
      <c r="G62" s="40">
        <v>0</v>
      </c>
      <c r="H62" s="40">
        <f>ROUNDDOWN(D62*G62, 1)</f>
        <v>0</v>
      </c>
      <c r="I62" s="40">
        <v>0</v>
      </c>
      <c r="J62" s="40">
        <f>ROUNDDOWN(D62*I62, 1)</f>
        <v>0</v>
      </c>
      <c r="K62" s="40">
        <f t="shared" ref="K62:L65" si="8">E62+G62+I62</f>
        <v>4207</v>
      </c>
      <c r="L62" s="40">
        <f t="shared" si="8"/>
        <v>4207</v>
      </c>
      <c r="M62" s="37"/>
      <c r="O62" s="34" t="s">
        <v>374</v>
      </c>
      <c r="P62" s="34" t="s">
        <v>254</v>
      </c>
      <c r="Q62">
        <v>1</v>
      </c>
    </row>
    <row r="63" spans="1:20" ht="23.1" customHeight="1" x14ac:dyDescent="0.3">
      <c r="A63" s="36" t="s">
        <v>378</v>
      </c>
      <c r="B63" s="37" t="str">
        <f>"배관배선의 " &amp; N63*100 &amp; "%"</f>
        <v>배관배선의 2%</v>
      </c>
      <c r="C63" s="38" t="s">
        <v>259</v>
      </c>
      <c r="D63" s="39">
        <v>1</v>
      </c>
      <c r="E63" s="40">
        <f>SUMIF(O62:O65, "04", F62:F65)</f>
        <v>4207</v>
      </c>
      <c r="F63" s="39">
        <f>ROUNDDOWN((E63)*N63, 1)</f>
        <v>84.1</v>
      </c>
      <c r="G63" s="40"/>
      <c r="H63" s="40"/>
      <c r="I63" s="40"/>
      <c r="J63" s="40"/>
      <c r="K63" s="40">
        <f t="shared" si="8"/>
        <v>4207</v>
      </c>
      <c r="L63" s="39">
        <f t="shared" si="8"/>
        <v>84.1</v>
      </c>
      <c r="M63" s="37"/>
      <c r="N63">
        <v>0.02</v>
      </c>
      <c r="P63" s="34" t="s">
        <v>254</v>
      </c>
      <c r="Q63">
        <v>1</v>
      </c>
      <c r="R63" s="34" t="s">
        <v>261</v>
      </c>
      <c r="S63" s="34" t="s">
        <v>376</v>
      </c>
    </row>
    <row r="64" spans="1:20" ht="23.1" customHeight="1" x14ac:dyDescent="0.3">
      <c r="A64" s="36" t="s">
        <v>146</v>
      </c>
      <c r="B64" s="36" t="s">
        <v>131</v>
      </c>
      <c r="C64" s="38" t="s">
        <v>132</v>
      </c>
      <c r="D64" s="39">
        <f>일위공량산출서!G27</f>
        <v>2.9000000000000001E-2</v>
      </c>
      <c r="E64" s="40"/>
      <c r="F64" s="40">
        <f>ROUNDDOWN(D64*E64, 1)</f>
        <v>0</v>
      </c>
      <c r="G64" s="40">
        <f>ROUNDDOWN(단가대비표!O39, 0)</f>
        <v>304156</v>
      </c>
      <c r="H64" s="39">
        <f>ROUNDDOWN(D64*G64, 1)</f>
        <v>8820.5</v>
      </c>
      <c r="I64" s="40"/>
      <c r="J64" s="40">
        <f>ROUNDDOWN(D64*I64, 1)</f>
        <v>0</v>
      </c>
      <c r="K64" s="40">
        <f t="shared" si="8"/>
        <v>304156</v>
      </c>
      <c r="L64" s="39">
        <f t="shared" si="8"/>
        <v>8820.5</v>
      </c>
      <c r="M64" s="37"/>
      <c r="O64" s="34" t="s">
        <v>265</v>
      </c>
      <c r="P64" s="34" t="s">
        <v>254</v>
      </c>
      <c r="Q64">
        <v>1</v>
      </c>
    </row>
    <row r="65" spans="1:19" ht="23.1" customHeight="1" x14ac:dyDescent="0.3">
      <c r="A65" s="36" t="s">
        <v>355</v>
      </c>
      <c r="B65" s="37" t="str">
        <f>"노무비의 " &amp; N65*100 &amp; "%"</f>
        <v>노무비의 3%</v>
      </c>
      <c r="C65" s="38" t="s">
        <v>259</v>
      </c>
      <c r="D65" s="39">
        <v>1</v>
      </c>
      <c r="E65" s="39">
        <f>SUMIF(O62:O65, "02", H62:H65)</f>
        <v>8820.5</v>
      </c>
      <c r="F65" s="39">
        <f>ROUNDDOWN((E65)*N65, 1)</f>
        <v>264.60000000000002</v>
      </c>
      <c r="G65" s="40"/>
      <c r="H65" s="40"/>
      <c r="I65" s="40"/>
      <c r="J65" s="40"/>
      <c r="K65" s="39">
        <f t="shared" si="8"/>
        <v>8820.5</v>
      </c>
      <c r="L65" s="39">
        <f t="shared" si="8"/>
        <v>264.60000000000002</v>
      </c>
      <c r="M65" s="37"/>
      <c r="N65">
        <v>0.03</v>
      </c>
      <c r="P65" s="34" t="s">
        <v>254</v>
      </c>
      <c r="Q65">
        <v>1</v>
      </c>
      <c r="R65" s="34" t="s">
        <v>356</v>
      </c>
      <c r="S65" s="34" t="s">
        <v>357</v>
      </c>
    </row>
    <row r="66" spans="1:19" ht="23.1" customHeight="1" x14ac:dyDescent="0.3">
      <c r="A66" s="41" t="s">
        <v>216</v>
      </c>
      <c r="B66" s="42"/>
      <c r="C66" s="43"/>
      <c r="D66" s="44"/>
      <c r="E66" s="44"/>
      <c r="F66" s="45">
        <f>ROUNDDOWN(SUMIF(Q62:Q65, "1", F62:F65), 0)</f>
        <v>4555</v>
      </c>
      <c r="G66" s="44"/>
      <c r="H66" s="45">
        <f>ROUNDDOWN(SUMIF(Q62:Q65, "1", H62:H65), 0)</f>
        <v>8820</v>
      </c>
      <c r="I66" s="44"/>
      <c r="J66" s="45">
        <f>ROUNDDOWN(SUMIF(Q62:Q65, "1", J62:J65), 0)</f>
        <v>0</v>
      </c>
      <c r="K66" s="44"/>
      <c r="L66" s="45">
        <f>F66+H66+J66</f>
        <v>13375</v>
      </c>
      <c r="M66" s="42"/>
    </row>
    <row r="67" spans="1:19" ht="23.1" customHeight="1" x14ac:dyDescent="0.3">
      <c r="A67" s="37"/>
      <c r="B67" s="37"/>
      <c r="C67" s="46"/>
      <c r="D67" s="47"/>
      <c r="E67" s="47"/>
      <c r="F67" s="47"/>
      <c r="G67" s="47"/>
      <c r="H67" s="47"/>
      <c r="I67" s="47"/>
      <c r="J67" s="47"/>
      <c r="K67" s="47"/>
      <c r="L67" s="47"/>
      <c r="M67" s="37"/>
    </row>
    <row r="68" spans="1:19" ht="23.1" customHeight="1" x14ac:dyDescent="0.3">
      <c r="A68" s="180" t="s">
        <v>221</v>
      </c>
      <c r="B68" s="181"/>
      <c r="C68" s="181"/>
      <c r="D68" s="181"/>
      <c r="E68" s="181"/>
      <c r="F68" s="181"/>
      <c r="G68" s="181"/>
      <c r="H68" s="181"/>
      <c r="I68" s="181"/>
      <c r="J68" s="181"/>
      <c r="K68" s="181"/>
      <c r="L68" s="181"/>
      <c r="M68" s="35" t="s">
        <v>220</v>
      </c>
    </row>
    <row r="69" spans="1:19" ht="23.1" customHeight="1" x14ac:dyDescent="0.3">
      <c r="A69" s="36" t="s">
        <v>22</v>
      </c>
      <c r="B69" s="36" t="s">
        <v>23</v>
      </c>
      <c r="C69" s="38" t="s">
        <v>19</v>
      </c>
      <c r="D69" s="39">
        <f>일위공량산출서!F32</f>
        <v>1</v>
      </c>
      <c r="E69" s="40">
        <f>ROUNDDOWN(단가대비표!O6, 0)</f>
        <v>2983</v>
      </c>
      <c r="F69" s="40">
        <f>ROUNDDOWN(D69*E69, 1)</f>
        <v>2983</v>
      </c>
      <c r="G69" s="40">
        <v>0</v>
      </c>
      <c r="H69" s="40">
        <f>ROUNDDOWN(D69*G69, 1)</f>
        <v>0</v>
      </c>
      <c r="I69" s="40">
        <v>0</v>
      </c>
      <c r="J69" s="40">
        <f>ROUNDDOWN(D69*I69, 1)</f>
        <v>0</v>
      </c>
      <c r="K69" s="40">
        <f t="shared" ref="K69:L72" si="9">E69+G69+I69</f>
        <v>2983</v>
      </c>
      <c r="L69" s="40">
        <f t="shared" si="9"/>
        <v>2983</v>
      </c>
      <c r="M69" s="37"/>
      <c r="O69" s="34" t="s">
        <v>374</v>
      </c>
      <c r="P69" s="34" t="s">
        <v>254</v>
      </c>
      <c r="Q69">
        <v>1</v>
      </c>
    </row>
    <row r="70" spans="1:19" ht="23.1" customHeight="1" x14ac:dyDescent="0.3">
      <c r="A70" s="36" t="s">
        <v>378</v>
      </c>
      <c r="B70" s="37" t="str">
        <f>"배관배선의 " &amp; N70*100 &amp; "%"</f>
        <v>배관배선의 2%</v>
      </c>
      <c r="C70" s="38" t="s">
        <v>259</v>
      </c>
      <c r="D70" s="39">
        <v>1</v>
      </c>
      <c r="E70" s="40">
        <f>SUMIF(O69:O72, "04", F69:F72)</f>
        <v>2983</v>
      </c>
      <c r="F70" s="39">
        <f>ROUNDDOWN((E70)*N70, 1)</f>
        <v>59.6</v>
      </c>
      <c r="G70" s="40"/>
      <c r="H70" s="40"/>
      <c r="I70" s="40"/>
      <c r="J70" s="40"/>
      <c r="K70" s="40">
        <f t="shared" si="9"/>
        <v>2983</v>
      </c>
      <c r="L70" s="39">
        <f t="shared" si="9"/>
        <v>59.6</v>
      </c>
      <c r="M70" s="37"/>
      <c r="N70">
        <v>0.02</v>
      </c>
      <c r="P70" s="34" t="s">
        <v>254</v>
      </c>
      <c r="Q70">
        <v>1</v>
      </c>
      <c r="R70" s="34" t="s">
        <v>261</v>
      </c>
      <c r="S70" s="34" t="s">
        <v>376</v>
      </c>
    </row>
    <row r="71" spans="1:19" ht="23.1" customHeight="1" x14ac:dyDescent="0.3">
      <c r="A71" s="36" t="s">
        <v>146</v>
      </c>
      <c r="B71" s="36" t="s">
        <v>131</v>
      </c>
      <c r="C71" s="38" t="s">
        <v>132</v>
      </c>
      <c r="D71" s="39">
        <f>일위공량산출서!G35</f>
        <v>2.5999999999999999E-2</v>
      </c>
      <c r="E71" s="40"/>
      <c r="F71" s="40">
        <f>ROUNDDOWN(D71*E71, 1)</f>
        <v>0</v>
      </c>
      <c r="G71" s="40">
        <f>ROUNDDOWN(단가대비표!O39, 0)</f>
        <v>304156</v>
      </c>
      <c r="H71" s="40">
        <f>ROUNDDOWN(D71*G71, 1)</f>
        <v>7908</v>
      </c>
      <c r="I71" s="40"/>
      <c r="J71" s="40">
        <f>ROUNDDOWN(D71*I71, 1)</f>
        <v>0</v>
      </c>
      <c r="K71" s="40">
        <f t="shared" si="9"/>
        <v>304156</v>
      </c>
      <c r="L71" s="40">
        <f t="shared" si="9"/>
        <v>7908</v>
      </c>
      <c r="M71" s="37"/>
      <c r="O71" s="34" t="s">
        <v>265</v>
      </c>
      <c r="P71" s="34" t="s">
        <v>254</v>
      </c>
      <c r="Q71">
        <v>1</v>
      </c>
    </row>
    <row r="72" spans="1:19" ht="23.1" customHeight="1" x14ac:dyDescent="0.3">
      <c r="A72" s="36" t="s">
        <v>355</v>
      </c>
      <c r="B72" s="37" t="str">
        <f>"노무비의 " &amp; N72*100 &amp; "%"</f>
        <v>노무비의 3%</v>
      </c>
      <c r="C72" s="38" t="s">
        <v>259</v>
      </c>
      <c r="D72" s="39">
        <v>1</v>
      </c>
      <c r="E72" s="40">
        <f>SUMIF(O69:O72, "02", H69:H72)</f>
        <v>7908</v>
      </c>
      <c r="F72" s="39">
        <f>ROUNDDOWN((E72)*N72, 1)</f>
        <v>237.2</v>
      </c>
      <c r="G72" s="40"/>
      <c r="H72" s="40"/>
      <c r="I72" s="40"/>
      <c r="J72" s="40"/>
      <c r="K72" s="40">
        <f t="shared" si="9"/>
        <v>7908</v>
      </c>
      <c r="L72" s="39">
        <f t="shared" si="9"/>
        <v>237.2</v>
      </c>
      <c r="M72" s="37"/>
      <c r="N72">
        <v>0.03</v>
      </c>
      <c r="P72" s="34" t="s">
        <v>254</v>
      </c>
      <c r="Q72">
        <v>1</v>
      </c>
      <c r="R72" s="34" t="s">
        <v>356</v>
      </c>
      <c r="S72" s="34" t="s">
        <v>357</v>
      </c>
    </row>
    <row r="73" spans="1:19" ht="23.1" customHeight="1" x14ac:dyDescent="0.3">
      <c r="A73" s="41" t="s">
        <v>216</v>
      </c>
      <c r="B73" s="42"/>
      <c r="C73" s="43"/>
      <c r="D73" s="44"/>
      <c r="E73" s="44"/>
      <c r="F73" s="45">
        <f>ROUNDDOWN(SUMIF(Q69:Q72, "1", F69:F72), 0)</f>
        <v>3279</v>
      </c>
      <c r="G73" s="44"/>
      <c r="H73" s="45">
        <f>ROUNDDOWN(SUMIF(Q69:Q72, "1", H69:H72), 0)</f>
        <v>7908</v>
      </c>
      <c r="I73" s="44"/>
      <c r="J73" s="45">
        <f>ROUNDDOWN(SUMIF(Q69:Q72, "1", J69:J72), 0)</f>
        <v>0</v>
      </c>
      <c r="K73" s="44"/>
      <c r="L73" s="45">
        <f>F73+H73+J73</f>
        <v>11187</v>
      </c>
      <c r="M73" s="42"/>
    </row>
    <row r="74" spans="1:19" ht="23.1" customHeight="1" x14ac:dyDescent="0.3">
      <c r="A74" s="37"/>
      <c r="B74" s="37"/>
      <c r="C74" s="46"/>
      <c r="D74" s="47"/>
      <c r="E74" s="47"/>
      <c r="F74" s="47"/>
      <c r="G74" s="47"/>
      <c r="H74" s="47"/>
      <c r="I74" s="47"/>
      <c r="J74" s="47"/>
      <c r="K74" s="47"/>
      <c r="L74" s="47"/>
      <c r="M74" s="37"/>
    </row>
    <row r="75" spans="1:19" ht="23.1" customHeight="1" x14ac:dyDescent="0.3">
      <c r="A75" s="180" t="s">
        <v>379</v>
      </c>
      <c r="B75" s="181"/>
      <c r="C75" s="181"/>
      <c r="D75" s="181"/>
      <c r="E75" s="181"/>
      <c r="F75" s="181"/>
      <c r="G75" s="181"/>
      <c r="H75" s="181"/>
      <c r="I75" s="181"/>
      <c r="J75" s="181"/>
      <c r="K75" s="181"/>
      <c r="L75" s="181"/>
      <c r="M75" s="35" t="s">
        <v>380</v>
      </c>
    </row>
    <row r="76" spans="1:19" ht="23.1" customHeight="1" x14ac:dyDescent="0.3">
      <c r="A76" s="36" t="s">
        <v>99</v>
      </c>
      <c r="B76" s="36" t="s">
        <v>100</v>
      </c>
      <c r="C76" s="38" t="s">
        <v>19</v>
      </c>
      <c r="D76" s="39">
        <v>1</v>
      </c>
      <c r="E76" s="40">
        <f>ROUNDDOWN(단가대비표!O24, 0)</f>
        <v>3913</v>
      </c>
      <c r="F76" s="40">
        <f>ROUNDDOWN(D76*E76, 1)</f>
        <v>3913</v>
      </c>
      <c r="G76" s="40">
        <v>0</v>
      </c>
      <c r="H76" s="40">
        <f>ROUNDDOWN(D76*G76, 1)</f>
        <v>0</v>
      </c>
      <c r="I76" s="40">
        <v>0</v>
      </c>
      <c r="J76" s="40">
        <f>ROUNDDOWN(D76*I76, 1)</f>
        <v>0</v>
      </c>
      <c r="K76" s="40">
        <f t="shared" ref="K76:L80" si="10">E76+G76+I76</f>
        <v>3913</v>
      </c>
      <c r="L76" s="40">
        <f t="shared" si="10"/>
        <v>3913</v>
      </c>
      <c r="M76" s="36" t="s">
        <v>103</v>
      </c>
      <c r="O76" s="34" t="s">
        <v>257</v>
      </c>
      <c r="P76" s="34" t="s">
        <v>254</v>
      </c>
      <c r="Q76">
        <v>1</v>
      </c>
    </row>
    <row r="77" spans="1:19" ht="23.1" customHeight="1" x14ac:dyDescent="0.3">
      <c r="A77" s="36" t="s">
        <v>99</v>
      </c>
      <c r="B77" s="36" t="s">
        <v>100</v>
      </c>
      <c r="C77" s="38" t="s">
        <v>19</v>
      </c>
      <c r="D77" s="39">
        <v>7.4999999999999997E-2</v>
      </c>
      <c r="E77" s="40">
        <f>ROUNDDOWN(단가대비표!O24, 0)</f>
        <v>3913</v>
      </c>
      <c r="F77" s="39">
        <f>ROUNDDOWN(D77*E77, 1)</f>
        <v>293.39999999999998</v>
      </c>
      <c r="G77" s="40">
        <v>0</v>
      </c>
      <c r="H77" s="40">
        <f>ROUNDDOWN(D77*G77, 1)</f>
        <v>0</v>
      </c>
      <c r="I77" s="40">
        <v>0</v>
      </c>
      <c r="J77" s="40">
        <f>ROUNDDOWN(D77*I77, 1)</f>
        <v>0</v>
      </c>
      <c r="K77" s="40">
        <f t="shared" si="10"/>
        <v>3913</v>
      </c>
      <c r="L77" s="39">
        <f t="shared" si="10"/>
        <v>293.39999999999998</v>
      </c>
      <c r="M77" s="36" t="s">
        <v>103</v>
      </c>
      <c r="O77" s="34" t="s">
        <v>360</v>
      </c>
      <c r="P77" s="34" t="s">
        <v>254</v>
      </c>
      <c r="Q77">
        <v>1</v>
      </c>
    </row>
    <row r="78" spans="1:19" ht="23.1" customHeight="1" x14ac:dyDescent="0.3">
      <c r="A78" s="36" t="s">
        <v>381</v>
      </c>
      <c r="B78" s="37" t="str">
        <f>"배관배선의 " &amp; N78*100 &amp; "%"</f>
        <v>배관배선의 2%</v>
      </c>
      <c r="C78" s="38" t="s">
        <v>259</v>
      </c>
      <c r="D78" s="39">
        <v>1</v>
      </c>
      <c r="E78" s="40">
        <f>SUMIF(O76:O80, "01", F76:F80)</f>
        <v>3913</v>
      </c>
      <c r="F78" s="39">
        <f>ROUNDDOWN((E78)*N78, 1)</f>
        <v>78.2</v>
      </c>
      <c r="G78" s="40">
        <v>0</v>
      </c>
      <c r="H78" s="40">
        <v>0</v>
      </c>
      <c r="I78" s="40">
        <v>0</v>
      </c>
      <c r="J78" s="40">
        <v>0</v>
      </c>
      <c r="K78" s="40">
        <f t="shared" si="10"/>
        <v>3913</v>
      </c>
      <c r="L78" s="39">
        <f t="shared" si="10"/>
        <v>78.2</v>
      </c>
      <c r="M78" s="37"/>
      <c r="N78">
        <v>0.02</v>
      </c>
      <c r="P78" s="34" t="s">
        <v>254</v>
      </c>
      <c r="Q78">
        <v>1</v>
      </c>
      <c r="R78" s="34" t="s">
        <v>261</v>
      </c>
      <c r="S78" s="34" t="s">
        <v>262</v>
      </c>
    </row>
    <row r="79" spans="1:19" ht="23.1" customHeight="1" x14ac:dyDescent="0.3">
      <c r="A79" s="36" t="s">
        <v>150</v>
      </c>
      <c r="B79" s="36" t="s">
        <v>131</v>
      </c>
      <c r="C79" s="38" t="s">
        <v>132</v>
      </c>
      <c r="D79" s="39">
        <v>3.5000000000000003E-2</v>
      </c>
      <c r="E79" s="40">
        <v>0</v>
      </c>
      <c r="F79" s="40">
        <f>ROUNDDOWN(D79*E79, 1)</f>
        <v>0</v>
      </c>
      <c r="G79" s="40">
        <f>ROUNDDOWN(단가대비표!O43, 0)</f>
        <v>436224</v>
      </c>
      <c r="H79" s="39">
        <f>ROUNDDOWN(D79*G79, 1)</f>
        <v>15267.8</v>
      </c>
      <c r="I79" s="40">
        <v>0</v>
      </c>
      <c r="J79" s="40">
        <f>ROUNDDOWN(D79*I79, 1)</f>
        <v>0</v>
      </c>
      <c r="K79" s="40">
        <f t="shared" si="10"/>
        <v>436224</v>
      </c>
      <c r="L79" s="39">
        <f t="shared" si="10"/>
        <v>15267.8</v>
      </c>
      <c r="M79" s="37"/>
      <c r="O79" s="34" t="s">
        <v>265</v>
      </c>
      <c r="P79" s="34" t="s">
        <v>254</v>
      </c>
      <c r="Q79">
        <v>1</v>
      </c>
    </row>
    <row r="80" spans="1:19" ht="23.1" customHeight="1" x14ac:dyDescent="0.3">
      <c r="A80" s="36" t="s">
        <v>355</v>
      </c>
      <c r="B80" s="37" t="str">
        <f>"인력품의 " &amp; N80*100 &amp; "%"</f>
        <v>인력품의 3%</v>
      </c>
      <c r="C80" s="38" t="s">
        <v>259</v>
      </c>
      <c r="D80" s="39">
        <v>1</v>
      </c>
      <c r="E80" s="39">
        <f>SUMIF(O76:O80, "02", H76:H80)</f>
        <v>15267.8</v>
      </c>
      <c r="F80" s="40">
        <f>ROUNDDOWN((E80)*N80, 1)</f>
        <v>458</v>
      </c>
      <c r="G80" s="40">
        <v>0</v>
      </c>
      <c r="H80" s="40">
        <v>0</v>
      </c>
      <c r="I80" s="40">
        <v>0</v>
      </c>
      <c r="J80" s="40">
        <v>0</v>
      </c>
      <c r="K80" s="39">
        <f t="shared" si="10"/>
        <v>15267.8</v>
      </c>
      <c r="L80" s="40">
        <f t="shared" si="10"/>
        <v>458</v>
      </c>
      <c r="M80" s="37"/>
      <c r="N80">
        <v>0.03</v>
      </c>
      <c r="P80" s="34" t="s">
        <v>254</v>
      </c>
      <c r="Q80">
        <v>1</v>
      </c>
      <c r="R80" s="34" t="s">
        <v>356</v>
      </c>
      <c r="S80" s="34" t="s">
        <v>357</v>
      </c>
    </row>
    <row r="81" spans="1:20" ht="23.1" customHeight="1" x14ac:dyDescent="0.3">
      <c r="A81" s="41" t="s">
        <v>216</v>
      </c>
      <c r="B81" s="42"/>
      <c r="C81" s="43"/>
      <c r="D81" s="44"/>
      <c r="E81" s="44"/>
      <c r="F81" s="45">
        <f>ROUNDDOWN(SUMIF(Q76:Q80, "1", F76:F80), 0)</f>
        <v>4742</v>
      </c>
      <c r="G81" s="44"/>
      <c r="H81" s="45">
        <f>ROUNDDOWN(SUMIF(Q76:Q80, "1", H76:H80), 0)</f>
        <v>15267</v>
      </c>
      <c r="I81" s="44"/>
      <c r="J81" s="45">
        <f>ROUNDDOWN(SUMIF(Q76:Q80, "1", J76:J80), 0)</f>
        <v>0</v>
      </c>
      <c r="K81" s="44"/>
      <c r="L81" s="45">
        <f>F81+H81+J81</f>
        <v>20009</v>
      </c>
      <c r="M81" s="42"/>
    </row>
    <row r="82" spans="1:20" ht="23.1" customHeight="1" x14ac:dyDescent="0.3">
      <c r="A82" s="37"/>
      <c r="B82" s="37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37"/>
    </row>
    <row r="83" spans="1:20" ht="23.1" customHeight="1" x14ac:dyDescent="0.3">
      <c r="A83" s="180" t="s">
        <v>222</v>
      </c>
      <c r="B83" s="181"/>
      <c r="C83" s="181"/>
      <c r="D83" s="181"/>
      <c r="E83" s="181"/>
      <c r="F83" s="181"/>
      <c r="G83" s="181"/>
      <c r="H83" s="181"/>
      <c r="I83" s="181"/>
      <c r="J83" s="181"/>
      <c r="K83" s="181"/>
      <c r="L83" s="181"/>
      <c r="M83" s="35" t="s">
        <v>223</v>
      </c>
    </row>
    <row r="84" spans="1:20" ht="23.1" customHeight="1" x14ac:dyDescent="0.3">
      <c r="A84" s="36" t="s">
        <v>91</v>
      </c>
      <c r="B84" s="36" t="s">
        <v>92</v>
      </c>
      <c r="C84" s="38" t="s">
        <v>19</v>
      </c>
      <c r="D84" s="39">
        <f>일위공량산출서!F40</f>
        <v>1</v>
      </c>
      <c r="E84" s="40">
        <f>ROUNDDOWN(단가대비표!O22, 0)</f>
        <v>1157</v>
      </c>
      <c r="F84" s="40">
        <f>ROUNDDOWN(D84*E84, 1)</f>
        <v>1157</v>
      </c>
      <c r="G84" s="40">
        <v>0</v>
      </c>
      <c r="H84" s="40">
        <f>ROUNDDOWN(D84*G84, 1)</f>
        <v>0</v>
      </c>
      <c r="I84" s="40">
        <v>0</v>
      </c>
      <c r="J84" s="40">
        <f>ROUNDDOWN(D84*I84, 1)</f>
        <v>0</v>
      </c>
      <c r="K84" s="40">
        <f t="shared" ref="K84:L87" si="11">E84+G84+I84</f>
        <v>1157</v>
      </c>
      <c r="L84" s="40">
        <f t="shared" si="11"/>
        <v>1157</v>
      </c>
      <c r="M84" s="37"/>
      <c r="O84" s="34" t="s">
        <v>374</v>
      </c>
      <c r="P84" s="34" t="s">
        <v>254</v>
      </c>
      <c r="Q84">
        <v>1</v>
      </c>
    </row>
    <row r="85" spans="1:20" ht="23.1" customHeight="1" x14ac:dyDescent="0.3">
      <c r="A85" s="36" t="s">
        <v>378</v>
      </c>
      <c r="B85" s="37" t="str">
        <f>"배관배선의 " &amp; N85*100 &amp; "%"</f>
        <v>배관배선의 2%</v>
      </c>
      <c r="C85" s="38" t="s">
        <v>259</v>
      </c>
      <c r="D85" s="39">
        <v>1</v>
      </c>
      <c r="E85" s="40">
        <f>SUMIF(O84:O87, "04", F84:F87)</f>
        <v>1157</v>
      </c>
      <c r="F85" s="39">
        <f>ROUNDDOWN((E85)*N85, 1)</f>
        <v>23.1</v>
      </c>
      <c r="G85" s="40"/>
      <c r="H85" s="40"/>
      <c r="I85" s="40"/>
      <c r="J85" s="40"/>
      <c r="K85" s="40">
        <f t="shared" si="11"/>
        <v>1157</v>
      </c>
      <c r="L85" s="39">
        <f t="shared" si="11"/>
        <v>23.1</v>
      </c>
      <c r="M85" s="37"/>
      <c r="N85">
        <v>0.02</v>
      </c>
      <c r="P85" s="34" t="s">
        <v>254</v>
      </c>
      <c r="Q85">
        <v>1</v>
      </c>
      <c r="R85" s="34" t="s">
        <v>261</v>
      </c>
      <c r="S85" s="34" t="s">
        <v>376</v>
      </c>
    </row>
    <row r="86" spans="1:20" ht="23.1" customHeight="1" x14ac:dyDescent="0.3">
      <c r="A86" s="36" t="s">
        <v>136</v>
      </c>
      <c r="B86" s="36" t="s">
        <v>131</v>
      </c>
      <c r="C86" s="38" t="s">
        <v>132</v>
      </c>
      <c r="D86" s="39">
        <f>일위공량산출서!G43</f>
        <v>6.0000000000000001E-3</v>
      </c>
      <c r="E86" s="40"/>
      <c r="F86" s="40">
        <f>ROUNDDOWN(D86*E86, 1)</f>
        <v>0</v>
      </c>
      <c r="G86" s="40">
        <f>ROUNDDOWN(단가대비표!O32, 0)</f>
        <v>273676</v>
      </c>
      <c r="H86" s="40">
        <f>ROUNDDOWN(D86*G86, 1)</f>
        <v>1642</v>
      </c>
      <c r="I86" s="40"/>
      <c r="J86" s="40">
        <f>ROUNDDOWN(D86*I86, 1)</f>
        <v>0</v>
      </c>
      <c r="K86" s="40">
        <f t="shared" si="11"/>
        <v>273676</v>
      </c>
      <c r="L86" s="40">
        <f t="shared" si="11"/>
        <v>1642</v>
      </c>
      <c r="M86" s="37"/>
      <c r="O86" s="34" t="s">
        <v>265</v>
      </c>
      <c r="P86" s="34" t="s">
        <v>254</v>
      </c>
      <c r="Q86">
        <v>1</v>
      </c>
    </row>
    <row r="87" spans="1:20" ht="23.1" customHeight="1" x14ac:dyDescent="0.3">
      <c r="A87" s="36" t="s">
        <v>355</v>
      </c>
      <c r="B87" s="37" t="str">
        <f>"노무비의 " &amp; N87*100 &amp; "%"</f>
        <v>노무비의 3%</v>
      </c>
      <c r="C87" s="38" t="s">
        <v>259</v>
      </c>
      <c r="D87" s="39">
        <v>1</v>
      </c>
      <c r="E87" s="40">
        <f>SUMIF(O84:O87, "02", H84:H87)</f>
        <v>1642</v>
      </c>
      <c r="F87" s="39">
        <f>ROUNDDOWN((E87)*N87, 1)</f>
        <v>49.2</v>
      </c>
      <c r="G87" s="40"/>
      <c r="H87" s="40"/>
      <c r="I87" s="40"/>
      <c r="J87" s="40"/>
      <c r="K87" s="40">
        <f t="shared" si="11"/>
        <v>1642</v>
      </c>
      <c r="L87" s="39">
        <f t="shared" si="11"/>
        <v>49.2</v>
      </c>
      <c r="M87" s="37"/>
      <c r="N87">
        <v>0.03</v>
      </c>
      <c r="P87" s="34" t="s">
        <v>254</v>
      </c>
      <c r="Q87">
        <v>1</v>
      </c>
      <c r="R87" s="34" t="s">
        <v>356</v>
      </c>
      <c r="S87" s="34" t="s">
        <v>357</v>
      </c>
    </row>
    <row r="88" spans="1:20" ht="23.1" customHeight="1" x14ac:dyDescent="0.3">
      <c r="A88" s="41" t="s">
        <v>216</v>
      </c>
      <c r="B88" s="42"/>
      <c r="C88" s="43"/>
      <c r="D88" s="44"/>
      <c r="E88" s="44"/>
      <c r="F88" s="45">
        <f>ROUNDDOWN(SUMIF(Q84:Q87, "1", F84:F87), 0)</f>
        <v>1229</v>
      </c>
      <c r="G88" s="44"/>
      <c r="H88" s="45">
        <f>ROUNDDOWN(SUMIF(Q84:Q87, "1", H84:H87), 0)</f>
        <v>1642</v>
      </c>
      <c r="I88" s="44"/>
      <c r="J88" s="45">
        <f>ROUNDDOWN(SUMIF(Q84:Q87, "1", J84:J87), 0)</f>
        <v>0</v>
      </c>
      <c r="K88" s="44"/>
      <c r="L88" s="45">
        <f>F88+H88+J88</f>
        <v>2871</v>
      </c>
      <c r="M88" s="42"/>
    </row>
    <row r="89" spans="1:20" ht="23.1" customHeight="1" x14ac:dyDescent="0.3">
      <c r="A89" s="37"/>
      <c r="B89" s="37"/>
      <c r="C89" s="46"/>
      <c r="D89" s="47"/>
      <c r="E89" s="47"/>
      <c r="F89" s="47"/>
      <c r="G89" s="47"/>
      <c r="H89" s="47"/>
      <c r="I89" s="47"/>
      <c r="J89" s="47"/>
      <c r="K89" s="47"/>
      <c r="L89" s="47"/>
      <c r="M89" s="37"/>
    </row>
    <row r="90" spans="1:20" ht="23.1" customHeight="1" x14ac:dyDescent="0.3">
      <c r="A90" s="180" t="s">
        <v>382</v>
      </c>
      <c r="B90" s="181"/>
      <c r="C90" s="181"/>
      <c r="D90" s="181"/>
      <c r="E90" s="181"/>
      <c r="F90" s="181"/>
      <c r="G90" s="181"/>
      <c r="H90" s="181"/>
      <c r="I90" s="181"/>
      <c r="J90" s="181"/>
      <c r="K90" s="181"/>
      <c r="L90" s="181"/>
      <c r="M90" s="50"/>
    </row>
    <row r="91" spans="1:20" ht="23.1" customHeight="1" x14ac:dyDescent="0.3">
      <c r="A91" s="36" t="s">
        <v>86</v>
      </c>
      <c r="B91" s="36" t="s">
        <v>87</v>
      </c>
      <c r="C91" s="38" t="s">
        <v>40</v>
      </c>
      <c r="D91" s="39">
        <v>1</v>
      </c>
      <c r="E91" s="40">
        <f>ROUNDDOWN(단가대비표!O21, 0)</f>
        <v>3381</v>
      </c>
      <c r="F91" s="40">
        <f>ROUNDDOWN(D91*E91, 1)</f>
        <v>3381</v>
      </c>
      <c r="G91" s="40">
        <v>0</v>
      </c>
      <c r="H91" s="40">
        <f>ROUNDDOWN(D91*G91, 1)</f>
        <v>0</v>
      </c>
      <c r="I91" s="40">
        <v>0</v>
      </c>
      <c r="J91" s="40">
        <f>ROUNDDOWN(D91*I91, 1)</f>
        <v>0</v>
      </c>
      <c r="K91" s="40">
        <f t="shared" ref="K91:L95" si="12">E91+G91+I91</f>
        <v>3381</v>
      </c>
      <c r="L91" s="40">
        <f t="shared" si="12"/>
        <v>3381</v>
      </c>
      <c r="M91" s="37"/>
      <c r="O91" s="34" t="s">
        <v>257</v>
      </c>
      <c r="P91" s="34" t="s">
        <v>254</v>
      </c>
      <c r="Q91">
        <v>1</v>
      </c>
    </row>
    <row r="92" spans="1:20" ht="23.1" customHeight="1" x14ac:dyDescent="0.3">
      <c r="A92" s="36" t="s">
        <v>96</v>
      </c>
      <c r="B92" s="36" t="s">
        <v>97</v>
      </c>
      <c r="C92" s="38" t="s">
        <v>98</v>
      </c>
      <c r="D92" s="39">
        <v>2</v>
      </c>
      <c r="E92" s="40">
        <f>ROUNDDOWN(단가대비표!O23, 2)</f>
        <v>0</v>
      </c>
      <c r="F92" s="40">
        <f>ROUNDDOWN(D92*E92, 1)</f>
        <v>0</v>
      </c>
      <c r="G92" s="40">
        <v>0</v>
      </c>
      <c r="H92" s="40">
        <f>ROUNDDOWN(D92*G92, 1)</f>
        <v>0</v>
      </c>
      <c r="I92" s="40">
        <v>0</v>
      </c>
      <c r="J92" s="40">
        <f>ROUNDDOWN(D92*I92, 1)</f>
        <v>0</v>
      </c>
      <c r="K92" s="40">
        <f t="shared" si="12"/>
        <v>0</v>
      </c>
      <c r="L92" s="40">
        <f t="shared" si="12"/>
        <v>0</v>
      </c>
      <c r="M92" s="37"/>
      <c r="O92" s="34" t="s">
        <v>374</v>
      </c>
      <c r="P92" s="34" t="s">
        <v>254</v>
      </c>
      <c r="Q92">
        <v>1</v>
      </c>
    </row>
    <row r="93" spans="1:20" ht="23.1" customHeight="1" x14ac:dyDescent="0.3">
      <c r="A93" s="36" t="s">
        <v>381</v>
      </c>
      <c r="B93" s="37" t="str">
        <f>"배관배선의 " &amp; N93*100 &amp; "%"</f>
        <v>배관배선의 2%</v>
      </c>
      <c r="C93" s="38" t="s">
        <v>259</v>
      </c>
      <c r="D93" s="39">
        <v>1</v>
      </c>
      <c r="E93" s="40">
        <f>SUMIF(O91:O95, "04", F91:F95)</f>
        <v>0</v>
      </c>
      <c r="F93" s="40">
        <f>ROUNDDOWN((E93)*N93, 1)</f>
        <v>0</v>
      </c>
      <c r="G93" s="40">
        <v>0</v>
      </c>
      <c r="H93" s="40">
        <v>0</v>
      </c>
      <c r="I93" s="40">
        <v>0</v>
      </c>
      <c r="J93" s="40">
        <v>0</v>
      </c>
      <c r="K93" s="40">
        <f t="shared" si="12"/>
        <v>0</v>
      </c>
      <c r="L93" s="40">
        <f t="shared" si="12"/>
        <v>0</v>
      </c>
      <c r="M93" s="37"/>
      <c r="N93">
        <v>0.02</v>
      </c>
      <c r="P93" s="34" t="s">
        <v>254</v>
      </c>
      <c r="Q93">
        <v>1</v>
      </c>
      <c r="R93" s="34" t="s">
        <v>261</v>
      </c>
      <c r="S93" s="34" t="s">
        <v>376</v>
      </c>
      <c r="T93" s="34" t="s">
        <v>263</v>
      </c>
    </row>
    <row r="94" spans="1:20" ht="23.1" customHeight="1" x14ac:dyDescent="0.3">
      <c r="A94" s="36" t="s">
        <v>136</v>
      </c>
      <c r="B94" s="36" t="s">
        <v>131</v>
      </c>
      <c r="C94" s="38" t="s">
        <v>132</v>
      </c>
      <c r="D94" s="39">
        <v>0.11000000000000001</v>
      </c>
      <c r="E94" s="40">
        <v>0</v>
      </c>
      <c r="F94" s="40">
        <f>ROUNDDOWN(D94*E94, 1)</f>
        <v>0</v>
      </c>
      <c r="G94" s="40">
        <f>ROUNDDOWN(단가대비표!O32, 0)</f>
        <v>273676</v>
      </c>
      <c r="H94" s="39">
        <f>ROUNDDOWN(D94*G94, 1)</f>
        <v>30104.3</v>
      </c>
      <c r="I94" s="40">
        <v>0</v>
      </c>
      <c r="J94" s="40">
        <f>ROUNDDOWN(D94*I94, 1)</f>
        <v>0</v>
      </c>
      <c r="K94" s="40">
        <f t="shared" si="12"/>
        <v>273676</v>
      </c>
      <c r="L94" s="39">
        <f t="shared" si="12"/>
        <v>30104.3</v>
      </c>
      <c r="M94" s="37"/>
      <c r="O94" s="34" t="s">
        <v>265</v>
      </c>
      <c r="P94" s="34" t="s">
        <v>254</v>
      </c>
      <c r="Q94">
        <v>1</v>
      </c>
    </row>
    <row r="95" spans="1:20" ht="23.1" customHeight="1" x14ac:dyDescent="0.3">
      <c r="A95" s="36" t="s">
        <v>140</v>
      </c>
      <c r="B95" s="36" t="s">
        <v>131</v>
      </c>
      <c r="C95" s="38" t="s">
        <v>132</v>
      </c>
      <c r="D95" s="39">
        <v>0.08</v>
      </c>
      <c r="E95" s="40">
        <v>0</v>
      </c>
      <c r="F95" s="40">
        <f>ROUNDDOWN(D95*E95, 1)</f>
        <v>0</v>
      </c>
      <c r="G95" s="40">
        <f>ROUNDDOWN(단가대비표!O35, 0)</f>
        <v>172068</v>
      </c>
      <c r="H95" s="39">
        <f>ROUNDDOWN(D95*G95, 1)</f>
        <v>13765.4</v>
      </c>
      <c r="I95" s="40">
        <v>0</v>
      </c>
      <c r="J95" s="40">
        <f>ROUNDDOWN(D95*I95, 1)</f>
        <v>0</v>
      </c>
      <c r="K95" s="40">
        <f t="shared" si="12"/>
        <v>172068</v>
      </c>
      <c r="L95" s="39">
        <f t="shared" si="12"/>
        <v>13765.4</v>
      </c>
      <c r="M95" s="37"/>
      <c r="O95" s="34" t="s">
        <v>265</v>
      </c>
      <c r="P95" s="34" t="s">
        <v>254</v>
      </c>
      <c r="Q95">
        <v>1</v>
      </c>
    </row>
    <row r="96" spans="1:20" ht="23.1" customHeight="1" x14ac:dyDescent="0.3">
      <c r="A96" s="41" t="s">
        <v>216</v>
      </c>
      <c r="B96" s="42"/>
      <c r="C96" s="43"/>
      <c r="D96" s="44"/>
      <c r="E96" s="44"/>
      <c r="F96" s="45">
        <f>ROUNDDOWN(SUMIF(Q91:Q95, "1", F91:F95), 0)</f>
        <v>3381</v>
      </c>
      <c r="G96" s="44"/>
      <c r="H96" s="45">
        <f>ROUNDDOWN(SUMIF(Q91:Q95, "1", H91:H95), 0)</f>
        <v>43869</v>
      </c>
      <c r="I96" s="44"/>
      <c r="J96" s="45">
        <f>ROUNDDOWN(SUMIF(Q91:Q95, "1", J91:J95), 0)</f>
        <v>0</v>
      </c>
      <c r="K96" s="44"/>
      <c r="L96" s="45">
        <f>F96+H96+J96</f>
        <v>47250</v>
      </c>
      <c r="M96" s="42"/>
    </row>
    <row r="97" spans="1:20" ht="23.1" customHeight="1" x14ac:dyDescent="0.3">
      <c r="A97" s="37"/>
      <c r="B97" s="37"/>
      <c r="C97" s="46"/>
      <c r="D97" s="47"/>
      <c r="E97" s="47"/>
      <c r="F97" s="47"/>
      <c r="G97" s="47"/>
      <c r="H97" s="47"/>
      <c r="I97" s="47"/>
      <c r="J97" s="47"/>
      <c r="K97" s="47"/>
      <c r="L97" s="47"/>
      <c r="M97" s="37"/>
    </row>
    <row r="98" spans="1:20" ht="23.1" customHeight="1" x14ac:dyDescent="0.3">
      <c r="A98" s="180" t="s">
        <v>224</v>
      </c>
      <c r="B98" s="181"/>
      <c r="C98" s="181"/>
      <c r="D98" s="181"/>
      <c r="E98" s="181"/>
      <c r="F98" s="181"/>
      <c r="G98" s="181"/>
      <c r="H98" s="181"/>
      <c r="I98" s="181"/>
      <c r="J98" s="181"/>
      <c r="K98" s="181"/>
      <c r="L98" s="181"/>
      <c r="M98" s="35" t="s">
        <v>225</v>
      </c>
    </row>
    <row r="99" spans="1:20" ht="23.1" customHeight="1" x14ac:dyDescent="0.3">
      <c r="A99" s="36" t="s">
        <v>127</v>
      </c>
      <c r="B99" s="36" t="s">
        <v>128</v>
      </c>
      <c r="C99" s="38" t="s">
        <v>72</v>
      </c>
      <c r="D99" s="39">
        <f>일위공량산출서!F48</f>
        <v>1</v>
      </c>
      <c r="E99" s="40">
        <f>ROUNDDOWN(단가대비표!O29, 0)</f>
        <v>20125</v>
      </c>
      <c r="F99" s="40">
        <f>ROUNDDOWN(D99*E99, 1)</f>
        <v>20125</v>
      </c>
      <c r="G99" s="40">
        <v>0</v>
      </c>
      <c r="H99" s="40">
        <f>ROUNDDOWN(D99*G99, 1)</f>
        <v>0</v>
      </c>
      <c r="I99" s="40">
        <v>0</v>
      </c>
      <c r="J99" s="40">
        <f>ROUNDDOWN(D99*I99, 1)</f>
        <v>0</v>
      </c>
      <c r="K99" s="40">
        <f t="shared" ref="K99:L101" si="13">E99+G99+I99</f>
        <v>20125</v>
      </c>
      <c r="L99" s="40">
        <f t="shared" si="13"/>
        <v>20125</v>
      </c>
      <c r="M99" s="37"/>
      <c r="O99" s="34" t="s">
        <v>257</v>
      </c>
      <c r="P99" s="34" t="s">
        <v>254</v>
      </c>
      <c r="Q99">
        <v>1</v>
      </c>
    </row>
    <row r="100" spans="1:20" ht="23.1" customHeight="1" x14ac:dyDescent="0.3">
      <c r="A100" s="36" t="s">
        <v>136</v>
      </c>
      <c r="B100" s="36" t="s">
        <v>131</v>
      </c>
      <c r="C100" s="38" t="s">
        <v>132</v>
      </c>
      <c r="D100" s="39">
        <f>일위공량산출서!G51</f>
        <v>0.35</v>
      </c>
      <c r="E100" s="40"/>
      <c r="F100" s="40">
        <f>ROUNDDOWN(D100*E100, 1)</f>
        <v>0</v>
      </c>
      <c r="G100" s="40">
        <f>ROUNDDOWN(단가대비표!O32, 0)</f>
        <v>273676</v>
      </c>
      <c r="H100" s="39">
        <f>ROUNDDOWN(D100*G100, 1)</f>
        <v>95786.6</v>
      </c>
      <c r="I100" s="40"/>
      <c r="J100" s="40">
        <f>ROUNDDOWN(D100*I100, 1)</f>
        <v>0</v>
      </c>
      <c r="K100" s="40">
        <f t="shared" si="13"/>
        <v>273676</v>
      </c>
      <c r="L100" s="39">
        <f t="shared" si="13"/>
        <v>95786.6</v>
      </c>
      <c r="M100" s="37"/>
      <c r="O100" s="34" t="s">
        <v>265</v>
      </c>
      <c r="P100" s="34" t="s">
        <v>254</v>
      </c>
      <c r="Q100">
        <v>1</v>
      </c>
    </row>
    <row r="101" spans="1:20" ht="23.1" customHeight="1" x14ac:dyDescent="0.3">
      <c r="A101" s="36" t="s">
        <v>355</v>
      </c>
      <c r="B101" s="37" t="str">
        <f>"노무비의 " &amp; N101*100 &amp; "%"</f>
        <v>노무비의 3%</v>
      </c>
      <c r="C101" s="38" t="s">
        <v>259</v>
      </c>
      <c r="D101" s="39">
        <v>1</v>
      </c>
      <c r="E101" s="39">
        <f>SUMIF(O99:O101, "02", H99:H101)</f>
        <v>95786.6</v>
      </c>
      <c r="F101" s="39">
        <f>ROUNDDOWN((E101)*N101, 1)</f>
        <v>2873.5</v>
      </c>
      <c r="G101" s="40"/>
      <c r="H101" s="40"/>
      <c r="I101" s="40"/>
      <c r="J101" s="40"/>
      <c r="K101" s="39">
        <f t="shared" si="13"/>
        <v>95786.6</v>
      </c>
      <c r="L101" s="39">
        <f t="shared" si="13"/>
        <v>2873.5</v>
      </c>
      <c r="M101" s="37"/>
      <c r="N101">
        <v>0.03</v>
      </c>
      <c r="P101" s="34" t="s">
        <v>254</v>
      </c>
      <c r="Q101">
        <v>1</v>
      </c>
      <c r="R101" s="34" t="s">
        <v>356</v>
      </c>
      <c r="S101" s="34" t="s">
        <v>357</v>
      </c>
    </row>
    <row r="102" spans="1:20" ht="23.1" customHeight="1" x14ac:dyDescent="0.3">
      <c r="A102" s="41" t="s">
        <v>216</v>
      </c>
      <c r="B102" s="42"/>
      <c r="C102" s="43"/>
      <c r="D102" s="44"/>
      <c r="E102" s="44"/>
      <c r="F102" s="45">
        <f>ROUNDDOWN(SUMIF(Q99:Q101, "1", F99:F101), 0)</f>
        <v>22998</v>
      </c>
      <c r="G102" s="44"/>
      <c r="H102" s="45">
        <f>ROUNDDOWN(SUMIF(Q99:Q101, "1", H99:H101), 0)</f>
        <v>95786</v>
      </c>
      <c r="I102" s="44"/>
      <c r="J102" s="45">
        <f>ROUNDDOWN(SUMIF(Q99:Q101, "1", J99:J101), 0)</f>
        <v>0</v>
      </c>
      <c r="K102" s="44"/>
      <c r="L102" s="45">
        <f>F102+H102+J102</f>
        <v>118784</v>
      </c>
      <c r="M102" s="42"/>
    </row>
    <row r="103" spans="1:20" ht="23.1" customHeight="1" x14ac:dyDescent="0.3">
      <c r="A103" s="37"/>
      <c r="B103" s="37"/>
      <c r="C103" s="46"/>
      <c r="D103" s="47"/>
      <c r="E103" s="47"/>
      <c r="F103" s="47"/>
      <c r="G103" s="47"/>
      <c r="H103" s="47"/>
      <c r="I103" s="47"/>
      <c r="J103" s="47"/>
      <c r="K103" s="47"/>
      <c r="L103" s="47"/>
      <c r="M103" s="37"/>
    </row>
    <row r="104" spans="1:20" ht="23.1" customHeight="1" x14ac:dyDescent="0.3">
      <c r="A104" s="180" t="s">
        <v>383</v>
      </c>
      <c r="B104" s="181"/>
      <c r="C104" s="181"/>
      <c r="D104" s="181"/>
      <c r="E104" s="181"/>
      <c r="F104" s="181"/>
      <c r="G104" s="181"/>
      <c r="H104" s="181"/>
      <c r="I104" s="181"/>
      <c r="J104" s="181"/>
      <c r="K104" s="181"/>
      <c r="L104" s="181"/>
      <c r="M104" s="35" t="s">
        <v>384</v>
      </c>
    </row>
    <row r="105" spans="1:20" ht="23.1" customHeight="1" x14ac:dyDescent="0.3">
      <c r="A105" s="36" t="s">
        <v>137</v>
      </c>
      <c r="B105" s="36" t="s">
        <v>131</v>
      </c>
      <c r="C105" s="38" t="s">
        <v>132</v>
      </c>
      <c r="D105" s="39">
        <v>0.22000000000000003</v>
      </c>
      <c r="E105" s="40">
        <v>0</v>
      </c>
      <c r="F105" s="40">
        <f>ROUNDDOWN(D105*E105, 1)</f>
        <v>0</v>
      </c>
      <c r="G105" s="40">
        <f>ROUNDDOWN(단가대비표!O33, 0)</f>
        <v>414968</v>
      </c>
      <c r="H105" s="39">
        <f>ROUNDDOWN(D105*G105, 1)</f>
        <v>91292.9</v>
      </c>
      <c r="I105" s="40">
        <v>0</v>
      </c>
      <c r="J105" s="40">
        <f>ROUNDDOWN(D105*I105, 1)</f>
        <v>0</v>
      </c>
      <c r="K105" s="40">
        <f t="shared" ref="K105:L107" si="14">E105+G105+I105</f>
        <v>414968</v>
      </c>
      <c r="L105" s="39">
        <f t="shared" si="14"/>
        <v>91292.9</v>
      </c>
      <c r="M105" s="37"/>
      <c r="O105" s="34" t="s">
        <v>265</v>
      </c>
      <c r="P105" s="34" t="s">
        <v>254</v>
      </c>
      <c r="Q105">
        <v>1</v>
      </c>
    </row>
    <row r="106" spans="1:20" ht="23.1" customHeight="1" x14ac:dyDescent="0.3">
      <c r="A106" s="36" t="s">
        <v>140</v>
      </c>
      <c r="B106" s="36" t="s">
        <v>131</v>
      </c>
      <c r="C106" s="38" t="s">
        <v>132</v>
      </c>
      <c r="D106" s="39">
        <v>0.11000000000000001</v>
      </c>
      <c r="E106" s="40">
        <v>0</v>
      </c>
      <c r="F106" s="40">
        <f>ROUNDDOWN(D106*E106, 1)</f>
        <v>0</v>
      </c>
      <c r="G106" s="40">
        <f>ROUNDDOWN(단가대비표!O35, 0)</f>
        <v>172068</v>
      </c>
      <c r="H106" s="39">
        <f>ROUNDDOWN(D106*G106, 1)</f>
        <v>18927.400000000001</v>
      </c>
      <c r="I106" s="40">
        <v>0</v>
      </c>
      <c r="J106" s="40">
        <f>ROUNDDOWN(D106*I106, 1)</f>
        <v>0</v>
      </c>
      <c r="K106" s="40">
        <f t="shared" si="14"/>
        <v>172068</v>
      </c>
      <c r="L106" s="39">
        <f t="shared" si="14"/>
        <v>18927.400000000001</v>
      </c>
      <c r="M106" s="37"/>
      <c r="O106" s="34" t="s">
        <v>265</v>
      </c>
      <c r="P106" s="34" t="s">
        <v>254</v>
      </c>
      <c r="Q106">
        <v>1</v>
      </c>
    </row>
    <row r="107" spans="1:20" ht="23.1" customHeight="1" x14ac:dyDescent="0.3">
      <c r="A107" s="36" t="s">
        <v>355</v>
      </c>
      <c r="B107" s="37" t="str">
        <f>"인력품의 " &amp; N107*100 &amp; "%"</f>
        <v>인력품의 3%</v>
      </c>
      <c r="C107" s="38" t="s">
        <v>259</v>
      </c>
      <c r="D107" s="39">
        <v>1</v>
      </c>
      <c r="E107" s="39">
        <f>SUMIF(O105:O107, "02", H105:H107)</f>
        <v>110220.29999999999</v>
      </c>
      <c r="F107" s="39">
        <f>ROUNDDOWN((E107)*N107, 1)</f>
        <v>3306.6</v>
      </c>
      <c r="G107" s="40">
        <v>0</v>
      </c>
      <c r="H107" s="40">
        <v>0</v>
      </c>
      <c r="I107" s="40">
        <v>0</v>
      </c>
      <c r="J107" s="40">
        <v>0</v>
      </c>
      <c r="K107" s="39">
        <f t="shared" si="14"/>
        <v>110220.29999999999</v>
      </c>
      <c r="L107" s="39">
        <f t="shared" si="14"/>
        <v>3306.6</v>
      </c>
      <c r="M107" s="37"/>
      <c r="N107">
        <v>0.03</v>
      </c>
      <c r="P107" s="34" t="s">
        <v>254</v>
      </c>
      <c r="Q107">
        <v>1</v>
      </c>
      <c r="R107" s="34" t="s">
        <v>356</v>
      </c>
      <c r="S107" s="34" t="s">
        <v>357</v>
      </c>
      <c r="T107" s="34" t="s">
        <v>263</v>
      </c>
    </row>
    <row r="108" spans="1:20" ht="23.1" customHeight="1" x14ac:dyDescent="0.3">
      <c r="A108" s="41" t="s">
        <v>216</v>
      </c>
      <c r="B108" s="42"/>
      <c r="C108" s="43"/>
      <c r="D108" s="44"/>
      <c r="E108" s="44"/>
      <c r="F108" s="45">
        <f>ROUNDDOWN(SUMIF(Q105:Q107, "1", F105:F107), 0)</f>
        <v>3306</v>
      </c>
      <c r="G108" s="44"/>
      <c r="H108" s="45">
        <f>ROUNDDOWN(SUMIF(Q105:Q107, "1", H105:H107), 0)</f>
        <v>110220</v>
      </c>
      <c r="I108" s="44"/>
      <c r="J108" s="45">
        <f>ROUNDDOWN(SUMIF(Q105:Q107, "1", J105:J107), 0)</f>
        <v>0</v>
      </c>
      <c r="K108" s="44"/>
      <c r="L108" s="45">
        <f>F108+H108+J108</f>
        <v>113526</v>
      </c>
      <c r="M108" s="42"/>
    </row>
    <row r="109" spans="1:20" ht="23.1" customHeight="1" x14ac:dyDescent="0.3">
      <c r="A109" s="37"/>
      <c r="B109" s="37"/>
      <c r="C109" s="46"/>
      <c r="D109" s="47"/>
      <c r="E109" s="47"/>
      <c r="F109" s="47"/>
      <c r="G109" s="47"/>
      <c r="H109" s="47"/>
      <c r="I109" s="47"/>
      <c r="J109" s="47"/>
      <c r="K109" s="47"/>
      <c r="L109" s="47"/>
      <c r="M109" s="37"/>
    </row>
    <row r="110" spans="1:20" ht="23.1" customHeight="1" x14ac:dyDescent="0.3">
      <c r="A110" s="180" t="s">
        <v>385</v>
      </c>
      <c r="B110" s="181"/>
      <c r="C110" s="181"/>
      <c r="D110" s="181"/>
      <c r="E110" s="181"/>
      <c r="F110" s="181"/>
      <c r="G110" s="181"/>
      <c r="H110" s="181"/>
      <c r="I110" s="181"/>
      <c r="J110" s="181"/>
      <c r="K110" s="181"/>
      <c r="L110" s="181"/>
      <c r="M110" s="35" t="s">
        <v>386</v>
      </c>
    </row>
    <row r="111" spans="1:20" ht="23.1" customHeight="1" x14ac:dyDescent="0.3">
      <c r="A111" s="36" t="s">
        <v>147</v>
      </c>
      <c r="B111" s="36" t="s">
        <v>131</v>
      </c>
      <c r="C111" s="38" t="s">
        <v>132</v>
      </c>
      <c r="D111" s="39">
        <v>0.26800000000000002</v>
      </c>
      <c r="E111" s="40">
        <v>0</v>
      </c>
      <c r="F111" s="40">
        <f>ROUNDDOWN(D111*E111, 1)</f>
        <v>0</v>
      </c>
      <c r="G111" s="40">
        <f>ROUNDDOWN(단가대비표!O40, 0)</f>
        <v>222306</v>
      </c>
      <c r="H111" s="40">
        <f>ROUNDDOWN(D111*G111, 1)</f>
        <v>59578</v>
      </c>
      <c r="I111" s="40">
        <v>0</v>
      </c>
      <c r="J111" s="40">
        <f>ROUNDDOWN(D111*I111, 1)</f>
        <v>0</v>
      </c>
      <c r="K111" s="40">
        <f t="shared" ref="K111:L113" si="15">E111+G111+I111</f>
        <v>222306</v>
      </c>
      <c r="L111" s="40">
        <f t="shared" si="15"/>
        <v>59578</v>
      </c>
      <c r="M111" s="37"/>
      <c r="O111" s="34" t="s">
        <v>265</v>
      </c>
      <c r="P111" s="34" t="s">
        <v>254</v>
      </c>
      <c r="Q111">
        <v>1</v>
      </c>
    </row>
    <row r="112" spans="1:20" ht="23.1" customHeight="1" x14ac:dyDescent="0.3">
      <c r="A112" s="36" t="s">
        <v>140</v>
      </c>
      <c r="B112" s="36" t="s">
        <v>131</v>
      </c>
      <c r="C112" s="38" t="s">
        <v>132</v>
      </c>
      <c r="D112" s="39">
        <v>0.26800000000000002</v>
      </c>
      <c r="E112" s="40">
        <v>0</v>
      </c>
      <c r="F112" s="40">
        <f>ROUNDDOWN(D112*E112, 1)</f>
        <v>0</v>
      </c>
      <c r="G112" s="40">
        <f>ROUNDDOWN(단가대비표!O35, 0)</f>
        <v>172068</v>
      </c>
      <c r="H112" s="39">
        <f>ROUNDDOWN(D112*G112, 1)</f>
        <v>46114.2</v>
      </c>
      <c r="I112" s="40">
        <v>0</v>
      </c>
      <c r="J112" s="40">
        <f>ROUNDDOWN(D112*I112, 1)</f>
        <v>0</v>
      </c>
      <c r="K112" s="40">
        <f t="shared" si="15"/>
        <v>172068</v>
      </c>
      <c r="L112" s="39">
        <f t="shared" si="15"/>
        <v>46114.2</v>
      </c>
      <c r="M112" s="37"/>
      <c r="O112" s="34" t="s">
        <v>265</v>
      </c>
      <c r="P112" s="34" t="s">
        <v>254</v>
      </c>
      <c r="Q112">
        <v>1</v>
      </c>
    </row>
    <row r="113" spans="1:20" ht="23.1" customHeight="1" x14ac:dyDescent="0.3">
      <c r="A113" s="36" t="s">
        <v>355</v>
      </c>
      <c r="B113" s="37" t="str">
        <f>"인력품의 " &amp; N113*100 &amp; "%"</f>
        <v>인력품의 2%</v>
      </c>
      <c r="C113" s="38" t="s">
        <v>259</v>
      </c>
      <c r="D113" s="39">
        <v>1</v>
      </c>
      <c r="E113" s="39">
        <f>SUMIF(O111:O113, "02", H111:H113)</f>
        <v>105692.2</v>
      </c>
      <c r="F113" s="39">
        <f>ROUNDDOWN((E113)*N113, 1)</f>
        <v>2113.8000000000002</v>
      </c>
      <c r="G113" s="40">
        <v>0</v>
      </c>
      <c r="H113" s="40">
        <v>0</v>
      </c>
      <c r="I113" s="40">
        <v>0</v>
      </c>
      <c r="J113" s="40">
        <v>0</v>
      </c>
      <c r="K113" s="39">
        <f t="shared" si="15"/>
        <v>105692.2</v>
      </c>
      <c r="L113" s="39">
        <f t="shared" si="15"/>
        <v>2113.8000000000002</v>
      </c>
      <c r="M113" s="37"/>
      <c r="N113">
        <v>0.02</v>
      </c>
      <c r="P113" s="34" t="s">
        <v>254</v>
      </c>
      <c r="Q113">
        <v>1</v>
      </c>
      <c r="R113" s="34" t="s">
        <v>356</v>
      </c>
      <c r="S113" s="34" t="s">
        <v>357</v>
      </c>
      <c r="T113" s="34" t="s">
        <v>263</v>
      </c>
    </row>
    <row r="114" spans="1:20" ht="23.1" customHeight="1" x14ac:dyDescent="0.3">
      <c r="A114" s="41" t="s">
        <v>216</v>
      </c>
      <c r="B114" s="42"/>
      <c r="C114" s="43"/>
      <c r="D114" s="44"/>
      <c r="E114" s="44"/>
      <c r="F114" s="45">
        <f>ROUNDDOWN(SUMIF(Q111:Q113, "1", F111:F113), 0)</f>
        <v>2113</v>
      </c>
      <c r="G114" s="44"/>
      <c r="H114" s="45">
        <f>ROUNDDOWN(SUMIF(Q111:Q113, "1", H111:H113), 0)</f>
        <v>105692</v>
      </c>
      <c r="I114" s="44"/>
      <c r="J114" s="45">
        <f>ROUNDDOWN(SUMIF(Q111:Q113, "1", J111:J113), 0)</f>
        <v>0</v>
      </c>
      <c r="K114" s="44"/>
      <c r="L114" s="45">
        <f>F114+H114+J114</f>
        <v>107805</v>
      </c>
      <c r="M114" s="42"/>
    </row>
    <row r="115" spans="1:20" ht="23.1" customHeight="1" x14ac:dyDescent="0.3">
      <c r="A115" s="37"/>
      <c r="B115" s="37"/>
      <c r="C115" s="46"/>
      <c r="D115" s="47"/>
      <c r="E115" s="47"/>
      <c r="F115" s="47"/>
      <c r="G115" s="47"/>
      <c r="H115" s="47"/>
      <c r="I115" s="47"/>
      <c r="J115" s="47"/>
      <c r="K115" s="47"/>
      <c r="L115" s="47"/>
      <c r="M115" s="37"/>
    </row>
    <row r="116" spans="1:20" ht="23.1" customHeight="1" x14ac:dyDescent="0.3">
      <c r="A116" s="180" t="s">
        <v>226</v>
      </c>
      <c r="B116" s="181"/>
      <c r="C116" s="181"/>
      <c r="D116" s="181"/>
      <c r="E116" s="181"/>
      <c r="F116" s="181"/>
      <c r="G116" s="181"/>
      <c r="H116" s="181"/>
      <c r="I116" s="181"/>
      <c r="J116" s="181"/>
      <c r="K116" s="181"/>
      <c r="L116" s="181"/>
      <c r="M116" s="35" t="s">
        <v>228</v>
      </c>
    </row>
    <row r="117" spans="1:20" ht="23.1" customHeight="1" x14ac:dyDescent="0.3">
      <c r="A117" s="36" t="s">
        <v>227</v>
      </c>
      <c r="B117" s="36" t="s">
        <v>57</v>
      </c>
      <c r="C117" s="38" t="s">
        <v>58</v>
      </c>
      <c r="D117" s="39">
        <f>일위공량산출서!F56</f>
        <v>1</v>
      </c>
      <c r="E117" s="40">
        <f>ROUNDDOWN(단가대비표!O14, 0)</f>
        <v>1183000</v>
      </c>
      <c r="F117" s="40">
        <f>ROUNDDOWN(D117*E117, 1)</f>
        <v>1183000</v>
      </c>
      <c r="G117" s="40">
        <v>0</v>
      </c>
      <c r="H117" s="40">
        <f>ROUNDDOWN(D117*G117, 1)</f>
        <v>0</v>
      </c>
      <c r="I117" s="40">
        <v>0</v>
      </c>
      <c r="J117" s="40">
        <f>ROUNDDOWN(D117*I117, 1)</f>
        <v>0</v>
      </c>
      <c r="K117" s="40">
        <f t="shared" ref="K117:L120" si="16">E117+G117+I117</f>
        <v>1183000</v>
      </c>
      <c r="L117" s="40">
        <f t="shared" si="16"/>
        <v>1183000</v>
      </c>
      <c r="M117" s="36" t="s">
        <v>61</v>
      </c>
      <c r="O117" s="34" t="s">
        <v>257</v>
      </c>
      <c r="P117" s="34" t="s">
        <v>254</v>
      </c>
      <c r="Q117">
        <v>1</v>
      </c>
    </row>
    <row r="118" spans="1:20" ht="23.1" customHeight="1" x14ac:dyDescent="0.3">
      <c r="A118" s="36" t="s">
        <v>134</v>
      </c>
      <c r="B118" s="36" t="s">
        <v>131</v>
      </c>
      <c r="C118" s="38" t="s">
        <v>132</v>
      </c>
      <c r="D118" s="39">
        <f>일위공량산출서!G59</f>
        <v>1.33</v>
      </c>
      <c r="E118" s="40"/>
      <c r="F118" s="40">
        <f>ROUNDDOWN(D118*E118, 1)</f>
        <v>0</v>
      </c>
      <c r="G118" s="40">
        <f>ROUNDDOWN(단가대비표!O31, 0)</f>
        <v>241698</v>
      </c>
      <c r="H118" s="39">
        <f>ROUNDDOWN(D118*G118, 1)</f>
        <v>321458.3</v>
      </c>
      <c r="I118" s="40"/>
      <c r="J118" s="40">
        <f>ROUNDDOWN(D118*I118, 1)</f>
        <v>0</v>
      </c>
      <c r="K118" s="40">
        <f t="shared" si="16"/>
        <v>241698</v>
      </c>
      <c r="L118" s="39">
        <f t="shared" si="16"/>
        <v>321458.3</v>
      </c>
      <c r="M118" s="37"/>
      <c r="O118" s="34" t="s">
        <v>265</v>
      </c>
      <c r="P118" s="34" t="s">
        <v>254</v>
      </c>
      <c r="Q118">
        <v>1</v>
      </c>
    </row>
    <row r="119" spans="1:20" ht="23.1" customHeight="1" x14ac:dyDescent="0.3">
      <c r="A119" s="36" t="s">
        <v>140</v>
      </c>
      <c r="B119" s="36" t="s">
        <v>131</v>
      </c>
      <c r="C119" s="38" t="s">
        <v>132</v>
      </c>
      <c r="D119" s="39">
        <f>일위공량산출서!H59</f>
        <v>0.47099999999999997</v>
      </c>
      <c r="E119" s="40"/>
      <c r="F119" s="40">
        <f>ROUNDDOWN(D119*E119, 1)</f>
        <v>0</v>
      </c>
      <c r="G119" s="40">
        <f>ROUNDDOWN(단가대비표!O35, 0)</f>
        <v>172068</v>
      </c>
      <c r="H119" s="40">
        <f>ROUNDDOWN(D119*G119, 1)</f>
        <v>81044</v>
      </c>
      <c r="I119" s="40"/>
      <c r="J119" s="40">
        <f>ROUNDDOWN(D119*I119, 1)</f>
        <v>0</v>
      </c>
      <c r="K119" s="40">
        <f t="shared" si="16"/>
        <v>172068</v>
      </c>
      <c r="L119" s="40">
        <f t="shared" si="16"/>
        <v>81044</v>
      </c>
      <c r="M119" s="37"/>
      <c r="O119" s="34" t="s">
        <v>265</v>
      </c>
      <c r="P119" s="34" t="s">
        <v>254</v>
      </c>
      <c r="Q119">
        <v>1</v>
      </c>
    </row>
    <row r="120" spans="1:20" ht="23.1" customHeight="1" x14ac:dyDescent="0.3">
      <c r="A120" s="36" t="s">
        <v>355</v>
      </c>
      <c r="B120" s="37" t="str">
        <f>"노무비의 " &amp; N120*100 &amp; "%"</f>
        <v>노무비의 3%</v>
      </c>
      <c r="C120" s="38" t="s">
        <v>259</v>
      </c>
      <c r="D120" s="39">
        <v>1</v>
      </c>
      <c r="E120" s="39">
        <f>SUMIF(O117:O120, "02", H117:H120)</f>
        <v>402502.3</v>
      </c>
      <c r="F120" s="40">
        <f>ROUNDDOWN((E120)*N120, 1)</f>
        <v>12075</v>
      </c>
      <c r="G120" s="40"/>
      <c r="H120" s="40"/>
      <c r="I120" s="40"/>
      <c r="J120" s="40"/>
      <c r="K120" s="39">
        <f t="shared" si="16"/>
        <v>402502.3</v>
      </c>
      <c r="L120" s="40">
        <f t="shared" si="16"/>
        <v>12075</v>
      </c>
      <c r="M120" s="37"/>
      <c r="N120">
        <v>0.03</v>
      </c>
      <c r="P120" s="34" t="s">
        <v>254</v>
      </c>
      <c r="Q120">
        <v>1</v>
      </c>
      <c r="R120" s="34" t="s">
        <v>356</v>
      </c>
      <c r="S120" s="34" t="s">
        <v>357</v>
      </c>
    </row>
    <row r="121" spans="1:20" ht="23.1" customHeight="1" x14ac:dyDescent="0.3">
      <c r="A121" s="41" t="s">
        <v>216</v>
      </c>
      <c r="B121" s="42"/>
      <c r="C121" s="43"/>
      <c r="D121" s="44"/>
      <c r="E121" s="44"/>
      <c r="F121" s="45">
        <f>ROUNDDOWN(SUMIF(Q117:Q120, "1", F117:F120), 0)</f>
        <v>1195075</v>
      </c>
      <c r="G121" s="44"/>
      <c r="H121" s="45">
        <f>ROUNDDOWN(SUMIF(Q117:Q120, "1", H117:H120), 0)</f>
        <v>402502</v>
      </c>
      <c r="I121" s="44"/>
      <c r="J121" s="45">
        <f>ROUNDDOWN(SUMIF(Q117:Q120, "1", J117:J120), 0)</f>
        <v>0</v>
      </c>
      <c r="K121" s="44"/>
      <c r="L121" s="45">
        <f>F121+H121+J121</f>
        <v>1597577</v>
      </c>
      <c r="M121" s="42"/>
    </row>
    <row r="122" spans="1:20" ht="23.1" customHeight="1" x14ac:dyDescent="0.3">
      <c r="A122" s="37"/>
      <c r="B122" s="37"/>
      <c r="C122" s="46"/>
      <c r="D122" s="47"/>
      <c r="E122" s="47"/>
      <c r="F122" s="47"/>
      <c r="G122" s="47"/>
      <c r="H122" s="47"/>
      <c r="I122" s="47"/>
      <c r="J122" s="47"/>
      <c r="K122" s="47"/>
      <c r="L122" s="47"/>
      <c r="M122" s="37"/>
    </row>
    <row r="123" spans="1:20" ht="23.1" customHeight="1" x14ac:dyDescent="0.3">
      <c r="A123" s="180" t="s">
        <v>387</v>
      </c>
      <c r="B123" s="181"/>
      <c r="C123" s="181"/>
      <c r="D123" s="181"/>
      <c r="E123" s="181"/>
      <c r="F123" s="181"/>
      <c r="G123" s="181"/>
      <c r="H123" s="181"/>
      <c r="I123" s="181"/>
      <c r="J123" s="181"/>
      <c r="K123" s="181"/>
      <c r="L123" s="181"/>
      <c r="M123" s="35" t="s">
        <v>388</v>
      </c>
    </row>
    <row r="124" spans="1:20" ht="23.1" customHeight="1" x14ac:dyDescent="0.3">
      <c r="A124" s="36" t="s">
        <v>138</v>
      </c>
      <c r="B124" s="36" t="s">
        <v>139</v>
      </c>
      <c r="C124" s="38" t="s">
        <v>132</v>
      </c>
      <c r="D124" s="39">
        <v>0.9</v>
      </c>
      <c r="E124" s="40">
        <v>0</v>
      </c>
      <c r="F124" s="40">
        <f>ROUNDDOWN(D124*E124, 1)</f>
        <v>0</v>
      </c>
      <c r="G124" s="40">
        <f>ROUNDDOWN(단가대비표!O34, 0)</f>
        <v>485075</v>
      </c>
      <c r="H124" s="39">
        <f>ROUNDDOWN(D124*G124, 1)</f>
        <v>436567.5</v>
      </c>
      <c r="I124" s="40">
        <v>0</v>
      </c>
      <c r="J124" s="40">
        <f>ROUNDDOWN(D124*I124, 1)</f>
        <v>0</v>
      </c>
      <c r="K124" s="40">
        <f t="shared" ref="K124:L127" si="17">E124+G124+I124</f>
        <v>485075</v>
      </c>
      <c r="L124" s="39">
        <f t="shared" si="17"/>
        <v>436567.5</v>
      </c>
      <c r="M124" s="37"/>
      <c r="O124" s="34" t="s">
        <v>265</v>
      </c>
      <c r="P124" s="34" t="s">
        <v>254</v>
      </c>
      <c r="Q124">
        <v>1</v>
      </c>
    </row>
    <row r="125" spans="1:20" ht="23.1" customHeight="1" x14ac:dyDescent="0.3">
      <c r="A125" s="36" t="s">
        <v>141</v>
      </c>
      <c r="B125" s="36" t="s">
        <v>131</v>
      </c>
      <c r="C125" s="38" t="s">
        <v>132</v>
      </c>
      <c r="D125" s="39">
        <v>0.39</v>
      </c>
      <c r="E125" s="40">
        <v>0</v>
      </c>
      <c r="F125" s="40">
        <f>ROUNDDOWN(D125*E125, 1)</f>
        <v>0</v>
      </c>
      <c r="G125" s="40">
        <f>ROUNDDOWN(단가대비표!O36, 0)</f>
        <v>281939</v>
      </c>
      <c r="H125" s="39">
        <f>ROUNDDOWN(D125*G125, 1)</f>
        <v>109956.2</v>
      </c>
      <c r="I125" s="40">
        <v>0</v>
      </c>
      <c r="J125" s="40">
        <f>ROUNDDOWN(D125*I125, 1)</f>
        <v>0</v>
      </c>
      <c r="K125" s="40">
        <f t="shared" si="17"/>
        <v>281939</v>
      </c>
      <c r="L125" s="39">
        <f t="shared" si="17"/>
        <v>109956.2</v>
      </c>
      <c r="M125" s="37"/>
      <c r="O125" s="34" t="s">
        <v>265</v>
      </c>
      <c r="P125" s="34" t="s">
        <v>254</v>
      </c>
      <c r="Q125">
        <v>1</v>
      </c>
    </row>
    <row r="126" spans="1:20" ht="23.1" customHeight="1" x14ac:dyDescent="0.3">
      <c r="A126" s="36" t="s">
        <v>134</v>
      </c>
      <c r="B126" s="36" t="s">
        <v>131</v>
      </c>
      <c r="C126" s="38" t="s">
        <v>132</v>
      </c>
      <c r="D126" s="39">
        <v>0.192</v>
      </c>
      <c r="E126" s="40">
        <v>0</v>
      </c>
      <c r="F126" s="40">
        <f>ROUNDDOWN(D126*E126, 1)</f>
        <v>0</v>
      </c>
      <c r="G126" s="40">
        <f>ROUNDDOWN(단가대비표!O31, 0)</f>
        <v>241698</v>
      </c>
      <c r="H126" s="40">
        <f>ROUNDDOWN(D126*G126, 1)</f>
        <v>46406</v>
      </c>
      <c r="I126" s="40">
        <v>0</v>
      </c>
      <c r="J126" s="40">
        <f>ROUNDDOWN(D126*I126, 1)</f>
        <v>0</v>
      </c>
      <c r="K126" s="40">
        <f t="shared" si="17"/>
        <v>241698</v>
      </c>
      <c r="L126" s="40">
        <f t="shared" si="17"/>
        <v>46406</v>
      </c>
      <c r="M126" s="36" t="s">
        <v>135</v>
      </c>
      <c r="O126" s="34" t="s">
        <v>265</v>
      </c>
      <c r="P126" s="34" t="s">
        <v>254</v>
      </c>
      <c r="Q126">
        <v>1</v>
      </c>
    </row>
    <row r="127" spans="1:20" ht="23.1" customHeight="1" x14ac:dyDescent="0.3">
      <c r="A127" s="36" t="s">
        <v>140</v>
      </c>
      <c r="B127" s="36" t="s">
        <v>131</v>
      </c>
      <c r="C127" s="38" t="s">
        <v>132</v>
      </c>
      <c r="D127" s="39">
        <v>0.72</v>
      </c>
      <c r="E127" s="40">
        <v>0</v>
      </c>
      <c r="F127" s="40">
        <f>ROUNDDOWN(D127*E127, 1)</f>
        <v>0</v>
      </c>
      <c r="G127" s="40">
        <f>ROUNDDOWN(단가대비표!O35, 0)</f>
        <v>172068</v>
      </c>
      <c r="H127" s="39">
        <f>ROUNDDOWN(D127*G127, 1)</f>
        <v>123888.9</v>
      </c>
      <c r="I127" s="40">
        <v>0</v>
      </c>
      <c r="J127" s="40">
        <f>ROUNDDOWN(D127*I127, 1)</f>
        <v>0</v>
      </c>
      <c r="K127" s="40">
        <f t="shared" si="17"/>
        <v>172068</v>
      </c>
      <c r="L127" s="39">
        <f t="shared" si="17"/>
        <v>123888.9</v>
      </c>
      <c r="M127" s="37"/>
      <c r="O127" s="34" t="s">
        <v>265</v>
      </c>
      <c r="P127" s="34" t="s">
        <v>254</v>
      </c>
      <c r="Q127">
        <v>1</v>
      </c>
    </row>
    <row r="128" spans="1:20" ht="23.1" customHeight="1" x14ac:dyDescent="0.3">
      <c r="A128" s="41" t="s">
        <v>216</v>
      </c>
      <c r="B128" s="42"/>
      <c r="C128" s="43"/>
      <c r="D128" s="44"/>
      <c r="E128" s="44"/>
      <c r="F128" s="45">
        <f>ROUNDDOWN(SUMIF(Q124:Q127, "1", F124:F127), 0)</f>
        <v>0</v>
      </c>
      <c r="G128" s="44"/>
      <c r="H128" s="45">
        <f>ROUNDDOWN(SUMIF(Q124:Q127, "1", H124:H127), 0)</f>
        <v>716818</v>
      </c>
      <c r="I128" s="44"/>
      <c r="J128" s="45">
        <f>ROUNDDOWN(SUMIF(Q124:Q127, "1", J124:J127), 0)</f>
        <v>0</v>
      </c>
      <c r="K128" s="44"/>
      <c r="L128" s="45">
        <f>F128+H128+J128</f>
        <v>716818</v>
      </c>
      <c r="M128" s="42"/>
    </row>
    <row r="129" spans="1:19" ht="23.1" customHeight="1" x14ac:dyDescent="0.3">
      <c r="A129" s="37"/>
      <c r="B129" s="37"/>
      <c r="C129" s="46"/>
      <c r="D129" s="47"/>
      <c r="E129" s="47"/>
      <c r="F129" s="47"/>
      <c r="G129" s="47"/>
      <c r="H129" s="47"/>
      <c r="I129" s="47"/>
      <c r="J129" s="47"/>
      <c r="K129" s="47"/>
      <c r="L129" s="47"/>
      <c r="M129" s="37"/>
    </row>
    <row r="130" spans="1:19" ht="23.1" customHeight="1" x14ac:dyDescent="0.3">
      <c r="A130" s="180" t="s">
        <v>229</v>
      </c>
      <c r="B130" s="181"/>
      <c r="C130" s="181"/>
      <c r="D130" s="181"/>
      <c r="E130" s="181"/>
      <c r="F130" s="181"/>
      <c r="G130" s="181"/>
      <c r="H130" s="181"/>
      <c r="I130" s="181"/>
      <c r="J130" s="181"/>
      <c r="K130" s="181"/>
      <c r="L130" s="181"/>
      <c r="M130" s="35" t="s">
        <v>225</v>
      </c>
    </row>
    <row r="131" spans="1:19" ht="23.1" customHeight="1" x14ac:dyDescent="0.3">
      <c r="A131" s="36" t="s">
        <v>70</v>
      </c>
      <c r="B131" s="36" t="s">
        <v>71</v>
      </c>
      <c r="C131" s="38" t="s">
        <v>72</v>
      </c>
      <c r="D131" s="39">
        <f>일위공량산출서!F64</f>
        <v>1</v>
      </c>
      <c r="E131" s="40">
        <f>ROUNDDOWN(단가대비표!O17, 0)</f>
        <v>309300</v>
      </c>
      <c r="F131" s="40">
        <f>ROUNDDOWN(D131*E131, 1)</f>
        <v>309300</v>
      </c>
      <c r="G131" s="40">
        <v>0</v>
      </c>
      <c r="H131" s="40">
        <f>ROUNDDOWN(D131*G131, 1)</f>
        <v>0</v>
      </c>
      <c r="I131" s="40">
        <v>0</v>
      </c>
      <c r="J131" s="40">
        <f>ROUNDDOWN(D131*I131, 1)</f>
        <v>0</v>
      </c>
      <c r="K131" s="40">
        <f t="shared" ref="K131:L133" si="18">E131+G131+I131</f>
        <v>309300</v>
      </c>
      <c r="L131" s="40">
        <f t="shared" si="18"/>
        <v>309300</v>
      </c>
      <c r="M131" s="37"/>
      <c r="O131" s="34" t="s">
        <v>257</v>
      </c>
      <c r="P131" s="34" t="s">
        <v>254</v>
      </c>
      <c r="Q131">
        <v>1</v>
      </c>
    </row>
    <row r="132" spans="1:19" ht="23.1" customHeight="1" x14ac:dyDescent="0.3">
      <c r="A132" s="36" t="s">
        <v>136</v>
      </c>
      <c r="B132" s="36" t="s">
        <v>131</v>
      </c>
      <c r="C132" s="38" t="s">
        <v>132</v>
      </c>
      <c r="D132" s="39">
        <f>일위공량산출서!G67</f>
        <v>0.66</v>
      </c>
      <c r="E132" s="40"/>
      <c r="F132" s="40">
        <f>ROUNDDOWN(D132*E132, 1)</f>
        <v>0</v>
      </c>
      <c r="G132" s="40">
        <f>ROUNDDOWN(단가대비표!O32, 0)</f>
        <v>273676</v>
      </c>
      <c r="H132" s="39">
        <f>ROUNDDOWN(D132*G132, 1)</f>
        <v>180626.1</v>
      </c>
      <c r="I132" s="40"/>
      <c r="J132" s="40">
        <f>ROUNDDOWN(D132*I132, 1)</f>
        <v>0</v>
      </c>
      <c r="K132" s="40">
        <f t="shared" si="18"/>
        <v>273676</v>
      </c>
      <c r="L132" s="39">
        <f t="shared" si="18"/>
        <v>180626.1</v>
      </c>
      <c r="M132" s="37"/>
      <c r="O132" s="34" t="s">
        <v>265</v>
      </c>
      <c r="P132" s="34" t="s">
        <v>254</v>
      </c>
      <c r="Q132">
        <v>1</v>
      </c>
    </row>
    <row r="133" spans="1:19" ht="23.1" customHeight="1" x14ac:dyDescent="0.3">
      <c r="A133" s="36" t="s">
        <v>355</v>
      </c>
      <c r="B133" s="37" t="str">
        <f>"노무비의 " &amp; N133*100 &amp; "%"</f>
        <v>노무비의 3%</v>
      </c>
      <c r="C133" s="38" t="s">
        <v>259</v>
      </c>
      <c r="D133" s="39">
        <v>1</v>
      </c>
      <c r="E133" s="39">
        <f>SUMIF(O131:O133, "02", H131:H133)</f>
        <v>180626.1</v>
      </c>
      <c r="F133" s="39">
        <f>ROUNDDOWN((E133)*N133, 1)</f>
        <v>5418.7</v>
      </c>
      <c r="G133" s="40"/>
      <c r="H133" s="40"/>
      <c r="I133" s="40"/>
      <c r="J133" s="40"/>
      <c r="K133" s="39">
        <f t="shared" si="18"/>
        <v>180626.1</v>
      </c>
      <c r="L133" s="39">
        <f t="shared" si="18"/>
        <v>5418.7</v>
      </c>
      <c r="M133" s="37"/>
      <c r="N133">
        <v>0.03</v>
      </c>
      <c r="P133" s="34" t="s">
        <v>254</v>
      </c>
      <c r="Q133">
        <v>1</v>
      </c>
      <c r="R133" s="34" t="s">
        <v>356</v>
      </c>
      <c r="S133" s="34" t="s">
        <v>357</v>
      </c>
    </row>
    <row r="134" spans="1:19" ht="23.1" customHeight="1" x14ac:dyDescent="0.3">
      <c r="A134" s="41" t="s">
        <v>216</v>
      </c>
      <c r="B134" s="42"/>
      <c r="C134" s="43"/>
      <c r="D134" s="44"/>
      <c r="E134" s="44"/>
      <c r="F134" s="45">
        <f>ROUNDDOWN(SUMIF(Q131:Q133, "1", F131:F133), 0)</f>
        <v>314718</v>
      </c>
      <c r="G134" s="44"/>
      <c r="H134" s="45">
        <f>ROUNDDOWN(SUMIF(Q131:Q133, "1", H131:H133), 0)</f>
        <v>180626</v>
      </c>
      <c r="I134" s="44"/>
      <c r="J134" s="45">
        <f>ROUNDDOWN(SUMIF(Q131:Q133, "1", J131:J133), 0)</f>
        <v>0</v>
      </c>
      <c r="K134" s="44"/>
      <c r="L134" s="45">
        <f>F134+H134+J134</f>
        <v>495344</v>
      </c>
      <c r="M134" s="42"/>
    </row>
    <row r="135" spans="1:19" ht="23.1" customHeight="1" x14ac:dyDescent="0.3">
      <c r="A135" s="37"/>
      <c r="B135" s="37"/>
      <c r="C135" s="46"/>
      <c r="D135" s="47"/>
      <c r="E135" s="47"/>
      <c r="F135" s="47"/>
      <c r="G135" s="47"/>
      <c r="H135" s="47"/>
      <c r="I135" s="47"/>
      <c r="J135" s="47"/>
      <c r="K135" s="47"/>
      <c r="L135" s="47"/>
      <c r="M135" s="37"/>
    </row>
    <row r="136" spans="1:19" ht="23.1" customHeight="1" x14ac:dyDescent="0.3">
      <c r="A136" s="180" t="s">
        <v>230</v>
      </c>
      <c r="B136" s="181"/>
      <c r="C136" s="181"/>
      <c r="D136" s="181"/>
      <c r="E136" s="181"/>
      <c r="F136" s="181"/>
      <c r="G136" s="181"/>
      <c r="H136" s="181"/>
      <c r="I136" s="181"/>
      <c r="J136" s="181"/>
      <c r="K136" s="181"/>
      <c r="L136" s="181"/>
      <c r="M136" s="35" t="s">
        <v>231</v>
      </c>
    </row>
    <row r="137" spans="1:19" ht="23.1" customHeight="1" x14ac:dyDescent="0.3">
      <c r="A137" s="36" t="s">
        <v>50</v>
      </c>
      <c r="B137" s="36" t="s">
        <v>51</v>
      </c>
      <c r="C137" s="38" t="s">
        <v>40</v>
      </c>
      <c r="D137" s="39">
        <f>일위공량산출서!F72</f>
        <v>1</v>
      </c>
      <c r="E137" s="40">
        <f>ROUNDDOWN(단가대비표!O13, 0)</f>
        <v>40200</v>
      </c>
      <c r="F137" s="40">
        <f>ROUNDDOWN(D137*E137, 1)</f>
        <v>40200</v>
      </c>
      <c r="G137" s="40">
        <v>0</v>
      </c>
      <c r="H137" s="40">
        <f>ROUNDDOWN(D137*G137, 1)</f>
        <v>0</v>
      </c>
      <c r="I137" s="40">
        <v>0</v>
      </c>
      <c r="J137" s="40">
        <f>ROUNDDOWN(D137*I137, 1)</f>
        <v>0</v>
      </c>
      <c r="K137" s="40">
        <f t="shared" ref="K137:L139" si="19">E137+G137+I137</f>
        <v>40200</v>
      </c>
      <c r="L137" s="40">
        <f t="shared" si="19"/>
        <v>40200</v>
      </c>
      <c r="M137" s="36" t="s">
        <v>55</v>
      </c>
      <c r="O137" s="34" t="s">
        <v>257</v>
      </c>
      <c r="P137" s="34" t="s">
        <v>254</v>
      </c>
      <c r="Q137">
        <v>1</v>
      </c>
    </row>
    <row r="138" spans="1:19" ht="23.1" customHeight="1" x14ac:dyDescent="0.3">
      <c r="A138" s="36" t="s">
        <v>136</v>
      </c>
      <c r="B138" s="36" t="s">
        <v>131</v>
      </c>
      <c r="C138" s="38" t="s">
        <v>132</v>
      </c>
      <c r="D138" s="39">
        <f>일위공량산출서!G75</f>
        <v>0.70199999999999996</v>
      </c>
      <c r="E138" s="40"/>
      <c r="F138" s="40">
        <f>ROUNDDOWN(D138*E138, 1)</f>
        <v>0</v>
      </c>
      <c r="G138" s="40">
        <f>ROUNDDOWN(단가대비표!O32, 0)</f>
        <v>273676</v>
      </c>
      <c r="H138" s="39">
        <f>ROUNDDOWN(D138*G138, 1)</f>
        <v>192120.5</v>
      </c>
      <c r="I138" s="40"/>
      <c r="J138" s="40">
        <f>ROUNDDOWN(D138*I138, 1)</f>
        <v>0</v>
      </c>
      <c r="K138" s="40">
        <f t="shared" si="19"/>
        <v>273676</v>
      </c>
      <c r="L138" s="39">
        <f t="shared" si="19"/>
        <v>192120.5</v>
      </c>
      <c r="M138" s="37"/>
      <c r="O138" s="34" t="s">
        <v>265</v>
      </c>
      <c r="P138" s="34" t="s">
        <v>254</v>
      </c>
      <c r="Q138">
        <v>1</v>
      </c>
    </row>
    <row r="139" spans="1:19" ht="23.1" customHeight="1" x14ac:dyDescent="0.3">
      <c r="A139" s="36" t="s">
        <v>355</v>
      </c>
      <c r="B139" s="37" t="str">
        <f>"노무비의 " &amp; N139*100 &amp; "%"</f>
        <v>노무비의 3%</v>
      </c>
      <c r="C139" s="38" t="s">
        <v>259</v>
      </c>
      <c r="D139" s="39">
        <v>1</v>
      </c>
      <c r="E139" s="39">
        <f>SUMIF(O137:O139, "02", H137:H139)</f>
        <v>192120.5</v>
      </c>
      <c r="F139" s="39">
        <f>ROUNDDOWN((E139)*N139, 1)</f>
        <v>5763.6</v>
      </c>
      <c r="G139" s="40"/>
      <c r="H139" s="40"/>
      <c r="I139" s="40"/>
      <c r="J139" s="40"/>
      <c r="K139" s="39">
        <f t="shared" si="19"/>
        <v>192120.5</v>
      </c>
      <c r="L139" s="39">
        <f t="shared" si="19"/>
        <v>5763.6</v>
      </c>
      <c r="M139" s="37"/>
      <c r="N139">
        <v>0.03</v>
      </c>
      <c r="P139" s="34" t="s">
        <v>254</v>
      </c>
      <c r="Q139">
        <v>1</v>
      </c>
      <c r="R139" s="34" t="s">
        <v>356</v>
      </c>
      <c r="S139" s="34" t="s">
        <v>357</v>
      </c>
    </row>
    <row r="140" spans="1:19" ht="23.1" customHeight="1" x14ac:dyDescent="0.3">
      <c r="A140" s="41" t="s">
        <v>216</v>
      </c>
      <c r="B140" s="42"/>
      <c r="C140" s="43"/>
      <c r="D140" s="44"/>
      <c r="E140" s="44"/>
      <c r="F140" s="45">
        <f>ROUNDDOWN(SUMIF(Q137:Q139, "1", F137:F139), 0)</f>
        <v>45963</v>
      </c>
      <c r="G140" s="44"/>
      <c r="H140" s="45">
        <f>ROUNDDOWN(SUMIF(Q137:Q139, "1", H137:H139), 0)</f>
        <v>192120</v>
      </c>
      <c r="I140" s="44"/>
      <c r="J140" s="45">
        <f>ROUNDDOWN(SUMIF(Q137:Q139, "1", J137:J139), 0)</f>
        <v>0</v>
      </c>
      <c r="K140" s="44"/>
      <c r="L140" s="45">
        <f>F140+H140+J140</f>
        <v>238083</v>
      </c>
      <c r="M140" s="42"/>
    </row>
    <row r="141" spans="1:19" ht="23.1" customHeight="1" x14ac:dyDescent="0.3">
      <c r="A141" s="37"/>
      <c r="B141" s="37"/>
      <c r="C141" s="46"/>
      <c r="D141" s="47"/>
      <c r="E141" s="47"/>
      <c r="F141" s="47"/>
      <c r="G141" s="47"/>
      <c r="H141" s="47"/>
      <c r="I141" s="47"/>
      <c r="J141" s="47"/>
      <c r="K141" s="47"/>
      <c r="L141" s="47"/>
      <c r="M141" s="37"/>
    </row>
    <row r="142" spans="1:19" ht="23.1" customHeight="1" x14ac:dyDescent="0.3">
      <c r="A142" s="180" t="s">
        <v>389</v>
      </c>
      <c r="B142" s="181"/>
      <c r="C142" s="181"/>
      <c r="D142" s="181"/>
      <c r="E142" s="181"/>
      <c r="F142" s="181"/>
      <c r="G142" s="181"/>
      <c r="H142" s="181"/>
      <c r="I142" s="181"/>
      <c r="J142" s="181"/>
      <c r="K142" s="181"/>
      <c r="L142" s="181"/>
      <c r="M142" s="35" t="s">
        <v>195</v>
      </c>
    </row>
    <row r="143" spans="1:19" ht="23.1" customHeight="1" x14ac:dyDescent="0.3">
      <c r="A143" s="36" t="s">
        <v>189</v>
      </c>
      <c r="B143" s="36" t="s">
        <v>190</v>
      </c>
      <c r="C143" s="38" t="s">
        <v>191</v>
      </c>
      <c r="D143" s="39">
        <v>1</v>
      </c>
      <c r="E143" s="40">
        <v>0</v>
      </c>
      <c r="F143" s="40">
        <f>ROUNDDOWN(D143*E143, 1)</f>
        <v>0</v>
      </c>
      <c r="G143" s="40">
        <v>0</v>
      </c>
      <c r="H143" s="40">
        <f>ROUNDDOWN(D143*G143, 1)</f>
        <v>0</v>
      </c>
      <c r="I143" s="40">
        <f>ROUNDDOWN(단가대비표!O57, 0)</f>
        <v>49571</v>
      </c>
      <c r="J143" s="40">
        <f>ROUNDDOWN(D143*I143, 1)</f>
        <v>49571</v>
      </c>
      <c r="K143" s="40">
        <f>E143+G143+I143</f>
        <v>49571</v>
      </c>
      <c r="L143" s="40">
        <f>F143+H143+J143</f>
        <v>49571</v>
      </c>
      <c r="M143" s="36" t="s">
        <v>195</v>
      </c>
      <c r="O143" s="34" t="s">
        <v>253</v>
      </c>
      <c r="P143" s="34" t="s">
        <v>254</v>
      </c>
      <c r="Q143">
        <v>1</v>
      </c>
    </row>
    <row r="144" spans="1:19" ht="23.1" customHeight="1" x14ac:dyDescent="0.3">
      <c r="A144" s="41" t="s">
        <v>216</v>
      </c>
      <c r="B144" s="42"/>
      <c r="C144" s="43"/>
      <c r="D144" s="44"/>
      <c r="E144" s="44"/>
      <c r="F144" s="45">
        <f>ROUNDDOWN(SUMIF(Q143:Q143, "1", F143:F143), 0)</f>
        <v>0</v>
      </c>
      <c r="G144" s="44"/>
      <c r="H144" s="45">
        <f>ROUNDDOWN(SUMIF(Q143:Q143, "1", H143:H143), 0)</f>
        <v>0</v>
      </c>
      <c r="I144" s="44"/>
      <c r="J144" s="45">
        <f>ROUNDDOWN(SUMIF(Q143:Q143, "1", J143:J143), 0)</f>
        <v>49571</v>
      </c>
      <c r="K144" s="44"/>
      <c r="L144" s="45">
        <f>F144+H144+J144</f>
        <v>49571</v>
      </c>
      <c r="M144" s="42"/>
    </row>
    <row r="145" spans="1:13" ht="23.1" customHeight="1" x14ac:dyDescent="0.3">
      <c r="A145" s="37"/>
      <c r="B145" s="37"/>
      <c r="C145" s="46"/>
      <c r="D145" s="47"/>
      <c r="E145" s="47"/>
      <c r="F145" s="47"/>
      <c r="G145" s="47"/>
      <c r="H145" s="47"/>
      <c r="I145" s="47"/>
      <c r="J145" s="47"/>
      <c r="K145" s="47"/>
      <c r="L145" s="47"/>
      <c r="M145" s="37"/>
    </row>
    <row r="146" spans="1:13" ht="23.1" customHeight="1" x14ac:dyDescent="0.3">
      <c r="A146" s="37"/>
      <c r="B146" s="37"/>
      <c r="C146" s="46"/>
      <c r="D146" s="47"/>
      <c r="E146" s="47"/>
      <c r="F146" s="47"/>
      <c r="G146" s="47"/>
      <c r="H146" s="47"/>
      <c r="I146" s="47"/>
      <c r="J146" s="47"/>
      <c r="K146" s="47"/>
      <c r="L146" s="47"/>
      <c r="M146" s="37"/>
    </row>
    <row r="147" spans="1:13" ht="23.1" customHeight="1" x14ac:dyDescent="0.3">
      <c r="A147" s="37"/>
      <c r="B147" s="37"/>
      <c r="C147" s="46"/>
      <c r="D147" s="47"/>
      <c r="E147" s="47"/>
      <c r="F147" s="47"/>
      <c r="G147" s="47"/>
      <c r="H147" s="47"/>
      <c r="I147" s="47"/>
      <c r="J147" s="47"/>
      <c r="K147" s="47"/>
      <c r="L147" s="47"/>
      <c r="M147" s="37"/>
    </row>
    <row r="148" spans="1:13" ht="23.1" customHeight="1" x14ac:dyDescent="0.3">
      <c r="A148" s="37"/>
      <c r="B148" s="37"/>
      <c r="C148" s="46"/>
      <c r="D148" s="47"/>
      <c r="E148" s="47"/>
      <c r="F148" s="47"/>
      <c r="G148" s="47"/>
      <c r="H148" s="47"/>
      <c r="I148" s="47"/>
      <c r="J148" s="47"/>
      <c r="K148" s="47"/>
      <c r="L148" s="47"/>
      <c r="M148" s="37"/>
    </row>
  </sheetData>
  <mergeCells count="31">
    <mergeCell ref="A130:L130"/>
    <mergeCell ref="A136:L136"/>
    <mergeCell ref="A142:L142"/>
    <mergeCell ref="A90:L90"/>
    <mergeCell ref="A98:L98"/>
    <mergeCell ref="A104:L104"/>
    <mergeCell ref="A110:L110"/>
    <mergeCell ref="A116:L116"/>
    <mergeCell ref="A123:L123"/>
    <mergeCell ref="A83:L83"/>
    <mergeCell ref="K3:L3"/>
    <mergeCell ref="A5:L5"/>
    <mergeCell ref="A10:L10"/>
    <mergeCell ref="A20:L20"/>
    <mergeCell ref="A29:L29"/>
    <mergeCell ref="A39:L39"/>
    <mergeCell ref="A44:L44"/>
    <mergeCell ref="A53:L53"/>
    <mergeCell ref="A61:L61"/>
    <mergeCell ref="A68:L68"/>
    <mergeCell ref="A75:L7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9" manualBreakCount="9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  <brk id="1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19D86"/>
  </sheetPr>
  <dimension ref="A1:O20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N1"/>
    </sheetView>
  </sheetViews>
  <sheetFormatPr defaultRowHeight="16.5" x14ac:dyDescent="0.3"/>
  <cols>
    <col min="1" max="1" width="6.625" style="2" customWidth="1"/>
    <col min="2" max="3" width="20.625" style="1" customWidth="1"/>
    <col min="4" max="4" width="4.625" style="2" customWidth="1"/>
    <col min="5" max="5" width="6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1" customWidth="1"/>
    <col min="15" max="18" width="0" hidden="1" customWidth="1"/>
  </cols>
  <sheetData>
    <row r="1" spans="1:15" ht="30" customHeight="1" x14ac:dyDescent="0.3">
      <c r="A1" s="158" t="s">
        <v>336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5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</row>
    <row r="3" spans="1:15" ht="23.1" customHeight="1" x14ac:dyDescent="0.3">
      <c r="A3" s="167" t="s">
        <v>285</v>
      </c>
      <c r="B3" s="167" t="s">
        <v>337</v>
      </c>
      <c r="C3" s="167" t="s">
        <v>338</v>
      </c>
      <c r="D3" s="167" t="s">
        <v>4</v>
      </c>
      <c r="E3" s="167" t="s">
        <v>202</v>
      </c>
      <c r="F3" s="167" t="s">
        <v>286</v>
      </c>
      <c r="G3" s="167"/>
      <c r="H3" s="167" t="s">
        <v>287</v>
      </c>
      <c r="I3" s="167"/>
      <c r="J3" s="167" t="s">
        <v>288</v>
      </c>
      <c r="K3" s="167"/>
      <c r="L3" s="167" t="s">
        <v>289</v>
      </c>
      <c r="M3" s="167"/>
      <c r="N3" s="167" t="s">
        <v>240</v>
      </c>
    </row>
    <row r="4" spans="1:15" ht="23.1" customHeight="1" x14ac:dyDescent="0.3">
      <c r="A4" s="167"/>
      <c r="B4" s="167"/>
      <c r="C4" s="167"/>
      <c r="D4" s="167"/>
      <c r="E4" s="167"/>
      <c r="F4" s="12" t="s">
        <v>241</v>
      </c>
      <c r="G4" s="12" t="s">
        <v>242</v>
      </c>
      <c r="H4" s="12" t="s">
        <v>241</v>
      </c>
      <c r="I4" s="12" t="s">
        <v>242</v>
      </c>
      <c r="J4" s="12" t="s">
        <v>241</v>
      </c>
      <c r="K4" s="12" t="s">
        <v>242</v>
      </c>
      <c r="L4" s="12" t="s">
        <v>241</v>
      </c>
      <c r="M4" s="12" t="s">
        <v>242</v>
      </c>
      <c r="N4" s="167"/>
      <c r="O4" t="s">
        <v>16</v>
      </c>
    </row>
    <row r="5" spans="1:15" ht="23.1" customHeight="1" x14ac:dyDescent="0.3">
      <c r="A5" s="38" t="s">
        <v>339</v>
      </c>
      <c r="B5" s="36" t="s">
        <v>340</v>
      </c>
      <c r="C5" s="36" t="s">
        <v>341</v>
      </c>
      <c r="D5" s="38" t="s">
        <v>98</v>
      </c>
      <c r="E5" s="46">
        <v>1</v>
      </c>
      <c r="F5" s="40">
        <f>단가산출서!B33</f>
        <v>693</v>
      </c>
      <c r="G5" s="40">
        <f>E5*F5</f>
        <v>693</v>
      </c>
      <c r="H5" s="40">
        <f>단가산출서!C33</f>
        <v>28065</v>
      </c>
      <c r="I5" s="40">
        <f>E5*H5</f>
        <v>28065</v>
      </c>
      <c r="J5" s="40">
        <f>단가산출서!D33</f>
        <v>29</v>
      </c>
      <c r="K5" s="40">
        <f>E5*J5</f>
        <v>29</v>
      </c>
      <c r="L5" s="40">
        <f>F5+H5+J5</f>
        <v>28787</v>
      </c>
      <c r="M5" s="40">
        <f>G5+I5+K5</f>
        <v>28787</v>
      </c>
      <c r="N5" s="36" t="s">
        <v>316</v>
      </c>
    </row>
    <row r="6" spans="1:15" ht="23.1" customHeight="1" x14ac:dyDescent="0.3">
      <c r="A6" s="38" t="s">
        <v>342</v>
      </c>
      <c r="B6" s="36" t="s">
        <v>343</v>
      </c>
      <c r="C6" s="36" t="s">
        <v>344</v>
      </c>
      <c r="D6" s="38" t="s">
        <v>345</v>
      </c>
      <c r="E6" s="46">
        <v>1</v>
      </c>
      <c r="F6" s="40">
        <f>단가산출서!B45</f>
        <v>2625</v>
      </c>
      <c r="G6" s="40">
        <f>E6*F6</f>
        <v>2625</v>
      </c>
      <c r="H6" s="40">
        <f>단가산출서!C45</f>
        <v>19641</v>
      </c>
      <c r="I6" s="40">
        <f>E6*H6</f>
        <v>19641</v>
      </c>
      <c r="J6" s="40">
        <f>단가산출서!D45</f>
        <v>4587</v>
      </c>
      <c r="K6" s="40">
        <f>E6*J6</f>
        <v>4587</v>
      </c>
      <c r="L6" s="40">
        <f>F6+H6+J6</f>
        <v>26853</v>
      </c>
      <c r="M6" s="40">
        <f>G6+I6+K6</f>
        <v>26853</v>
      </c>
      <c r="N6" s="36" t="s">
        <v>332</v>
      </c>
    </row>
    <row r="7" spans="1:15" ht="23.1" customHeight="1" x14ac:dyDescent="0.3">
      <c r="A7" s="46"/>
      <c r="B7" s="37"/>
      <c r="C7" s="37"/>
      <c r="D7" s="46"/>
      <c r="E7" s="46"/>
      <c r="F7" s="47"/>
      <c r="G7" s="47"/>
      <c r="H7" s="47"/>
      <c r="I7" s="47"/>
      <c r="J7" s="47"/>
      <c r="K7" s="47"/>
      <c r="L7" s="47"/>
      <c r="M7" s="47"/>
      <c r="N7" s="37"/>
    </row>
    <row r="8" spans="1:15" ht="23.1" customHeight="1" x14ac:dyDescent="0.3">
      <c r="A8" s="46"/>
      <c r="B8" s="37"/>
      <c r="C8" s="37"/>
      <c r="D8" s="46"/>
      <c r="E8" s="46"/>
      <c r="F8" s="47"/>
      <c r="G8" s="47"/>
      <c r="H8" s="47"/>
      <c r="I8" s="47"/>
      <c r="J8" s="47"/>
      <c r="K8" s="47"/>
      <c r="L8" s="47"/>
      <c r="M8" s="47"/>
      <c r="N8" s="37"/>
    </row>
    <row r="9" spans="1:15" ht="23.1" customHeight="1" x14ac:dyDescent="0.3">
      <c r="A9" s="46"/>
      <c r="B9" s="37"/>
      <c r="C9" s="37"/>
      <c r="D9" s="46"/>
      <c r="E9" s="46"/>
      <c r="F9" s="47"/>
      <c r="G9" s="47"/>
      <c r="H9" s="47"/>
      <c r="I9" s="47"/>
      <c r="J9" s="47"/>
      <c r="K9" s="47"/>
      <c r="L9" s="47"/>
      <c r="M9" s="47"/>
      <c r="N9" s="37"/>
    </row>
    <row r="10" spans="1:15" ht="23.1" customHeight="1" x14ac:dyDescent="0.3">
      <c r="A10" s="46"/>
      <c r="B10" s="37"/>
      <c r="C10" s="37"/>
      <c r="D10" s="46"/>
      <c r="E10" s="46"/>
      <c r="F10" s="47"/>
      <c r="G10" s="47"/>
      <c r="H10" s="47"/>
      <c r="I10" s="47"/>
      <c r="J10" s="47"/>
      <c r="K10" s="47"/>
      <c r="L10" s="47"/>
      <c r="M10" s="47"/>
      <c r="N10" s="37"/>
    </row>
    <row r="11" spans="1:15" ht="23.1" customHeight="1" x14ac:dyDescent="0.3">
      <c r="A11" s="46"/>
      <c r="B11" s="37"/>
      <c r="C11" s="37"/>
      <c r="D11" s="46"/>
      <c r="E11" s="46"/>
      <c r="F11" s="47"/>
      <c r="G11" s="47"/>
      <c r="H11" s="47"/>
      <c r="I11" s="47"/>
      <c r="J11" s="47"/>
      <c r="K11" s="47"/>
      <c r="L11" s="47"/>
      <c r="M11" s="47"/>
      <c r="N11" s="37"/>
    </row>
    <row r="12" spans="1:15" ht="23.1" customHeight="1" x14ac:dyDescent="0.3">
      <c r="A12" s="46"/>
      <c r="B12" s="37"/>
      <c r="C12" s="37"/>
      <c r="D12" s="46"/>
      <c r="E12" s="46"/>
      <c r="F12" s="47"/>
      <c r="G12" s="47"/>
      <c r="H12" s="47"/>
      <c r="I12" s="47"/>
      <c r="J12" s="47"/>
      <c r="K12" s="47"/>
      <c r="L12" s="47"/>
      <c r="M12" s="47"/>
      <c r="N12" s="37"/>
    </row>
    <row r="13" spans="1:15" ht="23.1" customHeight="1" x14ac:dyDescent="0.3">
      <c r="A13" s="46"/>
      <c r="B13" s="37"/>
      <c r="C13" s="37"/>
      <c r="D13" s="46"/>
      <c r="E13" s="46"/>
      <c r="F13" s="47"/>
      <c r="G13" s="47"/>
      <c r="H13" s="47"/>
      <c r="I13" s="47"/>
      <c r="J13" s="47"/>
      <c r="K13" s="47"/>
      <c r="L13" s="47"/>
      <c r="M13" s="47"/>
      <c r="N13" s="37"/>
    </row>
    <row r="14" spans="1:15" ht="23.1" customHeight="1" x14ac:dyDescent="0.3">
      <c r="A14" s="46"/>
      <c r="B14" s="37"/>
      <c r="C14" s="37"/>
      <c r="D14" s="46"/>
      <c r="E14" s="46"/>
      <c r="F14" s="47"/>
      <c r="G14" s="47"/>
      <c r="H14" s="47"/>
      <c r="I14" s="47"/>
      <c r="J14" s="47"/>
      <c r="K14" s="47"/>
      <c r="L14" s="47"/>
      <c r="M14" s="47"/>
      <c r="N14" s="37"/>
    </row>
    <row r="15" spans="1:15" ht="23.1" customHeight="1" x14ac:dyDescent="0.3">
      <c r="A15" s="46"/>
      <c r="B15" s="37"/>
      <c r="C15" s="37"/>
      <c r="D15" s="46"/>
      <c r="E15" s="46"/>
      <c r="F15" s="47"/>
      <c r="G15" s="47"/>
      <c r="H15" s="47"/>
      <c r="I15" s="47"/>
      <c r="J15" s="47"/>
      <c r="K15" s="47"/>
      <c r="L15" s="47"/>
      <c r="M15" s="47"/>
      <c r="N15" s="37"/>
    </row>
    <row r="16" spans="1:15" ht="23.1" customHeight="1" x14ac:dyDescent="0.3">
      <c r="A16" s="46"/>
      <c r="B16" s="37"/>
      <c r="C16" s="37"/>
      <c r="D16" s="46"/>
      <c r="E16" s="46"/>
      <c r="F16" s="47"/>
      <c r="G16" s="47"/>
      <c r="H16" s="47"/>
      <c r="I16" s="47"/>
      <c r="J16" s="47"/>
      <c r="K16" s="47"/>
      <c r="L16" s="47"/>
      <c r="M16" s="47"/>
      <c r="N16" s="37"/>
    </row>
    <row r="17" spans="1:14" ht="23.1" customHeight="1" x14ac:dyDescent="0.3">
      <c r="A17" s="46"/>
      <c r="B17" s="37"/>
      <c r="C17" s="37"/>
      <c r="D17" s="46"/>
      <c r="E17" s="46"/>
      <c r="F17" s="47"/>
      <c r="G17" s="47"/>
      <c r="H17" s="47"/>
      <c r="I17" s="47"/>
      <c r="J17" s="47"/>
      <c r="K17" s="47"/>
      <c r="L17" s="47"/>
      <c r="M17" s="47"/>
      <c r="N17" s="37"/>
    </row>
    <row r="18" spans="1:14" ht="23.1" customHeight="1" x14ac:dyDescent="0.3">
      <c r="A18" s="46"/>
      <c r="B18" s="37"/>
      <c r="C18" s="37"/>
      <c r="D18" s="46"/>
      <c r="E18" s="46"/>
      <c r="F18" s="47"/>
      <c r="G18" s="47"/>
      <c r="H18" s="47"/>
      <c r="I18" s="47"/>
      <c r="J18" s="47"/>
      <c r="K18" s="47"/>
      <c r="L18" s="47"/>
      <c r="M18" s="47"/>
      <c r="N18" s="37"/>
    </row>
    <row r="19" spans="1:14" ht="23.1" customHeight="1" x14ac:dyDescent="0.3">
      <c r="A19" s="46"/>
      <c r="B19" s="37"/>
      <c r="C19" s="37"/>
      <c r="D19" s="46"/>
      <c r="E19" s="46"/>
      <c r="F19" s="47"/>
      <c r="G19" s="47"/>
      <c r="H19" s="47"/>
      <c r="I19" s="47"/>
      <c r="J19" s="47"/>
      <c r="K19" s="47"/>
      <c r="L19" s="47"/>
      <c r="M19" s="47"/>
      <c r="N19" s="37"/>
    </row>
    <row r="20" spans="1:14" ht="23.1" customHeight="1" x14ac:dyDescent="0.3">
      <c r="A20" s="46"/>
      <c r="B20" s="37"/>
      <c r="C20" s="37"/>
      <c r="D20" s="46"/>
      <c r="E20" s="46"/>
      <c r="F20" s="47"/>
      <c r="G20" s="47"/>
      <c r="H20" s="47"/>
      <c r="I20" s="47"/>
      <c r="J20" s="47"/>
      <c r="K20" s="47"/>
      <c r="L20" s="47"/>
      <c r="M20" s="47"/>
      <c r="N20" s="37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1" manualBreakCount="1">
    <brk id="2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B7"/>
  </sheetPr>
  <dimension ref="A1:O52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0" sqref="C10:D12"/>
    </sheetView>
  </sheetViews>
  <sheetFormatPr defaultRowHeight="16.5" x14ac:dyDescent="0.3"/>
  <cols>
    <col min="1" max="1" width="78.25" style="1" customWidth="1"/>
    <col min="2" max="6" width="9.625" style="3" customWidth="1"/>
    <col min="7" max="15" width="0" hidden="1" customWidth="1"/>
  </cols>
  <sheetData>
    <row r="1" spans="1:15" ht="30" customHeight="1" x14ac:dyDescent="0.3">
      <c r="A1" s="158" t="s">
        <v>312</v>
      </c>
      <c r="B1" s="158"/>
      <c r="C1" s="158"/>
      <c r="D1" s="158"/>
      <c r="E1" s="158"/>
      <c r="F1" s="158"/>
    </row>
    <row r="2" spans="1:15" ht="23.1" customHeight="1" x14ac:dyDescent="0.3">
      <c r="A2" s="159" t="s">
        <v>1</v>
      </c>
      <c r="B2" s="160"/>
      <c r="C2" s="160"/>
      <c r="D2" s="160"/>
      <c r="E2" s="160"/>
      <c r="F2" s="160"/>
    </row>
    <row r="3" spans="1:15" ht="23.1" customHeight="1" x14ac:dyDescent="0.3">
      <c r="A3" s="167" t="s">
        <v>313</v>
      </c>
      <c r="B3" s="167" t="s">
        <v>286</v>
      </c>
      <c r="C3" s="167" t="s">
        <v>287</v>
      </c>
      <c r="D3" s="167" t="s">
        <v>288</v>
      </c>
      <c r="E3" s="167" t="s">
        <v>289</v>
      </c>
      <c r="F3" s="167" t="s">
        <v>314</v>
      </c>
    </row>
    <row r="4" spans="1:15" ht="23.1" customHeight="1" x14ac:dyDescent="0.3">
      <c r="A4" s="167"/>
      <c r="B4" s="167"/>
      <c r="C4" s="167"/>
      <c r="D4" s="167"/>
      <c r="E4" s="167"/>
      <c r="F4" s="167"/>
      <c r="G4" t="s">
        <v>243</v>
      </c>
      <c r="H4" t="s">
        <v>244</v>
      </c>
      <c r="I4" t="s">
        <v>245</v>
      </c>
      <c r="J4" t="s">
        <v>246</v>
      </c>
    </row>
    <row r="5" spans="1:15" ht="23.1" customHeight="1" x14ac:dyDescent="0.3">
      <c r="A5" s="182" t="s">
        <v>315</v>
      </c>
      <c r="B5" s="183"/>
      <c r="C5" s="183"/>
      <c r="D5" s="183"/>
      <c r="E5" s="184"/>
      <c r="F5" s="48" t="s">
        <v>316</v>
      </c>
    </row>
    <row r="6" spans="1:15" ht="23.1" customHeight="1" x14ac:dyDescent="0.3">
      <c r="A6" s="37" t="str">
        <f>"※ 1일 시공량 : " &amp;"Qd = " &amp; L6</f>
        <v>※ 1일 시공량 : Qd = 600</v>
      </c>
      <c r="B6" s="40">
        <v>0</v>
      </c>
      <c r="C6" s="40">
        <v>0</v>
      </c>
      <c r="D6" s="40">
        <v>0</v>
      </c>
      <c r="E6" s="40">
        <v>0</v>
      </c>
      <c r="F6" s="47"/>
      <c r="J6">
        <v>0</v>
      </c>
      <c r="K6" t="s">
        <v>317</v>
      </c>
      <c r="L6">
        <v>600</v>
      </c>
    </row>
    <row r="7" spans="1:15" ht="23.1" customHeight="1" x14ac:dyDescent="0.3">
      <c r="A7" s="37" t="s">
        <v>318</v>
      </c>
      <c r="B7" s="40">
        <v>0</v>
      </c>
      <c r="C7" s="40">
        <v>0</v>
      </c>
      <c r="D7" s="40">
        <v>0</v>
      </c>
      <c r="E7" s="40">
        <v>0</v>
      </c>
      <c r="F7" s="47"/>
      <c r="J7">
        <v>0</v>
      </c>
      <c r="L7">
        <v>0</v>
      </c>
    </row>
    <row r="8" spans="1:15" ht="23.1" customHeight="1" x14ac:dyDescent="0.3">
      <c r="A8" s="37" t="s">
        <v>319</v>
      </c>
      <c r="B8" s="40">
        <v>0</v>
      </c>
      <c r="C8" s="40">
        <v>0</v>
      </c>
      <c r="D8" s="40">
        <v>0</v>
      </c>
      <c r="E8" s="40">
        <v>0</v>
      </c>
      <c r="F8" s="47"/>
      <c r="J8">
        <v>0</v>
      </c>
      <c r="L8">
        <v>0</v>
      </c>
    </row>
    <row r="9" spans="1:15" ht="23.1" customHeight="1" x14ac:dyDescent="0.3">
      <c r="A9" s="37" t="str">
        <f>"블레이드 도로용, 14""×3.2mm EA  " &amp; TEXT(TRUNC(M9,0), "#,##0") &amp; " * 0.0031"</f>
        <v>블레이드 도로용, 14"×3.2mm EA  169,800 * 0.0031</v>
      </c>
      <c r="B9" s="39">
        <f>ROUNDDOWN(L9*M9, 1)</f>
        <v>526.29999999999995</v>
      </c>
      <c r="C9" s="40">
        <v>0</v>
      </c>
      <c r="D9" s="40">
        <v>0</v>
      </c>
      <c r="E9" s="39">
        <f>B9+C9+D9</f>
        <v>526.29999999999995</v>
      </c>
      <c r="F9" s="47"/>
      <c r="H9" s="34" t="s">
        <v>257</v>
      </c>
      <c r="I9" s="34" t="s">
        <v>254</v>
      </c>
      <c r="J9">
        <v>1</v>
      </c>
      <c r="L9">
        <v>3.0999999999999999E-3</v>
      </c>
      <c r="M9">
        <f>ROUNDDOWN(단가대비표!O18, 0)</f>
        <v>169800</v>
      </c>
      <c r="N9">
        <v>0</v>
      </c>
      <c r="O9">
        <v>0</v>
      </c>
    </row>
    <row r="10" spans="1:15" ht="23.1" customHeight="1" x14ac:dyDescent="0.3">
      <c r="A10" s="37" t="s">
        <v>320</v>
      </c>
      <c r="B10" s="40">
        <v>0</v>
      </c>
      <c r="C10" s="40">
        <v>0</v>
      </c>
      <c r="D10" s="40">
        <v>0</v>
      </c>
      <c r="E10" s="40">
        <v>0</v>
      </c>
      <c r="F10" s="47"/>
      <c r="J10">
        <v>0</v>
      </c>
      <c r="L10">
        <v>0</v>
      </c>
    </row>
    <row r="11" spans="1:15" ht="23.1" customHeight="1" x14ac:dyDescent="0.3">
      <c r="A11" s="37" t="s">
        <v>321</v>
      </c>
      <c r="B11" s="40">
        <v>0</v>
      </c>
      <c r="C11" s="40">
        <v>0</v>
      </c>
      <c r="D11" s="40">
        <v>0</v>
      </c>
      <c r="E11" s="40">
        <v>0</v>
      </c>
      <c r="F11" s="47"/>
      <c r="J11">
        <v>0</v>
      </c>
      <c r="L11">
        <v>0</v>
      </c>
    </row>
    <row r="12" spans="1:15" ht="23.1" customHeight="1" x14ac:dyDescent="0.3">
      <c r="A12" s="37" t="str">
        <f>"특별인부 일반공사 직종 인  " &amp; TEXT(TRUNC(N12,0), "#,##0") &amp; " * (1/600)"</f>
        <v>특별인부 일반공사 직종 인  226,122 * (1/600)</v>
      </c>
      <c r="B12" s="40">
        <v>0</v>
      </c>
      <c r="C12" s="39">
        <f>ROUNDDOWN(L12*N12, 1)</f>
        <v>376.8</v>
      </c>
      <c r="D12" s="40">
        <v>0</v>
      </c>
      <c r="E12" s="39">
        <f>B12+C12+D12</f>
        <v>376.8</v>
      </c>
      <c r="F12" s="47"/>
      <c r="H12" s="34" t="s">
        <v>265</v>
      </c>
      <c r="I12" s="34" t="s">
        <v>254</v>
      </c>
      <c r="J12">
        <v>1</v>
      </c>
      <c r="L12">
        <v>1.6666666666666668E-3</v>
      </c>
      <c r="M12">
        <v>0</v>
      </c>
      <c r="N12">
        <f>ROUNDDOWN(단가대비표!O44, 0)</f>
        <v>226122</v>
      </c>
      <c r="O12">
        <v>0</v>
      </c>
    </row>
    <row r="13" spans="1:15" ht="23.1" customHeight="1" x14ac:dyDescent="0.3">
      <c r="A13" s="37" t="str">
        <f>"보통인부 일반공사 직종 인  " &amp; TEXT(TRUNC(N13,0), "#,##0") &amp; " * (1/600)"</f>
        <v>보통인부 일반공사 직종 인  172,068 * (1/600)</v>
      </c>
      <c r="B13" s="40">
        <v>0</v>
      </c>
      <c r="C13" s="39">
        <f>ROUNDDOWN(L13*N13, 1)</f>
        <v>286.7</v>
      </c>
      <c r="D13" s="40">
        <v>0</v>
      </c>
      <c r="E13" s="39">
        <f>B13+C13+D13</f>
        <v>286.7</v>
      </c>
      <c r="F13" s="47"/>
      <c r="H13" s="34" t="s">
        <v>265</v>
      </c>
      <c r="I13" s="34" t="s">
        <v>254</v>
      </c>
      <c r="J13">
        <v>1</v>
      </c>
      <c r="L13">
        <v>1.6666666666666668E-3</v>
      </c>
      <c r="M13">
        <v>0</v>
      </c>
      <c r="N13">
        <f>ROUNDDOWN(단가대비표!O35, 0)</f>
        <v>172068</v>
      </c>
      <c r="O13">
        <v>0</v>
      </c>
    </row>
    <row r="14" spans="1:15" ht="23.1" customHeight="1" x14ac:dyDescent="0.3">
      <c r="A14" s="37" t="s">
        <v>322</v>
      </c>
      <c r="B14" s="40">
        <v>0</v>
      </c>
      <c r="C14" s="40">
        <v>0</v>
      </c>
      <c r="D14" s="40">
        <v>0</v>
      </c>
      <c r="E14" s="40">
        <v>0</v>
      </c>
      <c r="F14" s="47"/>
      <c r="J14">
        <v>0</v>
      </c>
      <c r="L14">
        <v>0</v>
      </c>
    </row>
    <row r="15" spans="1:15" ht="23.1" customHeight="1" x14ac:dyDescent="0.3">
      <c r="A15" s="37" t="str">
        <f>"운반거리 : " &amp;"L = " &amp; L15</f>
        <v>운반거리 : L = 0.1</v>
      </c>
      <c r="B15" s="40">
        <v>0</v>
      </c>
      <c r="C15" s="40">
        <v>0</v>
      </c>
      <c r="D15" s="40">
        <v>0</v>
      </c>
      <c r="E15" s="40">
        <v>0</v>
      </c>
      <c r="F15" s="47"/>
      <c r="J15">
        <v>0</v>
      </c>
      <c r="K15" t="s">
        <v>31</v>
      </c>
      <c r="L15">
        <v>0.1</v>
      </c>
    </row>
    <row r="16" spans="1:15" ht="23.1" customHeight="1" x14ac:dyDescent="0.3">
      <c r="A16" s="37" t="str">
        <f>"왕복속도 : " &amp;"V = " &amp; L16</f>
        <v>왕복속도 : V = 25</v>
      </c>
      <c r="B16" s="40">
        <v>0</v>
      </c>
      <c r="C16" s="40">
        <v>0</v>
      </c>
      <c r="D16" s="40">
        <v>0</v>
      </c>
      <c r="E16" s="40">
        <v>0</v>
      </c>
      <c r="F16" s="47"/>
      <c r="J16">
        <v>0</v>
      </c>
      <c r="K16" t="s">
        <v>323</v>
      </c>
      <c r="L16">
        <v>25</v>
      </c>
    </row>
    <row r="17" spans="1:15" ht="23.1" customHeight="1" x14ac:dyDescent="0.3">
      <c r="A17" s="37" t="str">
        <f>"운반횟수 : " &amp;"N = (2500*450)/(120*100+2500*4) = " &amp; L17</f>
        <v>운반횟수 : N = (2500*450)/(120*100+2500*4) = 51.1363636</v>
      </c>
      <c r="B17" s="40">
        <v>0</v>
      </c>
      <c r="C17" s="40">
        <v>0</v>
      </c>
      <c r="D17" s="40">
        <v>0</v>
      </c>
      <c r="E17" s="40">
        <v>0</v>
      </c>
      <c r="F17" s="47"/>
      <c r="J17">
        <v>0</v>
      </c>
      <c r="K17" t="s">
        <v>324</v>
      </c>
      <c r="L17">
        <v>51.136363600000003</v>
      </c>
    </row>
    <row r="18" spans="1:15" ht="23.1" customHeight="1" x14ac:dyDescent="0.3">
      <c r="A18" s="37" t="str">
        <f>"작업량 : " &amp;"Q = N*250/1000 = " &amp; L18</f>
        <v>작업량 : Q = N*250/1000 = 12.7840909</v>
      </c>
      <c r="B18" s="40">
        <v>0</v>
      </c>
      <c r="C18" s="40">
        <v>0</v>
      </c>
      <c r="D18" s="40">
        <v>0</v>
      </c>
      <c r="E18" s="40">
        <v>0</v>
      </c>
      <c r="F18" s="47"/>
      <c r="J18">
        <v>0</v>
      </c>
      <c r="K18" t="s">
        <v>325</v>
      </c>
      <c r="L18">
        <f>ROUNDDOWN(L17*250/1000, 7)</f>
        <v>12.784090900000001</v>
      </c>
    </row>
    <row r="19" spans="1:15" ht="23.1" customHeight="1" x14ac:dyDescent="0.3">
      <c r="A19" s="37" t="str">
        <f>"보통인부 일반공사 직종 인  " &amp; TEXT(TRUNC(N19,0), "#,##0") &amp; " * (2/12.7840909)"</f>
        <v>보통인부 일반공사 직종 인  172,068 * (2/12.7840909)</v>
      </c>
      <c r="B19" s="40">
        <v>0</v>
      </c>
      <c r="C19" s="40">
        <f>ROUNDDOWN(L19*N19, 1)</f>
        <v>26919</v>
      </c>
      <c r="D19" s="40">
        <v>0</v>
      </c>
      <c r="E19" s="40">
        <f>B19+C19+D19</f>
        <v>26919</v>
      </c>
      <c r="F19" s="47"/>
      <c r="H19" s="34" t="s">
        <v>265</v>
      </c>
      <c r="I19" s="34" t="s">
        <v>254</v>
      </c>
      <c r="J19">
        <v>1</v>
      </c>
      <c r="L19">
        <f>ROUNDDOWN(2/L18, 7)</f>
        <v>0.15644440000000001</v>
      </c>
      <c r="M19">
        <v>0</v>
      </c>
      <c r="N19">
        <f>ROUNDDOWN(단가대비표!O35, 0)</f>
        <v>172068</v>
      </c>
      <c r="O19">
        <v>0</v>
      </c>
    </row>
    <row r="20" spans="1:15" ht="23.1" customHeight="1" x14ac:dyDescent="0.3">
      <c r="A20" s="37" t="s">
        <v>326</v>
      </c>
      <c r="B20" s="40">
        <v>0</v>
      </c>
      <c r="C20" s="40">
        <v>0</v>
      </c>
      <c r="D20" s="40">
        <v>0</v>
      </c>
      <c r="E20" s="40">
        <v>0</v>
      </c>
      <c r="F20" s="47"/>
      <c r="J20">
        <v>0</v>
      </c>
      <c r="L20">
        <v>0</v>
      </c>
    </row>
    <row r="21" spans="1:15" ht="23.1" customHeight="1" x14ac:dyDescent="0.3">
      <c r="A21" s="37" t="s">
        <v>327</v>
      </c>
      <c r="B21" s="40">
        <v>0</v>
      </c>
      <c r="C21" s="40">
        <v>0</v>
      </c>
      <c r="D21" s="40">
        <v>0</v>
      </c>
      <c r="E21" s="40">
        <v>0</v>
      </c>
      <c r="F21" s="47"/>
      <c r="J21">
        <v>0</v>
      </c>
      <c r="L21">
        <v>0</v>
      </c>
    </row>
    <row r="22" spans="1:15" ht="23.1" customHeight="1" x14ac:dyDescent="0.3">
      <c r="A22" s="37" t="s">
        <v>328</v>
      </c>
      <c r="B22" s="40"/>
      <c r="C22" s="40"/>
      <c r="D22" s="40"/>
      <c r="E22" s="40"/>
      <c r="F22" s="49" t="s">
        <v>304</v>
      </c>
      <c r="J22">
        <v>0</v>
      </c>
      <c r="L22">
        <v>1</v>
      </c>
      <c r="M22">
        <f>ROUNDDOWN(중기경비목록!G12, 0)</f>
        <v>11262</v>
      </c>
      <c r="N22">
        <f>ROUNDDOWN(중기경비목록!I12, 0)</f>
        <v>36248</v>
      </c>
      <c r="O22">
        <f>ROUNDDOWN(중기경비목록!K12, 0)</f>
        <v>2064</v>
      </c>
    </row>
    <row r="23" spans="1:15" ht="23.1" customHeight="1" x14ac:dyDescent="0.3">
      <c r="A23" s="37" t="str">
        <f>"Q = 8/600 = " &amp; L23</f>
        <v>Q = 8/600 = 0.0133333</v>
      </c>
      <c r="B23" s="40">
        <v>0</v>
      </c>
      <c r="C23" s="40">
        <v>0</v>
      </c>
      <c r="D23" s="40">
        <v>0</v>
      </c>
      <c r="E23" s="40">
        <v>0</v>
      </c>
      <c r="F23" s="47"/>
      <c r="J23">
        <v>0</v>
      </c>
      <c r="K23" t="s">
        <v>325</v>
      </c>
      <c r="L23">
        <v>1.3333299999999999E-2</v>
      </c>
    </row>
    <row r="24" spans="1:15" ht="23.1" customHeight="1" x14ac:dyDescent="0.3">
      <c r="A24" s="37" t="str">
        <f>"재료비 : " &amp; TEXT(TRUNC(M24,0), "#,##0") &amp; " * 0.0133333"</f>
        <v>재료비 : 11,262 * 0.0133333</v>
      </c>
      <c r="B24" s="39">
        <f>ROUNDDOWN(M22*L23, 1)</f>
        <v>150.1</v>
      </c>
      <c r="C24" s="40">
        <v>0</v>
      </c>
      <c r="D24" s="40">
        <v>0</v>
      </c>
      <c r="E24" s="39">
        <f>B24+C24+D24</f>
        <v>150.1</v>
      </c>
      <c r="F24" s="47"/>
      <c r="I24" s="34" t="s">
        <v>254</v>
      </c>
      <c r="J24">
        <v>1</v>
      </c>
      <c r="L24">
        <v>0</v>
      </c>
      <c r="M24">
        <f>M22</f>
        <v>11262</v>
      </c>
    </row>
    <row r="25" spans="1:15" ht="23.1" customHeight="1" x14ac:dyDescent="0.3">
      <c r="A25" s="37" t="str">
        <f>"노무비 : " &amp; TEXT(TRUNC(N25,0), "#,##0") &amp; " * 0.0133333"</f>
        <v>노무비 : 36,248 * 0.0133333</v>
      </c>
      <c r="B25" s="40">
        <v>0</v>
      </c>
      <c r="C25" s="39">
        <f>ROUNDDOWN(N22*L23, 1)</f>
        <v>483.3</v>
      </c>
      <c r="D25" s="40">
        <v>0</v>
      </c>
      <c r="E25" s="39">
        <f>B25+C25+D25</f>
        <v>483.3</v>
      </c>
      <c r="F25" s="47"/>
      <c r="I25" s="34" t="s">
        <v>254</v>
      </c>
      <c r="J25">
        <v>1</v>
      </c>
      <c r="L25">
        <v>0</v>
      </c>
      <c r="N25">
        <f>N22</f>
        <v>36248</v>
      </c>
    </row>
    <row r="26" spans="1:15" ht="23.1" customHeight="1" x14ac:dyDescent="0.3">
      <c r="A26" s="37" t="str">
        <f>"경  비 : " &amp; TEXT(TRUNC(O26,0), "#,##0") &amp; " * 0.0133333"</f>
        <v>경  비 : 2,064 * 0.0133333</v>
      </c>
      <c r="B26" s="40">
        <v>0</v>
      </c>
      <c r="C26" s="40">
        <v>0</v>
      </c>
      <c r="D26" s="39">
        <f>ROUNDDOWN(O22*L23, 1)</f>
        <v>27.5</v>
      </c>
      <c r="E26" s="39">
        <f>B26+C26+D26</f>
        <v>27.5</v>
      </c>
      <c r="F26" s="47"/>
      <c r="I26" s="34" t="s">
        <v>254</v>
      </c>
      <c r="J26">
        <v>1</v>
      </c>
      <c r="L26">
        <v>0</v>
      </c>
      <c r="O26">
        <f>O22</f>
        <v>2064</v>
      </c>
    </row>
    <row r="27" spans="1:15" ht="23.1" customHeight="1" x14ac:dyDescent="0.3">
      <c r="A27" s="37" t="s">
        <v>329</v>
      </c>
      <c r="B27" s="40">
        <v>0</v>
      </c>
      <c r="C27" s="40">
        <v>0</v>
      </c>
      <c r="D27" s="40">
        <v>0</v>
      </c>
      <c r="E27" s="40">
        <v>0</v>
      </c>
      <c r="F27" s="47"/>
      <c r="J27">
        <v>0</v>
      </c>
      <c r="L27">
        <v>0</v>
      </c>
    </row>
    <row r="28" spans="1:15" ht="23.1" customHeight="1" x14ac:dyDescent="0.3">
      <c r="A28" s="37" t="s">
        <v>330</v>
      </c>
      <c r="B28" s="40"/>
      <c r="C28" s="40"/>
      <c r="D28" s="40"/>
      <c r="E28" s="40"/>
      <c r="F28" s="49" t="s">
        <v>303</v>
      </c>
      <c r="J28">
        <v>0</v>
      </c>
      <c r="L28">
        <v>0.5</v>
      </c>
      <c r="M28">
        <f>ROUNDDOWN(중기경비목록!G11, 0)</f>
        <v>2614</v>
      </c>
      <c r="N28">
        <f>ROUNDDOWN(중기경비목록!I11, 2)</f>
        <v>0</v>
      </c>
      <c r="O28">
        <f>ROUNDDOWN(중기경비목록!K11, 0)</f>
        <v>258</v>
      </c>
    </row>
    <row r="29" spans="1:15" ht="23.1" customHeight="1" x14ac:dyDescent="0.3">
      <c r="A29" s="37" t="str">
        <f>"Q = 8/Qd = " &amp; L29</f>
        <v>Q = 8/Qd = 0.0133333</v>
      </c>
      <c r="B29" s="40">
        <v>0</v>
      </c>
      <c r="C29" s="40">
        <v>0</v>
      </c>
      <c r="D29" s="40">
        <v>0</v>
      </c>
      <c r="E29" s="40">
        <v>0</v>
      </c>
      <c r="F29" s="47"/>
      <c r="J29">
        <v>0</v>
      </c>
      <c r="K29" t="s">
        <v>325</v>
      </c>
      <c r="L29">
        <f>ROUNDDOWN(8/L6, 7)</f>
        <v>1.3333299999999999E-2</v>
      </c>
    </row>
    <row r="30" spans="1:15" ht="23.1" customHeight="1" x14ac:dyDescent="0.3">
      <c r="A30" s="37" t="str">
        <f>"재료비 : " &amp; TEXT(TRUNC(M30,0), "#,##0") &amp; " * 0.5*0.0133333"</f>
        <v>재료비 : 2,614 * 0.5*0.0133333</v>
      </c>
      <c r="B30" s="39">
        <f>ROUNDDOWN(M28*L28*L29, 1)</f>
        <v>17.399999999999999</v>
      </c>
      <c r="C30" s="40">
        <v>0</v>
      </c>
      <c r="D30" s="40">
        <v>0</v>
      </c>
      <c r="E30" s="39">
        <f>B30+C30+D30</f>
        <v>17.399999999999999</v>
      </c>
      <c r="F30" s="47"/>
      <c r="I30" s="34" t="s">
        <v>254</v>
      </c>
      <c r="J30">
        <v>1</v>
      </c>
      <c r="L30">
        <v>0</v>
      </c>
      <c r="M30">
        <f>M28</f>
        <v>2614</v>
      </c>
    </row>
    <row r="31" spans="1:15" ht="23.1" customHeight="1" x14ac:dyDescent="0.3">
      <c r="A31" s="37" t="str">
        <f>"경  비 : " &amp; TEXT(TRUNC(O31,0), "#,##0") &amp; " * 0.5*0.0133333"</f>
        <v>경  비 : 258 * 0.5*0.0133333</v>
      </c>
      <c r="B31" s="40">
        <v>0</v>
      </c>
      <c r="C31" s="40">
        <v>0</v>
      </c>
      <c r="D31" s="39">
        <f>ROUNDDOWN(O28*L28*L29, 1)</f>
        <v>1.7</v>
      </c>
      <c r="E31" s="39">
        <f>B31+C31+D31</f>
        <v>1.7</v>
      </c>
      <c r="F31" s="47"/>
      <c r="I31" s="34" t="s">
        <v>254</v>
      </c>
      <c r="J31">
        <v>1</v>
      </c>
      <c r="L31">
        <v>0</v>
      </c>
      <c r="O31">
        <f>O28</f>
        <v>258</v>
      </c>
    </row>
    <row r="32" spans="1:15" ht="23.1" customHeight="1" x14ac:dyDescent="0.3">
      <c r="A32" s="37" t="s">
        <v>255</v>
      </c>
      <c r="B32" s="39">
        <f>SUMIF(J6:J31, "1", B6:B31)</f>
        <v>693.8</v>
      </c>
      <c r="C32" s="39">
        <f>SUMIF(J6:J31, "1", C6:C31)</f>
        <v>28065.8</v>
      </c>
      <c r="D32" s="39">
        <f>SUMIF(J6:J31, "1", D6:D31)</f>
        <v>29.2</v>
      </c>
      <c r="E32" s="39">
        <f>B32+C32+D32</f>
        <v>28788.799999999999</v>
      </c>
      <c r="F32" s="47"/>
      <c r="J32">
        <v>0</v>
      </c>
      <c r="L32">
        <v>0</v>
      </c>
    </row>
    <row r="33" spans="1:15" ht="23.1" customHeight="1" x14ac:dyDescent="0.3">
      <c r="A33" s="41" t="s">
        <v>216</v>
      </c>
      <c r="B33" s="45">
        <f>ROUNDDOWN(SUMIF(J6:J32, "1", B6:B32), 0)</f>
        <v>693</v>
      </c>
      <c r="C33" s="45">
        <f>ROUNDDOWN(SUMIF(J6:J32, "1", C6:C32), 0)</f>
        <v>28065</v>
      </c>
      <c r="D33" s="45">
        <f>ROUNDDOWN(SUMIF(J6:J32, "1", D6:D32), 0)</f>
        <v>29</v>
      </c>
      <c r="E33" s="45">
        <f>B33+C33+D33</f>
        <v>28787</v>
      </c>
      <c r="F33" s="44"/>
    </row>
    <row r="34" spans="1:15" ht="23.1" customHeight="1" x14ac:dyDescent="0.3">
      <c r="A34" s="37"/>
      <c r="B34" s="47"/>
      <c r="C34" s="47"/>
      <c r="D34" s="47"/>
      <c r="E34" s="47"/>
      <c r="F34" s="47"/>
    </row>
    <row r="35" spans="1:15" ht="23.1" customHeight="1" x14ac:dyDescent="0.3">
      <c r="A35" s="180" t="s">
        <v>331</v>
      </c>
      <c r="B35" s="181"/>
      <c r="C35" s="181"/>
      <c r="D35" s="181"/>
      <c r="E35" s="181"/>
      <c r="F35" s="48" t="s">
        <v>332</v>
      </c>
    </row>
    <row r="36" spans="1:15" ht="23.1" customHeight="1" x14ac:dyDescent="0.3">
      <c r="A36" s="37" t="s">
        <v>333</v>
      </c>
      <c r="B36" s="40">
        <v>0</v>
      </c>
      <c r="C36" s="40">
        <v>0</v>
      </c>
      <c r="D36" s="40">
        <v>0</v>
      </c>
      <c r="E36" s="40">
        <v>0</v>
      </c>
      <c r="F36" s="47"/>
      <c r="J36">
        <v>0</v>
      </c>
      <c r="L36">
        <v>0</v>
      </c>
    </row>
    <row r="37" spans="1:15" ht="23.1" customHeight="1" x14ac:dyDescent="0.3">
      <c r="A37" s="37" t="s">
        <v>334</v>
      </c>
      <c r="B37" s="40"/>
      <c r="C37" s="40"/>
      <c r="D37" s="40"/>
      <c r="E37" s="40"/>
      <c r="F37" s="49" t="s">
        <v>310</v>
      </c>
      <c r="J37">
        <v>0</v>
      </c>
      <c r="L37">
        <v>1</v>
      </c>
      <c r="M37">
        <f>ROUNDDOWN(중기경비목록!G14, 0)</f>
        <v>10763</v>
      </c>
      <c r="N37">
        <f>ROUNDDOWN(중기경비목록!I14, 0)</f>
        <v>59020</v>
      </c>
      <c r="O37">
        <f>ROUNDDOWN(중기경비목록!K14, 0)</f>
        <v>18810</v>
      </c>
    </row>
    <row r="38" spans="1:15" ht="23.1" customHeight="1" x14ac:dyDescent="0.3">
      <c r="A38" s="37" t="str">
        <f>"시간당작업량(㎥/hr) : " &amp;"Q = " &amp; L38</f>
        <v>시간당작업량(㎥/hr) : Q = 4.1</v>
      </c>
      <c r="B38" s="40">
        <v>0</v>
      </c>
      <c r="C38" s="40">
        <v>0</v>
      </c>
      <c r="D38" s="40">
        <v>0</v>
      </c>
      <c r="E38" s="40">
        <v>0</v>
      </c>
      <c r="F38" s="47"/>
      <c r="J38">
        <v>0</v>
      </c>
      <c r="K38" t="s">
        <v>325</v>
      </c>
      <c r="L38">
        <v>4.0999999999999996</v>
      </c>
    </row>
    <row r="39" spans="1:15" ht="23.1" customHeight="1" x14ac:dyDescent="0.3">
      <c r="A39" s="37" t="str">
        <f>"재료비 : " &amp; TEXT(TRUNC(M39,0), "#,##0") &amp; " / 4.1"</f>
        <v>재료비 : 10,763 / 4.1</v>
      </c>
      <c r="B39" s="39">
        <f>ROUNDDOWN(M37/L38, 1)</f>
        <v>2625.1</v>
      </c>
      <c r="C39" s="40">
        <v>0</v>
      </c>
      <c r="D39" s="40">
        <v>0</v>
      </c>
      <c r="E39" s="39">
        <f>B39+C39+D39</f>
        <v>2625.1</v>
      </c>
      <c r="F39" s="47"/>
      <c r="I39" s="34" t="s">
        <v>254</v>
      </c>
      <c r="J39">
        <v>1</v>
      </c>
      <c r="L39">
        <v>0</v>
      </c>
      <c r="M39">
        <f>M37</f>
        <v>10763</v>
      </c>
    </row>
    <row r="40" spans="1:15" ht="23.1" customHeight="1" x14ac:dyDescent="0.3">
      <c r="A40" s="37" t="str">
        <f>"노무비 : " &amp; TEXT(TRUNC(N40,0), "#,##0") &amp; " / 4.1"</f>
        <v>노무비 : 59,020 / 4.1</v>
      </c>
      <c r="B40" s="40">
        <v>0</v>
      </c>
      <c r="C40" s="39">
        <f>ROUNDDOWN(N37/L38, 1)</f>
        <v>14395.1</v>
      </c>
      <c r="D40" s="40">
        <v>0</v>
      </c>
      <c r="E40" s="39">
        <f>B40+C40+D40</f>
        <v>14395.1</v>
      </c>
      <c r="F40" s="47"/>
      <c r="I40" s="34" t="s">
        <v>254</v>
      </c>
      <c r="J40">
        <v>1</v>
      </c>
      <c r="L40">
        <v>0</v>
      </c>
      <c r="N40">
        <f>N37</f>
        <v>59020</v>
      </c>
    </row>
    <row r="41" spans="1:15" ht="23.1" customHeight="1" x14ac:dyDescent="0.3">
      <c r="A41" s="37" t="str">
        <f>"경  비 : " &amp; TEXT(TRUNC(O41,0), "#,##0") &amp; " / 4.1"</f>
        <v>경  비 : 18,810 / 4.1</v>
      </c>
      <c r="B41" s="40">
        <v>0</v>
      </c>
      <c r="C41" s="40">
        <v>0</v>
      </c>
      <c r="D41" s="39">
        <f>ROUNDDOWN(O37/L38, 1)</f>
        <v>4587.8</v>
      </c>
      <c r="E41" s="39">
        <f>B41+C41+D41</f>
        <v>4587.8</v>
      </c>
      <c r="F41" s="47"/>
      <c r="I41" s="34" t="s">
        <v>254</v>
      </c>
      <c r="J41">
        <v>1</v>
      </c>
      <c r="L41">
        <v>0</v>
      </c>
      <c r="O41">
        <f>O37</f>
        <v>18810</v>
      </c>
    </row>
    <row r="42" spans="1:15" ht="23.1" customHeight="1" x14ac:dyDescent="0.3">
      <c r="A42" s="37" t="s">
        <v>335</v>
      </c>
      <c r="B42" s="40">
        <v>0</v>
      </c>
      <c r="C42" s="40">
        <v>0</v>
      </c>
      <c r="D42" s="40">
        <v>0</v>
      </c>
      <c r="E42" s="40">
        <v>0</v>
      </c>
      <c r="F42" s="47"/>
      <c r="J42">
        <v>0</v>
      </c>
      <c r="L42">
        <v>0</v>
      </c>
    </row>
    <row r="43" spans="1:15" ht="23.1" customHeight="1" x14ac:dyDescent="0.3">
      <c r="A43" s="37" t="str">
        <f>"보통인부 일반공사 직종 인  " &amp; TEXT(TRUNC(N43,0), "#,##0") &amp; " * (1/8/4.1)"</f>
        <v>보통인부 일반공사 직종 인  172,068 * (1/8/4.1)</v>
      </c>
      <c r="B43" s="40">
        <v>0</v>
      </c>
      <c r="C43" s="39">
        <f>ROUNDDOWN(L43*N43, 1)</f>
        <v>5245.9</v>
      </c>
      <c r="D43" s="40">
        <v>0</v>
      </c>
      <c r="E43" s="39">
        <f>B43+C43+D43</f>
        <v>5245.9</v>
      </c>
      <c r="F43" s="47"/>
      <c r="H43" s="34" t="s">
        <v>265</v>
      </c>
      <c r="I43" s="34" t="s">
        <v>254</v>
      </c>
      <c r="J43">
        <v>1</v>
      </c>
      <c r="L43">
        <f>1/8/L38</f>
        <v>3.0487804878048783E-2</v>
      </c>
      <c r="M43">
        <v>0</v>
      </c>
      <c r="N43">
        <f>ROUNDDOWN(단가대비표!O35, 0)</f>
        <v>172068</v>
      </c>
      <c r="O43">
        <v>0</v>
      </c>
    </row>
    <row r="44" spans="1:15" ht="23.1" customHeight="1" x14ac:dyDescent="0.3">
      <c r="A44" s="37" t="s">
        <v>255</v>
      </c>
      <c r="B44" s="39">
        <f>SUMIF(J36:J43, "1", B36:B43)</f>
        <v>2625.1</v>
      </c>
      <c r="C44" s="40">
        <f>SUMIF(J36:J43, "1", C36:C43)</f>
        <v>19641</v>
      </c>
      <c r="D44" s="39">
        <f>SUMIF(J36:J43, "1", D36:D43)</f>
        <v>4587.8</v>
      </c>
      <c r="E44" s="39">
        <f>B44+C44+D44</f>
        <v>26853.899999999998</v>
      </c>
      <c r="F44" s="47"/>
      <c r="J44">
        <v>0</v>
      </c>
      <c r="L44">
        <v>0</v>
      </c>
    </row>
    <row r="45" spans="1:15" ht="23.1" customHeight="1" x14ac:dyDescent="0.3">
      <c r="A45" s="41" t="s">
        <v>216</v>
      </c>
      <c r="B45" s="45">
        <f>ROUNDDOWN(SUMIF(J36:J44, "1", B36:B44), 0)</f>
        <v>2625</v>
      </c>
      <c r="C45" s="45">
        <f>ROUNDDOWN(SUMIF(J36:J44, "1", C36:C44), 0)</f>
        <v>19641</v>
      </c>
      <c r="D45" s="45">
        <f>ROUNDDOWN(SUMIF(J36:J44, "1", D36:D44), 0)</f>
        <v>4587</v>
      </c>
      <c r="E45" s="45">
        <f>B45+C45+D45</f>
        <v>26853</v>
      </c>
      <c r="F45" s="44"/>
    </row>
    <row r="46" spans="1:15" ht="23.1" customHeight="1" x14ac:dyDescent="0.3">
      <c r="A46" s="37"/>
      <c r="B46" s="47"/>
      <c r="C46" s="47"/>
      <c r="D46" s="47"/>
      <c r="E46" s="47"/>
      <c r="F46" s="47"/>
    </row>
    <row r="47" spans="1:15" ht="23.1" customHeight="1" x14ac:dyDescent="0.3">
      <c r="A47" s="37"/>
      <c r="B47" s="47"/>
      <c r="C47" s="47"/>
      <c r="D47" s="47"/>
      <c r="E47" s="47"/>
      <c r="F47" s="47"/>
    </row>
    <row r="48" spans="1:15" ht="23.1" customHeight="1" x14ac:dyDescent="0.3">
      <c r="A48" s="37"/>
      <c r="B48" s="47"/>
      <c r="C48" s="47"/>
      <c r="D48" s="47"/>
      <c r="E48" s="47"/>
      <c r="F48" s="47"/>
    </row>
    <row r="49" spans="1:6" ht="23.1" customHeight="1" x14ac:dyDescent="0.3">
      <c r="A49" s="37"/>
      <c r="B49" s="47"/>
      <c r="C49" s="47"/>
      <c r="D49" s="47"/>
      <c r="E49" s="47"/>
      <c r="F49" s="47"/>
    </row>
    <row r="50" spans="1:6" ht="23.1" customHeight="1" x14ac:dyDescent="0.3">
      <c r="A50" s="37"/>
      <c r="B50" s="47"/>
      <c r="C50" s="47"/>
      <c r="D50" s="47"/>
      <c r="E50" s="47"/>
      <c r="F50" s="47"/>
    </row>
    <row r="51" spans="1:6" ht="23.1" customHeight="1" x14ac:dyDescent="0.3">
      <c r="A51" s="37"/>
      <c r="B51" s="47"/>
      <c r="C51" s="47"/>
      <c r="D51" s="47"/>
      <c r="E51" s="47"/>
      <c r="F51" s="47"/>
    </row>
    <row r="52" spans="1:6" ht="23.1" customHeight="1" x14ac:dyDescent="0.3">
      <c r="A52" s="37"/>
      <c r="B52" s="47"/>
      <c r="C52" s="47"/>
      <c r="D52" s="47"/>
      <c r="E52" s="47"/>
      <c r="F52" s="47"/>
    </row>
  </sheetData>
  <mergeCells count="10">
    <mergeCell ref="A5:E5"/>
    <mergeCell ref="A35:E35"/>
    <mergeCell ref="A1:F1"/>
    <mergeCell ref="A2:F2"/>
    <mergeCell ref="A3:A4"/>
    <mergeCell ref="F3:F4"/>
    <mergeCell ref="B3:B4"/>
    <mergeCell ref="C3:C4"/>
    <mergeCell ref="D3:D4"/>
    <mergeCell ref="E3:E4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3" manualBreakCount="3">
    <brk id="20" max="16383" man="1"/>
    <brk id="36" max="16383" man="1"/>
    <brk id="5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19D86"/>
  </sheetPr>
  <dimension ref="A1:O20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L23" sqref="L23"/>
    </sheetView>
  </sheetViews>
  <sheetFormatPr defaultRowHeight="16.5" x14ac:dyDescent="0.3"/>
  <cols>
    <col min="1" max="1" width="6.625" style="2" customWidth="1"/>
    <col min="2" max="3" width="20.625" style="1" customWidth="1"/>
    <col min="4" max="4" width="4.625" style="2" customWidth="1"/>
    <col min="5" max="5" width="6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1" customWidth="1"/>
    <col min="15" max="18" width="0" hidden="1" customWidth="1"/>
  </cols>
  <sheetData>
    <row r="1" spans="1:15" ht="30" customHeight="1" x14ac:dyDescent="0.3">
      <c r="A1" s="158" t="s">
        <v>284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5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</row>
    <row r="3" spans="1:15" ht="23.1" customHeight="1" x14ac:dyDescent="0.3">
      <c r="A3" s="167" t="s">
        <v>285</v>
      </c>
      <c r="B3" s="167" t="s">
        <v>2</v>
      </c>
      <c r="C3" s="167" t="s">
        <v>3</v>
      </c>
      <c r="D3" s="167" t="s">
        <v>4</v>
      </c>
      <c r="E3" s="167" t="s">
        <v>202</v>
      </c>
      <c r="F3" s="167" t="s">
        <v>286</v>
      </c>
      <c r="G3" s="167"/>
      <c r="H3" s="167" t="s">
        <v>287</v>
      </c>
      <c r="I3" s="167"/>
      <c r="J3" s="167" t="s">
        <v>288</v>
      </c>
      <c r="K3" s="167"/>
      <c r="L3" s="167" t="s">
        <v>289</v>
      </c>
      <c r="M3" s="167"/>
      <c r="N3" s="167" t="s">
        <v>240</v>
      </c>
    </row>
    <row r="4" spans="1:15" ht="23.1" customHeight="1" x14ac:dyDescent="0.3">
      <c r="A4" s="167"/>
      <c r="B4" s="167"/>
      <c r="C4" s="167"/>
      <c r="D4" s="167"/>
      <c r="E4" s="167"/>
      <c r="F4" s="12" t="s">
        <v>241</v>
      </c>
      <c r="G4" s="12" t="s">
        <v>242</v>
      </c>
      <c r="H4" s="12" t="s">
        <v>241</v>
      </c>
      <c r="I4" s="12" t="s">
        <v>242</v>
      </c>
      <c r="J4" s="12" t="s">
        <v>241</v>
      </c>
      <c r="K4" s="12" t="s">
        <v>242</v>
      </c>
      <c r="L4" s="12" t="s">
        <v>241</v>
      </c>
      <c r="M4" s="12" t="s">
        <v>242</v>
      </c>
      <c r="N4" s="167"/>
      <c r="O4" t="s">
        <v>16</v>
      </c>
    </row>
    <row r="5" spans="1:15" ht="23.1" customHeight="1" x14ac:dyDescent="0.3">
      <c r="A5" s="38" t="s">
        <v>290</v>
      </c>
      <c r="B5" s="36" t="s">
        <v>168</v>
      </c>
      <c r="C5" s="36" t="s">
        <v>291</v>
      </c>
      <c r="D5" s="38" t="s">
        <v>292</v>
      </c>
      <c r="E5" s="46">
        <v>1</v>
      </c>
      <c r="F5" s="40">
        <f>중기경비!F16</f>
        <v>11506</v>
      </c>
      <c r="G5" s="40">
        <f t="shared" ref="G5:G14" si="0">E5*F5</f>
        <v>11506</v>
      </c>
      <c r="H5" s="40">
        <f>중기경비!H16</f>
        <v>59020</v>
      </c>
      <c r="I5" s="40">
        <f t="shared" ref="I5:I14" si="1">E5*H5</f>
        <v>59020</v>
      </c>
      <c r="J5" s="40">
        <f>중기경비!J16</f>
        <v>15800</v>
      </c>
      <c r="K5" s="40">
        <f t="shared" ref="K5:K14" si="2">E5*J5</f>
        <v>15800</v>
      </c>
      <c r="L5" s="40">
        <f t="shared" ref="L5:L14" si="3">F5+H5+J5</f>
        <v>86326</v>
      </c>
      <c r="M5" s="40">
        <f t="shared" ref="M5:M14" si="4">G5+I5+K5</f>
        <v>86326</v>
      </c>
      <c r="N5" s="36" t="s">
        <v>250</v>
      </c>
    </row>
    <row r="6" spans="1:15" ht="23.1" customHeight="1" x14ac:dyDescent="0.3">
      <c r="A6" s="38" t="s">
        <v>293</v>
      </c>
      <c r="B6" s="36" t="s">
        <v>162</v>
      </c>
      <c r="C6" s="36" t="s">
        <v>294</v>
      </c>
      <c r="D6" s="38" t="s">
        <v>292</v>
      </c>
      <c r="E6" s="46">
        <v>1</v>
      </c>
      <c r="F6" s="40">
        <f>중기경비!F29</f>
        <v>5766</v>
      </c>
      <c r="G6" s="40">
        <f t="shared" si="0"/>
        <v>5766</v>
      </c>
      <c r="H6" s="40">
        <f>중기경비!H29</f>
        <v>49778</v>
      </c>
      <c r="I6" s="40">
        <f t="shared" si="1"/>
        <v>49778</v>
      </c>
      <c r="J6" s="40">
        <f>중기경비!J29</f>
        <v>10694</v>
      </c>
      <c r="K6" s="40">
        <f t="shared" si="2"/>
        <v>10694</v>
      </c>
      <c r="L6" s="40">
        <f t="shared" si="3"/>
        <v>66238</v>
      </c>
      <c r="M6" s="40">
        <f t="shared" si="4"/>
        <v>66238</v>
      </c>
      <c r="N6" s="36" t="s">
        <v>267</v>
      </c>
    </row>
    <row r="7" spans="1:15" ht="23.1" customHeight="1" x14ac:dyDescent="0.3">
      <c r="A7" s="38" t="s">
        <v>295</v>
      </c>
      <c r="B7" s="36" t="s">
        <v>180</v>
      </c>
      <c r="C7" s="36" t="s">
        <v>296</v>
      </c>
      <c r="D7" s="38" t="s">
        <v>292</v>
      </c>
      <c r="E7" s="46">
        <v>1</v>
      </c>
      <c r="F7" s="40">
        <f>중기경비!F42</f>
        <v>20033</v>
      </c>
      <c r="G7" s="40">
        <f t="shared" si="0"/>
        <v>20033</v>
      </c>
      <c r="H7" s="40">
        <f>중기경비!H42</f>
        <v>49778</v>
      </c>
      <c r="I7" s="40">
        <f t="shared" si="1"/>
        <v>49778</v>
      </c>
      <c r="J7" s="40">
        <f>중기경비!J42</f>
        <v>9986</v>
      </c>
      <c r="K7" s="40">
        <f t="shared" si="2"/>
        <v>9986</v>
      </c>
      <c r="L7" s="40">
        <f t="shared" si="3"/>
        <v>79797</v>
      </c>
      <c r="M7" s="40">
        <f t="shared" si="4"/>
        <v>79797</v>
      </c>
      <c r="N7" s="36" t="s">
        <v>269</v>
      </c>
    </row>
    <row r="8" spans="1:15" ht="23.1" customHeight="1" x14ac:dyDescent="0.3">
      <c r="A8" s="38" t="s">
        <v>297</v>
      </c>
      <c r="B8" s="36" t="s">
        <v>298</v>
      </c>
      <c r="C8" s="36" t="s">
        <v>299</v>
      </c>
      <c r="D8" s="38" t="s">
        <v>292</v>
      </c>
      <c r="E8" s="46">
        <v>1</v>
      </c>
      <c r="F8" s="40">
        <f>중기경비!F55</f>
        <v>4119</v>
      </c>
      <c r="G8" s="40">
        <f t="shared" si="0"/>
        <v>4119</v>
      </c>
      <c r="H8" s="40">
        <f>중기경비!H55</f>
        <v>36248</v>
      </c>
      <c r="I8" s="40">
        <f t="shared" si="1"/>
        <v>36248</v>
      </c>
      <c r="J8" s="40">
        <f>중기경비!J55</f>
        <v>1967</v>
      </c>
      <c r="K8" s="40">
        <f t="shared" si="2"/>
        <v>1967</v>
      </c>
      <c r="L8" s="40">
        <f t="shared" si="3"/>
        <v>42334</v>
      </c>
      <c r="M8" s="40">
        <f t="shared" si="4"/>
        <v>42334</v>
      </c>
      <c r="N8" s="36" t="s">
        <v>271</v>
      </c>
    </row>
    <row r="9" spans="1:15" ht="23.1" customHeight="1" x14ac:dyDescent="0.3">
      <c r="A9" s="38" t="s">
        <v>300</v>
      </c>
      <c r="B9" s="36" t="s">
        <v>196</v>
      </c>
      <c r="C9" s="36" t="s">
        <v>301</v>
      </c>
      <c r="D9" s="38" t="s">
        <v>292</v>
      </c>
      <c r="E9" s="46">
        <v>1</v>
      </c>
      <c r="F9" s="40">
        <f>중기경비!F68</f>
        <v>2011</v>
      </c>
      <c r="G9" s="40">
        <f t="shared" si="0"/>
        <v>2011</v>
      </c>
      <c r="H9" s="40">
        <f>중기경비!H68</f>
        <v>36248</v>
      </c>
      <c r="I9" s="40">
        <f t="shared" si="1"/>
        <v>36248</v>
      </c>
      <c r="J9" s="40">
        <f>중기경비!J68</f>
        <v>620</v>
      </c>
      <c r="K9" s="40">
        <f t="shared" si="2"/>
        <v>620</v>
      </c>
      <c r="L9" s="40">
        <f t="shared" si="3"/>
        <v>38879</v>
      </c>
      <c r="M9" s="40">
        <f t="shared" si="4"/>
        <v>38879</v>
      </c>
      <c r="N9" s="36" t="s">
        <v>273</v>
      </c>
    </row>
    <row r="10" spans="1:15" ht="23.1" customHeight="1" x14ac:dyDescent="0.3">
      <c r="A10" s="38" t="s">
        <v>302</v>
      </c>
      <c r="B10" s="36" t="s">
        <v>177</v>
      </c>
      <c r="C10" s="36" t="s">
        <v>178</v>
      </c>
      <c r="D10" s="38" t="s">
        <v>292</v>
      </c>
      <c r="E10" s="46">
        <v>1</v>
      </c>
      <c r="F10" s="40">
        <f>중기경비!F81</f>
        <v>8351</v>
      </c>
      <c r="G10" s="40">
        <f t="shared" si="0"/>
        <v>8351</v>
      </c>
      <c r="H10" s="40">
        <f>중기경비!H81</f>
        <v>59020</v>
      </c>
      <c r="I10" s="40">
        <f t="shared" si="1"/>
        <v>59020</v>
      </c>
      <c r="J10" s="40">
        <f>중기경비!J81</f>
        <v>7505</v>
      </c>
      <c r="K10" s="40">
        <f t="shared" si="2"/>
        <v>7505</v>
      </c>
      <c r="L10" s="40">
        <f t="shared" si="3"/>
        <v>74876</v>
      </c>
      <c r="M10" s="40">
        <f t="shared" si="4"/>
        <v>74876</v>
      </c>
      <c r="N10" s="36" t="s">
        <v>275</v>
      </c>
    </row>
    <row r="11" spans="1:15" ht="23.1" customHeight="1" x14ac:dyDescent="0.3">
      <c r="A11" s="38" t="s">
        <v>303</v>
      </c>
      <c r="B11" s="36" t="s">
        <v>174</v>
      </c>
      <c r="C11" s="36" t="s">
        <v>175</v>
      </c>
      <c r="D11" s="38" t="s">
        <v>292</v>
      </c>
      <c r="E11" s="46">
        <v>1</v>
      </c>
      <c r="F11" s="40">
        <f>중기경비!F91</f>
        <v>2614</v>
      </c>
      <c r="G11" s="40">
        <f t="shared" si="0"/>
        <v>2614</v>
      </c>
      <c r="H11" s="40">
        <f>중기경비!H91</f>
        <v>0</v>
      </c>
      <c r="I11" s="40">
        <f t="shared" si="1"/>
        <v>0</v>
      </c>
      <c r="J11" s="40">
        <f>중기경비!J91</f>
        <v>258</v>
      </c>
      <c r="K11" s="40">
        <f t="shared" si="2"/>
        <v>258</v>
      </c>
      <c r="L11" s="40">
        <f t="shared" si="3"/>
        <v>2872</v>
      </c>
      <c r="M11" s="40">
        <f t="shared" si="4"/>
        <v>2872</v>
      </c>
      <c r="N11" s="36" t="s">
        <v>277</v>
      </c>
    </row>
    <row r="12" spans="1:15" ht="23.1" customHeight="1" x14ac:dyDescent="0.3">
      <c r="A12" s="38" t="s">
        <v>304</v>
      </c>
      <c r="B12" s="36" t="s">
        <v>305</v>
      </c>
      <c r="C12" s="36" t="s">
        <v>306</v>
      </c>
      <c r="D12" s="38" t="s">
        <v>292</v>
      </c>
      <c r="E12" s="46">
        <v>1</v>
      </c>
      <c r="F12" s="40">
        <f>중기경비!F104</f>
        <v>11262</v>
      </c>
      <c r="G12" s="40">
        <f t="shared" si="0"/>
        <v>11262</v>
      </c>
      <c r="H12" s="40">
        <f>중기경비!H104</f>
        <v>36248</v>
      </c>
      <c r="I12" s="40">
        <f t="shared" si="1"/>
        <v>36248</v>
      </c>
      <c r="J12" s="40">
        <f>중기경비!J104</f>
        <v>2064</v>
      </c>
      <c r="K12" s="40">
        <f t="shared" si="2"/>
        <v>2064</v>
      </c>
      <c r="L12" s="40">
        <f t="shared" si="3"/>
        <v>49574</v>
      </c>
      <c r="M12" s="40">
        <f t="shared" si="4"/>
        <v>49574</v>
      </c>
      <c r="N12" s="36" t="s">
        <v>279</v>
      </c>
    </row>
    <row r="13" spans="1:15" ht="23.1" customHeight="1" x14ac:dyDescent="0.3">
      <c r="A13" s="38" t="s">
        <v>307</v>
      </c>
      <c r="B13" s="36" t="s">
        <v>308</v>
      </c>
      <c r="C13" s="36" t="s">
        <v>309</v>
      </c>
      <c r="D13" s="38" t="s">
        <v>292</v>
      </c>
      <c r="E13" s="46">
        <v>1</v>
      </c>
      <c r="F13" s="40">
        <f>중기경비!F117</f>
        <v>10024</v>
      </c>
      <c r="G13" s="40">
        <f t="shared" si="0"/>
        <v>10024</v>
      </c>
      <c r="H13" s="40">
        <f>중기경비!H117</f>
        <v>59020</v>
      </c>
      <c r="I13" s="40">
        <f t="shared" si="1"/>
        <v>59020</v>
      </c>
      <c r="J13" s="40">
        <f>중기경비!J117</f>
        <v>13873</v>
      </c>
      <c r="K13" s="40">
        <f t="shared" si="2"/>
        <v>13873</v>
      </c>
      <c r="L13" s="40">
        <f t="shared" si="3"/>
        <v>82917</v>
      </c>
      <c r="M13" s="40">
        <f t="shared" si="4"/>
        <v>82917</v>
      </c>
      <c r="N13" s="36" t="s">
        <v>281</v>
      </c>
    </row>
    <row r="14" spans="1:15" ht="23.1" customHeight="1" x14ac:dyDescent="0.3">
      <c r="A14" s="38" t="s">
        <v>310</v>
      </c>
      <c r="B14" s="36" t="s">
        <v>311</v>
      </c>
      <c r="C14" s="36" t="s">
        <v>169</v>
      </c>
      <c r="D14" s="38" t="s">
        <v>292</v>
      </c>
      <c r="E14" s="46">
        <v>1</v>
      </c>
      <c r="F14" s="40">
        <f>중기경비!F131</f>
        <v>10763</v>
      </c>
      <c r="G14" s="40">
        <f t="shared" si="0"/>
        <v>10763</v>
      </c>
      <c r="H14" s="40">
        <f>중기경비!H131</f>
        <v>59020</v>
      </c>
      <c r="I14" s="40">
        <f t="shared" si="1"/>
        <v>59020</v>
      </c>
      <c r="J14" s="40">
        <f>중기경비!J131</f>
        <v>18810</v>
      </c>
      <c r="K14" s="40">
        <f t="shared" si="2"/>
        <v>18810</v>
      </c>
      <c r="L14" s="40">
        <f t="shared" si="3"/>
        <v>88593</v>
      </c>
      <c r="M14" s="40">
        <f t="shared" si="4"/>
        <v>88593</v>
      </c>
      <c r="N14" s="36" t="s">
        <v>283</v>
      </c>
    </row>
    <row r="15" spans="1:15" ht="23.1" customHeight="1" x14ac:dyDescent="0.3">
      <c r="A15" s="46"/>
      <c r="B15" s="37"/>
      <c r="C15" s="37"/>
      <c r="D15" s="46"/>
      <c r="E15" s="46"/>
      <c r="F15" s="47"/>
      <c r="G15" s="47"/>
      <c r="H15" s="47"/>
      <c r="I15" s="47"/>
      <c r="J15" s="47"/>
      <c r="K15" s="47"/>
      <c r="L15" s="47"/>
      <c r="M15" s="47"/>
      <c r="N15" s="37"/>
    </row>
    <row r="16" spans="1:15" ht="23.1" customHeight="1" x14ac:dyDescent="0.3">
      <c r="A16" s="46"/>
      <c r="B16" s="37"/>
      <c r="C16" s="37"/>
      <c r="D16" s="46"/>
      <c r="E16" s="46"/>
      <c r="F16" s="47"/>
      <c r="G16" s="47"/>
      <c r="H16" s="47"/>
      <c r="I16" s="47"/>
      <c r="J16" s="47"/>
      <c r="K16" s="47"/>
      <c r="L16" s="47"/>
      <c r="M16" s="47"/>
      <c r="N16" s="37"/>
    </row>
    <row r="17" spans="1:14" ht="23.1" customHeight="1" x14ac:dyDescent="0.3">
      <c r="A17" s="46"/>
      <c r="B17" s="37"/>
      <c r="C17" s="37"/>
      <c r="D17" s="46"/>
      <c r="E17" s="46"/>
      <c r="F17" s="47"/>
      <c r="G17" s="47"/>
      <c r="H17" s="47"/>
      <c r="I17" s="47"/>
      <c r="J17" s="47"/>
      <c r="K17" s="47"/>
      <c r="L17" s="47"/>
      <c r="M17" s="47"/>
      <c r="N17" s="37"/>
    </row>
    <row r="18" spans="1:14" ht="23.1" customHeight="1" x14ac:dyDescent="0.3">
      <c r="A18" s="46"/>
      <c r="B18" s="37"/>
      <c r="C18" s="37"/>
      <c r="D18" s="46"/>
      <c r="E18" s="46"/>
      <c r="F18" s="47"/>
      <c r="G18" s="47"/>
      <c r="H18" s="47"/>
      <c r="I18" s="47"/>
      <c r="J18" s="47"/>
      <c r="K18" s="47"/>
      <c r="L18" s="47"/>
      <c r="M18" s="47"/>
      <c r="N18" s="37"/>
    </row>
    <row r="19" spans="1:14" ht="23.1" customHeight="1" x14ac:dyDescent="0.3">
      <c r="A19" s="46"/>
      <c r="B19" s="37"/>
      <c r="C19" s="37"/>
      <c r="D19" s="46"/>
      <c r="E19" s="46"/>
      <c r="F19" s="47"/>
      <c r="G19" s="47"/>
      <c r="H19" s="47"/>
      <c r="I19" s="47"/>
      <c r="J19" s="47"/>
      <c r="K19" s="47"/>
      <c r="L19" s="47"/>
      <c r="M19" s="47"/>
      <c r="N19" s="37"/>
    </row>
    <row r="20" spans="1:14" ht="23.1" customHeight="1" x14ac:dyDescent="0.3">
      <c r="A20" s="46"/>
      <c r="B20" s="37"/>
      <c r="C20" s="37"/>
      <c r="D20" s="46"/>
      <c r="E20" s="46"/>
      <c r="F20" s="47"/>
      <c r="G20" s="47"/>
      <c r="H20" s="47"/>
      <c r="I20" s="47"/>
      <c r="J20" s="47"/>
      <c r="K20" s="47"/>
      <c r="L20" s="47"/>
      <c r="M20" s="47"/>
      <c r="N20" s="37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1" manualBreakCount="1">
    <brk id="2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B7"/>
  </sheetPr>
  <dimension ref="A1:T1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1" customWidth="1"/>
    <col min="14" max="20" width="0" hidden="1" customWidth="1"/>
  </cols>
  <sheetData>
    <row r="1" spans="1:20" ht="30" customHeight="1" x14ac:dyDescent="0.3">
      <c r="A1" s="158" t="s">
        <v>232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20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</row>
    <row r="3" spans="1:20" ht="23.1" customHeight="1" x14ac:dyDescent="0.3">
      <c r="A3" s="167" t="s">
        <v>233</v>
      </c>
      <c r="B3" s="167" t="s">
        <v>234</v>
      </c>
      <c r="C3" s="167" t="s">
        <v>4</v>
      </c>
      <c r="D3" s="167" t="s">
        <v>235</v>
      </c>
      <c r="E3" s="167" t="s">
        <v>236</v>
      </c>
      <c r="F3" s="167"/>
      <c r="G3" s="167" t="s">
        <v>237</v>
      </c>
      <c r="H3" s="167"/>
      <c r="I3" s="167" t="s">
        <v>238</v>
      </c>
      <c r="J3" s="167"/>
      <c r="K3" s="167" t="s">
        <v>239</v>
      </c>
      <c r="L3" s="167"/>
      <c r="M3" s="167" t="s">
        <v>240</v>
      </c>
    </row>
    <row r="4" spans="1:20" ht="23.1" customHeight="1" x14ac:dyDescent="0.3">
      <c r="A4" s="167"/>
      <c r="B4" s="167"/>
      <c r="C4" s="167"/>
      <c r="D4" s="167"/>
      <c r="E4" s="12" t="s">
        <v>241</v>
      </c>
      <c r="F4" s="12" t="s">
        <v>242</v>
      </c>
      <c r="G4" s="12" t="s">
        <v>241</v>
      </c>
      <c r="H4" s="12" t="s">
        <v>242</v>
      </c>
      <c r="I4" s="12" t="s">
        <v>241</v>
      </c>
      <c r="J4" s="12" t="s">
        <v>242</v>
      </c>
      <c r="K4" s="12" t="s">
        <v>241</v>
      </c>
      <c r="L4" s="12" t="s">
        <v>242</v>
      </c>
      <c r="M4" s="167"/>
      <c r="N4" t="s">
        <v>243</v>
      </c>
      <c r="O4" t="s">
        <v>244</v>
      </c>
      <c r="P4" t="s">
        <v>245</v>
      </c>
      <c r="Q4" t="s">
        <v>246</v>
      </c>
      <c r="R4" t="s">
        <v>247</v>
      </c>
      <c r="S4" t="s">
        <v>248</v>
      </c>
      <c r="T4" t="s">
        <v>16</v>
      </c>
    </row>
    <row r="5" spans="1:20" ht="23.1" customHeight="1" x14ac:dyDescent="0.3">
      <c r="A5" s="182" t="s">
        <v>249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5" t="s">
        <v>250</v>
      </c>
    </row>
    <row r="6" spans="1:20" ht="23.1" customHeight="1" x14ac:dyDescent="0.3">
      <c r="A6" s="36" t="s">
        <v>251</v>
      </c>
      <c r="B6" s="37"/>
      <c r="C6" s="38" t="s">
        <v>252</v>
      </c>
      <c r="D6" s="39"/>
      <c r="E6" s="40"/>
      <c r="F6" s="40">
        <f>ROUNDDOWN(D6*E6, 1)</f>
        <v>0</v>
      </c>
      <c r="G6" s="40"/>
      <c r="H6" s="40">
        <f>ROUNDDOWN(D6*G6, 1)</f>
        <v>0</v>
      </c>
      <c r="I6" s="40"/>
      <c r="J6" s="40">
        <f>ROUNDDOWN(D6*I6, 1)</f>
        <v>0</v>
      </c>
      <c r="K6" s="40">
        <f t="shared" ref="K6:K15" si="0">E6+G6+I6</f>
        <v>0</v>
      </c>
      <c r="L6" s="40">
        <f t="shared" ref="L6:L15" si="1">F6+H6+J6</f>
        <v>0</v>
      </c>
      <c r="M6" s="37"/>
    </row>
    <row r="7" spans="1:20" ht="23.1" customHeight="1" x14ac:dyDescent="0.3">
      <c r="A7" s="36" t="s">
        <v>168</v>
      </c>
      <c r="B7" s="36" t="s">
        <v>169</v>
      </c>
      <c r="C7" s="38" t="s">
        <v>58</v>
      </c>
      <c r="D7" s="39">
        <v>2.2790000000000001E-4</v>
      </c>
      <c r="E7" s="40">
        <v>0</v>
      </c>
      <c r="F7" s="40">
        <f>ROUNDDOWN(D7*E7, 1)</f>
        <v>0</v>
      </c>
      <c r="G7" s="40">
        <v>0</v>
      </c>
      <c r="H7" s="40">
        <f>ROUNDDOWN(D7*G7, 1)</f>
        <v>0</v>
      </c>
      <c r="I7" s="40">
        <f>ROUNDDOWN(단가대비표!O50, 0)</f>
        <v>69333000</v>
      </c>
      <c r="J7" s="39">
        <f>ROUNDDOWN(D7*I7, 1)</f>
        <v>15800.9</v>
      </c>
      <c r="K7" s="40">
        <f t="shared" si="0"/>
        <v>69333000</v>
      </c>
      <c r="L7" s="39">
        <f t="shared" si="1"/>
        <v>15800.9</v>
      </c>
      <c r="M7" s="36" t="s">
        <v>170</v>
      </c>
      <c r="O7" s="34" t="s">
        <v>253</v>
      </c>
      <c r="P7" s="34" t="s">
        <v>254</v>
      </c>
      <c r="Q7">
        <v>1</v>
      </c>
    </row>
    <row r="8" spans="1:20" ht="23.1" customHeight="1" x14ac:dyDescent="0.3">
      <c r="A8" s="38" t="s">
        <v>255</v>
      </c>
      <c r="B8" s="37"/>
      <c r="C8" s="38" t="s">
        <v>252</v>
      </c>
      <c r="D8" s="39"/>
      <c r="E8" s="40"/>
      <c r="F8" s="40">
        <f>SUMIF(Q6:Q7, "1", F6:F7)</f>
        <v>0</v>
      </c>
      <c r="G8" s="40"/>
      <c r="H8" s="40">
        <f>SUMIF(Q6:Q7, "1", H6:H7)</f>
        <v>0</v>
      </c>
      <c r="I8" s="40"/>
      <c r="J8" s="40">
        <f>SUMIF(Q6:Q7, "1", J6:J7)</f>
        <v>15800.9</v>
      </c>
      <c r="K8" s="40">
        <f t="shared" si="0"/>
        <v>0</v>
      </c>
      <c r="L8" s="40">
        <f t="shared" si="1"/>
        <v>15800.9</v>
      </c>
      <c r="M8" s="37"/>
    </row>
    <row r="9" spans="1:20" ht="23.1" customHeight="1" x14ac:dyDescent="0.3">
      <c r="A9" s="36" t="s">
        <v>256</v>
      </c>
      <c r="B9" s="37"/>
      <c r="C9" s="38" t="s">
        <v>252</v>
      </c>
      <c r="D9" s="39"/>
      <c r="E9" s="40"/>
      <c r="F9" s="40">
        <f>ROUNDDOWN(D9*E9, 1)</f>
        <v>0</v>
      </c>
      <c r="G9" s="40"/>
      <c r="H9" s="40">
        <f>ROUNDDOWN(D9*G9, 1)</f>
        <v>0</v>
      </c>
      <c r="I9" s="40"/>
      <c r="J9" s="40">
        <f>ROUNDDOWN(D9*I9, 1)</f>
        <v>0</v>
      </c>
      <c r="K9" s="40">
        <f t="shared" si="0"/>
        <v>0</v>
      </c>
      <c r="L9" s="40">
        <f t="shared" si="1"/>
        <v>0</v>
      </c>
      <c r="M9" s="37"/>
    </row>
    <row r="10" spans="1:20" ht="23.1" customHeight="1" x14ac:dyDescent="0.3">
      <c r="A10" s="36" t="s">
        <v>29</v>
      </c>
      <c r="B10" s="36" t="s">
        <v>30</v>
      </c>
      <c r="C10" s="38" t="s">
        <v>31</v>
      </c>
      <c r="D10" s="39">
        <v>5.6</v>
      </c>
      <c r="E10" s="40">
        <f>ROUNDDOWN(단가대비표!O8, 0)</f>
        <v>1657</v>
      </c>
      <c r="F10" s="39">
        <f>ROUNDDOWN(D10*E10, 1)</f>
        <v>9279.2000000000007</v>
      </c>
      <c r="G10" s="40">
        <v>0</v>
      </c>
      <c r="H10" s="40">
        <f>ROUNDDOWN(D10*G10, 1)</f>
        <v>0</v>
      </c>
      <c r="I10" s="40">
        <v>0</v>
      </c>
      <c r="J10" s="40">
        <f>ROUNDDOWN(D10*I10, 1)</f>
        <v>0</v>
      </c>
      <c r="K10" s="40">
        <f t="shared" si="0"/>
        <v>1657</v>
      </c>
      <c r="L10" s="39">
        <f t="shared" si="1"/>
        <v>9279.2000000000007</v>
      </c>
      <c r="M10" s="37"/>
      <c r="O10" s="34" t="s">
        <v>257</v>
      </c>
      <c r="P10" s="34" t="s">
        <v>254</v>
      </c>
      <c r="Q10">
        <v>1</v>
      </c>
    </row>
    <row r="11" spans="1:20" ht="23.1" customHeight="1" x14ac:dyDescent="0.3">
      <c r="A11" s="36" t="s">
        <v>258</v>
      </c>
      <c r="B11" s="37" t="str">
        <f>"주연료비의 " &amp; N11*100 &amp; "%"</f>
        <v>주연료비의 24%</v>
      </c>
      <c r="C11" s="38" t="s">
        <v>259</v>
      </c>
      <c r="D11" s="39">
        <v>1</v>
      </c>
      <c r="E11" s="39">
        <f>SUMIF(O6:O15, "01", F6:F15)</f>
        <v>9279.2000000000007</v>
      </c>
      <c r="F11" s="40">
        <f>ROUNDDOWN((E11)*N11, 1)</f>
        <v>2227</v>
      </c>
      <c r="G11" s="40">
        <v>0</v>
      </c>
      <c r="H11" s="40">
        <v>0</v>
      </c>
      <c r="I11" s="40">
        <v>0</v>
      </c>
      <c r="J11" s="40">
        <v>0</v>
      </c>
      <c r="K11" s="39">
        <f t="shared" si="0"/>
        <v>9279.2000000000007</v>
      </c>
      <c r="L11" s="40">
        <f t="shared" si="1"/>
        <v>2227</v>
      </c>
      <c r="M11" s="36" t="s">
        <v>260</v>
      </c>
      <c r="N11">
        <v>0.24</v>
      </c>
      <c r="P11" s="34" t="s">
        <v>254</v>
      </c>
      <c r="Q11">
        <v>1</v>
      </c>
      <c r="R11" s="34" t="s">
        <v>261</v>
      </c>
      <c r="S11" s="34" t="s">
        <v>262</v>
      </c>
      <c r="T11" s="34" t="s">
        <v>263</v>
      </c>
    </row>
    <row r="12" spans="1:20" ht="23.1" customHeight="1" x14ac:dyDescent="0.3">
      <c r="A12" s="38" t="s">
        <v>255</v>
      </c>
      <c r="B12" s="37"/>
      <c r="C12" s="38" t="s">
        <v>252</v>
      </c>
      <c r="D12" s="39"/>
      <c r="E12" s="40"/>
      <c r="F12" s="40">
        <f>SUMIF(Q9:Q11, "1", F9:F11)</f>
        <v>11506.2</v>
      </c>
      <c r="G12" s="40"/>
      <c r="H12" s="40">
        <f>SUMIF(Q9:Q11, "1", H9:H11)</f>
        <v>0</v>
      </c>
      <c r="I12" s="40"/>
      <c r="J12" s="40">
        <f>SUMIF(Q9:Q11, "1", J9:J11)</f>
        <v>0</v>
      </c>
      <c r="K12" s="40">
        <f t="shared" si="0"/>
        <v>0</v>
      </c>
      <c r="L12" s="40">
        <f t="shared" si="1"/>
        <v>11506.2</v>
      </c>
      <c r="M12" s="37"/>
    </row>
    <row r="13" spans="1:20" ht="23.1" customHeight="1" x14ac:dyDescent="0.3">
      <c r="A13" s="36" t="s">
        <v>264</v>
      </c>
      <c r="B13" s="37"/>
      <c r="C13" s="38" t="s">
        <v>252</v>
      </c>
      <c r="D13" s="39"/>
      <c r="E13" s="40"/>
      <c r="F13" s="40">
        <f>ROUNDDOWN(D13*E13, 1)</f>
        <v>0</v>
      </c>
      <c r="G13" s="40"/>
      <c r="H13" s="40">
        <f>ROUNDDOWN(D13*G13, 1)</f>
        <v>0</v>
      </c>
      <c r="I13" s="40"/>
      <c r="J13" s="40">
        <f>ROUNDDOWN(D13*I13, 1)</f>
        <v>0</v>
      </c>
      <c r="K13" s="40">
        <f t="shared" si="0"/>
        <v>0</v>
      </c>
      <c r="L13" s="40">
        <f t="shared" si="1"/>
        <v>0</v>
      </c>
      <c r="M13" s="37"/>
    </row>
    <row r="14" spans="1:20" ht="23.1" customHeight="1" x14ac:dyDescent="0.3">
      <c r="A14" s="36" t="s">
        <v>130</v>
      </c>
      <c r="B14" s="36" t="s">
        <v>131</v>
      </c>
      <c r="C14" s="38" t="s">
        <v>132</v>
      </c>
      <c r="D14" s="39">
        <v>0.2083333</v>
      </c>
      <c r="E14" s="40">
        <v>0</v>
      </c>
      <c r="F14" s="40">
        <f>ROUNDDOWN(D14*E14, 1)</f>
        <v>0</v>
      </c>
      <c r="G14" s="40">
        <f>ROUNDDOWN(단가대비표!O30, 0)</f>
        <v>283297</v>
      </c>
      <c r="H14" s="39">
        <f>ROUNDDOWN(D14*G14, 1)</f>
        <v>59020.1</v>
      </c>
      <c r="I14" s="40">
        <v>0</v>
      </c>
      <c r="J14" s="40">
        <f>ROUNDDOWN(D14*I14, 1)</f>
        <v>0</v>
      </c>
      <c r="K14" s="40">
        <f t="shared" si="0"/>
        <v>283297</v>
      </c>
      <c r="L14" s="39">
        <f t="shared" si="1"/>
        <v>59020.1</v>
      </c>
      <c r="M14" s="36" t="s">
        <v>133</v>
      </c>
      <c r="O14" s="34" t="s">
        <v>265</v>
      </c>
      <c r="P14" s="34" t="s">
        <v>254</v>
      </c>
      <c r="Q14">
        <v>1</v>
      </c>
    </row>
    <row r="15" spans="1:20" ht="23.1" customHeight="1" x14ac:dyDescent="0.3">
      <c r="A15" s="38" t="s">
        <v>255</v>
      </c>
      <c r="B15" s="37"/>
      <c r="C15" s="38" t="s">
        <v>252</v>
      </c>
      <c r="D15" s="39"/>
      <c r="E15" s="40"/>
      <c r="F15" s="40">
        <f>SUMIF(Q13:Q14, "1", F13:F14)</f>
        <v>0</v>
      </c>
      <c r="G15" s="40"/>
      <c r="H15" s="40">
        <f>SUMIF(Q13:Q14, "1", H13:H14)</f>
        <v>59020.1</v>
      </c>
      <c r="I15" s="40"/>
      <c r="J15" s="40">
        <f>SUMIF(Q13:Q14, "1", J13:J14)</f>
        <v>0</v>
      </c>
      <c r="K15" s="40">
        <f t="shared" si="0"/>
        <v>0</v>
      </c>
      <c r="L15" s="40">
        <f t="shared" si="1"/>
        <v>59020.1</v>
      </c>
      <c r="M15" s="37"/>
    </row>
    <row r="16" spans="1:20" ht="23.1" customHeight="1" x14ac:dyDescent="0.3">
      <c r="A16" s="41" t="s">
        <v>216</v>
      </c>
      <c r="B16" s="42"/>
      <c r="C16" s="43"/>
      <c r="D16" s="44"/>
      <c r="E16" s="44"/>
      <c r="F16" s="45">
        <f>ROUNDDOWN(SUMIF(Q6:Q15, "1", F6:F15), 0)</f>
        <v>11506</v>
      </c>
      <c r="G16" s="44"/>
      <c r="H16" s="45">
        <f>ROUNDDOWN(SUMIF(Q6:Q15, "1", H6:H15), 0)</f>
        <v>59020</v>
      </c>
      <c r="I16" s="44"/>
      <c r="J16" s="45">
        <f>ROUNDDOWN(SUMIF(Q6:Q15, "1", J6:J15), 0)</f>
        <v>15800</v>
      </c>
      <c r="K16" s="44"/>
      <c r="L16" s="45">
        <f>F16+H16+J16</f>
        <v>86326</v>
      </c>
      <c r="M16" s="42"/>
    </row>
    <row r="17" spans="1:20" ht="23.1" customHeight="1" x14ac:dyDescent="0.3">
      <c r="A17" s="37"/>
      <c r="B17" s="37"/>
      <c r="C17" s="46"/>
      <c r="D17" s="47"/>
      <c r="E17" s="47"/>
      <c r="F17" s="47"/>
      <c r="G17" s="47"/>
      <c r="H17" s="47"/>
      <c r="I17" s="47"/>
      <c r="J17" s="47"/>
      <c r="K17" s="47"/>
      <c r="L17" s="47"/>
      <c r="M17" s="37"/>
    </row>
    <row r="18" spans="1:20" ht="23.1" customHeight="1" x14ac:dyDescent="0.3">
      <c r="A18" s="180" t="s">
        <v>266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35" t="s">
        <v>267</v>
      </c>
    </row>
    <row r="19" spans="1:20" ht="23.1" customHeight="1" x14ac:dyDescent="0.3">
      <c r="A19" s="36" t="s">
        <v>251</v>
      </c>
      <c r="B19" s="37"/>
      <c r="C19" s="38" t="s">
        <v>252</v>
      </c>
      <c r="D19" s="39"/>
      <c r="E19" s="40"/>
      <c r="F19" s="40">
        <f>ROUNDDOWN(D19*E19, 1)</f>
        <v>0</v>
      </c>
      <c r="G19" s="40"/>
      <c r="H19" s="40">
        <f>ROUNDDOWN(D19*G19, 1)</f>
        <v>0</v>
      </c>
      <c r="I19" s="40"/>
      <c r="J19" s="40">
        <f>ROUNDDOWN(D19*I19, 1)</f>
        <v>0</v>
      </c>
      <c r="K19" s="40">
        <f t="shared" ref="K19:K28" si="2">E19+G19+I19</f>
        <v>0</v>
      </c>
      <c r="L19" s="40">
        <f t="shared" ref="L19:L28" si="3">F19+H19+J19</f>
        <v>0</v>
      </c>
      <c r="M19" s="37"/>
    </row>
    <row r="20" spans="1:20" ht="23.1" customHeight="1" x14ac:dyDescent="0.3">
      <c r="A20" s="36" t="s">
        <v>162</v>
      </c>
      <c r="B20" s="36" t="s">
        <v>163</v>
      </c>
      <c r="C20" s="38" t="s">
        <v>58</v>
      </c>
      <c r="D20" s="39">
        <v>2.5980000000000003E-4</v>
      </c>
      <c r="E20" s="40">
        <v>0</v>
      </c>
      <c r="F20" s="40">
        <f>ROUNDDOWN(D20*E20, 1)</f>
        <v>0</v>
      </c>
      <c r="G20" s="40">
        <v>0</v>
      </c>
      <c r="H20" s="40">
        <f>ROUNDDOWN(D20*G20, 1)</f>
        <v>0</v>
      </c>
      <c r="I20" s="40">
        <f>ROUNDDOWN(단가대비표!O48, 0)</f>
        <v>41165000</v>
      </c>
      <c r="J20" s="39">
        <f>ROUNDDOWN(D20*I20, 1)</f>
        <v>10694.6</v>
      </c>
      <c r="K20" s="40">
        <f t="shared" si="2"/>
        <v>41165000</v>
      </c>
      <c r="L20" s="39">
        <f t="shared" si="3"/>
        <v>10694.6</v>
      </c>
      <c r="M20" s="36" t="s">
        <v>164</v>
      </c>
      <c r="O20" s="34" t="s">
        <v>253</v>
      </c>
      <c r="P20" s="34" t="s">
        <v>254</v>
      </c>
      <c r="Q20">
        <v>1</v>
      </c>
    </row>
    <row r="21" spans="1:20" ht="23.1" customHeight="1" x14ac:dyDescent="0.3">
      <c r="A21" s="38" t="s">
        <v>255</v>
      </c>
      <c r="B21" s="37"/>
      <c r="C21" s="38" t="s">
        <v>252</v>
      </c>
      <c r="D21" s="39"/>
      <c r="E21" s="40"/>
      <c r="F21" s="40">
        <f>SUMIF(Q19:Q20, "1", F19:F20)</f>
        <v>0</v>
      </c>
      <c r="G21" s="40"/>
      <c r="H21" s="40">
        <f>SUMIF(Q19:Q20, "1", H19:H20)</f>
        <v>0</v>
      </c>
      <c r="I21" s="40"/>
      <c r="J21" s="40">
        <f>SUMIF(Q19:Q20, "1", J19:J20)</f>
        <v>10694.6</v>
      </c>
      <c r="K21" s="40">
        <f t="shared" si="2"/>
        <v>0</v>
      </c>
      <c r="L21" s="40">
        <f t="shared" si="3"/>
        <v>10694.6</v>
      </c>
      <c r="M21" s="37"/>
    </row>
    <row r="22" spans="1:20" ht="23.1" customHeight="1" x14ac:dyDescent="0.3">
      <c r="A22" s="36" t="s">
        <v>256</v>
      </c>
      <c r="B22" s="37"/>
      <c r="C22" s="38" t="s">
        <v>252</v>
      </c>
      <c r="D22" s="39"/>
      <c r="E22" s="40"/>
      <c r="F22" s="40">
        <f>ROUNDDOWN(D22*E22, 1)</f>
        <v>0</v>
      </c>
      <c r="G22" s="40"/>
      <c r="H22" s="40">
        <f>ROUNDDOWN(D22*G22, 1)</f>
        <v>0</v>
      </c>
      <c r="I22" s="40"/>
      <c r="J22" s="40">
        <f>ROUNDDOWN(D22*I22, 1)</f>
        <v>0</v>
      </c>
      <c r="K22" s="40">
        <f t="shared" si="2"/>
        <v>0</v>
      </c>
      <c r="L22" s="40">
        <f t="shared" si="3"/>
        <v>0</v>
      </c>
      <c r="M22" s="37"/>
    </row>
    <row r="23" spans="1:20" ht="23.1" customHeight="1" x14ac:dyDescent="0.3">
      <c r="A23" s="36" t="s">
        <v>29</v>
      </c>
      <c r="B23" s="36" t="s">
        <v>30</v>
      </c>
      <c r="C23" s="38" t="s">
        <v>31</v>
      </c>
      <c r="D23" s="39">
        <v>2.9</v>
      </c>
      <c r="E23" s="40">
        <f>ROUNDDOWN(단가대비표!O8, 0)</f>
        <v>1657</v>
      </c>
      <c r="F23" s="39">
        <f>ROUNDDOWN(D23*E23, 1)</f>
        <v>4805.3</v>
      </c>
      <c r="G23" s="40">
        <v>0</v>
      </c>
      <c r="H23" s="40">
        <f>ROUNDDOWN(D23*G23, 1)</f>
        <v>0</v>
      </c>
      <c r="I23" s="40">
        <v>0</v>
      </c>
      <c r="J23" s="40">
        <f>ROUNDDOWN(D23*I23, 1)</f>
        <v>0</v>
      </c>
      <c r="K23" s="40">
        <f t="shared" si="2"/>
        <v>1657</v>
      </c>
      <c r="L23" s="39">
        <f t="shared" si="3"/>
        <v>4805.3</v>
      </c>
      <c r="M23" s="37"/>
      <c r="O23" s="34" t="s">
        <v>257</v>
      </c>
      <c r="P23" s="34" t="s">
        <v>254</v>
      </c>
      <c r="Q23">
        <v>1</v>
      </c>
    </row>
    <row r="24" spans="1:20" ht="23.1" customHeight="1" x14ac:dyDescent="0.3">
      <c r="A24" s="36" t="s">
        <v>258</v>
      </c>
      <c r="B24" s="37" t="str">
        <f>"주연료비의 " &amp; N24*100 &amp; "%"</f>
        <v>주연료비의 20%</v>
      </c>
      <c r="C24" s="38" t="s">
        <v>259</v>
      </c>
      <c r="D24" s="39">
        <v>1</v>
      </c>
      <c r="E24" s="39">
        <f>SUMIF(O19:O28, "01", F19:F28)</f>
        <v>4805.3</v>
      </c>
      <c r="F24" s="40">
        <f>ROUNDDOWN((E24)*N24, 1)</f>
        <v>961</v>
      </c>
      <c r="G24" s="40">
        <v>0</v>
      </c>
      <c r="H24" s="40">
        <v>0</v>
      </c>
      <c r="I24" s="40">
        <v>0</v>
      </c>
      <c r="J24" s="40">
        <v>0</v>
      </c>
      <c r="K24" s="39">
        <f t="shared" si="2"/>
        <v>4805.3</v>
      </c>
      <c r="L24" s="40">
        <f t="shared" si="3"/>
        <v>961</v>
      </c>
      <c r="M24" s="36" t="s">
        <v>260</v>
      </c>
      <c r="N24">
        <v>0.2</v>
      </c>
      <c r="P24" s="34" t="s">
        <v>254</v>
      </c>
      <c r="Q24">
        <v>1</v>
      </c>
      <c r="R24" s="34" t="s">
        <v>261</v>
      </c>
      <c r="S24" s="34" t="s">
        <v>262</v>
      </c>
      <c r="T24" s="34" t="s">
        <v>263</v>
      </c>
    </row>
    <row r="25" spans="1:20" ht="23.1" customHeight="1" x14ac:dyDescent="0.3">
      <c r="A25" s="38" t="s">
        <v>255</v>
      </c>
      <c r="B25" s="37"/>
      <c r="C25" s="38" t="s">
        <v>252</v>
      </c>
      <c r="D25" s="39"/>
      <c r="E25" s="40"/>
      <c r="F25" s="40">
        <f>SUMIF(Q22:Q24, "1", F22:F24)</f>
        <v>5766.3</v>
      </c>
      <c r="G25" s="40"/>
      <c r="H25" s="40">
        <f>SUMIF(Q22:Q24, "1", H22:H24)</f>
        <v>0</v>
      </c>
      <c r="I25" s="40"/>
      <c r="J25" s="40">
        <f>SUMIF(Q22:Q24, "1", J22:J24)</f>
        <v>0</v>
      </c>
      <c r="K25" s="40">
        <f t="shared" si="2"/>
        <v>0</v>
      </c>
      <c r="L25" s="40">
        <f t="shared" si="3"/>
        <v>5766.3</v>
      </c>
      <c r="M25" s="37"/>
    </row>
    <row r="26" spans="1:20" ht="23.1" customHeight="1" x14ac:dyDescent="0.3">
      <c r="A26" s="36" t="s">
        <v>264</v>
      </c>
      <c r="B26" s="37"/>
      <c r="C26" s="38" t="s">
        <v>252</v>
      </c>
      <c r="D26" s="39"/>
      <c r="E26" s="40"/>
      <c r="F26" s="40">
        <f>ROUNDDOWN(D26*E26, 1)</f>
        <v>0</v>
      </c>
      <c r="G26" s="40"/>
      <c r="H26" s="40">
        <f>ROUNDDOWN(D26*G26, 1)</f>
        <v>0</v>
      </c>
      <c r="I26" s="40"/>
      <c r="J26" s="40">
        <f>ROUNDDOWN(D26*I26, 1)</f>
        <v>0</v>
      </c>
      <c r="K26" s="40">
        <f t="shared" si="2"/>
        <v>0</v>
      </c>
      <c r="L26" s="40">
        <f t="shared" si="3"/>
        <v>0</v>
      </c>
      <c r="M26" s="37"/>
    </row>
    <row r="27" spans="1:20" ht="23.1" customHeight="1" x14ac:dyDescent="0.3">
      <c r="A27" s="36" t="s">
        <v>153</v>
      </c>
      <c r="B27" s="36" t="s">
        <v>131</v>
      </c>
      <c r="C27" s="38" t="s">
        <v>132</v>
      </c>
      <c r="D27" s="39">
        <v>0.2083333</v>
      </c>
      <c r="E27" s="40">
        <v>0</v>
      </c>
      <c r="F27" s="40">
        <f>ROUNDDOWN(D27*E27, 1)</f>
        <v>0</v>
      </c>
      <c r="G27" s="40">
        <f>ROUNDDOWN(단가대비표!O46, 0)</f>
        <v>238936</v>
      </c>
      <c r="H27" s="39">
        <f>ROUNDDOWN(D27*G27, 1)</f>
        <v>49778.3</v>
      </c>
      <c r="I27" s="40">
        <v>0</v>
      </c>
      <c r="J27" s="40">
        <f>ROUNDDOWN(D27*I27, 1)</f>
        <v>0</v>
      </c>
      <c r="K27" s="40">
        <f t="shared" si="2"/>
        <v>238936</v>
      </c>
      <c r="L27" s="39">
        <f t="shared" si="3"/>
        <v>49778.3</v>
      </c>
      <c r="M27" s="36" t="s">
        <v>154</v>
      </c>
      <c r="O27" s="34" t="s">
        <v>265</v>
      </c>
      <c r="P27" s="34" t="s">
        <v>254</v>
      </c>
      <c r="Q27">
        <v>1</v>
      </c>
    </row>
    <row r="28" spans="1:20" ht="23.1" customHeight="1" x14ac:dyDescent="0.3">
      <c r="A28" s="38" t="s">
        <v>255</v>
      </c>
      <c r="B28" s="37"/>
      <c r="C28" s="38" t="s">
        <v>252</v>
      </c>
      <c r="D28" s="39"/>
      <c r="E28" s="40"/>
      <c r="F28" s="40">
        <f>SUMIF(Q26:Q27, "1", F26:F27)</f>
        <v>0</v>
      </c>
      <c r="G28" s="40"/>
      <c r="H28" s="40">
        <f>SUMIF(Q26:Q27, "1", H26:H27)</f>
        <v>49778.3</v>
      </c>
      <c r="I28" s="40"/>
      <c r="J28" s="40">
        <f>SUMIF(Q26:Q27, "1", J26:J27)</f>
        <v>0</v>
      </c>
      <c r="K28" s="40">
        <f t="shared" si="2"/>
        <v>0</v>
      </c>
      <c r="L28" s="40">
        <f t="shared" si="3"/>
        <v>49778.3</v>
      </c>
      <c r="M28" s="37"/>
    </row>
    <row r="29" spans="1:20" ht="23.1" customHeight="1" x14ac:dyDescent="0.3">
      <c r="A29" s="41" t="s">
        <v>216</v>
      </c>
      <c r="B29" s="42"/>
      <c r="C29" s="43"/>
      <c r="D29" s="44"/>
      <c r="E29" s="44"/>
      <c r="F29" s="45">
        <f>ROUNDDOWN(SUMIF(Q19:Q28, "1", F19:F28), 0)</f>
        <v>5766</v>
      </c>
      <c r="G29" s="44"/>
      <c r="H29" s="45">
        <f>ROUNDDOWN(SUMIF(Q19:Q28, "1", H19:H28), 0)</f>
        <v>49778</v>
      </c>
      <c r="I29" s="44"/>
      <c r="J29" s="45">
        <f>ROUNDDOWN(SUMIF(Q19:Q28, "1", J19:J28), 0)</f>
        <v>10694</v>
      </c>
      <c r="K29" s="44"/>
      <c r="L29" s="45">
        <f>F29+H29+J29</f>
        <v>66238</v>
      </c>
      <c r="M29" s="42"/>
    </row>
    <row r="30" spans="1:20" ht="23.1" customHeight="1" x14ac:dyDescent="0.3">
      <c r="A30" s="37"/>
      <c r="B30" s="37"/>
      <c r="C30" s="46"/>
      <c r="D30" s="47"/>
      <c r="E30" s="47"/>
      <c r="F30" s="47"/>
      <c r="G30" s="47"/>
      <c r="H30" s="47"/>
      <c r="I30" s="47"/>
      <c r="J30" s="47"/>
      <c r="K30" s="47"/>
      <c r="L30" s="47"/>
      <c r="M30" s="37"/>
    </row>
    <row r="31" spans="1:20" ht="23.1" customHeight="1" x14ac:dyDescent="0.3">
      <c r="A31" s="180" t="s">
        <v>268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35" t="s">
        <v>269</v>
      </c>
    </row>
    <row r="32" spans="1:20" ht="23.1" customHeight="1" x14ac:dyDescent="0.3">
      <c r="A32" s="36" t="s">
        <v>251</v>
      </c>
      <c r="B32" s="37"/>
      <c r="C32" s="38" t="s">
        <v>252</v>
      </c>
      <c r="D32" s="39"/>
      <c r="E32" s="40"/>
      <c r="F32" s="40">
        <f>ROUNDDOWN(D32*E32, 1)</f>
        <v>0</v>
      </c>
      <c r="G32" s="40"/>
      <c r="H32" s="40">
        <f>ROUNDDOWN(D32*G32, 1)</f>
        <v>0</v>
      </c>
      <c r="I32" s="40"/>
      <c r="J32" s="40">
        <f>ROUNDDOWN(D32*I32, 1)</f>
        <v>0</v>
      </c>
      <c r="K32" s="40">
        <f t="shared" ref="K32:K41" si="4">E32+G32+I32</f>
        <v>0</v>
      </c>
      <c r="L32" s="40">
        <f t="shared" ref="L32:L41" si="5">F32+H32+J32</f>
        <v>0</v>
      </c>
      <c r="M32" s="37"/>
    </row>
    <row r="33" spans="1:20" ht="23.1" customHeight="1" x14ac:dyDescent="0.3">
      <c r="A33" s="36" t="s">
        <v>180</v>
      </c>
      <c r="B33" s="36" t="s">
        <v>181</v>
      </c>
      <c r="C33" s="38" t="s">
        <v>58</v>
      </c>
      <c r="D33" s="39">
        <v>2.1130000000000001E-4</v>
      </c>
      <c r="E33" s="40">
        <v>0</v>
      </c>
      <c r="F33" s="40">
        <f>ROUNDDOWN(D33*E33, 1)</f>
        <v>0</v>
      </c>
      <c r="G33" s="40">
        <v>0</v>
      </c>
      <c r="H33" s="40">
        <f>ROUNDDOWN(D33*G33, 1)</f>
        <v>0</v>
      </c>
      <c r="I33" s="40">
        <f>ROUNDDOWN(단가대비표!O54, 0)</f>
        <v>47263000</v>
      </c>
      <c r="J33" s="39">
        <f>ROUNDDOWN(D33*I33, 1)</f>
        <v>9986.6</v>
      </c>
      <c r="K33" s="40">
        <f t="shared" si="4"/>
        <v>47263000</v>
      </c>
      <c r="L33" s="39">
        <f t="shared" si="5"/>
        <v>9986.6</v>
      </c>
      <c r="M33" s="36" t="s">
        <v>182</v>
      </c>
      <c r="O33" s="34" t="s">
        <v>253</v>
      </c>
      <c r="P33" s="34" t="s">
        <v>254</v>
      </c>
      <c r="Q33">
        <v>1</v>
      </c>
    </row>
    <row r="34" spans="1:20" ht="23.1" customHeight="1" x14ac:dyDescent="0.3">
      <c r="A34" s="38" t="s">
        <v>255</v>
      </c>
      <c r="B34" s="37"/>
      <c r="C34" s="38" t="s">
        <v>252</v>
      </c>
      <c r="D34" s="39"/>
      <c r="E34" s="40"/>
      <c r="F34" s="40">
        <f>SUMIF(Q32:Q33, "1", F32:F33)</f>
        <v>0</v>
      </c>
      <c r="G34" s="40"/>
      <c r="H34" s="40">
        <f>SUMIF(Q32:Q33, "1", H32:H33)</f>
        <v>0</v>
      </c>
      <c r="I34" s="40"/>
      <c r="J34" s="40">
        <f>SUMIF(Q32:Q33, "1", J32:J33)</f>
        <v>9986.6</v>
      </c>
      <c r="K34" s="40">
        <f t="shared" si="4"/>
        <v>0</v>
      </c>
      <c r="L34" s="40">
        <f t="shared" si="5"/>
        <v>9986.6</v>
      </c>
      <c r="M34" s="37"/>
    </row>
    <row r="35" spans="1:20" ht="23.1" customHeight="1" x14ac:dyDescent="0.3">
      <c r="A35" s="36" t="s">
        <v>256</v>
      </c>
      <c r="B35" s="37"/>
      <c r="C35" s="38" t="s">
        <v>252</v>
      </c>
      <c r="D35" s="39"/>
      <c r="E35" s="40"/>
      <c r="F35" s="40">
        <f>ROUNDDOWN(D35*E35, 1)</f>
        <v>0</v>
      </c>
      <c r="G35" s="40"/>
      <c r="H35" s="40">
        <f>ROUNDDOWN(D35*G35, 1)</f>
        <v>0</v>
      </c>
      <c r="I35" s="40"/>
      <c r="J35" s="40">
        <f>ROUNDDOWN(D35*I35, 1)</f>
        <v>0</v>
      </c>
      <c r="K35" s="40">
        <f t="shared" si="4"/>
        <v>0</v>
      </c>
      <c r="L35" s="40">
        <f t="shared" si="5"/>
        <v>0</v>
      </c>
      <c r="M35" s="37"/>
    </row>
    <row r="36" spans="1:20" ht="23.1" customHeight="1" x14ac:dyDescent="0.3">
      <c r="A36" s="36" t="s">
        <v>29</v>
      </c>
      <c r="B36" s="36" t="s">
        <v>30</v>
      </c>
      <c r="C36" s="38" t="s">
        <v>31</v>
      </c>
      <c r="D36" s="39">
        <v>9.3000000000000007</v>
      </c>
      <c r="E36" s="40">
        <f>ROUNDDOWN(단가대비표!O8, 0)</f>
        <v>1657</v>
      </c>
      <c r="F36" s="39">
        <f>ROUNDDOWN(D36*E36, 1)</f>
        <v>15410.1</v>
      </c>
      <c r="G36" s="40">
        <v>0</v>
      </c>
      <c r="H36" s="40">
        <f>ROUNDDOWN(D36*G36, 1)</f>
        <v>0</v>
      </c>
      <c r="I36" s="40">
        <v>0</v>
      </c>
      <c r="J36" s="40">
        <f>ROUNDDOWN(D36*I36, 1)</f>
        <v>0</v>
      </c>
      <c r="K36" s="40">
        <f t="shared" si="4"/>
        <v>1657</v>
      </c>
      <c r="L36" s="39">
        <f t="shared" si="5"/>
        <v>15410.1</v>
      </c>
      <c r="M36" s="37"/>
      <c r="O36" s="34" t="s">
        <v>257</v>
      </c>
      <c r="P36" s="34" t="s">
        <v>254</v>
      </c>
      <c r="Q36">
        <v>1</v>
      </c>
    </row>
    <row r="37" spans="1:20" ht="23.1" customHeight="1" x14ac:dyDescent="0.3">
      <c r="A37" s="36" t="s">
        <v>258</v>
      </c>
      <c r="B37" s="37" t="str">
        <f>"주연료비의 " &amp; N37*100 &amp; "%"</f>
        <v>주연료비의 30%</v>
      </c>
      <c r="C37" s="38" t="s">
        <v>259</v>
      </c>
      <c r="D37" s="39">
        <v>1</v>
      </c>
      <c r="E37" s="39">
        <f>SUMIF(O32:O41, "01", F32:F41)</f>
        <v>15410.1</v>
      </c>
      <c r="F37" s="40">
        <f>ROUNDDOWN((E37)*N37, 1)</f>
        <v>4623</v>
      </c>
      <c r="G37" s="40">
        <v>0</v>
      </c>
      <c r="H37" s="40">
        <v>0</v>
      </c>
      <c r="I37" s="40">
        <v>0</v>
      </c>
      <c r="J37" s="40">
        <v>0</v>
      </c>
      <c r="K37" s="39">
        <f t="shared" si="4"/>
        <v>15410.1</v>
      </c>
      <c r="L37" s="40">
        <f t="shared" si="5"/>
        <v>4623</v>
      </c>
      <c r="M37" s="36" t="s">
        <v>260</v>
      </c>
      <c r="N37">
        <v>0.3</v>
      </c>
      <c r="P37" s="34" t="s">
        <v>254</v>
      </c>
      <c r="Q37">
        <v>1</v>
      </c>
      <c r="R37" s="34" t="s">
        <v>261</v>
      </c>
      <c r="S37" s="34" t="s">
        <v>262</v>
      </c>
      <c r="T37" s="34" t="s">
        <v>263</v>
      </c>
    </row>
    <row r="38" spans="1:20" ht="23.1" customHeight="1" x14ac:dyDescent="0.3">
      <c r="A38" s="38" t="s">
        <v>255</v>
      </c>
      <c r="B38" s="37"/>
      <c r="C38" s="38" t="s">
        <v>252</v>
      </c>
      <c r="D38" s="39"/>
      <c r="E38" s="40"/>
      <c r="F38" s="40">
        <f>SUMIF(Q35:Q37, "1", F35:F37)</f>
        <v>20033.099999999999</v>
      </c>
      <c r="G38" s="40"/>
      <c r="H38" s="40">
        <f>SUMIF(Q35:Q37, "1", H35:H37)</f>
        <v>0</v>
      </c>
      <c r="I38" s="40"/>
      <c r="J38" s="40">
        <f>SUMIF(Q35:Q37, "1", J35:J37)</f>
        <v>0</v>
      </c>
      <c r="K38" s="40">
        <f t="shared" si="4"/>
        <v>0</v>
      </c>
      <c r="L38" s="40">
        <f t="shared" si="5"/>
        <v>20033.099999999999</v>
      </c>
      <c r="M38" s="37"/>
    </row>
    <row r="39" spans="1:20" ht="23.1" customHeight="1" x14ac:dyDescent="0.3">
      <c r="A39" s="36" t="s">
        <v>264</v>
      </c>
      <c r="B39" s="37"/>
      <c r="C39" s="38" t="s">
        <v>252</v>
      </c>
      <c r="D39" s="39"/>
      <c r="E39" s="40"/>
      <c r="F39" s="40">
        <f>ROUNDDOWN(D39*E39, 1)</f>
        <v>0</v>
      </c>
      <c r="G39" s="40"/>
      <c r="H39" s="40">
        <f>ROUNDDOWN(D39*G39, 1)</f>
        <v>0</v>
      </c>
      <c r="I39" s="40"/>
      <c r="J39" s="40">
        <f>ROUNDDOWN(D39*I39, 1)</f>
        <v>0</v>
      </c>
      <c r="K39" s="40">
        <f t="shared" si="4"/>
        <v>0</v>
      </c>
      <c r="L39" s="40">
        <f t="shared" si="5"/>
        <v>0</v>
      </c>
      <c r="M39" s="37"/>
    </row>
    <row r="40" spans="1:20" ht="23.1" customHeight="1" x14ac:dyDescent="0.3">
      <c r="A40" s="36" t="s">
        <v>153</v>
      </c>
      <c r="B40" s="36" t="s">
        <v>131</v>
      </c>
      <c r="C40" s="38" t="s">
        <v>132</v>
      </c>
      <c r="D40" s="39">
        <v>0.2083333</v>
      </c>
      <c r="E40" s="40">
        <v>0</v>
      </c>
      <c r="F40" s="40">
        <f>ROUNDDOWN(D40*E40, 1)</f>
        <v>0</v>
      </c>
      <c r="G40" s="40">
        <f>ROUNDDOWN(단가대비표!O46, 0)</f>
        <v>238936</v>
      </c>
      <c r="H40" s="39">
        <f>ROUNDDOWN(D40*G40, 1)</f>
        <v>49778.3</v>
      </c>
      <c r="I40" s="40">
        <v>0</v>
      </c>
      <c r="J40" s="40">
        <f>ROUNDDOWN(D40*I40, 1)</f>
        <v>0</v>
      </c>
      <c r="K40" s="40">
        <f t="shared" si="4"/>
        <v>238936</v>
      </c>
      <c r="L40" s="39">
        <f t="shared" si="5"/>
        <v>49778.3</v>
      </c>
      <c r="M40" s="36" t="s">
        <v>154</v>
      </c>
      <c r="O40" s="34" t="s">
        <v>265</v>
      </c>
      <c r="P40" s="34" t="s">
        <v>254</v>
      </c>
      <c r="Q40">
        <v>1</v>
      </c>
    </row>
    <row r="41" spans="1:20" ht="23.1" customHeight="1" x14ac:dyDescent="0.3">
      <c r="A41" s="38" t="s">
        <v>255</v>
      </c>
      <c r="B41" s="37"/>
      <c r="C41" s="38" t="s">
        <v>252</v>
      </c>
      <c r="D41" s="39"/>
      <c r="E41" s="40"/>
      <c r="F41" s="40">
        <f>SUMIF(Q39:Q40, "1", F39:F40)</f>
        <v>0</v>
      </c>
      <c r="G41" s="40"/>
      <c r="H41" s="40">
        <f>SUMIF(Q39:Q40, "1", H39:H40)</f>
        <v>49778.3</v>
      </c>
      <c r="I41" s="40"/>
      <c r="J41" s="40">
        <f>SUMIF(Q39:Q40, "1", J39:J40)</f>
        <v>0</v>
      </c>
      <c r="K41" s="40">
        <f t="shared" si="4"/>
        <v>0</v>
      </c>
      <c r="L41" s="40">
        <f t="shared" si="5"/>
        <v>49778.3</v>
      </c>
      <c r="M41" s="37"/>
    </row>
    <row r="42" spans="1:20" ht="23.1" customHeight="1" x14ac:dyDescent="0.3">
      <c r="A42" s="41" t="s">
        <v>216</v>
      </c>
      <c r="B42" s="42"/>
      <c r="C42" s="43"/>
      <c r="D42" s="44"/>
      <c r="E42" s="44"/>
      <c r="F42" s="45">
        <f>ROUNDDOWN(SUMIF(Q32:Q41, "1", F32:F41), 0)</f>
        <v>20033</v>
      </c>
      <c r="G42" s="44"/>
      <c r="H42" s="45">
        <f>ROUNDDOWN(SUMIF(Q32:Q41, "1", H32:H41), 0)</f>
        <v>49778</v>
      </c>
      <c r="I42" s="44"/>
      <c r="J42" s="45">
        <f>ROUNDDOWN(SUMIF(Q32:Q41, "1", J32:J41), 0)</f>
        <v>9986</v>
      </c>
      <c r="K42" s="44"/>
      <c r="L42" s="45">
        <f>F42+H42+J42</f>
        <v>79797</v>
      </c>
      <c r="M42" s="42"/>
    </row>
    <row r="43" spans="1:20" ht="23.1" customHeight="1" x14ac:dyDescent="0.3">
      <c r="A43" s="37"/>
      <c r="B43" s="37"/>
      <c r="C43" s="46"/>
      <c r="D43" s="47"/>
      <c r="E43" s="47"/>
      <c r="F43" s="47"/>
      <c r="G43" s="47"/>
      <c r="H43" s="47"/>
      <c r="I43" s="47"/>
      <c r="J43" s="47"/>
      <c r="K43" s="47"/>
      <c r="L43" s="47"/>
      <c r="M43" s="37"/>
    </row>
    <row r="44" spans="1:20" ht="23.1" customHeight="1" x14ac:dyDescent="0.3">
      <c r="A44" s="180" t="s">
        <v>270</v>
      </c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35" t="s">
        <v>271</v>
      </c>
    </row>
    <row r="45" spans="1:20" ht="23.1" customHeight="1" x14ac:dyDescent="0.3">
      <c r="A45" s="36" t="s">
        <v>251</v>
      </c>
      <c r="B45" s="37"/>
      <c r="C45" s="38" t="s">
        <v>252</v>
      </c>
      <c r="D45" s="39"/>
      <c r="E45" s="40"/>
      <c r="F45" s="40">
        <f>ROUNDDOWN(D45*E45, 1)</f>
        <v>0</v>
      </c>
      <c r="G45" s="40"/>
      <c r="H45" s="40">
        <f>ROUNDDOWN(D45*G45, 1)</f>
        <v>0</v>
      </c>
      <c r="I45" s="40"/>
      <c r="J45" s="40">
        <f>ROUNDDOWN(D45*I45, 1)</f>
        <v>0</v>
      </c>
      <c r="K45" s="40">
        <f t="shared" ref="K45:K54" si="6">E45+G45+I45</f>
        <v>0</v>
      </c>
      <c r="L45" s="40">
        <f t="shared" ref="L45:L54" si="7">F45+H45+J45</f>
        <v>0</v>
      </c>
      <c r="M45" s="37"/>
    </row>
    <row r="46" spans="1:20" ht="23.1" customHeight="1" x14ac:dyDescent="0.3">
      <c r="A46" s="36" t="s">
        <v>183</v>
      </c>
      <c r="B46" s="36" t="s">
        <v>184</v>
      </c>
      <c r="C46" s="38" t="s">
        <v>58</v>
      </c>
      <c r="D46" s="39">
        <v>2.8249999999999998E-4</v>
      </c>
      <c r="E46" s="40">
        <v>0</v>
      </c>
      <c r="F46" s="40">
        <f>ROUNDDOWN(D46*E46, 1)</f>
        <v>0</v>
      </c>
      <c r="G46" s="40">
        <v>0</v>
      </c>
      <c r="H46" s="40">
        <f>ROUNDDOWN(D46*G46, 1)</f>
        <v>0</v>
      </c>
      <c r="I46" s="40">
        <f>ROUNDDOWN(단가대비표!O55, 0)</f>
        <v>6966000</v>
      </c>
      <c r="J46" s="39">
        <f>ROUNDDOWN(D46*I46, 1)</f>
        <v>1967.8</v>
      </c>
      <c r="K46" s="40">
        <f t="shared" si="6"/>
        <v>6966000</v>
      </c>
      <c r="L46" s="39">
        <f t="shared" si="7"/>
        <v>1967.8</v>
      </c>
      <c r="M46" s="36" t="s">
        <v>185</v>
      </c>
      <c r="O46" s="34" t="s">
        <v>253</v>
      </c>
      <c r="P46" s="34" t="s">
        <v>254</v>
      </c>
      <c r="Q46">
        <v>1</v>
      </c>
    </row>
    <row r="47" spans="1:20" ht="23.1" customHeight="1" x14ac:dyDescent="0.3">
      <c r="A47" s="38" t="s">
        <v>255</v>
      </c>
      <c r="B47" s="37"/>
      <c r="C47" s="38" t="s">
        <v>252</v>
      </c>
      <c r="D47" s="39"/>
      <c r="E47" s="40"/>
      <c r="F47" s="40">
        <f>SUMIF(Q45:Q46, "1", F45:F46)</f>
        <v>0</v>
      </c>
      <c r="G47" s="40"/>
      <c r="H47" s="40">
        <f>SUMIF(Q45:Q46, "1", H45:H46)</f>
        <v>0</v>
      </c>
      <c r="I47" s="40"/>
      <c r="J47" s="40">
        <f>SUMIF(Q45:Q46, "1", J45:J46)</f>
        <v>1967.8</v>
      </c>
      <c r="K47" s="40">
        <f t="shared" si="6"/>
        <v>0</v>
      </c>
      <c r="L47" s="40">
        <f t="shared" si="7"/>
        <v>1967.8</v>
      </c>
      <c r="M47" s="37"/>
    </row>
    <row r="48" spans="1:20" ht="23.1" customHeight="1" x14ac:dyDescent="0.3">
      <c r="A48" s="36" t="s">
        <v>256</v>
      </c>
      <c r="B48" s="37"/>
      <c r="C48" s="38" t="s">
        <v>252</v>
      </c>
      <c r="D48" s="39"/>
      <c r="E48" s="40"/>
      <c r="F48" s="40">
        <f>ROUNDDOWN(D48*E48, 1)</f>
        <v>0</v>
      </c>
      <c r="G48" s="40"/>
      <c r="H48" s="40">
        <f>ROUNDDOWN(D48*G48, 1)</f>
        <v>0</v>
      </c>
      <c r="I48" s="40"/>
      <c r="J48" s="40">
        <f>ROUNDDOWN(D48*I48, 1)</f>
        <v>0</v>
      </c>
      <c r="K48" s="40">
        <f t="shared" si="6"/>
        <v>0</v>
      </c>
      <c r="L48" s="40">
        <f t="shared" si="7"/>
        <v>0</v>
      </c>
      <c r="M48" s="37"/>
    </row>
    <row r="49" spans="1:20" ht="23.1" customHeight="1" x14ac:dyDescent="0.3">
      <c r="A49" s="36" t="s">
        <v>29</v>
      </c>
      <c r="B49" s="36" t="s">
        <v>30</v>
      </c>
      <c r="C49" s="38" t="s">
        <v>31</v>
      </c>
      <c r="D49" s="39">
        <v>2.2000000000000002</v>
      </c>
      <c r="E49" s="40">
        <f>ROUNDDOWN(단가대비표!O8, 0)</f>
        <v>1657</v>
      </c>
      <c r="F49" s="39">
        <f>ROUNDDOWN(D49*E49, 1)</f>
        <v>3645.4</v>
      </c>
      <c r="G49" s="40">
        <v>0</v>
      </c>
      <c r="H49" s="40">
        <f>ROUNDDOWN(D49*G49, 1)</f>
        <v>0</v>
      </c>
      <c r="I49" s="40">
        <v>0</v>
      </c>
      <c r="J49" s="40">
        <f>ROUNDDOWN(D49*I49, 1)</f>
        <v>0</v>
      </c>
      <c r="K49" s="40">
        <f t="shared" si="6"/>
        <v>1657</v>
      </c>
      <c r="L49" s="39">
        <f t="shared" si="7"/>
        <v>3645.4</v>
      </c>
      <c r="M49" s="37"/>
      <c r="O49" s="34" t="s">
        <v>257</v>
      </c>
      <c r="P49" s="34" t="s">
        <v>254</v>
      </c>
      <c r="Q49">
        <v>1</v>
      </c>
    </row>
    <row r="50" spans="1:20" ht="23.1" customHeight="1" x14ac:dyDescent="0.3">
      <c r="A50" s="36" t="s">
        <v>258</v>
      </c>
      <c r="B50" s="37" t="str">
        <f>"주연료비의 " &amp; N50*100 &amp; "%"</f>
        <v>주연료비의 13%</v>
      </c>
      <c r="C50" s="38" t="s">
        <v>259</v>
      </c>
      <c r="D50" s="39">
        <v>1</v>
      </c>
      <c r="E50" s="39">
        <f>SUMIF(O45:O54, "01", F45:F54)</f>
        <v>3645.4</v>
      </c>
      <c r="F50" s="39">
        <f>ROUNDDOWN((E50)*N50, 1)</f>
        <v>473.9</v>
      </c>
      <c r="G50" s="40">
        <v>0</v>
      </c>
      <c r="H50" s="40">
        <v>0</v>
      </c>
      <c r="I50" s="40">
        <v>0</v>
      </c>
      <c r="J50" s="40">
        <v>0</v>
      </c>
      <c r="K50" s="39">
        <f t="shared" si="6"/>
        <v>3645.4</v>
      </c>
      <c r="L50" s="39">
        <f t="shared" si="7"/>
        <v>473.9</v>
      </c>
      <c r="M50" s="36" t="s">
        <v>260</v>
      </c>
      <c r="N50">
        <v>0.13</v>
      </c>
      <c r="P50" s="34" t="s">
        <v>254</v>
      </c>
      <c r="Q50">
        <v>1</v>
      </c>
      <c r="R50" s="34" t="s">
        <v>261</v>
      </c>
      <c r="S50" s="34" t="s">
        <v>262</v>
      </c>
      <c r="T50" s="34" t="s">
        <v>263</v>
      </c>
    </row>
    <row r="51" spans="1:20" ht="23.1" customHeight="1" x14ac:dyDescent="0.3">
      <c r="A51" s="38" t="s">
        <v>255</v>
      </c>
      <c r="B51" s="37"/>
      <c r="C51" s="38" t="s">
        <v>252</v>
      </c>
      <c r="D51" s="39"/>
      <c r="E51" s="40"/>
      <c r="F51" s="40">
        <f>SUMIF(Q48:Q50, "1", F48:F50)</f>
        <v>4119.3</v>
      </c>
      <c r="G51" s="40"/>
      <c r="H51" s="40">
        <f>SUMIF(Q48:Q50, "1", H48:H50)</f>
        <v>0</v>
      </c>
      <c r="I51" s="40"/>
      <c r="J51" s="40">
        <f>SUMIF(Q48:Q50, "1", J48:J50)</f>
        <v>0</v>
      </c>
      <c r="K51" s="40">
        <f t="shared" si="6"/>
        <v>0</v>
      </c>
      <c r="L51" s="40">
        <f t="shared" si="7"/>
        <v>4119.3</v>
      </c>
      <c r="M51" s="37"/>
    </row>
    <row r="52" spans="1:20" ht="23.1" customHeight="1" x14ac:dyDescent="0.3">
      <c r="A52" s="36" t="s">
        <v>264</v>
      </c>
      <c r="B52" s="37"/>
      <c r="C52" s="38" t="s">
        <v>252</v>
      </c>
      <c r="D52" s="39"/>
      <c r="E52" s="40"/>
      <c r="F52" s="40">
        <f>ROUNDDOWN(D52*E52, 1)</f>
        <v>0</v>
      </c>
      <c r="G52" s="40"/>
      <c r="H52" s="40">
        <f>ROUNDDOWN(D52*G52, 1)</f>
        <v>0</v>
      </c>
      <c r="I52" s="40"/>
      <c r="J52" s="40">
        <f>ROUNDDOWN(D52*I52, 1)</f>
        <v>0</v>
      </c>
      <c r="K52" s="40">
        <f t="shared" si="6"/>
        <v>0</v>
      </c>
      <c r="L52" s="40">
        <f t="shared" si="7"/>
        <v>0</v>
      </c>
      <c r="M52" s="37"/>
    </row>
    <row r="53" spans="1:20" ht="23.1" customHeight="1" x14ac:dyDescent="0.3">
      <c r="A53" s="36" t="s">
        <v>144</v>
      </c>
      <c r="B53" s="36" t="s">
        <v>131</v>
      </c>
      <c r="C53" s="38" t="s">
        <v>132</v>
      </c>
      <c r="D53" s="39">
        <v>0.2083333</v>
      </c>
      <c r="E53" s="40">
        <v>0</v>
      </c>
      <c r="F53" s="40">
        <f>ROUNDDOWN(D53*E53, 1)</f>
        <v>0</v>
      </c>
      <c r="G53" s="40">
        <f>ROUNDDOWN(단가대비표!O38, 0)</f>
        <v>173995</v>
      </c>
      <c r="H53" s="39">
        <f>ROUNDDOWN(D53*G53, 1)</f>
        <v>36248.9</v>
      </c>
      <c r="I53" s="40">
        <v>0</v>
      </c>
      <c r="J53" s="40">
        <f>ROUNDDOWN(D53*I53, 1)</f>
        <v>0</v>
      </c>
      <c r="K53" s="40">
        <f t="shared" si="6"/>
        <v>173995</v>
      </c>
      <c r="L53" s="39">
        <f t="shared" si="7"/>
        <v>36248.9</v>
      </c>
      <c r="M53" s="36" t="s">
        <v>145</v>
      </c>
      <c r="O53" s="34" t="s">
        <v>265</v>
      </c>
      <c r="P53" s="34" t="s">
        <v>254</v>
      </c>
      <c r="Q53">
        <v>1</v>
      </c>
    </row>
    <row r="54" spans="1:20" ht="23.1" customHeight="1" x14ac:dyDescent="0.3">
      <c r="A54" s="38" t="s">
        <v>255</v>
      </c>
      <c r="B54" s="37"/>
      <c r="C54" s="38" t="s">
        <v>252</v>
      </c>
      <c r="D54" s="39"/>
      <c r="E54" s="40"/>
      <c r="F54" s="40">
        <f>SUMIF(Q52:Q53, "1", F52:F53)</f>
        <v>0</v>
      </c>
      <c r="G54" s="40"/>
      <c r="H54" s="40">
        <f>SUMIF(Q52:Q53, "1", H52:H53)</f>
        <v>36248.9</v>
      </c>
      <c r="I54" s="40"/>
      <c r="J54" s="40">
        <f>SUMIF(Q52:Q53, "1", J52:J53)</f>
        <v>0</v>
      </c>
      <c r="K54" s="40">
        <f t="shared" si="6"/>
        <v>0</v>
      </c>
      <c r="L54" s="40">
        <f t="shared" si="7"/>
        <v>36248.9</v>
      </c>
      <c r="M54" s="37"/>
    </row>
    <row r="55" spans="1:20" ht="23.1" customHeight="1" x14ac:dyDescent="0.3">
      <c r="A55" s="41" t="s">
        <v>216</v>
      </c>
      <c r="B55" s="42"/>
      <c r="C55" s="43"/>
      <c r="D55" s="44"/>
      <c r="E55" s="44"/>
      <c r="F55" s="45">
        <f>ROUNDDOWN(SUMIF(Q45:Q54, "1", F45:F54), 0)</f>
        <v>4119</v>
      </c>
      <c r="G55" s="44"/>
      <c r="H55" s="45">
        <f>ROUNDDOWN(SUMIF(Q45:Q54, "1", H45:H54), 0)</f>
        <v>36248</v>
      </c>
      <c r="I55" s="44"/>
      <c r="J55" s="45">
        <f>ROUNDDOWN(SUMIF(Q45:Q54, "1", J45:J54), 0)</f>
        <v>1967</v>
      </c>
      <c r="K55" s="44"/>
      <c r="L55" s="45">
        <f>F55+H55+J55</f>
        <v>42334</v>
      </c>
      <c r="M55" s="42"/>
    </row>
    <row r="56" spans="1:20" ht="23.1" customHeight="1" x14ac:dyDescent="0.3">
      <c r="A56" s="37"/>
      <c r="B56" s="37"/>
      <c r="C56" s="46"/>
      <c r="D56" s="47"/>
      <c r="E56" s="47"/>
      <c r="F56" s="47"/>
      <c r="G56" s="47"/>
      <c r="H56" s="47"/>
      <c r="I56" s="47"/>
      <c r="J56" s="47"/>
      <c r="K56" s="47"/>
      <c r="L56" s="47"/>
      <c r="M56" s="37"/>
    </row>
    <row r="57" spans="1:20" ht="23.1" customHeight="1" x14ac:dyDescent="0.3">
      <c r="A57" s="180" t="s">
        <v>272</v>
      </c>
      <c r="B57" s="181"/>
      <c r="C57" s="181"/>
      <c r="D57" s="181"/>
      <c r="E57" s="181"/>
      <c r="F57" s="181"/>
      <c r="G57" s="181"/>
      <c r="H57" s="181"/>
      <c r="I57" s="181"/>
      <c r="J57" s="181"/>
      <c r="K57" s="181"/>
      <c r="L57" s="181"/>
      <c r="M57" s="35" t="s">
        <v>273</v>
      </c>
    </row>
    <row r="58" spans="1:20" ht="23.1" customHeight="1" x14ac:dyDescent="0.3">
      <c r="A58" s="36" t="s">
        <v>251</v>
      </c>
      <c r="B58" s="37"/>
      <c r="C58" s="38" t="s">
        <v>252</v>
      </c>
      <c r="D58" s="39"/>
      <c r="E58" s="40"/>
      <c r="F58" s="40">
        <f>ROUNDDOWN(D58*E58, 1)</f>
        <v>0</v>
      </c>
      <c r="G58" s="40"/>
      <c r="H58" s="40">
        <f>ROUNDDOWN(D58*G58, 1)</f>
        <v>0</v>
      </c>
      <c r="I58" s="40"/>
      <c r="J58" s="40">
        <f>ROUNDDOWN(D58*I58, 1)</f>
        <v>0</v>
      </c>
      <c r="K58" s="40">
        <f t="shared" ref="K58:K67" si="8">E58+G58+I58</f>
        <v>0</v>
      </c>
      <c r="L58" s="40">
        <f t="shared" ref="L58:L67" si="9">F58+H58+J58</f>
        <v>0</v>
      </c>
      <c r="M58" s="37"/>
    </row>
    <row r="59" spans="1:20" ht="23.1" customHeight="1" x14ac:dyDescent="0.3">
      <c r="A59" s="36" t="s">
        <v>196</v>
      </c>
      <c r="B59" s="36" t="s">
        <v>197</v>
      </c>
      <c r="C59" s="38" t="s">
        <v>58</v>
      </c>
      <c r="D59" s="39">
        <v>3.7080000000000001E-4</v>
      </c>
      <c r="E59" s="40">
        <v>0</v>
      </c>
      <c r="F59" s="40">
        <f>ROUNDDOWN(D59*E59, 1)</f>
        <v>0</v>
      </c>
      <c r="G59" s="40">
        <v>0</v>
      </c>
      <c r="H59" s="40">
        <f>ROUNDDOWN(D59*G59, 1)</f>
        <v>0</v>
      </c>
      <c r="I59" s="40">
        <f>ROUNDDOWN(단가대비표!O58, 0)</f>
        <v>1673000</v>
      </c>
      <c r="J59" s="39">
        <f>ROUNDDOWN(D59*I59, 1)</f>
        <v>620.29999999999995</v>
      </c>
      <c r="K59" s="40">
        <f t="shared" si="8"/>
        <v>1673000</v>
      </c>
      <c r="L59" s="39">
        <f t="shared" si="9"/>
        <v>620.29999999999995</v>
      </c>
      <c r="M59" s="36" t="s">
        <v>198</v>
      </c>
      <c r="O59" s="34" t="s">
        <v>253</v>
      </c>
      <c r="P59" s="34" t="s">
        <v>254</v>
      </c>
      <c r="Q59">
        <v>1</v>
      </c>
    </row>
    <row r="60" spans="1:20" ht="23.1" customHeight="1" x14ac:dyDescent="0.3">
      <c r="A60" s="38" t="s">
        <v>255</v>
      </c>
      <c r="B60" s="37"/>
      <c r="C60" s="38" t="s">
        <v>252</v>
      </c>
      <c r="D60" s="39"/>
      <c r="E60" s="40"/>
      <c r="F60" s="40">
        <f>SUMIF(Q58:Q59, "1", F58:F59)</f>
        <v>0</v>
      </c>
      <c r="G60" s="40"/>
      <c r="H60" s="40">
        <f>SUMIF(Q58:Q59, "1", H58:H59)</f>
        <v>0</v>
      </c>
      <c r="I60" s="40"/>
      <c r="J60" s="40">
        <f>SUMIF(Q58:Q59, "1", J58:J59)</f>
        <v>620.29999999999995</v>
      </c>
      <c r="K60" s="40">
        <f t="shared" si="8"/>
        <v>0</v>
      </c>
      <c r="L60" s="40">
        <f t="shared" si="9"/>
        <v>620.29999999999995</v>
      </c>
      <c r="M60" s="37"/>
    </row>
    <row r="61" spans="1:20" ht="23.1" customHeight="1" x14ac:dyDescent="0.3">
      <c r="A61" s="36" t="s">
        <v>256</v>
      </c>
      <c r="B61" s="37"/>
      <c r="C61" s="38" t="s">
        <v>252</v>
      </c>
      <c r="D61" s="39"/>
      <c r="E61" s="40"/>
      <c r="F61" s="40">
        <f>ROUNDDOWN(D61*E61, 1)</f>
        <v>0</v>
      </c>
      <c r="G61" s="40"/>
      <c r="H61" s="40">
        <f>ROUNDDOWN(D61*G61, 1)</f>
        <v>0</v>
      </c>
      <c r="I61" s="40"/>
      <c r="J61" s="40">
        <f>ROUNDDOWN(D61*I61, 1)</f>
        <v>0</v>
      </c>
      <c r="K61" s="40">
        <f t="shared" si="8"/>
        <v>0</v>
      </c>
      <c r="L61" s="40">
        <f t="shared" si="9"/>
        <v>0</v>
      </c>
      <c r="M61" s="37"/>
    </row>
    <row r="62" spans="1:20" ht="23.1" customHeight="1" x14ac:dyDescent="0.3">
      <c r="A62" s="36" t="s">
        <v>35</v>
      </c>
      <c r="B62" s="36" t="s">
        <v>36</v>
      </c>
      <c r="C62" s="38" t="s">
        <v>31</v>
      </c>
      <c r="D62" s="39">
        <v>1</v>
      </c>
      <c r="E62" s="40">
        <f>ROUNDDOWN(단가대비표!O9, 0)</f>
        <v>1676</v>
      </c>
      <c r="F62" s="40">
        <f>ROUNDDOWN(D62*E62, 1)</f>
        <v>1676</v>
      </c>
      <c r="G62" s="40">
        <v>0</v>
      </c>
      <c r="H62" s="40">
        <f>ROUNDDOWN(D62*G62, 1)</f>
        <v>0</v>
      </c>
      <c r="I62" s="40">
        <v>0</v>
      </c>
      <c r="J62" s="40">
        <f>ROUNDDOWN(D62*I62, 1)</f>
        <v>0</v>
      </c>
      <c r="K62" s="40">
        <f t="shared" si="8"/>
        <v>1676</v>
      </c>
      <c r="L62" s="40">
        <f t="shared" si="9"/>
        <v>1676</v>
      </c>
      <c r="M62" s="37"/>
      <c r="O62" s="34" t="s">
        <v>257</v>
      </c>
      <c r="P62" s="34" t="s">
        <v>254</v>
      </c>
      <c r="Q62">
        <v>1</v>
      </c>
    </row>
    <row r="63" spans="1:20" ht="23.1" customHeight="1" x14ac:dyDescent="0.3">
      <c r="A63" s="36" t="s">
        <v>258</v>
      </c>
      <c r="B63" s="37" t="str">
        <f>"주연료비의 " &amp; N63*100 &amp; "%"</f>
        <v>주연료비의 20%</v>
      </c>
      <c r="C63" s="38" t="s">
        <v>259</v>
      </c>
      <c r="D63" s="39">
        <v>1</v>
      </c>
      <c r="E63" s="40">
        <f>SUMIF(O58:O67, "01", F58:F67)</f>
        <v>1676</v>
      </c>
      <c r="F63" s="39">
        <f>ROUNDDOWN((E63)*N63, 1)</f>
        <v>335.2</v>
      </c>
      <c r="G63" s="40">
        <v>0</v>
      </c>
      <c r="H63" s="40">
        <v>0</v>
      </c>
      <c r="I63" s="40">
        <v>0</v>
      </c>
      <c r="J63" s="40">
        <v>0</v>
      </c>
      <c r="K63" s="40">
        <f t="shared" si="8"/>
        <v>1676</v>
      </c>
      <c r="L63" s="39">
        <f t="shared" si="9"/>
        <v>335.2</v>
      </c>
      <c r="M63" s="36" t="s">
        <v>260</v>
      </c>
      <c r="N63">
        <v>0.2</v>
      </c>
      <c r="P63" s="34" t="s">
        <v>254</v>
      </c>
      <c r="Q63">
        <v>1</v>
      </c>
      <c r="R63" s="34" t="s">
        <v>261</v>
      </c>
      <c r="S63" s="34" t="s">
        <v>262</v>
      </c>
      <c r="T63" s="34" t="s">
        <v>263</v>
      </c>
    </row>
    <row r="64" spans="1:20" ht="23.1" customHeight="1" x14ac:dyDescent="0.3">
      <c r="A64" s="38" t="s">
        <v>255</v>
      </c>
      <c r="B64" s="37"/>
      <c r="C64" s="38" t="s">
        <v>252</v>
      </c>
      <c r="D64" s="39"/>
      <c r="E64" s="40"/>
      <c r="F64" s="40">
        <f>SUMIF(Q61:Q63, "1", F61:F63)</f>
        <v>2011.2</v>
      </c>
      <c r="G64" s="40"/>
      <c r="H64" s="40">
        <f>SUMIF(Q61:Q63, "1", H61:H63)</f>
        <v>0</v>
      </c>
      <c r="I64" s="40"/>
      <c r="J64" s="40">
        <f>SUMIF(Q61:Q63, "1", J61:J63)</f>
        <v>0</v>
      </c>
      <c r="K64" s="40">
        <f t="shared" si="8"/>
        <v>0</v>
      </c>
      <c r="L64" s="40">
        <f t="shared" si="9"/>
        <v>2011.2</v>
      </c>
      <c r="M64" s="37"/>
    </row>
    <row r="65" spans="1:20" ht="23.1" customHeight="1" x14ac:dyDescent="0.3">
      <c r="A65" s="36" t="s">
        <v>264</v>
      </c>
      <c r="B65" s="37"/>
      <c r="C65" s="38" t="s">
        <v>252</v>
      </c>
      <c r="D65" s="39"/>
      <c r="E65" s="40"/>
      <c r="F65" s="40">
        <f>ROUNDDOWN(D65*E65, 1)</f>
        <v>0</v>
      </c>
      <c r="G65" s="40"/>
      <c r="H65" s="40">
        <f>ROUNDDOWN(D65*G65, 1)</f>
        <v>0</v>
      </c>
      <c r="I65" s="40"/>
      <c r="J65" s="40">
        <f>ROUNDDOWN(D65*I65, 1)</f>
        <v>0</v>
      </c>
      <c r="K65" s="40">
        <f t="shared" si="8"/>
        <v>0</v>
      </c>
      <c r="L65" s="40">
        <f t="shared" si="9"/>
        <v>0</v>
      </c>
      <c r="M65" s="37"/>
    </row>
    <row r="66" spans="1:20" ht="23.1" customHeight="1" x14ac:dyDescent="0.3">
      <c r="A66" s="36" t="s">
        <v>144</v>
      </c>
      <c r="B66" s="36" t="s">
        <v>131</v>
      </c>
      <c r="C66" s="38" t="s">
        <v>132</v>
      </c>
      <c r="D66" s="39">
        <v>0.2083333</v>
      </c>
      <c r="E66" s="40">
        <v>0</v>
      </c>
      <c r="F66" s="40">
        <f>ROUNDDOWN(D66*E66, 1)</f>
        <v>0</v>
      </c>
      <c r="G66" s="40">
        <f>ROUNDDOWN(단가대비표!O38, 0)</f>
        <v>173995</v>
      </c>
      <c r="H66" s="39">
        <f>ROUNDDOWN(D66*G66, 1)</f>
        <v>36248.9</v>
      </c>
      <c r="I66" s="40">
        <v>0</v>
      </c>
      <c r="J66" s="40">
        <f>ROUNDDOWN(D66*I66, 1)</f>
        <v>0</v>
      </c>
      <c r="K66" s="40">
        <f t="shared" si="8"/>
        <v>173995</v>
      </c>
      <c r="L66" s="39">
        <f t="shared" si="9"/>
        <v>36248.9</v>
      </c>
      <c r="M66" s="36" t="s">
        <v>145</v>
      </c>
      <c r="O66" s="34" t="s">
        <v>265</v>
      </c>
      <c r="P66" s="34" t="s">
        <v>254</v>
      </c>
      <c r="Q66">
        <v>1</v>
      </c>
    </row>
    <row r="67" spans="1:20" ht="23.1" customHeight="1" x14ac:dyDescent="0.3">
      <c r="A67" s="38" t="s">
        <v>255</v>
      </c>
      <c r="B67" s="37"/>
      <c r="C67" s="38" t="s">
        <v>252</v>
      </c>
      <c r="D67" s="39"/>
      <c r="E67" s="40"/>
      <c r="F67" s="40">
        <f>SUMIF(Q65:Q66, "1", F65:F66)</f>
        <v>0</v>
      </c>
      <c r="G67" s="40"/>
      <c r="H67" s="40">
        <f>SUMIF(Q65:Q66, "1", H65:H66)</f>
        <v>36248.9</v>
      </c>
      <c r="I67" s="40"/>
      <c r="J67" s="40">
        <f>SUMIF(Q65:Q66, "1", J65:J66)</f>
        <v>0</v>
      </c>
      <c r="K67" s="40">
        <f t="shared" si="8"/>
        <v>0</v>
      </c>
      <c r="L67" s="40">
        <f t="shared" si="9"/>
        <v>36248.9</v>
      </c>
      <c r="M67" s="37"/>
    </row>
    <row r="68" spans="1:20" ht="23.1" customHeight="1" x14ac:dyDescent="0.3">
      <c r="A68" s="41" t="s">
        <v>216</v>
      </c>
      <c r="B68" s="42"/>
      <c r="C68" s="43"/>
      <c r="D68" s="44"/>
      <c r="E68" s="44"/>
      <c r="F68" s="45">
        <f>ROUNDDOWN(SUMIF(Q58:Q67, "1", F58:F67), 0)</f>
        <v>2011</v>
      </c>
      <c r="G68" s="44"/>
      <c r="H68" s="45">
        <f>ROUNDDOWN(SUMIF(Q58:Q67, "1", H58:H67), 0)</f>
        <v>36248</v>
      </c>
      <c r="I68" s="44"/>
      <c r="J68" s="45">
        <f>ROUNDDOWN(SUMIF(Q58:Q67, "1", J58:J67), 0)</f>
        <v>620</v>
      </c>
      <c r="K68" s="44"/>
      <c r="L68" s="45">
        <f>F68+H68+J68</f>
        <v>38879</v>
      </c>
      <c r="M68" s="42"/>
    </row>
    <row r="69" spans="1:20" ht="23.1" customHeight="1" x14ac:dyDescent="0.3">
      <c r="A69" s="37"/>
      <c r="B69" s="37"/>
      <c r="C69" s="46"/>
      <c r="D69" s="47"/>
      <c r="E69" s="47"/>
      <c r="F69" s="47"/>
      <c r="G69" s="47"/>
      <c r="H69" s="47"/>
      <c r="I69" s="47"/>
      <c r="J69" s="47"/>
      <c r="K69" s="47"/>
      <c r="L69" s="47"/>
      <c r="M69" s="37"/>
    </row>
    <row r="70" spans="1:20" ht="23.1" customHeight="1" x14ac:dyDescent="0.3">
      <c r="A70" s="180" t="s">
        <v>274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35" t="s">
        <v>275</v>
      </c>
    </row>
    <row r="71" spans="1:20" ht="23.1" customHeight="1" x14ac:dyDescent="0.3">
      <c r="A71" s="36" t="s">
        <v>251</v>
      </c>
      <c r="B71" s="37"/>
      <c r="C71" s="38" t="s">
        <v>252</v>
      </c>
      <c r="D71" s="39"/>
      <c r="E71" s="40"/>
      <c r="F71" s="40">
        <f>ROUNDDOWN(D71*E71, 1)</f>
        <v>0</v>
      </c>
      <c r="G71" s="40"/>
      <c r="H71" s="40">
        <f>ROUNDDOWN(D71*G71, 1)</f>
        <v>0</v>
      </c>
      <c r="I71" s="40"/>
      <c r="J71" s="40">
        <f>ROUNDDOWN(D71*I71, 1)</f>
        <v>0</v>
      </c>
      <c r="K71" s="40">
        <f t="shared" ref="K71:K80" si="10">E71+G71+I71</f>
        <v>0</v>
      </c>
      <c r="L71" s="40">
        <f t="shared" ref="L71:L80" si="11">F71+H71+J71</f>
        <v>0</v>
      </c>
      <c r="M71" s="37"/>
    </row>
    <row r="72" spans="1:20" ht="23.1" customHeight="1" x14ac:dyDescent="0.3">
      <c r="A72" s="36" t="s">
        <v>177</v>
      </c>
      <c r="B72" s="36" t="s">
        <v>178</v>
      </c>
      <c r="C72" s="38" t="s">
        <v>58</v>
      </c>
      <c r="D72" s="39">
        <v>2.085E-4</v>
      </c>
      <c r="E72" s="40">
        <v>0</v>
      </c>
      <c r="F72" s="40">
        <f>ROUNDDOWN(D72*E72, 1)</f>
        <v>0</v>
      </c>
      <c r="G72" s="40">
        <v>0</v>
      </c>
      <c r="H72" s="40">
        <f>ROUNDDOWN(D72*G72, 1)</f>
        <v>0</v>
      </c>
      <c r="I72" s="40">
        <f>ROUNDDOWN(단가대비표!O53, 0)</f>
        <v>35999000</v>
      </c>
      <c r="J72" s="39">
        <f>ROUNDDOWN(D72*I72, 1)</f>
        <v>7505.7</v>
      </c>
      <c r="K72" s="40">
        <f t="shared" si="10"/>
        <v>35999000</v>
      </c>
      <c r="L72" s="39">
        <f t="shared" si="11"/>
        <v>7505.7</v>
      </c>
      <c r="M72" s="36" t="s">
        <v>179</v>
      </c>
      <c r="O72" s="34" t="s">
        <v>253</v>
      </c>
      <c r="P72" s="34" t="s">
        <v>254</v>
      </c>
      <c r="Q72">
        <v>1</v>
      </c>
    </row>
    <row r="73" spans="1:20" ht="23.1" customHeight="1" x14ac:dyDescent="0.3">
      <c r="A73" s="38" t="s">
        <v>255</v>
      </c>
      <c r="B73" s="37"/>
      <c r="C73" s="38" t="s">
        <v>252</v>
      </c>
      <c r="D73" s="39"/>
      <c r="E73" s="40"/>
      <c r="F73" s="40">
        <f>SUMIF(Q71:Q72, "1", F71:F72)</f>
        <v>0</v>
      </c>
      <c r="G73" s="40"/>
      <c r="H73" s="40">
        <f>SUMIF(Q71:Q72, "1", H71:H72)</f>
        <v>0</v>
      </c>
      <c r="I73" s="40"/>
      <c r="J73" s="40">
        <f>SUMIF(Q71:Q72, "1", J71:J72)</f>
        <v>7505.7</v>
      </c>
      <c r="K73" s="40">
        <f t="shared" si="10"/>
        <v>0</v>
      </c>
      <c r="L73" s="40">
        <f t="shared" si="11"/>
        <v>7505.7</v>
      </c>
      <c r="M73" s="37"/>
    </row>
    <row r="74" spans="1:20" ht="23.1" customHeight="1" x14ac:dyDescent="0.3">
      <c r="A74" s="36" t="s">
        <v>256</v>
      </c>
      <c r="B74" s="37"/>
      <c r="C74" s="38" t="s">
        <v>252</v>
      </c>
      <c r="D74" s="39"/>
      <c r="E74" s="40"/>
      <c r="F74" s="40">
        <f>ROUNDDOWN(D74*E74, 1)</f>
        <v>0</v>
      </c>
      <c r="G74" s="40"/>
      <c r="H74" s="40">
        <f>ROUNDDOWN(D74*G74, 1)</f>
        <v>0</v>
      </c>
      <c r="I74" s="40"/>
      <c r="J74" s="40">
        <f>ROUNDDOWN(D74*I74, 1)</f>
        <v>0</v>
      </c>
      <c r="K74" s="40">
        <f t="shared" si="10"/>
        <v>0</v>
      </c>
      <c r="L74" s="40">
        <f t="shared" si="11"/>
        <v>0</v>
      </c>
      <c r="M74" s="37"/>
    </row>
    <row r="75" spans="1:20" ht="23.1" customHeight="1" x14ac:dyDescent="0.3">
      <c r="A75" s="36" t="s">
        <v>29</v>
      </c>
      <c r="B75" s="36" t="s">
        <v>30</v>
      </c>
      <c r="C75" s="38" t="s">
        <v>31</v>
      </c>
      <c r="D75" s="39">
        <v>3.5</v>
      </c>
      <c r="E75" s="40">
        <f>ROUNDDOWN(단가대비표!O8, 0)</f>
        <v>1657</v>
      </c>
      <c r="F75" s="39">
        <f>ROUNDDOWN(D75*E75, 1)</f>
        <v>5799.5</v>
      </c>
      <c r="G75" s="40">
        <v>0</v>
      </c>
      <c r="H75" s="40">
        <f>ROUNDDOWN(D75*G75, 1)</f>
        <v>0</v>
      </c>
      <c r="I75" s="40">
        <v>0</v>
      </c>
      <c r="J75" s="40">
        <f>ROUNDDOWN(D75*I75, 1)</f>
        <v>0</v>
      </c>
      <c r="K75" s="40">
        <f t="shared" si="10"/>
        <v>1657</v>
      </c>
      <c r="L75" s="39">
        <f t="shared" si="11"/>
        <v>5799.5</v>
      </c>
      <c r="M75" s="37"/>
      <c r="O75" s="34" t="s">
        <v>257</v>
      </c>
      <c r="P75" s="34" t="s">
        <v>254</v>
      </c>
      <c r="Q75">
        <v>1</v>
      </c>
    </row>
    <row r="76" spans="1:20" ht="23.1" customHeight="1" x14ac:dyDescent="0.3">
      <c r="A76" s="36" t="s">
        <v>258</v>
      </c>
      <c r="B76" s="37" t="str">
        <f>"주연료비의 " &amp; N76*100 &amp; "%"</f>
        <v>주연료비의 44%</v>
      </c>
      <c r="C76" s="38" t="s">
        <v>259</v>
      </c>
      <c r="D76" s="39">
        <v>1</v>
      </c>
      <c r="E76" s="39">
        <f>SUMIF(O71:O80, "01", F71:F80)</f>
        <v>5799.5</v>
      </c>
      <c r="F76" s="39">
        <f>ROUNDDOWN((E76)*N76, 1)</f>
        <v>2551.6999999999998</v>
      </c>
      <c r="G76" s="40">
        <v>0</v>
      </c>
      <c r="H76" s="40">
        <v>0</v>
      </c>
      <c r="I76" s="40">
        <v>0</v>
      </c>
      <c r="J76" s="40">
        <v>0</v>
      </c>
      <c r="K76" s="39">
        <f t="shared" si="10"/>
        <v>5799.5</v>
      </c>
      <c r="L76" s="39">
        <f t="shared" si="11"/>
        <v>2551.6999999999998</v>
      </c>
      <c r="M76" s="36" t="s">
        <v>260</v>
      </c>
      <c r="N76">
        <v>0.44</v>
      </c>
      <c r="P76" s="34" t="s">
        <v>254</v>
      </c>
      <c r="Q76">
        <v>1</v>
      </c>
      <c r="R76" s="34" t="s">
        <v>261</v>
      </c>
      <c r="S76" s="34" t="s">
        <v>262</v>
      </c>
      <c r="T76" s="34" t="s">
        <v>263</v>
      </c>
    </row>
    <row r="77" spans="1:20" ht="23.1" customHeight="1" x14ac:dyDescent="0.3">
      <c r="A77" s="38" t="s">
        <v>255</v>
      </c>
      <c r="B77" s="37"/>
      <c r="C77" s="38" t="s">
        <v>252</v>
      </c>
      <c r="D77" s="39"/>
      <c r="E77" s="40"/>
      <c r="F77" s="40">
        <f>SUMIF(Q74:Q76, "1", F74:F76)</f>
        <v>8351.2000000000007</v>
      </c>
      <c r="G77" s="40"/>
      <c r="H77" s="40">
        <f>SUMIF(Q74:Q76, "1", H74:H76)</f>
        <v>0</v>
      </c>
      <c r="I77" s="40"/>
      <c r="J77" s="40">
        <f>SUMIF(Q74:Q76, "1", J74:J76)</f>
        <v>0</v>
      </c>
      <c r="K77" s="40">
        <f t="shared" si="10"/>
        <v>0</v>
      </c>
      <c r="L77" s="40">
        <f t="shared" si="11"/>
        <v>8351.2000000000007</v>
      </c>
      <c r="M77" s="37"/>
    </row>
    <row r="78" spans="1:20" ht="23.1" customHeight="1" x14ac:dyDescent="0.3">
      <c r="A78" s="36" t="s">
        <v>264</v>
      </c>
      <c r="B78" s="37"/>
      <c r="C78" s="38" t="s">
        <v>252</v>
      </c>
      <c r="D78" s="39"/>
      <c r="E78" s="40"/>
      <c r="F78" s="40">
        <f>ROUNDDOWN(D78*E78, 1)</f>
        <v>0</v>
      </c>
      <c r="G78" s="40"/>
      <c r="H78" s="40">
        <f>ROUNDDOWN(D78*G78, 1)</f>
        <v>0</v>
      </c>
      <c r="I78" s="40"/>
      <c r="J78" s="40">
        <f>ROUNDDOWN(D78*I78, 1)</f>
        <v>0</v>
      </c>
      <c r="K78" s="40">
        <f t="shared" si="10"/>
        <v>0</v>
      </c>
      <c r="L78" s="40">
        <f t="shared" si="11"/>
        <v>0</v>
      </c>
      <c r="M78" s="37"/>
    </row>
    <row r="79" spans="1:20" ht="23.1" customHeight="1" x14ac:dyDescent="0.3">
      <c r="A79" s="36" t="s">
        <v>130</v>
      </c>
      <c r="B79" s="36" t="s">
        <v>131</v>
      </c>
      <c r="C79" s="38" t="s">
        <v>132</v>
      </c>
      <c r="D79" s="39">
        <v>0.2083333</v>
      </c>
      <c r="E79" s="40">
        <v>0</v>
      </c>
      <c r="F79" s="40">
        <f>ROUNDDOWN(D79*E79, 1)</f>
        <v>0</v>
      </c>
      <c r="G79" s="40">
        <f>ROUNDDOWN(단가대비표!O30, 0)</f>
        <v>283297</v>
      </c>
      <c r="H79" s="39">
        <f>ROUNDDOWN(D79*G79, 1)</f>
        <v>59020.1</v>
      </c>
      <c r="I79" s="40">
        <v>0</v>
      </c>
      <c r="J79" s="40">
        <f>ROUNDDOWN(D79*I79, 1)</f>
        <v>0</v>
      </c>
      <c r="K79" s="40">
        <f t="shared" si="10"/>
        <v>283297</v>
      </c>
      <c r="L79" s="39">
        <f t="shared" si="11"/>
        <v>59020.1</v>
      </c>
      <c r="M79" s="36" t="s">
        <v>133</v>
      </c>
      <c r="O79" s="34" t="s">
        <v>265</v>
      </c>
      <c r="P79" s="34" t="s">
        <v>254</v>
      </c>
      <c r="Q79">
        <v>1</v>
      </c>
    </row>
    <row r="80" spans="1:20" ht="23.1" customHeight="1" x14ac:dyDescent="0.3">
      <c r="A80" s="38" t="s">
        <v>255</v>
      </c>
      <c r="B80" s="37"/>
      <c r="C80" s="38" t="s">
        <v>252</v>
      </c>
      <c r="D80" s="39"/>
      <c r="E80" s="40"/>
      <c r="F80" s="40">
        <f>SUMIF(Q78:Q79, "1", F78:F79)</f>
        <v>0</v>
      </c>
      <c r="G80" s="40"/>
      <c r="H80" s="40">
        <f>SUMIF(Q78:Q79, "1", H78:H79)</f>
        <v>59020.1</v>
      </c>
      <c r="I80" s="40"/>
      <c r="J80" s="40">
        <f>SUMIF(Q78:Q79, "1", J78:J79)</f>
        <v>0</v>
      </c>
      <c r="K80" s="40">
        <f t="shared" si="10"/>
        <v>0</v>
      </c>
      <c r="L80" s="40">
        <f t="shared" si="11"/>
        <v>59020.1</v>
      </c>
      <c r="M80" s="37"/>
    </row>
    <row r="81" spans="1:20" ht="23.1" customHeight="1" x14ac:dyDescent="0.3">
      <c r="A81" s="41" t="s">
        <v>216</v>
      </c>
      <c r="B81" s="42"/>
      <c r="C81" s="43"/>
      <c r="D81" s="44"/>
      <c r="E81" s="44"/>
      <c r="F81" s="45">
        <f>ROUNDDOWN(SUMIF(Q71:Q80, "1", F71:F80), 0)</f>
        <v>8351</v>
      </c>
      <c r="G81" s="44"/>
      <c r="H81" s="45">
        <f>ROUNDDOWN(SUMIF(Q71:Q80, "1", H71:H80), 0)</f>
        <v>59020</v>
      </c>
      <c r="I81" s="44"/>
      <c r="J81" s="45">
        <f>ROUNDDOWN(SUMIF(Q71:Q80, "1", J71:J80), 0)</f>
        <v>7505</v>
      </c>
      <c r="K81" s="44"/>
      <c r="L81" s="45">
        <f>F81+H81+J81</f>
        <v>74876</v>
      </c>
      <c r="M81" s="42"/>
    </row>
    <row r="82" spans="1:20" ht="23.1" customHeight="1" x14ac:dyDescent="0.3">
      <c r="A82" s="37"/>
      <c r="B82" s="37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37"/>
    </row>
    <row r="83" spans="1:20" ht="23.1" customHeight="1" x14ac:dyDescent="0.3">
      <c r="A83" s="180" t="s">
        <v>276</v>
      </c>
      <c r="B83" s="181"/>
      <c r="C83" s="181"/>
      <c r="D83" s="181"/>
      <c r="E83" s="181"/>
      <c r="F83" s="181"/>
      <c r="G83" s="181"/>
      <c r="H83" s="181"/>
      <c r="I83" s="181"/>
      <c r="J83" s="181"/>
      <c r="K83" s="181"/>
      <c r="L83" s="181"/>
      <c r="M83" s="35" t="s">
        <v>277</v>
      </c>
    </row>
    <row r="84" spans="1:20" ht="23.1" customHeight="1" x14ac:dyDescent="0.3">
      <c r="A84" s="36" t="s">
        <v>251</v>
      </c>
      <c r="B84" s="37"/>
      <c r="C84" s="38" t="s">
        <v>252</v>
      </c>
      <c r="D84" s="39"/>
      <c r="E84" s="40"/>
      <c r="F84" s="40">
        <f>ROUNDDOWN(D84*E84, 1)</f>
        <v>0</v>
      </c>
      <c r="G84" s="40"/>
      <c r="H84" s="40">
        <f>ROUNDDOWN(D84*G84, 1)</f>
        <v>0</v>
      </c>
      <c r="I84" s="40"/>
      <c r="J84" s="40">
        <f>ROUNDDOWN(D84*I84, 1)</f>
        <v>0</v>
      </c>
      <c r="K84" s="40">
        <f t="shared" ref="K84:L90" si="12">E84+G84+I84</f>
        <v>0</v>
      </c>
      <c r="L84" s="40">
        <f t="shared" si="12"/>
        <v>0</v>
      </c>
      <c r="M84" s="37"/>
    </row>
    <row r="85" spans="1:20" ht="23.1" customHeight="1" x14ac:dyDescent="0.3">
      <c r="A85" s="36" t="s">
        <v>174</v>
      </c>
      <c r="B85" s="36" t="s">
        <v>175</v>
      </c>
      <c r="C85" s="38" t="s">
        <v>58</v>
      </c>
      <c r="D85" s="39">
        <v>2.7989999999999997E-4</v>
      </c>
      <c r="E85" s="40">
        <v>0</v>
      </c>
      <c r="F85" s="40">
        <f>ROUNDDOWN(D85*E85, 1)</f>
        <v>0</v>
      </c>
      <c r="G85" s="40">
        <v>0</v>
      </c>
      <c r="H85" s="40">
        <f>ROUNDDOWN(D85*G85, 1)</f>
        <v>0</v>
      </c>
      <c r="I85" s="40">
        <f>ROUNDDOWN(단가대비표!O52, 0)</f>
        <v>922000</v>
      </c>
      <c r="J85" s="40">
        <f>ROUNDDOWN(D85*I85, 1)</f>
        <v>258</v>
      </c>
      <c r="K85" s="40">
        <f t="shared" si="12"/>
        <v>922000</v>
      </c>
      <c r="L85" s="40">
        <f t="shared" si="12"/>
        <v>258</v>
      </c>
      <c r="M85" s="36" t="s">
        <v>176</v>
      </c>
      <c r="O85" s="34" t="s">
        <v>253</v>
      </c>
      <c r="P85" s="34" t="s">
        <v>254</v>
      </c>
      <c r="Q85">
        <v>1</v>
      </c>
    </row>
    <row r="86" spans="1:20" ht="23.1" customHeight="1" x14ac:dyDescent="0.3">
      <c r="A86" s="38" t="s">
        <v>255</v>
      </c>
      <c r="B86" s="37"/>
      <c r="C86" s="38" t="s">
        <v>252</v>
      </c>
      <c r="D86" s="39"/>
      <c r="E86" s="40"/>
      <c r="F86" s="40">
        <f>SUMIF(Q84:Q85, "1", F84:F85)</f>
        <v>0</v>
      </c>
      <c r="G86" s="40"/>
      <c r="H86" s="40">
        <f>SUMIF(Q84:Q85, "1", H84:H85)</f>
        <v>0</v>
      </c>
      <c r="I86" s="40"/>
      <c r="J86" s="40">
        <f>SUMIF(Q84:Q85, "1", J84:J85)</f>
        <v>258</v>
      </c>
      <c r="K86" s="40">
        <f t="shared" si="12"/>
        <v>0</v>
      </c>
      <c r="L86" s="40">
        <f t="shared" si="12"/>
        <v>258</v>
      </c>
      <c r="M86" s="37"/>
    </row>
    <row r="87" spans="1:20" ht="23.1" customHeight="1" x14ac:dyDescent="0.3">
      <c r="A87" s="36" t="s">
        <v>256</v>
      </c>
      <c r="B87" s="37"/>
      <c r="C87" s="38" t="s">
        <v>252</v>
      </c>
      <c r="D87" s="39"/>
      <c r="E87" s="40"/>
      <c r="F87" s="40">
        <f>ROUNDDOWN(D87*E87, 1)</f>
        <v>0</v>
      </c>
      <c r="G87" s="40"/>
      <c r="H87" s="40">
        <f>ROUNDDOWN(D87*G87, 1)</f>
        <v>0</v>
      </c>
      <c r="I87" s="40"/>
      <c r="J87" s="40">
        <f>ROUNDDOWN(D87*I87, 1)</f>
        <v>0</v>
      </c>
      <c r="K87" s="40">
        <f t="shared" si="12"/>
        <v>0</v>
      </c>
      <c r="L87" s="40">
        <f t="shared" si="12"/>
        <v>0</v>
      </c>
      <c r="M87" s="37"/>
    </row>
    <row r="88" spans="1:20" ht="23.1" customHeight="1" x14ac:dyDescent="0.3">
      <c r="A88" s="36" t="s">
        <v>35</v>
      </c>
      <c r="B88" s="36" t="s">
        <v>36</v>
      </c>
      <c r="C88" s="38" t="s">
        <v>31</v>
      </c>
      <c r="D88" s="39">
        <v>1.3</v>
      </c>
      <c r="E88" s="40">
        <f>ROUNDDOWN(단가대비표!O9, 0)</f>
        <v>1676</v>
      </c>
      <c r="F88" s="39">
        <f>ROUNDDOWN(D88*E88, 1)</f>
        <v>2178.8000000000002</v>
      </c>
      <c r="G88" s="40">
        <v>0</v>
      </c>
      <c r="H88" s="40">
        <f>ROUNDDOWN(D88*G88, 1)</f>
        <v>0</v>
      </c>
      <c r="I88" s="40">
        <v>0</v>
      </c>
      <c r="J88" s="40">
        <f>ROUNDDOWN(D88*I88, 1)</f>
        <v>0</v>
      </c>
      <c r="K88" s="40">
        <f t="shared" si="12"/>
        <v>1676</v>
      </c>
      <c r="L88" s="39">
        <f t="shared" si="12"/>
        <v>2178.8000000000002</v>
      </c>
      <c r="M88" s="37"/>
      <c r="O88" s="34" t="s">
        <v>257</v>
      </c>
      <c r="P88" s="34" t="s">
        <v>254</v>
      </c>
      <c r="Q88">
        <v>1</v>
      </c>
    </row>
    <row r="89" spans="1:20" ht="23.1" customHeight="1" x14ac:dyDescent="0.3">
      <c r="A89" s="36" t="s">
        <v>258</v>
      </c>
      <c r="B89" s="37" t="str">
        <f>"주연료비의 " &amp; N89*100 &amp; "%"</f>
        <v>주연료비의 20%</v>
      </c>
      <c r="C89" s="38" t="s">
        <v>259</v>
      </c>
      <c r="D89" s="39">
        <v>1</v>
      </c>
      <c r="E89" s="39">
        <f>SUMIF(O84:O90, "01", F84:F90)</f>
        <v>2178.8000000000002</v>
      </c>
      <c r="F89" s="39">
        <f>ROUNDDOWN((E89)*N89, 1)</f>
        <v>435.7</v>
      </c>
      <c r="G89" s="40">
        <v>0</v>
      </c>
      <c r="H89" s="40">
        <v>0</v>
      </c>
      <c r="I89" s="40">
        <v>0</v>
      </c>
      <c r="J89" s="40">
        <v>0</v>
      </c>
      <c r="K89" s="39">
        <f t="shared" si="12"/>
        <v>2178.8000000000002</v>
      </c>
      <c r="L89" s="39">
        <f t="shared" si="12"/>
        <v>435.7</v>
      </c>
      <c r="M89" s="36" t="s">
        <v>260</v>
      </c>
      <c r="N89">
        <v>0.2</v>
      </c>
      <c r="P89" s="34" t="s">
        <v>254</v>
      </c>
      <c r="Q89">
        <v>1</v>
      </c>
      <c r="R89" s="34" t="s">
        <v>261</v>
      </c>
      <c r="S89" s="34" t="s">
        <v>262</v>
      </c>
      <c r="T89" s="34" t="s">
        <v>263</v>
      </c>
    </row>
    <row r="90" spans="1:20" ht="23.1" customHeight="1" x14ac:dyDescent="0.3">
      <c r="A90" s="38" t="s">
        <v>255</v>
      </c>
      <c r="B90" s="37"/>
      <c r="C90" s="38" t="s">
        <v>252</v>
      </c>
      <c r="D90" s="39"/>
      <c r="E90" s="40"/>
      <c r="F90" s="40">
        <f>SUMIF(Q87:Q89, "1", F87:F89)</f>
        <v>2614.5</v>
      </c>
      <c r="G90" s="40"/>
      <c r="H90" s="40">
        <f>SUMIF(Q87:Q89, "1", H87:H89)</f>
        <v>0</v>
      </c>
      <c r="I90" s="40"/>
      <c r="J90" s="40">
        <f>SUMIF(Q87:Q89, "1", J87:J89)</f>
        <v>0</v>
      </c>
      <c r="K90" s="40">
        <f t="shared" si="12"/>
        <v>0</v>
      </c>
      <c r="L90" s="40">
        <f t="shared" si="12"/>
        <v>2614.5</v>
      </c>
      <c r="M90" s="37"/>
    </row>
    <row r="91" spans="1:20" ht="23.1" customHeight="1" x14ac:dyDescent="0.3">
      <c r="A91" s="41" t="s">
        <v>216</v>
      </c>
      <c r="B91" s="42"/>
      <c r="C91" s="43"/>
      <c r="D91" s="44"/>
      <c r="E91" s="44"/>
      <c r="F91" s="45">
        <f>ROUNDDOWN(SUMIF(Q84:Q90, "1", F84:F90), 0)</f>
        <v>2614</v>
      </c>
      <c r="G91" s="44"/>
      <c r="H91" s="45">
        <f>ROUNDDOWN(SUMIF(Q84:Q90, "1", H84:H90), 0)</f>
        <v>0</v>
      </c>
      <c r="I91" s="44"/>
      <c r="J91" s="45">
        <f>ROUNDDOWN(SUMIF(Q84:Q90, "1", J84:J90), 0)</f>
        <v>258</v>
      </c>
      <c r="K91" s="44"/>
      <c r="L91" s="45">
        <f>F91+H91+J91</f>
        <v>2872</v>
      </c>
      <c r="M91" s="42"/>
    </row>
    <row r="92" spans="1:20" ht="23.1" customHeight="1" x14ac:dyDescent="0.3">
      <c r="A92" s="37"/>
      <c r="B92" s="37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37"/>
    </row>
    <row r="93" spans="1:20" ht="23.1" customHeight="1" x14ac:dyDescent="0.3">
      <c r="A93" s="180" t="s">
        <v>278</v>
      </c>
      <c r="B93" s="181"/>
      <c r="C93" s="181"/>
      <c r="D93" s="181"/>
      <c r="E93" s="181"/>
      <c r="F93" s="181"/>
      <c r="G93" s="181"/>
      <c r="H93" s="181"/>
      <c r="I93" s="181"/>
      <c r="J93" s="181"/>
      <c r="K93" s="181"/>
      <c r="L93" s="181"/>
      <c r="M93" s="35" t="s">
        <v>279</v>
      </c>
    </row>
    <row r="94" spans="1:20" ht="23.1" customHeight="1" x14ac:dyDescent="0.3">
      <c r="A94" s="36" t="s">
        <v>251</v>
      </c>
      <c r="B94" s="37"/>
      <c r="C94" s="38" t="s">
        <v>252</v>
      </c>
      <c r="D94" s="39"/>
      <c r="E94" s="40"/>
      <c r="F94" s="40">
        <f>ROUNDDOWN(D94*E94, 1)</f>
        <v>0</v>
      </c>
      <c r="G94" s="40"/>
      <c r="H94" s="40">
        <f>ROUNDDOWN(D94*G94, 1)</f>
        <v>0</v>
      </c>
      <c r="I94" s="40"/>
      <c r="J94" s="40">
        <f>ROUNDDOWN(D94*I94, 1)</f>
        <v>0</v>
      </c>
      <c r="K94" s="40">
        <f t="shared" ref="K94:K103" si="13">E94+G94+I94</f>
        <v>0</v>
      </c>
      <c r="L94" s="40">
        <f t="shared" ref="L94:L103" si="14">F94+H94+J94</f>
        <v>0</v>
      </c>
      <c r="M94" s="37"/>
    </row>
    <row r="95" spans="1:20" ht="23.1" customHeight="1" x14ac:dyDescent="0.3">
      <c r="A95" s="36" t="s">
        <v>186</v>
      </c>
      <c r="B95" s="36" t="s">
        <v>187</v>
      </c>
      <c r="C95" s="38" t="s">
        <v>58</v>
      </c>
      <c r="D95" s="39">
        <v>6.3540000000000005E-4</v>
      </c>
      <c r="E95" s="40">
        <v>0</v>
      </c>
      <c r="F95" s="40">
        <f>ROUNDDOWN(D95*E95, 1)</f>
        <v>0</v>
      </c>
      <c r="G95" s="40">
        <v>0</v>
      </c>
      <c r="H95" s="40">
        <f>ROUNDDOWN(D95*G95, 1)</f>
        <v>0</v>
      </c>
      <c r="I95" s="40">
        <f>ROUNDDOWN(단가대비표!O56, 0)</f>
        <v>3249000</v>
      </c>
      <c r="J95" s="39">
        <f>ROUNDDOWN(D95*I95, 1)</f>
        <v>2064.4</v>
      </c>
      <c r="K95" s="40">
        <f t="shared" si="13"/>
        <v>3249000</v>
      </c>
      <c r="L95" s="39">
        <f t="shared" si="14"/>
        <v>2064.4</v>
      </c>
      <c r="M95" s="36" t="s">
        <v>188</v>
      </c>
      <c r="O95" s="34" t="s">
        <v>253</v>
      </c>
      <c r="P95" s="34" t="s">
        <v>254</v>
      </c>
      <c r="Q95">
        <v>1</v>
      </c>
    </row>
    <row r="96" spans="1:20" ht="23.1" customHeight="1" x14ac:dyDescent="0.3">
      <c r="A96" s="38" t="s">
        <v>255</v>
      </c>
      <c r="B96" s="37"/>
      <c r="C96" s="38" t="s">
        <v>252</v>
      </c>
      <c r="D96" s="39"/>
      <c r="E96" s="40"/>
      <c r="F96" s="40">
        <f>SUMIF(Q94:Q95, "1", F94:F95)</f>
        <v>0</v>
      </c>
      <c r="G96" s="40"/>
      <c r="H96" s="40">
        <f>SUMIF(Q94:Q95, "1", H94:H95)</f>
        <v>0</v>
      </c>
      <c r="I96" s="40"/>
      <c r="J96" s="40">
        <f>SUMIF(Q94:Q95, "1", J94:J95)</f>
        <v>2064.4</v>
      </c>
      <c r="K96" s="40">
        <f t="shared" si="13"/>
        <v>0</v>
      </c>
      <c r="L96" s="40">
        <f t="shared" si="14"/>
        <v>2064.4</v>
      </c>
      <c r="M96" s="37"/>
    </row>
    <row r="97" spans="1:20" ht="23.1" customHeight="1" x14ac:dyDescent="0.3">
      <c r="A97" s="36" t="s">
        <v>256</v>
      </c>
      <c r="B97" s="37"/>
      <c r="C97" s="38" t="s">
        <v>252</v>
      </c>
      <c r="D97" s="39"/>
      <c r="E97" s="40"/>
      <c r="F97" s="40">
        <f>ROUNDDOWN(D97*E97, 1)</f>
        <v>0</v>
      </c>
      <c r="G97" s="40"/>
      <c r="H97" s="40">
        <f>ROUNDDOWN(D97*G97, 1)</f>
        <v>0</v>
      </c>
      <c r="I97" s="40"/>
      <c r="J97" s="40">
        <f>ROUNDDOWN(D97*I97, 1)</f>
        <v>0</v>
      </c>
      <c r="K97" s="40">
        <f t="shared" si="13"/>
        <v>0</v>
      </c>
      <c r="L97" s="40">
        <f t="shared" si="14"/>
        <v>0</v>
      </c>
      <c r="M97" s="37"/>
    </row>
    <row r="98" spans="1:20" ht="23.1" customHeight="1" x14ac:dyDescent="0.3">
      <c r="A98" s="36" t="s">
        <v>35</v>
      </c>
      <c r="B98" s="36" t="s">
        <v>36</v>
      </c>
      <c r="C98" s="38" t="s">
        <v>31</v>
      </c>
      <c r="D98" s="39">
        <v>5.6</v>
      </c>
      <c r="E98" s="40">
        <f>ROUNDDOWN(단가대비표!O9, 0)</f>
        <v>1676</v>
      </c>
      <c r="F98" s="39">
        <f>ROUNDDOWN(D98*E98, 1)</f>
        <v>9385.6</v>
      </c>
      <c r="G98" s="40">
        <v>0</v>
      </c>
      <c r="H98" s="40">
        <f>ROUNDDOWN(D98*G98, 1)</f>
        <v>0</v>
      </c>
      <c r="I98" s="40">
        <v>0</v>
      </c>
      <c r="J98" s="40">
        <f>ROUNDDOWN(D98*I98, 1)</f>
        <v>0</v>
      </c>
      <c r="K98" s="40">
        <f t="shared" si="13"/>
        <v>1676</v>
      </c>
      <c r="L98" s="39">
        <f t="shared" si="14"/>
        <v>9385.6</v>
      </c>
      <c r="M98" s="37"/>
      <c r="O98" s="34" t="s">
        <v>257</v>
      </c>
      <c r="P98" s="34" t="s">
        <v>254</v>
      </c>
      <c r="Q98">
        <v>1</v>
      </c>
    </row>
    <row r="99" spans="1:20" ht="23.1" customHeight="1" x14ac:dyDescent="0.3">
      <c r="A99" s="36" t="s">
        <v>258</v>
      </c>
      <c r="B99" s="37" t="str">
        <f>"주연료비의 " &amp; N99*100 &amp; "%"</f>
        <v>주연료비의 20%</v>
      </c>
      <c r="C99" s="38" t="s">
        <v>259</v>
      </c>
      <c r="D99" s="39">
        <v>1</v>
      </c>
      <c r="E99" s="39">
        <f>SUMIF(O94:O103, "01", F94:F103)</f>
        <v>9385.6</v>
      </c>
      <c r="F99" s="39">
        <f>ROUNDDOWN((E99)*N99, 1)</f>
        <v>1877.1</v>
      </c>
      <c r="G99" s="40">
        <v>0</v>
      </c>
      <c r="H99" s="40">
        <v>0</v>
      </c>
      <c r="I99" s="40">
        <v>0</v>
      </c>
      <c r="J99" s="40">
        <v>0</v>
      </c>
      <c r="K99" s="39">
        <f t="shared" si="13"/>
        <v>9385.6</v>
      </c>
      <c r="L99" s="39">
        <f t="shared" si="14"/>
        <v>1877.1</v>
      </c>
      <c r="M99" s="36" t="s">
        <v>260</v>
      </c>
      <c r="N99">
        <v>0.2</v>
      </c>
      <c r="P99" s="34" t="s">
        <v>254</v>
      </c>
      <c r="Q99">
        <v>1</v>
      </c>
      <c r="R99" s="34" t="s">
        <v>261</v>
      </c>
      <c r="S99" s="34" t="s">
        <v>262</v>
      </c>
      <c r="T99" s="34" t="s">
        <v>263</v>
      </c>
    </row>
    <row r="100" spans="1:20" ht="23.1" customHeight="1" x14ac:dyDescent="0.3">
      <c r="A100" s="38" t="s">
        <v>255</v>
      </c>
      <c r="B100" s="37"/>
      <c r="C100" s="38" t="s">
        <v>252</v>
      </c>
      <c r="D100" s="39"/>
      <c r="E100" s="40"/>
      <c r="F100" s="40">
        <f>SUMIF(Q97:Q99, "1", F97:F99)</f>
        <v>11262.7</v>
      </c>
      <c r="G100" s="40"/>
      <c r="H100" s="40">
        <f>SUMIF(Q97:Q99, "1", H97:H99)</f>
        <v>0</v>
      </c>
      <c r="I100" s="40"/>
      <c r="J100" s="40">
        <f>SUMIF(Q97:Q99, "1", J97:J99)</f>
        <v>0</v>
      </c>
      <c r="K100" s="40">
        <f t="shared" si="13"/>
        <v>0</v>
      </c>
      <c r="L100" s="40">
        <f t="shared" si="14"/>
        <v>11262.7</v>
      </c>
      <c r="M100" s="37"/>
    </row>
    <row r="101" spans="1:20" ht="23.1" customHeight="1" x14ac:dyDescent="0.3">
      <c r="A101" s="36" t="s">
        <v>264</v>
      </c>
      <c r="B101" s="37"/>
      <c r="C101" s="38" t="s">
        <v>252</v>
      </c>
      <c r="D101" s="39"/>
      <c r="E101" s="40"/>
      <c r="F101" s="40">
        <f>ROUNDDOWN(D101*E101, 1)</f>
        <v>0</v>
      </c>
      <c r="G101" s="40"/>
      <c r="H101" s="40">
        <f>ROUNDDOWN(D101*G101, 1)</f>
        <v>0</v>
      </c>
      <c r="I101" s="40"/>
      <c r="J101" s="40">
        <f>ROUNDDOWN(D101*I101, 1)</f>
        <v>0</v>
      </c>
      <c r="K101" s="40">
        <f t="shared" si="13"/>
        <v>0</v>
      </c>
      <c r="L101" s="40">
        <f t="shared" si="14"/>
        <v>0</v>
      </c>
      <c r="M101" s="37"/>
    </row>
    <row r="102" spans="1:20" ht="23.1" customHeight="1" x14ac:dyDescent="0.3">
      <c r="A102" s="36" t="s">
        <v>144</v>
      </c>
      <c r="B102" s="36" t="s">
        <v>131</v>
      </c>
      <c r="C102" s="38" t="s">
        <v>132</v>
      </c>
      <c r="D102" s="39">
        <v>0.2083333</v>
      </c>
      <c r="E102" s="40">
        <v>0</v>
      </c>
      <c r="F102" s="40">
        <f>ROUNDDOWN(D102*E102, 1)</f>
        <v>0</v>
      </c>
      <c r="G102" s="40">
        <f>ROUNDDOWN(단가대비표!O38, 0)</f>
        <v>173995</v>
      </c>
      <c r="H102" s="39">
        <f>ROUNDDOWN(D102*G102, 1)</f>
        <v>36248.9</v>
      </c>
      <c r="I102" s="40">
        <v>0</v>
      </c>
      <c r="J102" s="40">
        <f>ROUNDDOWN(D102*I102, 1)</f>
        <v>0</v>
      </c>
      <c r="K102" s="40">
        <f t="shared" si="13"/>
        <v>173995</v>
      </c>
      <c r="L102" s="39">
        <f t="shared" si="14"/>
        <v>36248.9</v>
      </c>
      <c r="M102" s="36" t="s">
        <v>145</v>
      </c>
      <c r="O102" s="34" t="s">
        <v>265</v>
      </c>
      <c r="P102" s="34" t="s">
        <v>254</v>
      </c>
      <c r="Q102">
        <v>1</v>
      </c>
    </row>
    <row r="103" spans="1:20" ht="23.1" customHeight="1" x14ac:dyDescent="0.3">
      <c r="A103" s="38" t="s">
        <v>255</v>
      </c>
      <c r="B103" s="37"/>
      <c r="C103" s="38" t="s">
        <v>252</v>
      </c>
      <c r="D103" s="39"/>
      <c r="E103" s="40"/>
      <c r="F103" s="40">
        <f>SUMIF(Q101:Q102, "1", F101:F102)</f>
        <v>0</v>
      </c>
      <c r="G103" s="40"/>
      <c r="H103" s="40">
        <f>SUMIF(Q101:Q102, "1", H101:H102)</f>
        <v>36248.9</v>
      </c>
      <c r="I103" s="40"/>
      <c r="J103" s="40">
        <f>SUMIF(Q101:Q102, "1", J101:J102)</f>
        <v>0</v>
      </c>
      <c r="K103" s="40">
        <f t="shared" si="13"/>
        <v>0</v>
      </c>
      <c r="L103" s="40">
        <f t="shared" si="14"/>
        <v>36248.9</v>
      </c>
      <c r="M103" s="37"/>
    </row>
    <row r="104" spans="1:20" ht="23.1" customHeight="1" x14ac:dyDescent="0.3">
      <c r="A104" s="41" t="s">
        <v>216</v>
      </c>
      <c r="B104" s="42"/>
      <c r="C104" s="43"/>
      <c r="D104" s="44"/>
      <c r="E104" s="44"/>
      <c r="F104" s="45">
        <f>ROUNDDOWN(SUMIF(Q94:Q103, "1", F94:F103), 0)</f>
        <v>11262</v>
      </c>
      <c r="G104" s="44"/>
      <c r="H104" s="45">
        <f>ROUNDDOWN(SUMIF(Q94:Q103, "1", H94:H103), 0)</f>
        <v>36248</v>
      </c>
      <c r="I104" s="44"/>
      <c r="J104" s="45">
        <f>ROUNDDOWN(SUMIF(Q94:Q103, "1", J94:J103), 0)</f>
        <v>2064</v>
      </c>
      <c r="K104" s="44"/>
      <c r="L104" s="45">
        <f>F104+H104+J104</f>
        <v>49574</v>
      </c>
      <c r="M104" s="42"/>
    </row>
    <row r="105" spans="1:20" ht="23.1" customHeight="1" x14ac:dyDescent="0.3">
      <c r="A105" s="37"/>
      <c r="B105" s="37"/>
      <c r="C105" s="46"/>
      <c r="D105" s="47"/>
      <c r="E105" s="47"/>
      <c r="F105" s="47"/>
      <c r="G105" s="47"/>
      <c r="H105" s="47"/>
      <c r="I105" s="47"/>
      <c r="J105" s="47"/>
      <c r="K105" s="47"/>
      <c r="L105" s="47"/>
      <c r="M105" s="37"/>
    </row>
    <row r="106" spans="1:20" ht="23.1" customHeight="1" x14ac:dyDescent="0.3">
      <c r="A106" s="180" t="s">
        <v>280</v>
      </c>
      <c r="B106" s="181"/>
      <c r="C106" s="181"/>
      <c r="D106" s="181"/>
      <c r="E106" s="181"/>
      <c r="F106" s="181"/>
      <c r="G106" s="181"/>
      <c r="H106" s="181"/>
      <c r="I106" s="181"/>
      <c r="J106" s="181"/>
      <c r="K106" s="181"/>
      <c r="L106" s="181"/>
      <c r="M106" s="35" t="s">
        <v>281</v>
      </c>
    </row>
    <row r="107" spans="1:20" ht="23.1" customHeight="1" x14ac:dyDescent="0.3">
      <c r="A107" s="36" t="s">
        <v>251</v>
      </c>
      <c r="B107" s="37"/>
      <c r="C107" s="38" t="s">
        <v>252</v>
      </c>
      <c r="D107" s="39"/>
      <c r="E107" s="40"/>
      <c r="F107" s="40">
        <f>ROUNDDOWN(D107*E107, 1)</f>
        <v>0</v>
      </c>
      <c r="G107" s="40"/>
      <c r="H107" s="40">
        <f>ROUNDDOWN(D107*G107, 1)</f>
        <v>0</v>
      </c>
      <c r="I107" s="40"/>
      <c r="J107" s="40">
        <f>ROUNDDOWN(D107*I107, 1)</f>
        <v>0</v>
      </c>
      <c r="K107" s="40">
        <f t="shared" ref="K107:K116" si="15">E107+G107+I107</f>
        <v>0</v>
      </c>
      <c r="L107" s="40">
        <f t="shared" ref="L107:L116" si="16">F107+H107+J107</f>
        <v>0</v>
      </c>
      <c r="M107" s="37"/>
    </row>
    <row r="108" spans="1:20" ht="23.1" customHeight="1" x14ac:dyDescent="0.3">
      <c r="A108" s="36" t="s">
        <v>165</v>
      </c>
      <c r="B108" s="36" t="s">
        <v>166</v>
      </c>
      <c r="C108" s="38" t="s">
        <v>58</v>
      </c>
      <c r="D108" s="39">
        <v>2.085E-4</v>
      </c>
      <c r="E108" s="40">
        <v>0</v>
      </c>
      <c r="F108" s="40">
        <f>ROUNDDOWN(D108*E108, 1)</f>
        <v>0</v>
      </c>
      <c r="G108" s="40">
        <v>0</v>
      </c>
      <c r="H108" s="40">
        <f>ROUNDDOWN(D108*G108, 1)</f>
        <v>0</v>
      </c>
      <c r="I108" s="40">
        <f>ROUNDDOWN(단가대비표!O49, 0)</f>
        <v>66538000</v>
      </c>
      <c r="J108" s="39">
        <f>ROUNDDOWN(D108*I108, 1)</f>
        <v>13873.1</v>
      </c>
      <c r="K108" s="40">
        <f t="shared" si="15"/>
        <v>66538000</v>
      </c>
      <c r="L108" s="39">
        <f t="shared" si="16"/>
        <v>13873.1</v>
      </c>
      <c r="M108" s="36" t="s">
        <v>167</v>
      </c>
      <c r="O108" s="34" t="s">
        <v>253</v>
      </c>
      <c r="P108" s="34" t="s">
        <v>254</v>
      </c>
      <c r="Q108">
        <v>1</v>
      </c>
    </row>
    <row r="109" spans="1:20" ht="23.1" customHeight="1" x14ac:dyDescent="0.3">
      <c r="A109" s="38" t="s">
        <v>255</v>
      </c>
      <c r="B109" s="37"/>
      <c r="C109" s="38" t="s">
        <v>252</v>
      </c>
      <c r="D109" s="39"/>
      <c r="E109" s="40"/>
      <c r="F109" s="40">
        <f>SUMIF(Q107:Q108, "1", F107:F108)</f>
        <v>0</v>
      </c>
      <c r="G109" s="40"/>
      <c r="H109" s="40">
        <f>SUMIF(Q107:Q108, "1", H107:H108)</f>
        <v>0</v>
      </c>
      <c r="I109" s="40"/>
      <c r="J109" s="40">
        <f>SUMIF(Q107:Q108, "1", J107:J108)</f>
        <v>13873.1</v>
      </c>
      <c r="K109" s="40">
        <f t="shared" si="15"/>
        <v>0</v>
      </c>
      <c r="L109" s="40">
        <f t="shared" si="16"/>
        <v>13873.1</v>
      </c>
      <c r="M109" s="37"/>
    </row>
    <row r="110" spans="1:20" ht="23.1" customHeight="1" x14ac:dyDescent="0.3">
      <c r="A110" s="36" t="s">
        <v>256</v>
      </c>
      <c r="B110" s="37"/>
      <c r="C110" s="38" t="s">
        <v>252</v>
      </c>
      <c r="D110" s="39"/>
      <c r="E110" s="40"/>
      <c r="F110" s="40">
        <f>ROUNDDOWN(D110*E110, 1)</f>
        <v>0</v>
      </c>
      <c r="G110" s="40"/>
      <c r="H110" s="40">
        <f>ROUNDDOWN(D110*G110, 1)</f>
        <v>0</v>
      </c>
      <c r="I110" s="40"/>
      <c r="J110" s="40">
        <f>ROUNDDOWN(D110*I110, 1)</f>
        <v>0</v>
      </c>
      <c r="K110" s="40">
        <f t="shared" si="15"/>
        <v>0</v>
      </c>
      <c r="L110" s="40">
        <f t="shared" si="16"/>
        <v>0</v>
      </c>
      <c r="M110" s="37"/>
    </row>
    <row r="111" spans="1:20" ht="23.1" customHeight="1" x14ac:dyDescent="0.3">
      <c r="A111" s="36" t="s">
        <v>29</v>
      </c>
      <c r="B111" s="36" t="s">
        <v>30</v>
      </c>
      <c r="C111" s="38" t="s">
        <v>31</v>
      </c>
      <c r="D111" s="39">
        <v>5</v>
      </c>
      <c r="E111" s="40">
        <f>ROUNDDOWN(단가대비표!O8, 0)</f>
        <v>1657</v>
      </c>
      <c r="F111" s="40">
        <f>ROUNDDOWN(D111*E111, 1)</f>
        <v>8285</v>
      </c>
      <c r="G111" s="40">
        <v>0</v>
      </c>
      <c r="H111" s="40">
        <f>ROUNDDOWN(D111*G111, 1)</f>
        <v>0</v>
      </c>
      <c r="I111" s="40">
        <v>0</v>
      </c>
      <c r="J111" s="40">
        <f>ROUNDDOWN(D111*I111, 1)</f>
        <v>0</v>
      </c>
      <c r="K111" s="40">
        <f t="shared" si="15"/>
        <v>1657</v>
      </c>
      <c r="L111" s="40">
        <f t="shared" si="16"/>
        <v>8285</v>
      </c>
      <c r="M111" s="37"/>
      <c r="O111" s="34" t="s">
        <v>257</v>
      </c>
      <c r="P111" s="34" t="s">
        <v>254</v>
      </c>
      <c r="Q111">
        <v>1</v>
      </c>
    </row>
    <row r="112" spans="1:20" ht="23.1" customHeight="1" x14ac:dyDescent="0.3">
      <c r="A112" s="36" t="s">
        <v>258</v>
      </c>
      <c r="B112" s="37" t="str">
        <f>"주연료비의 " &amp; N112*100 &amp; "%"</f>
        <v>주연료비의 21%</v>
      </c>
      <c r="C112" s="38" t="s">
        <v>259</v>
      </c>
      <c r="D112" s="39">
        <v>1</v>
      </c>
      <c r="E112" s="40">
        <f>SUMIF(O107:O116, "01", F107:F116)</f>
        <v>8285</v>
      </c>
      <c r="F112" s="39">
        <f>ROUNDDOWN((E112)*N112, 1)</f>
        <v>1739.8</v>
      </c>
      <c r="G112" s="40">
        <v>0</v>
      </c>
      <c r="H112" s="40">
        <v>0</v>
      </c>
      <c r="I112" s="40">
        <v>0</v>
      </c>
      <c r="J112" s="40">
        <v>0</v>
      </c>
      <c r="K112" s="40">
        <f t="shared" si="15"/>
        <v>8285</v>
      </c>
      <c r="L112" s="39">
        <f t="shared" si="16"/>
        <v>1739.8</v>
      </c>
      <c r="M112" s="36" t="s">
        <v>260</v>
      </c>
      <c r="N112">
        <v>0.21</v>
      </c>
      <c r="P112" s="34" t="s">
        <v>254</v>
      </c>
      <c r="Q112">
        <v>1</v>
      </c>
      <c r="R112" s="34" t="s">
        <v>261</v>
      </c>
      <c r="S112" s="34" t="s">
        <v>262</v>
      </c>
      <c r="T112" s="34" t="s">
        <v>263</v>
      </c>
    </row>
    <row r="113" spans="1:20" ht="23.1" customHeight="1" x14ac:dyDescent="0.3">
      <c r="A113" s="38" t="s">
        <v>255</v>
      </c>
      <c r="B113" s="37"/>
      <c r="C113" s="38" t="s">
        <v>252</v>
      </c>
      <c r="D113" s="39"/>
      <c r="E113" s="40"/>
      <c r="F113" s="40">
        <f>SUMIF(Q110:Q112, "1", F110:F112)</f>
        <v>10024.799999999999</v>
      </c>
      <c r="G113" s="40"/>
      <c r="H113" s="40">
        <f>SUMIF(Q110:Q112, "1", H110:H112)</f>
        <v>0</v>
      </c>
      <c r="I113" s="40"/>
      <c r="J113" s="40">
        <f>SUMIF(Q110:Q112, "1", J110:J112)</f>
        <v>0</v>
      </c>
      <c r="K113" s="40">
        <f t="shared" si="15"/>
        <v>0</v>
      </c>
      <c r="L113" s="40">
        <f t="shared" si="16"/>
        <v>10024.799999999999</v>
      </c>
      <c r="M113" s="37"/>
    </row>
    <row r="114" spans="1:20" ht="23.1" customHeight="1" x14ac:dyDescent="0.3">
      <c r="A114" s="36" t="s">
        <v>264</v>
      </c>
      <c r="B114" s="37"/>
      <c r="C114" s="38" t="s">
        <v>252</v>
      </c>
      <c r="D114" s="39"/>
      <c r="E114" s="40"/>
      <c r="F114" s="40">
        <f>ROUNDDOWN(D114*E114, 1)</f>
        <v>0</v>
      </c>
      <c r="G114" s="40"/>
      <c r="H114" s="40">
        <f>ROUNDDOWN(D114*G114, 1)</f>
        <v>0</v>
      </c>
      <c r="I114" s="40"/>
      <c r="J114" s="40">
        <f>ROUNDDOWN(D114*I114, 1)</f>
        <v>0</v>
      </c>
      <c r="K114" s="40">
        <f t="shared" si="15"/>
        <v>0</v>
      </c>
      <c r="L114" s="40">
        <f t="shared" si="16"/>
        <v>0</v>
      </c>
      <c r="M114" s="37"/>
    </row>
    <row r="115" spans="1:20" ht="23.1" customHeight="1" x14ac:dyDescent="0.3">
      <c r="A115" s="36" t="s">
        <v>130</v>
      </c>
      <c r="B115" s="36" t="s">
        <v>131</v>
      </c>
      <c r="C115" s="38" t="s">
        <v>132</v>
      </c>
      <c r="D115" s="39">
        <v>0.2083333</v>
      </c>
      <c r="E115" s="40">
        <v>0</v>
      </c>
      <c r="F115" s="40">
        <f>ROUNDDOWN(D115*E115, 1)</f>
        <v>0</v>
      </c>
      <c r="G115" s="40">
        <f>ROUNDDOWN(단가대비표!O30, 0)</f>
        <v>283297</v>
      </c>
      <c r="H115" s="39">
        <f>ROUNDDOWN(D115*G115, 1)</f>
        <v>59020.1</v>
      </c>
      <c r="I115" s="40">
        <v>0</v>
      </c>
      <c r="J115" s="40">
        <f>ROUNDDOWN(D115*I115, 1)</f>
        <v>0</v>
      </c>
      <c r="K115" s="40">
        <f t="shared" si="15"/>
        <v>283297</v>
      </c>
      <c r="L115" s="39">
        <f t="shared" si="16"/>
        <v>59020.1</v>
      </c>
      <c r="M115" s="36" t="s">
        <v>133</v>
      </c>
      <c r="O115" s="34" t="s">
        <v>265</v>
      </c>
      <c r="P115" s="34" t="s">
        <v>254</v>
      </c>
      <c r="Q115">
        <v>1</v>
      </c>
    </row>
    <row r="116" spans="1:20" ht="23.1" customHeight="1" x14ac:dyDescent="0.3">
      <c r="A116" s="38" t="s">
        <v>255</v>
      </c>
      <c r="B116" s="37"/>
      <c r="C116" s="38" t="s">
        <v>252</v>
      </c>
      <c r="D116" s="39"/>
      <c r="E116" s="40"/>
      <c r="F116" s="40">
        <f>SUMIF(Q114:Q115, "1", F114:F115)</f>
        <v>0</v>
      </c>
      <c r="G116" s="40"/>
      <c r="H116" s="40">
        <f>SUMIF(Q114:Q115, "1", H114:H115)</f>
        <v>59020.1</v>
      </c>
      <c r="I116" s="40"/>
      <c r="J116" s="40">
        <f>SUMIF(Q114:Q115, "1", J114:J115)</f>
        <v>0</v>
      </c>
      <c r="K116" s="40">
        <f t="shared" si="15"/>
        <v>0</v>
      </c>
      <c r="L116" s="40">
        <f t="shared" si="16"/>
        <v>59020.1</v>
      </c>
      <c r="M116" s="37"/>
    </row>
    <row r="117" spans="1:20" ht="23.1" customHeight="1" x14ac:dyDescent="0.3">
      <c r="A117" s="41" t="s">
        <v>216</v>
      </c>
      <c r="B117" s="42"/>
      <c r="C117" s="43"/>
      <c r="D117" s="44"/>
      <c r="E117" s="44"/>
      <c r="F117" s="45">
        <f>ROUNDDOWN(SUMIF(Q107:Q116, "1", F107:F116), 0)</f>
        <v>10024</v>
      </c>
      <c r="G117" s="44"/>
      <c r="H117" s="45">
        <f>ROUNDDOWN(SUMIF(Q107:Q116, "1", H107:H116), 0)</f>
        <v>59020</v>
      </c>
      <c r="I117" s="44"/>
      <c r="J117" s="45">
        <f>ROUNDDOWN(SUMIF(Q107:Q116, "1", J107:J116), 0)</f>
        <v>13873</v>
      </c>
      <c r="K117" s="44"/>
      <c r="L117" s="45">
        <f>F117+H117+J117</f>
        <v>82917</v>
      </c>
      <c r="M117" s="42"/>
    </row>
    <row r="118" spans="1:20" ht="23.1" customHeight="1" x14ac:dyDescent="0.3">
      <c r="A118" s="37"/>
      <c r="B118" s="37"/>
      <c r="C118" s="46"/>
      <c r="D118" s="47"/>
      <c r="E118" s="47"/>
      <c r="F118" s="47"/>
      <c r="G118" s="47"/>
      <c r="H118" s="47"/>
      <c r="I118" s="47"/>
      <c r="J118" s="47"/>
      <c r="K118" s="47"/>
      <c r="L118" s="47"/>
      <c r="M118" s="37"/>
    </row>
    <row r="119" spans="1:20" ht="23.1" customHeight="1" x14ac:dyDescent="0.3">
      <c r="A119" s="180" t="s">
        <v>282</v>
      </c>
      <c r="B119" s="181"/>
      <c r="C119" s="181"/>
      <c r="D119" s="181"/>
      <c r="E119" s="181"/>
      <c r="F119" s="181"/>
      <c r="G119" s="181"/>
      <c r="H119" s="181"/>
      <c r="I119" s="181"/>
      <c r="J119" s="181"/>
      <c r="K119" s="181"/>
      <c r="L119" s="181"/>
      <c r="M119" s="35" t="s">
        <v>283</v>
      </c>
    </row>
    <row r="120" spans="1:20" ht="23.1" customHeight="1" x14ac:dyDescent="0.3">
      <c r="A120" s="36" t="s">
        <v>251</v>
      </c>
      <c r="B120" s="37"/>
      <c r="C120" s="38" t="s">
        <v>252</v>
      </c>
      <c r="D120" s="39"/>
      <c r="E120" s="40"/>
      <c r="F120" s="40">
        <f>ROUNDDOWN(D120*E120, 1)</f>
        <v>0</v>
      </c>
      <c r="G120" s="40"/>
      <c r="H120" s="40">
        <f>ROUNDDOWN(D120*G120, 1)</f>
        <v>0</v>
      </c>
      <c r="I120" s="40"/>
      <c r="J120" s="40">
        <f>ROUNDDOWN(D120*I120, 1)</f>
        <v>0</v>
      </c>
      <c r="K120" s="40">
        <f t="shared" ref="K120:K130" si="17">E120+G120+I120</f>
        <v>0</v>
      </c>
      <c r="L120" s="40">
        <f t="shared" ref="L120:L130" si="18">F120+H120+J120</f>
        <v>0</v>
      </c>
      <c r="M120" s="37"/>
    </row>
    <row r="121" spans="1:20" ht="23.1" customHeight="1" x14ac:dyDescent="0.3">
      <c r="A121" s="36" t="s">
        <v>168</v>
      </c>
      <c r="B121" s="36" t="s">
        <v>169</v>
      </c>
      <c r="C121" s="38" t="s">
        <v>58</v>
      </c>
      <c r="D121" s="39">
        <v>2.2790000000000001E-4</v>
      </c>
      <c r="E121" s="40">
        <v>0</v>
      </c>
      <c r="F121" s="40">
        <f>ROUNDDOWN(D121*E121, 1)</f>
        <v>0</v>
      </c>
      <c r="G121" s="40">
        <v>0</v>
      </c>
      <c r="H121" s="40">
        <f>ROUNDDOWN(D121*G121, 1)</f>
        <v>0</v>
      </c>
      <c r="I121" s="40">
        <f>ROUNDDOWN(단가대비표!O50, 0)</f>
        <v>69333000</v>
      </c>
      <c r="J121" s="39">
        <f>ROUNDDOWN(D121*I121, 1)</f>
        <v>15800.9</v>
      </c>
      <c r="K121" s="40">
        <f t="shared" si="17"/>
        <v>69333000</v>
      </c>
      <c r="L121" s="39">
        <f t="shared" si="18"/>
        <v>15800.9</v>
      </c>
      <c r="M121" s="36" t="s">
        <v>170</v>
      </c>
      <c r="O121" s="34" t="s">
        <v>253</v>
      </c>
      <c r="P121" s="34" t="s">
        <v>254</v>
      </c>
      <c r="Q121">
        <v>1</v>
      </c>
    </row>
    <row r="122" spans="1:20" ht="23.1" customHeight="1" x14ac:dyDescent="0.3">
      <c r="A122" s="36" t="s">
        <v>171</v>
      </c>
      <c r="B122" s="36" t="s">
        <v>172</v>
      </c>
      <c r="C122" s="38" t="s">
        <v>58</v>
      </c>
      <c r="D122" s="39">
        <v>6.6010000000000005E-4</v>
      </c>
      <c r="E122" s="40">
        <v>0</v>
      </c>
      <c r="F122" s="40">
        <f>ROUNDDOWN(D122*E122, 1)</f>
        <v>0</v>
      </c>
      <c r="G122" s="40">
        <v>0</v>
      </c>
      <c r="H122" s="40">
        <f>ROUNDDOWN(D122*G122, 1)</f>
        <v>0</v>
      </c>
      <c r="I122" s="40">
        <f>ROUNDDOWN(단가대비표!O51, 0)</f>
        <v>4559000</v>
      </c>
      <c r="J122" s="39">
        <f>ROUNDDOWN(D122*I122, 1)</f>
        <v>3009.3</v>
      </c>
      <c r="K122" s="40">
        <f t="shared" si="17"/>
        <v>4559000</v>
      </c>
      <c r="L122" s="39">
        <f t="shared" si="18"/>
        <v>3009.3</v>
      </c>
      <c r="M122" s="36" t="s">
        <v>173</v>
      </c>
      <c r="O122" s="34" t="s">
        <v>253</v>
      </c>
      <c r="P122" s="34" t="s">
        <v>254</v>
      </c>
      <c r="Q122">
        <v>1</v>
      </c>
    </row>
    <row r="123" spans="1:20" ht="23.1" customHeight="1" x14ac:dyDescent="0.3">
      <c r="A123" s="38" t="s">
        <v>255</v>
      </c>
      <c r="B123" s="37"/>
      <c r="C123" s="38" t="s">
        <v>252</v>
      </c>
      <c r="D123" s="39"/>
      <c r="E123" s="40"/>
      <c r="F123" s="40">
        <f>SUMIF(Q120:Q122, "1", F120:F122)</f>
        <v>0</v>
      </c>
      <c r="G123" s="40"/>
      <c r="H123" s="40">
        <f>SUMIF(Q120:Q122, "1", H120:H122)</f>
        <v>0</v>
      </c>
      <c r="I123" s="40"/>
      <c r="J123" s="40">
        <f>SUMIF(Q120:Q122, "1", J120:J122)</f>
        <v>18810.2</v>
      </c>
      <c r="K123" s="40">
        <f t="shared" si="17"/>
        <v>0</v>
      </c>
      <c r="L123" s="40">
        <f t="shared" si="18"/>
        <v>18810.2</v>
      </c>
      <c r="M123" s="37"/>
    </row>
    <row r="124" spans="1:20" ht="23.1" customHeight="1" x14ac:dyDescent="0.3">
      <c r="A124" s="36" t="s">
        <v>256</v>
      </c>
      <c r="B124" s="37"/>
      <c r="C124" s="38" t="s">
        <v>252</v>
      </c>
      <c r="D124" s="39"/>
      <c r="E124" s="40"/>
      <c r="F124" s="40">
        <f>ROUNDDOWN(D124*E124, 1)</f>
        <v>0</v>
      </c>
      <c r="G124" s="40"/>
      <c r="H124" s="40">
        <f>ROUNDDOWN(D124*G124, 1)</f>
        <v>0</v>
      </c>
      <c r="I124" s="40"/>
      <c r="J124" s="40">
        <f>ROUNDDOWN(D124*I124, 1)</f>
        <v>0</v>
      </c>
      <c r="K124" s="40">
        <f t="shared" si="17"/>
        <v>0</v>
      </c>
      <c r="L124" s="40">
        <f t="shared" si="18"/>
        <v>0</v>
      </c>
      <c r="M124" s="37"/>
    </row>
    <row r="125" spans="1:20" ht="23.1" customHeight="1" x14ac:dyDescent="0.3">
      <c r="A125" s="36" t="s">
        <v>29</v>
      </c>
      <c r="B125" s="36" t="s">
        <v>30</v>
      </c>
      <c r="C125" s="38" t="s">
        <v>31</v>
      </c>
      <c r="D125" s="39">
        <v>5.6</v>
      </c>
      <c r="E125" s="40">
        <f>ROUNDDOWN(단가대비표!O8, 0)</f>
        <v>1657</v>
      </c>
      <c r="F125" s="39">
        <f>ROUNDDOWN(D125*E125, 1)</f>
        <v>9279.2000000000007</v>
      </c>
      <c r="G125" s="40">
        <v>0</v>
      </c>
      <c r="H125" s="40">
        <f>ROUNDDOWN(D125*G125, 1)</f>
        <v>0</v>
      </c>
      <c r="I125" s="40">
        <v>0</v>
      </c>
      <c r="J125" s="40">
        <f>ROUNDDOWN(D125*I125, 1)</f>
        <v>0</v>
      </c>
      <c r="K125" s="40">
        <f t="shared" si="17"/>
        <v>1657</v>
      </c>
      <c r="L125" s="39">
        <f t="shared" si="18"/>
        <v>9279.2000000000007</v>
      </c>
      <c r="M125" s="37"/>
      <c r="O125" s="34" t="s">
        <v>257</v>
      </c>
      <c r="P125" s="34" t="s">
        <v>254</v>
      </c>
      <c r="Q125">
        <v>1</v>
      </c>
    </row>
    <row r="126" spans="1:20" ht="23.1" customHeight="1" x14ac:dyDescent="0.3">
      <c r="A126" s="36" t="s">
        <v>258</v>
      </c>
      <c r="B126" s="37" t="str">
        <f>"주연료비의 " &amp; N126*100 &amp; "%"</f>
        <v>주연료비의 16%</v>
      </c>
      <c r="C126" s="38" t="s">
        <v>259</v>
      </c>
      <c r="D126" s="39">
        <v>1</v>
      </c>
      <c r="E126" s="39">
        <f>SUMIF(O120:O130, "01", F120:F130)</f>
        <v>9279.2000000000007</v>
      </c>
      <c r="F126" s="39">
        <f>ROUNDDOWN((E126)*N126, 1)</f>
        <v>1484.6</v>
      </c>
      <c r="G126" s="40">
        <v>0</v>
      </c>
      <c r="H126" s="40">
        <v>0</v>
      </c>
      <c r="I126" s="40">
        <v>0</v>
      </c>
      <c r="J126" s="40">
        <v>0</v>
      </c>
      <c r="K126" s="39">
        <f t="shared" si="17"/>
        <v>9279.2000000000007</v>
      </c>
      <c r="L126" s="39">
        <f t="shared" si="18"/>
        <v>1484.6</v>
      </c>
      <c r="M126" s="36" t="s">
        <v>260</v>
      </c>
      <c r="N126">
        <v>0.16</v>
      </c>
      <c r="P126" s="34" t="s">
        <v>254</v>
      </c>
      <c r="Q126">
        <v>1</v>
      </c>
      <c r="R126" s="34" t="s">
        <v>261</v>
      </c>
      <c r="S126" s="34" t="s">
        <v>262</v>
      </c>
      <c r="T126" s="34" t="s">
        <v>263</v>
      </c>
    </row>
    <row r="127" spans="1:20" ht="23.1" customHeight="1" x14ac:dyDescent="0.3">
      <c r="A127" s="38" t="s">
        <v>255</v>
      </c>
      <c r="B127" s="37"/>
      <c r="C127" s="38" t="s">
        <v>252</v>
      </c>
      <c r="D127" s="39"/>
      <c r="E127" s="40"/>
      <c r="F127" s="40">
        <f>SUMIF(Q124:Q126, "1", F124:F126)</f>
        <v>10763.800000000001</v>
      </c>
      <c r="G127" s="40"/>
      <c r="H127" s="40">
        <f>SUMIF(Q124:Q126, "1", H124:H126)</f>
        <v>0</v>
      </c>
      <c r="I127" s="40"/>
      <c r="J127" s="40">
        <f>SUMIF(Q124:Q126, "1", J124:J126)</f>
        <v>0</v>
      </c>
      <c r="K127" s="40">
        <f t="shared" si="17"/>
        <v>0</v>
      </c>
      <c r="L127" s="40">
        <f t="shared" si="18"/>
        <v>10763.800000000001</v>
      </c>
      <c r="M127" s="37"/>
    </row>
    <row r="128" spans="1:20" ht="23.1" customHeight="1" x14ac:dyDescent="0.3">
      <c r="A128" s="36" t="s">
        <v>264</v>
      </c>
      <c r="B128" s="37"/>
      <c r="C128" s="38" t="s">
        <v>252</v>
      </c>
      <c r="D128" s="39"/>
      <c r="E128" s="40"/>
      <c r="F128" s="40">
        <f>ROUNDDOWN(D128*E128, 1)</f>
        <v>0</v>
      </c>
      <c r="G128" s="40"/>
      <c r="H128" s="40">
        <f>ROUNDDOWN(D128*G128, 1)</f>
        <v>0</v>
      </c>
      <c r="I128" s="40"/>
      <c r="J128" s="40">
        <f>ROUNDDOWN(D128*I128, 1)</f>
        <v>0</v>
      </c>
      <c r="K128" s="40">
        <f t="shared" si="17"/>
        <v>0</v>
      </c>
      <c r="L128" s="40">
        <f t="shared" si="18"/>
        <v>0</v>
      </c>
      <c r="M128" s="37"/>
    </row>
    <row r="129" spans="1:17" ht="23.1" customHeight="1" x14ac:dyDescent="0.3">
      <c r="A129" s="36" t="s">
        <v>130</v>
      </c>
      <c r="B129" s="36" t="s">
        <v>131</v>
      </c>
      <c r="C129" s="38" t="s">
        <v>132</v>
      </c>
      <c r="D129" s="39">
        <v>0.2083333</v>
      </c>
      <c r="E129" s="40">
        <v>0</v>
      </c>
      <c r="F129" s="40">
        <f>ROUNDDOWN(D129*E129, 1)</f>
        <v>0</v>
      </c>
      <c r="G129" s="40">
        <f>ROUNDDOWN(단가대비표!O30, 0)</f>
        <v>283297</v>
      </c>
      <c r="H129" s="39">
        <f>ROUNDDOWN(D129*G129, 1)</f>
        <v>59020.1</v>
      </c>
      <c r="I129" s="40">
        <v>0</v>
      </c>
      <c r="J129" s="40">
        <f>ROUNDDOWN(D129*I129, 1)</f>
        <v>0</v>
      </c>
      <c r="K129" s="40">
        <f t="shared" si="17"/>
        <v>283297</v>
      </c>
      <c r="L129" s="39">
        <f t="shared" si="18"/>
        <v>59020.1</v>
      </c>
      <c r="M129" s="36" t="s">
        <v>133</v>
      </c>
      <c r="O129" s="34" t="s">
        <v>265</v>
      </c>
      <c r="P129" s="34" t="s">
        <v>254</v>
      </c>
      <c r="Q129">
        <v>1</v>
      </c>
    </row>
    <row r="130" spans="1:17" ht="23.1" customHeight="1" x14ac:dyDescent="0.3">
      <c r="A130" s="38" t="s">
        <v>255</v>
      </c>
      <c r="B130" s="37"/>
      <c r="C130" s="38" t="s">
        <v>252</v>
      </c>
      <c r="D130" s="39"/>
      <c r="E130" s="40"/>
      <c r="F130" s="40">
        <f>SUMIF(Q128:Q129, "1", F128:F129)</f>
        <v>0</v>
      </c>
      <c r="G130" s="40"/>
      <c r="H130" s="40">
        <f>SUMIF(Q128:Q129, "1", H128:H129)</f>
        <v>59020.1</v>
      </c>
      <c r="I130" s="40"/>
      <c r="J130" s="40">
        <f>SUMIF(Q128:Q129, "1", J128:J129)</f>
        <v>0</v>
      </c>
      <c r="K130" s="40">
        <f t="shared" si="17"/>
        <v>0</v>
      </c>
      <c r="L130" s="40">
        <f t="shared" si="18"/>
        <v>59020.1</v>
      </c>
      <c r="M130" s="37"/>
    </row>
    <row r="131" spans="1:17" ht="23.1" customHeight="1" x14ac:dyDescent="0.3">
      <c r="A131" s="41" t="s">
        <v>216</v>
      </c>
      <c r="B131" s="42"/>
      <c r="C131" s="43"/>
      <c r="D131" s="44"/>
      <c r="E131" s="44"/>
      <c r="F131" s="45">
        <f>ROUNDDOWN(SUMIF(Q120:Q130, "1", F120:F130), 0)</f>
        <v>10763</v>
      </c>
      <c r="G131" s="44"/>
      <c r="H131" s="45">
        <f>ROUNDDOWN(SUMIF(Q120:Q130, "1", H120:H130), 0)</f>
        <v>59020</v>
      </c>
      <c r="I131" s="44"/>
      <c r="J131" s="45">
        <f>ROUNDDOWN(SUMIF(Q120:Q130, "1", J120:J130), 0)</f>
        <v>18810</v>
      </c>
      <c r="K131" s="44"/>
      <c r="L131" s="45">
        <f>F131+H131+J131</f>
        <v>88593</v>
      </c>
      <c r="M131" s="42"/>
    </row>
    <row r="132" spans="1:17" ht="23.1" customHeight="1" x14ac:dyDescent="0.3">
      <c r="A132" s="37"/>
      <c r="B132" s="37"/>
      <c r="C132" s="46"/>
      <c r="D132" s="47"/>
      <c r="E132" s="47"/>
      <c r="F132" s="47"/>
      <c r="G132" s="47"/>
      <c r="H132" s="47"/>
      <c r="I132" s="47"/>
      <c r="J132" s="47"/>
      <c r="K132" s="47"/>
      <c r="L132" s="47"/>
      <c r="M132" s="37"/>
    </row>
  </sheetData>
  <mergeCells count="21">
    <mergeCell ref="A70:L70"/>
    <mergeCell ref="A83:L83"/>
    <mergeCell ref="A93:L93"/>
    <mergeCell ref="A106:L106"/>
    <mergeCell ref="A119:L119"/>
    <mergeCell ref="A57:L57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L5"/>
    <mergeCell ref="A18:L18"/>
    <mergeCell ref="A31:L31"/>
    <mergeCell ref="A44:L44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8" manualBreakCount="8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  <brk id="13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B7"/>
  </sheetPr>
  <dimension ref="A1:Q89"/>
  <sheetViews>
    <sheetView view="pageBreakPreview" zoomScaleNormal="100" zoomScaleSheetLayoutView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sqref="A1:M1"/>
    </sheetView>
  </sheetViews>
  <sheetFormatPr defaultRowHeight="16.5" x14ac:dyDescent="0.3"/>
  <cols>
    <col min="1" max="1" width="20.625" style="1" customWidth="1"/>
    <col min="2" max="2" width="18.625" style="1" customWidth="1"/>
    <col min="3" max="3" width="4.625" style="1" customWidth="1"/>
    <col min="4" max="4" width="6.625" style="3" customWidth="1"/>
    <col min="5" max="5" width="3.625" style="3" customWidth="1"/>
    <col min="6" max="6" width="6.625" style="3" customWidth="1"/>
    <col min="7" max="12" width="9.625" style="3" customWidth="1"/>
    <col min="13" max="13" width="6.625" style="1" customWidth="1"/>
    <col min="14" max="51" width="0" hidden="1" customWidth="1"/>
  </cols>
  <sheetData>
    <row r="1" spans="1:17" ht="30" customHeight="1" x14ac:dyDescent="0.3">
      <c r="A1" s="158" t="s">
        <v>199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17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</row>
    <row r="3" spans="1:17" ht="23.1" customHeight="1" x14ac:dyDescent="0.3">
      <c r="A3" s="167" t="s">
        <v>200</v>
      </c>
      <c r="B3" s="167" t="s">
        <v>201</v>
      </c>
      <c r="C3" s="167" t="s">
        <v>4</v>
      </c>
      <c r="D3" s="12" t="s">
        <v>202</v>
      </c>
      <c r="E3" s="12" t="s">
        <v>203</v>
      </c>
      <c r="F3" s="167" t="s">
        <v>204</v>
      </c>
      <c r="G3" s="167" t="s">
        <v>205</v>
      </c>
      <c r="H3" s="167"/>
      <c r="I3" s="167"/>
      <c r="J3" s="167"/>
      <c r="K3" s="167"/>
      <c r="L3" s="167"/>
      <c r="M3" s="167" t="s">
        <v>206</v>
      </c>
    </row>
    <row r="4" spans="1:17" ht="23.1" customHeight="1" x14ac:dyDescent="0.3">
      <c r="A4" s="185"/>
      <c r="B4" s="185"/>
      <c r="C4" s="185"/>
      <c r="D4" s="13" t="s">
        <v>209</v>
      </c>
      <c r="E4" s="13" t="s">
        <v>210</v>
      </c>
      <c r="F4" s="185"/>
      <c r="G4" s="13"/>
      <c r="H4" s="13"/>
      <c r="I4" s="13"/>
      <c r="J4" s="13"/>
      <c r="K4" s="13"/>
      <c r="L4" s="13"/>
      <c r="M4" s="185"/>
    </row>
    <row r="5" spans="1:17" ht="23.1" customHeight="1" x14ac:dyDescent="0.3">
      <c r="A5" s="186"/>
      <c r="B5" s="186"/>
      <c r="C5" s="186"/>
      <c r="D5" s="14" t="s">
        <v>207</v>
      </c>
      <c r="E5" s="14" t="s">
        <v>208</v>
      </c>
      <c r="F5" s="186"/>
      <c r="G5" s="14"/>
      <c r="H5" s="14"/>
      <c r="I5" s="14"/>
      <c r="J5" s="14"/>
      <c r="K5" s="14"/>
      <c r="L5" s="14"/>
      <c r="M5" s="186"/>
    </row>
    <row r="6" spans="1:17" ht="23.1" customHeight="1" x14ac:dyDescent="0.3">
      <c r="A6" s="187" t="s">
        <v>211</v>
      </c>
      <c r="B6" s="188"/>
      <c r="C6" s="188"/>
      <c r="D6" s="188"/>
      <c r="E6" s="188"/>
      <c r="F6" s="188"/>
      <c r="G6" s="15" t="s">
        <v>137</v>
      </c>
      <c r="H6" s="15" t="s">
        <v>140</v>
      </c>
      <c r="I6" s="15"/>
      <c r="J6" s="15"/>
      <c r="K6" s="15"/>
      <c r="L6" s="15"/>
      <c r="M6" s="16"/>
    </row>
    <row r="7" spans="1:17" ht="23.1" customHeight="1" x14ac:dyDescent="0.3">
      <c r="A7" s="189"/>
      <c r="B7" s="189"/>
      <c r="C7" s="189"/>
      <c r="D7" s="189"/>
      <c r="E7" s="189"/>
      <c r="F7" s="189"/>
      <c r="G7" s="17">
        <v>414968</v>
      </c>
      <c r="H7" s="17">
        <v>172068</v>
      </c>
      <c r="I7" s="18"/>
      <c r="J7" s="18"/>
      <c r="K7" s="18"/>
      <c r="L7" s="18"/>
      <c r="M7" s="19"/>
    </row>
    <row r="8" spans="1:17" ht="23.1" customHeight="1" x14ac:dyDescent="0.3">
      <c r="A8" s="20" t="s">
        <v>212</v>
      </c>
      <c r="B8" s="20" t="s">
        <v>121</v>
      </c>
      <c r="C8" s="20" t="s">
        <v>19</v>
      </c>
      <c r="D8" s="21">
        <v>1</v>
      </c>
      <c r="E8" s="22">
        <v>1.03</v>
      </c>
      <c r="F8" s="21">
        <f>ROUNDDOWN(D8, 6)</f>
        <v>1</v>
      </c>
      <c r="G8" s="21" t="s">
        <v>213</v>
      </c>
      <c r="H8" s="21" t="s">
        <v>214</v>
      </c>
      <c r="I8" s="21"/>
      <c r="J8" s="21"/>
      <c r="K8" s="21"/>
      <c r="L8" s="21"/>
      <c r="M8" s="20" t="s">
        <v>126</v>
      </c>
    </row>
    <row r="9" spans="1:17" ht="23.1" customHeight="1" x14ac:dyDescent="0.3">
      <c r="A9" s="23"/>
      <c r="B9" s="23"/>
      <c r="C9" s="23"/>
      <c r="D9" s="24" t="s">
        <v>215</v>
      </c>
      <c r="E9" s="25">
        <v>0.86670000000000003</v>
      </c>
      <c r="F9" s="26"/>
      <c r="G9" s="26">
        <f>D8*0.00607</f>
        <v>6.0699999999999999E-3</v>
      </c>
      <c r="H9" s="26">
        <f>D8*0.0156</f>
        <v>1.5599999999999999E-2</v>
      </c>
      <c r="I9" s="26"/>
      <c r="J9" s="26"/>
      <c r="K9" s="26"/>
      <c r="L9" s="26"/>
      <c r="M9" s="23"/>
      <c r="Q9">
        <v>1</v>
      </c>
    </row>
    <row r="10" spans="1:17" ht="23.1" customHeight="1" x14ac:dyDescent="0.3">
      <c r="A10" s="27" t="s">
        <v>216</v>
      </c>
      <c r="B10" s="28"/>
      <c r="C10" s="28"/>
      <c r="D10" s="29"/>
      <c r="E10" s="29"/>
      <c r="F10" s="29"/>
      <c r="G10" s="29">
        <f>SUMIF(Q8:Q9, "1", G8:G9)</f>
        <v>6.0699999999999999E-3</v>
      </c>
      <c r="H10" s="29">
        <f>SUMIF(Q8:Q9, "1", H8:H9)</f>
        <v>1.5599999999999999E-2</v>
      </c>
      <c r="I10" s="29"/>
      <c r="J10" s="29"/>
      <c r="K10" s="29"/>
      <c r="L10" s="29"/>
      <c r="M10" s="28"/>
    </row>
    <row r="11" spans="1:17" ht="23.1" customHeight="1" x14ac:dyDescent="0.3">
      <c r="A11" s="30"/>
      <c r="B11" s="30"/>
      <c r="C11" s="30"/>
      <c r="D11" s="31"/>
      <c r="E11" s="31"/>
      <c r="F11" s="31"/>
      <c r="G11" s="31">
        <f>ROUND(G10, 4)</f>
        <v>6.1000000000000004E-3</v>
      </c>
      <c r="H11" s="31">
        <f>ROUND(H10, 4)</f>
        <v>1.5599999999999999E-2</v>
      </c>
      <c r="I11" s="31"/>
      <c r="J11" s="31"/>
      <c r="K11" s="31"/>
      <c r="L11" s="31"/>
      <c r="M11" s="30"/>
    </row>
    <row r="12" spans="1:17" ht="23.1" customHeight="1" x14ac:dyDescent="0.3">
      <c r="A12" s="32"/>
      <c r="B12" s="32"/>
      <c r="C12" s="32"/>
      <c r="D12" s="21"/>
      <c r="E12" s="21"/>
      <c r="F12" s="21"/>
      <c r="G12" s="21"/>
      <c r="H12" s="21"/>
      <c r="I12" s="21"/>
      <c r="J12" s="21"/>
      <c r="K12" s="21"/>
      <c r="L12" s="21"/>
      <c r="M12" s="32"/>
    </row>
    <row r="13" spans="1:17" ht="23.1" customHeight="1" x14ac:dyDescent="0.3">
      <c r="A13" s="23"/>
      <c r="B13" s="23"/>
      <c r="C13" s="23"/>
      <c r="D13" s="26"/>
      <c r="E13" s="26"/>
      <c r="F13" s="26"/>
      <c r="G13" s="26"/>
      <c r="H13" s="26"/>
      <c r="I13" s="26"/>
      <c r="J13" s="26"/>
      <c r="K13" s="26"/>
      <c r="L13" s="26"/>
      <c r="M13" s="23"/>
    </row>
    <row r="14" spans="1:17" ht="23.1" customHeight="1" x14ac:dyDescent="0.3">
      <c r="A14" s="187" t="s">
        <v>217</v>
      </c>
      <c r="B14" s="188"/>
      <c r="C14" s="188"/>
      <c r="D14" s="188"/>
      <c r="E14" s="188"/>
      <c r="F14" s="188"/>
      <c r="G14" s="15" t="s">
        <v>136</v>
      </c>
      <c r="H14" s="15"/>
      <c r="I14" s="15"/>
      <c r="J14" s="15"/>
      <c r="K14" s="15"/>
      <c r="L14" s="15"/>
      <c r="M14" s="16"/>
    </row>
    <row r="15" spans="1:17" ht="23.1" customHeight="1" x14ac:dyDescent="0.3">
      <c r="A15" s="189"/>
      <c r="B15" s="189"/>
      <c r="C15" s="189"/>
      <c r="D15" s="189"/>
      <c r="E15" s="189"/>
      <c r="F15" s="189"/>
      <c r="G15" s="17">
        <v>273676</v>
      </c>
      <c r="H15" s="18"/>
      <c r="I15" s="18"/>
      <c r="J15" s="18"/>
      <c r="K15" s="18"/>
      <c r="L15" s="18"/>
      <c r="M15" s="19"/>
    </row>
    <row r="16" spans="1:17" ht="23.1" customHeight="1" x14ac:dyDescent="0.3">
      <c r="A16" s="20" t="s">
        <v>17</v>
      </c>
      <c r="B16" s="20" t="s">
        <v>18</v>
      </c>
      <c r="C16" s="20" t="s">
        <v>19</v>
      </c>
      <c r="D16" s="21">
        <v>1</v>
      </c>
      <c r="E16" s="22">
        <v>1.1000000000000001</v>
      </c>
      <c r="F16" s="21">
        <f>ROUNDDOWN(D16, 6)</f>
        <v>1</v>
      </c>
      <c r="G16" s="21">
        <v>8.6999999999999994E-2</v>
      </c>
      <c r="H16" s="21"/>
      <c r="I16" s="21"/>
      <c r="J16" s="21"/>
      <c r="K16" s="21"/>
      <c r="L16" s="21"/>
      <c r="M16" s="32"/>
    </row>
    <row r="17" spans="1:17" ht="23.1" customHeight="1" x14ac:dyDescent="0.3">
      <c r="A17" s="23"/>
      <c r="B17" s="23"/>
      <c r="C17" s="23"/>
      <c r="D17" s="24" t="s">
        <v>218</v>
      </c>
      <c r="E17" s="33">
        <v>1</v>
      </c>
      <c r="F17" s="26"/>
      <c r="G17" s="26">
        <f>D16*ROUND(E17*G16, 5)</f>
        <v>8.6999999999999994E-2</v>
      </c>
      <c r="H17" s="26"/>
      <c r="I17" s="26"/>
      <c r="J17" s="26"/>
      <c r="K17" s="26"/>
      <c r="L17" s="26"/>
      <c r="M17" s="23"/>
      <c r="Q17">
        <v>1</v>
      </c>
    </row>
    <row r="18" spans="1:17" ht="23.1" customHeight="1" x14ac:dyDescent="0.3">
      <c r="A18" s="27" t="s">
        <v>216</v>
      </c>
      <c r="B18" s="28"/>
      <c r="C18" s="28"/>
      <c r="D18" s="29"/>
      <c r="E18" s="29"/>
      <c r="F18" s="29"/>
      <c r="G18" s="29">
        <f>SUMIF(Q16:Q17, "1", G16:G17)</f>
        <v>8.6999999999999994E-2</v>
      </c>
      <c r="H18" s="29"/>
      <c r="I18" s="29"/>
      <c r="J18" s="29"/>
      <c r="K18" s="29"/>
      <c r="L18" s="29"/>
      <c r="M18" s="28"/>
    </row>
    <row r="19" spans="1:17" ht="23.1" customHeight="1" x14ac:dyDescent="0.3">
      <c r="A19" s="30"/>
      <c r="B19" s="30"/>
      <c r="C19" s="30"/>
      <c r="D19" s="31"/>
      <c r="E19" s="31"/>
      <c r="F19" s="31"/>
      <c r="G19" s="31">
        <f>ROUND(G18, 4)</f>
        <v>8.6999999999999994E-2</v>
      </c>
      <c r="H19" s="31"/>
      <c r="I19" s="31"/>
      <c r="J19" s="31"/>
      <c r="K19" s="31"/>
      <c r="L19" s="31"/>
      <c r="M19" s="30"/>
    </row>
    <row r="20" spans="1:17" ht="23.1" customHeight="1" x14ac:dyDescent="0.3">
      <c r="A20" s="32"/>
      <c r="B20" s="32"/>
      <c r="C20" s="32"/>
      <c r="D20" s="21"/>
      <c r="E20" s="21"/>
      <c r="F20" s="21"/>
      <c r="G20" s="21"/>
      <c r="H20" s="21"/>
      <c r="I20" s="21"/>
      <c r="J20" s="21"/>
      <c r="K20" s="21"/>
      <c r="L20" s="21"/>
      <c r="M20" s="32"/>
    </row>
    <row r="21" spans="1:17" ht="23.1" customHeight="1" x14ac:dyDescent="0.3">
      <c r="A21" s="23"/>
      <c r="B21" s="23"/>
      <c r="C21" s="23"/>
      <c r="D21" s="26"/>
      <c r="E21" s="26"/>
      <c r="F21" s="26"/>
      <c r="G21" s="26"/>
      <c r="H21" s="26"/>
      <c r="I21" s="26"/>
      <c r="J21" s="26"/>
      <c r="K21" s="26"/>
      <c r="L21" s="26"/>
      <c r="M21" s="23"/>
    </row>
    <row r="22" spans="1:17" ht="23.1" customHeight="1" x14ac:dyDescent="0.3">
      <c r="A22" s="187" t="s">
        <v>219</v>
      </c>
      <c r="B22" s="188"/>
      <c r="C22" s="188"/>
      <c r="D22" s="188"/>
      <c r="E22" s="188"/>
      <c r="F22" s="188"/>
      <c r="G22" s="15" t="s">
        <v>146</v>
      </c>
      <c r="H22" s="15"/>
      <c r="I22" s="15"/>
      <c r="J22" s="15"/>
      <c r="K22" s="15"/>
      <c r="L22" s="15"/>
      <c r="M22" s="16"/>
    </row>
    <row r="23" spans="1:17" ht="23.1" customHeight="1" x14ac:dyDescent="0.3">
      <c r="A23" s="189"/>
      <c r="B23" s="189"/>
      <c r="C23" s="189"/>
      <c r="D23" s="189"/>
      <c r="E23" s="189"/>
      <c r="F23" s="189"/>
      <c r="G23" s="17">
        <v>304156</v>
      </c>
      <c r="H23" s="18"/>
      <c r="I23" s="18"/>
      <c r="J23" s="18"/>
      <c r="K23" s="18"/>
      <c r="L23" s="18"/>
      <c r="M23" s="19"/>
    </row>
    <row r="24" spans="1:17" ht="23.1" customHeight="1" x14ac:dyDescent="0.3">
      <c r="A24" s="20" t="s">
        <v>22</v>
      </c>
      <c r="B24" s="20" t="s">
        <v>28</v>
      </c>
      <c r="C24" s="20" t="s">
        <v>19</v>
      </c>
      <c r="D24" s="21">
        <v>1</v>
      </c>
      <c r="E24" s="22">
        <v>1.05</v>
      </c>
      <c r="F24" s="21">
        <f>ROUNDDOWN(D24, 6)</f>
        <v>1</v>
      </c>
      <c r="G24" s="21">
        <v>2.9000000000000001E-2</v>
      </c>
      <c r="H24" s="21"/>
      <c r="I24" s="21"/>
      <c r="J24" s="21"/>
      <c r="K24" s="21"/>
      <c r="L24" s="21"/>
      <c r="M24" s="32"/>
    </row>
    <row r="25" spans="1:17" ht="23.1" customHeight="1" x14ac:dyDescent="0.3">
      <c r="A25" s="23"/>
      <c r="B25" s="23"/>
      <c r="C25" s="23"/>
      <c r="D25" s="24" t="s">
        <v>220</v>
      </c>
      <c r="E25" s="33">
        <v>1</v>
      </c>
      <c r="F25" s="26"/>
      <c r="G25" s="26">
        <f>D24*ROUND(E25*G24, 5)</f>
        <v>2.9000000000000001E-2</v>
      </c>
      <c r="H25" s="26"/>
      <c r="I25" s="26"/>
      <c r="J25" s="26"/>
      <c r="K25" s="26"/>
      <c r="L25" s="26"/>
      <c r="M25" s="23"/>
      <c r="Q25">
        <v>1</v>
      </c>
    </row>
    <row r="26" spans="1:17" ht="23.1" customHeight="1" x14ac:dyDescent="0.3">
      <c r="A26" s="27" t="s">
        <v>216</v>
      </c>
      <c r="B26" s="28"/>
      <c r="C26" s="28"/>
      <c r="D26" s="29"/>
      <c r="E26" s="29"/>
      <c r="F26" s="29"/>
      <c r="G26" s="29">
        <f>SUMIF(Q24:Q25, "1", G24:G25)</f>
        <v>2.9000000000000001E-2</v>
      </c>
      <c r="H26" s="29"/>
      <c r="I26" s="29"/>
      <c r="J26" s="29"/>
      <c r="K26" s="29"/>
      <c r="L26" s="29"/>
      <c r="M26" s="28"/>
    </row>
    <row r="27" spans="1:17" ht="23.1" customHeight="1" x14ac:dyDescent="0.3">
      <c r="A27" s="30"/>
      <c r="B27" s="30"/>
      <c r="C27" s="30"/>
      <c r="D27" s="31"/>
      <c r="E27" s="31"/>
      <c r="F27" s="31"/>
      <c r="G27" s="31">
        <f>ROUND(G26, 4)</f>
        <v>2.9000000000000001E-2</v>
      </c>
      <c r="H27" s="31"/>
      <c r="I27" s="31"/>
      <c r="J27" s="31"/>
      <c r="K27" s="31"/>
      <c r="L27" s="31"/>
      <c r="M27" s="30"/>
    </row>
    <row r="28" spans="1:17" ht="23.1" customHeight="1" x14ac:dyDescent="0.3">
      <c r="A28" s="32"/>
      <c r="B28" s="32"/>
      <c r="C28" s="32"/>
      <c r="D28" s="21"/>
      <c r="E28" s="21"/>
      <c r="F28" s="21"/>
      <c r="G28" s="21"/>
      <c r="H28" s="21"/>
      <c r="I28" s="21"/>
      <c r="J28" s="21"/>
      <c r="K28" s="21"/>
      <c r="L28" s="21"/>
      <c r="M28" s="32"/>
    </row>
    <row r="29" spans="1:17" ht="23.1" customHeight="1" x14ac:dyDescent="0.3">
      <c r="A29" s="23"/>
      <c r="B29" s="23"/>
      <c r="C29" s="23"/>
      <c r="D29" s="26"/>
      <c r="E29" s="26"/>
      <c r="F29" s="26"/>
      <c r="G29" s="26"/>
      <c r="H29" s="26"/>
      <c r="I29" s="26"/>
      <c r="J29" s="26"/>
      <c r="K29" s="26"/>
      <c r="L29" s="26"/>
      <c r="M29" s="23"/>
    </row>
    <row r="30" spans="1:17" ht="23.1" customHeight="1" x14ac:dyDescent="0.3">
      <c r="A30" s="187" t="s">
        <v>221</v>
      </c>
      <c r="B30" s="188"/>
      <c r="C30" s="188"/>
      <c r="D30" s="188"/>
      <c r="E30" s="188"/>
      <c r="F30" s="188"/>
      <c r="G30" s="15" t="s">
        <v>146</v>
      </c>
      <c r="H30" s="15"/>
      <c r="I30" s="15"/>
      <c r="J30" s="15"/>
      <c r="K30" s="15"/>
      <c r="L30" s="15"/>
      <c r="M30" s="16"/>
    </row>
    <row r="31" spans="1:17" ht="23.1" customHeight="1" x14ac:dyDescent="0.3">
      <c r="A31" s="189"/>
      <c r="B31" s="189"/>
      <c r="C31" s="189"/>
      <c r="D31" s="189"/>
      <c r="E31" s="189"/>
      <c r="F31" s="189"/>
      <c r="G31" s="17">
        <v>304156</v>
      </c>
      <c r="H31" s="18"/>
      <c r="I31" s="18"/>
      <c r="J31" s="18"/>
      <c r="K31" s="18"/>
      <c r="L31" s="18"/>
      <c r="M31" s="19"/>
    </row>
    <row r="32" spans="1:17" ht="23.1" customHeight="1" x14ac:dyDescent="0.3">
      <c r="A32" s="20" t="s">
        <v>22</v>
      </c>
      <c r="B32" s="20" t="s">
        <v>23</v>
      </c>
      <c r="C32" s="20" t="s">
        <v>19</v>
      </c>
      <c r="D32" s="21">
        <v>1</v>
      </c>
      <c r="E32" s="22">
        <v>1.05</v>
      </c>
      <c r="F32" s="21">
        <f>ROUNDDOWN(D32, 6)</f>
        <v>1</v>
      </c>
      <c r="G32" s="21">
        <v>2.5999999999999999E-2</v>
      </c>
      <c r="H32" s="21"/>
      <c r="I32" s="21"/>
      <c r="J32" s="21"/>
      <c r="K32" s="21"/>
      <c r="L32" s="21"/>
      <c r="M32" s="32"/>
    </row>
    <row r="33" spans="1:17" ht="23.1" customHeight="1" x14ac:dyDescent="0.3">
      <c r="A33" s="23"/>
      <c r="B33" s="23"/>
      <c r="C33" s="23"/>
      <c r="D33" s="24" t="s">
        <v>220</v>
      </c>
      <c r="E33" s="33">
        <v>1</v>
      </c>
      <c r="F33" s="26"/>
      <c r="G33" s="26">
        <f>D32*ROUND(E33*G32, 5)</f>
        <v>2.5999999999999999E-2</v>
      </c>
      <c r="H33" s="26"/>
      <c r="I33" s="26"/>
      <c r="J33" s="26"/>
      <c r="K33" s="26"/>
      <c r="L33" s="26"/>
      <c r="M33" s="23"/>
      <c r="Q33">
        <v>1</v>
      </c>
    </row>
    <row r="34" spans="1:17" ht="23.1" customHeight="1" x14ac:dyDescent="0.3">
      <c r="A34" s="27" t="s">
        <v>216</v>
      </c>
      <c r="B34" s="28"/>
      <c r="C34" s="28"/>
      <c r="D34" s="29"/>
      <c r="E34" s="29"/>
      <c r="F34" s="29"/>
      <c r="G34" s="29">
        <f>SUMIF(Q32:Q33, "1", G32:G33)</f>
        <v>2.5999999999999999E-2</v>
      </c>
      <c r="H34" s="29"/>
      <c r="I34" s="29"/>
      <c r="J34" s="29"/>
      <c r="K34" s="29"/>
      <c r="L34" s="29"/>
      <c r="M34" s="28"/>
    </row>
    <row r="35" spans="1:17" ht="23.1" customHeight="1" x14ac:dyDescent="0.3">
      <c r="A35" s="30"/>
      <c r="B35" s="30"/>
      <c r="C35" s="30"/>
      <c r="D35" s="31"/>
      <c r="E35" s="31"/>
      <c r="F35" s="31"/>
      <c r="G35" s="31">
        <f>ROUND(G34, 4)</f>
        <v>2.5999999999999999E-2</v>
      </c>
      <c r="H35" s="31"/>
      <c r="I35" s="31"/>
      <c r="J35" s="31"/>
      <c r="K35" s="31"/>
      <c r="L35" s="31"/>
      <c r="M35" s="30"/>
    </row>
    <row r="36" spans="1:17" ht="23.1" customHeight="1" x14ac:dyDescent="0.3">
      <c r="A36" s="32"/>
      <c r="B36" s="32"/>
      <c r="C36" s="32"/>
      <c r="D36" s="21"/>
      <c r="E36" s="21"/>
      <c r="F36" s="21"/>
      <c r="G36" s="21"/>
      <c r="H36" s="21"/>
      <c r="I36" s="21"/>
      <c r="J36" s="21"/>
      <c r="K36" s="21"/>
      <c r="L36" s="21"/>
      <c r="M36" s="32"/>
    </row>
    <row r="37" spans="1:17" ht="23.1" customHeight="1" x14ac:dyDescent="0.3">
      <c r="A37" s="23"/>
      <c r="B37" s="23"/>
      <c r="C37" s="23"/>
      <c r="D37" s="26"/>
      <c r="E37" s="26"/>
      <c r="F37" s="26"/>
      <c r="G37" s="26"/>
      <c r="H37" s="26"/>
      <c r="I37" s="26"/>
      <c r="J37" s="26"/>
      <c r="K37" s="26"/>
      <c r="L37" s="26"/>
      <c r="M37" s="23"/>
    </row>
    <row r="38" spans="1:17" ht="23.1" customHeight="1" x14ac:dyDescent="0.3">
      <c r="A38" s="187" t="s">
        <v>222</v>
      </c>
      <c r="B38" s="188"/>
      <c r="C38" s="188"/>
      <c r="D38" s="188"/>
      <c r="E38" s="188"/>
      <c r="F38" s="188"/>
      <c r="G38" s="15" t="s">
        <v>136</v>
      </c>
      <c r="H38" s="15"/>
      <c r="I38" s="15"/>
      <c r="J38" s="15"/>
      <c r="K38" s="15"/>
      <c r="L38" s="15"/>
      <c r="M38" s="16"/>
    </row>
    <row r="39" spans="1:17" ht="23.1" customHeight="1" x14ac:dyDescent="0.3">
      <c r="A39" s="189"/>
      <c r="B39" s="189"/>
      <c r="C39" s="189"/>
      <c r="D39" s="189"/>
      <c r="E39" s="189"/>
      <c r="F39" s="189"/>
      <c r="G39" s="17">
        <v>273676</v>
      </c>
      <c r="H39" s="18"/>
      <c r="I39" s="18"/>
      <c r="J39" s="18"/>
      <c r="K39" s="18"/>
      <c r="L39" s="18"/>
      <c r="M39" s="19"/>
    </row>
    <row r="40" spans="1:17" ht="23.1" customHeight="1" x14ac:dyDescent="0.3">
      <c r="A40" s="20" t="s">
        <v>91</v>
      </c>
      <c r="B40" s="20" t="s">
        <v>92</v>
      </c>
      <c r="C40" s="20" t="s">
        <v>19</v>
      </c>
      <c r="D40" s="21">
        <v>1</v>
      </c>
      <c r="E40" s="22">
        <v>1.1000000000000001</v>
      </c>
      <c r="F40" s="21">
        <f>ROUNDDOWN(D40, 6)</f>
        <v>1</v>
      </c>
      <c r="G40" s="21">
        <v>6.0000000000000001E-3</v>
      </c>
      <c r="H40" s="21"/>
      <c r="I40" s="21"/>
      <c r="J40" s="21"/>
      <c r="K40" s="21"/>
      <c r="L40" s="21"/>
      <c r="M40" s="32"/>
    </row>
    <row r="41" spans="1:17" ht="23.1" customHeight="1" x14ac:dyDescent="0.3">
      <c r="A41" s="23"/>
      <c r="B41" s="23"/>
      <c r="C41" s="23"/>
      <c r="D41" s="24" t="s">
        <v>223</v>
      </c>
      <c r="E41" s="33">
        <v>1</v>
      </c>
      <c r="F41" s="26"/>
      <c r="G41" s="26">
        <f>D40*ROUND(E41*G40, 5)</f>
        <v>6.0000000000000001E-3</v>
      </c>
      <c r="H41" s="26"/>
      <c r="I41" s="26"/>
      <c r="J41" s="26"/>
      <c r="K41" s="26"/>
      <c r="L41" s="26"/>
      <c r="M41" s="23"/>
      <c r="Q41">
        <v>1</v>
      </c>
    </row>
    <row r="42" spans="1:17" ht="23.1" customHeight="1" x14ac:dyDescent="0.3">
      <c r="A42" s="27" t="s">
        <v>216</v>
      </c>
      <c r="B42" s="28"/>
      <c r="C42" s="28"/>
      <c r="D42" s="29"/>
      <c r="E42" s="29"/>
      <c r="F42" s="29"/>
      <c r="G42" s="29">
        <f>SUMIF(Q40:Q41, "1", G40:G41)</f>
        <v>6.0000000000000001E-3</v>
      </c>
      <c r="H42" s="29"/>
      <c r="I42" s="29"/>
      <c r="J42" s="29"/>
      <c r="K42" s="29"/>
      <c r="L42" s="29"/>
      <c r="M42" s="28"/>
    </row>
    <row r="43" spans="1:17" ht="23.1" customHeight="1" x14ac:dyDescent="0.3">
      <c r="A43" s="30"/>
      <c r="B43" s="30"/>
      <c r="C43" s="30"/>
      <c r="D43" s="31"/>
      <c r="E43" s="31"/>
      <c r="F43" s="31"/>
      <c r="G43" s="31">
        <f>ROUND(G42, 4)</f>
        <v>6.0000000000000001E-3</v>
      </c>
      <c r="H43" s="31"/>
      <c r="I43" s="31"/>
      <c r="J43" s="31"/>
      <c r="K43" s="31"/>
      <c r="L43" s="31"/>
      <c r="M43" s="30"/>
    </row>
    <row r="44" spans="1:17" ht="23.1" customHeight="1" x14ac:dyDescent="0.3">
      <c r="A44" s="32"/>
      <c r="B44" s="32"/>
      <c r="C44" s="32"/>
      <c r="D44" s="21"/>
      <c r="E44" s="21"/>
      <c r="F44" s="21"/>
      <c r="G44" s="21"/>
      <c r="H44" s="21"/>
      <c r="I44" s="21"/>
      <c r="J44" s="21"/>
      <c r="K44" s="21"/>
      <c r="L44" s="21"/>
      <c r="M44" s="32"/>
    </row>
    <row r="45" spans="1:17" ht="23.1" customHeight="1" x14ac:dyDescent="0.3">
      <c r="A45" s="23"/>
      <c r="B45" s="23"/>
      <c r="C45" s="23"/>
      <c r="D45" s="26"/>
      <c r="E45" s="26"/>
      <c r="F45" s="26"/>
      <c r="G45" s="26"/>
      <c r="H45" s="26"/>
      <c r="I45" s="26"/>
      <c r="J45" s="26"/>
      <c r="K45" s="26"/>
      <c r="L45" s="26"/>
      <c r="M45" s="23"/>
    </row>
    <row r="46" spans="1:17" ht="23.1" customHeight="1" x14ac:dyDescent="0.3">
      <c r="A46" s="187" t="s">
        <v>224</v>
      </c>
      <c r="B46" s="188"/>
      <c r="C46" s="188"/>
      <c r="D46" s="188"/>
      <c r="E46" s="188"/>
      <c r="F46" s="188"/>
      <c r="G46" s="15" t="s">
        <v>136</v>
      </c>
      <c r="H46" s="15"/>
      <c r="I46" s="15"/>
      <c r="J46" s="15"/>
      <c r="K46" s="15"/>
      <c r="L46" s="15"/>
      <c r="M46" s="16"/>
    </row>
    <row r="47" spans="1:17" ht="23.1" customHeight="1" x14ac:dyDescent="0.3">
      <c r="A47" s="189"/>
      <c r="B47" s="189"/>
      <c r="C47" s="189"/>
      <c r="D47" s="189"/>
      <c r="E47" s="189"/>
      <c r="F47" s="189"/>
      <c r="G47" s="17">
        <v>273676</v>
      </c>
      <c r="H47" s="18"/>
      <c r="I47" s="18"/>
      <c r="J47" s="18"/>
      <c r="K47" s="18"/>
      <c r="L47" s="18"/>
      <c r="M47" s="19"/>
    </row>
    <row r="48" spans="1:17" ht="23.1" customHeight="1" x14ac:dyDescent="0.3">
      <c r="A48" s="20" t="s">
        <v>127</v>
      </c>
      <c r="B48" s="20" t="s">
        <v>128</v>
      </c>
      <c r="C48" s="20" t="s">
        <v>72</v>
      </c>
      <c r="D48" s="21">
        <v>1</v>
      </c>
      <c r="E48" s="22">
        <v>1</v>
      </c>
      <c r="F48" s="21">
        <f>ROUNDDOWN(D48, 6)</f>
        <v>1</v>
      </c>
      <c r="G48" s="21">
        <v>0.35</v>
      </c>
      <c r="H48" s="21"/>
      <c r="I48" s="21"/>
      <c r="J48" s="21"/>
      <c r="K48" s="21"/>
      <c r="L48" s="21"/>
      <c r="M48" s="32"/>
    </row>
    <row r="49" spans="1:17" ht="23.1" customHeight="1" x14ac:dyDescent="0.3">
      <c r="A49" s="23"/>
      <c r="B49" s="23"/>
      <c r="C49" s="23"/>
      <c r="D49" s="24" t="s">
        <v>225</v>
      </c>
      <c r="E49" s="33">
        <v>1</v>
      </c>
      <c r="F49" s="26"/>
      <c r="G49" s="26">
        <f>D48*ROUND(E49*G48, 5)</f>
        <v>0.35</v>
      </c>
      <c r="H49" s="26"/>
      <c r="I49" s="26"/>
      <c r="J49" s="26"/>
      <c r="K49" s="26"/>
      <c r="L49" s="26"/>
      <c r="M49" s="23"/>
      <c r="Q49">
        <v>1</v>
      </c>
    </row>
    <row r="50" spans="1:17" ht="23.1" customHeight="1" x14ac:dyDescent="0.3">
      <c r="A50" s="27" t="s">
        <v>216</v>
      </c>
      <c r="B50" s="28"/>
      <c r="C50" s="28"/>
      <c r="D50" s="29"/>
      <c r="E50" s="29"/>
      <c r="F50" s="29"/>
      <c r="G50" s="29">
        <f>SUMIF(Q48:Q49, "1", G48:G49)</f>
        <v>0.35</v>
      </c>
      <c r="H50" s="29"/>
      <c r="I50" s="29"/>
      <c r="J50" s="29"/>
      <c r="K50" s="29"/>
      <c r="L50" s="29"/>
      <c r="M50" s="28"/>
    </row>
    <row r="51" spans="1:17" ht="23.1" customHeight="1" x14ac:dyDescent="0.3">
      <c r="A51" s="30"/>
      <c r="B51" s="30"/>
      <c r="C51" s="30"/>
      <c r="D51" s="31"/>
      <c r="E51" s="31"/>
      <c r="F51" s="31"/>
      <c r="G51" s="31">
        <f>ROUND(G50, 4)</f>
        <v>0.35</v>
      </c>
      <c r="H51" s="31"/>
      <c r="I51" s="31"/>
      <c r="J51" s="31"/>
      <c r="K51" s="31"/>
      <c r="L51" s="31"/>
      <c r="M51" s="30"/>
    </row>
    <row r="52" spans="1:17" ht="23.1" customHeight="1" x14ac:dyDescent="0.3">
      <c r="A52" s="32"/>
      <c r="B52" s="32"/>
      <c r="C52" s="32"/>
      <c r="D52" s="21"/>
      <c r="E52" s="21"/>
      <c r="F52" s="21"/>
      <c r="G52" s="21"/>
      <c r="H52" s="21"/>
      <c r="I52" s="21"/>
      <c r="J52" s="21"/>
      <c r="K52" s="21"/>
      <c r="L52" s="21"/>
      <c r="M52" s="32"/>
    </row>
    <row r="53" spans="1:17" ht="23.1" customHeight="1" x14ac:dyDescent="0.3">
      <c r="A53" s="23"/>
      <c r="B53" s="23"/>
      <c r="C53" s="23"/>
      <c r="D53" s="26"/>
      <c r="E53" s="26"/>
      <c r="F53" s="26"/>
      <c r="G53" s="26"/>
      <c r="H53" s="26"/>
      <c r="I53" s="26"/>
      <c r="J53" s="26"/>
      <c r="K53" s="26"/>
      <c r="L53" s="26"/>
      <c r="M53" s="23"/>
    </row>
    <row r="54" spans="1:17" ht="23.1" customHeight="1" x14ac:dyDescent="0.3">
      <c r="A54" s="187" t="s">
        <v>226</v>
      </c>
      <c r="B54" s="188"/>
      <c r="C54" s="188"/>
      <c r="D54" s="188"/>
      <c r="E54" s="188"/>
      <c r="F54" s="188"/>
      <c r="G54" s="15" t="s">
        <v>134</v>
      </c>
      <c r="H54" s="15" t="s">
        <v>140</v>
      </c>
      <c r="I54" s="15"/>
      <c r="J54" s="15"/>
      <c r="K54" s="15"/>
      <c r="L54" s="15"/>
      <c r="M54" s="16"/>
    </row>
    <row r="55" spans="1:17" ht="23.1" customHeight="1" x14ac:dyDescent="0.3">
      <c r="A55" s="189"/>
      <c r="B55" s="189"/>
      <c r="C55" s="189"/>
      <c r="D55" s="189"/>
      <c r="E55" s="189"/>
      <c r="F55" s="189"/>
      <c r="G55" s="17">
        <v>241698</v>
      </c>
      <c r="H55" s="17">
        <v>172068</v>
      </c>
      <c r="I55" s="18"/>
      <c r="J55" s="18"/>
      <c r="K55" s="18"/>
      <c r="L55" s="18"/>
      <c r="M55" s="19"/>
    </row>
    <row r="56" spans="1:17" ht="23.1" customHeight="1" x14ac:dyDescent="0.3">
      <c r="A56" s="20" t="s">
        <v>227</v>
      </c>
      <c r="B56" s="20" t="s">
        <v>57</v>
      </c>
      <c r="C56" s="20" t="s">
        <v>58</v>
      </c>
      <c r="D56" s="21">
        <v>1</v>
      </c>
      <c r="E56" s="22">
        <v>1</v>
      </c>
      <c r="F56" s="21">
        <f>ROUNDDOWN(D56, 6)</f>
        <v>1</v>
      </c>
      <c r="G56" s="21">
        <v>1.325</v>
      </c>
      <c r="H56" s="21">
        <v>0.47099999999999997</v>
      </c>
      <c r="I56" s="21"/>
      <c r="J56" s="21"/>
      <c r="K56" s="21"/>
      <c r="L56" s="21"/>
      <c r="M56" s="20" t="s">
        <v>61</v>
      </c>
    </row>
    <row r="57" spans="1:17" ht="23.1" customHeight="1" x14ac:dyDescent="0.3">
      <c r="A57" s="23"/>
      <c r="B57" s="23"/>
      <c r="C57" s="23"/>
      <c r="D57" s="24" t="s">
        <v>228</v>
      </c>
      <c r="E57" s="33">
        <v>1</v>
      </c>
      <c r="F57" s="26"/>
      <c r="G57" s="26">
        <f>D56*ROUND(E57*G56, 5)</f>
        <v>1.325</v>
      </c>
      <c r="H57" s="26">
        <f>D56*ROUND(E57*H56, 5)</f>
        <v>0.47099999999999997</v>
      </c>
      <c r="I57" s="26"/>
      <c r="J57" s="26"/>
      <c r="K57" s="26"/>
      <c r="L57" s="26"/>
      <c r="M57" s="23"/>
      <c r="Q57">
        <v>1</v>
      </c>
    </row>
    <row r="58" spans="1:17" ht="23.1" customHeight="1" x14ac:dyDescent="0.3">
      <c r="A58" s="27" t="s">
        <v>216</v>
      </c>
      <c r="B58" s="28"/>
      <c r="C58" s="28"/>
      <c r="D58" s="29"/>
      <c r="E58" s="29"/>
      <c r="F58" s="29"/>
      <c r="G58" s="29">
        <f>SUMIF(Q56:Q57, "1", G56:G57)</f>
        <v>1.325</v>
      </c>
      <c r="H58" s="29">
        <f>SUMIF(Q56:Q57, "1", H56:H57)</f>
        <v>0.47099999999999997</v>
      </c>
      <c r="I58" s="29"/>
      <c r="J58" s="29"/>
      <c r="K58" s="29"/>
      <c r="L58" s="29"/>
      <c r="M58" s="28"/>
    </row>
    <row r="59" spans="1:17" ht="23.1" customHeight="1" x14ac:dyDescent="0.3">
      <c r="A59" s="30"/>
      <c r="B59" s="30"/>
      <c r="C59" s="30"/>
      <c r="D59" s="31"/>
      <c r="E59" s="31"/>
      <c r="F59" s="31"/>
      <c r="G59" s="31">
        <f>ROUND(G58, 2)</f>
        <v>1.33</v>
      </c>
      <c r="H59" s="31">
        <f>ROUND(H58, 4)</f>
        <v>0.47099999999999997</v>
      </c>
      <c r="I59" s="31"/>
      <c r="J59" s="31"/>
      <c r="K59" s="31"/>
      <c r="L59" s="31"/>
      <c r="M59" s="30"/>
    </row>
    <row r="60" spans="1:17" ht="23.1" customHeight="1" x14ac:dyDescent="0.3">
      <c r="A60" s="32"/>
      <c r="B60" s="32"/>
      <c r="C60" s="32"/>
      <c r="D60" s="21"/>
      <c r="E60" s="21"/>
      <c r="F60" s="21"/>
      <c r="G60" s="21"/>
      <c r="H60" s="21"/>
      <c r="I60" s="21"/>
      <c r="J60" s="21"/>
      <c r="K60" s="21"/>
      <c r="L60" s="21"/>
      <c r="M60" s="32"/>
    </row>
    <row r="61" spans="1:17" ht="23.1" customHeight="1" x14ac:dyDescent="0.3">
      <c r="A61" s="23"/>
      <c r="B61" s="23"/>
      <c r="C61" s="23"/>
      <c r="D61" s="26"/>
      <c r="E61" s="26"/>
      <c r="F61" s="26"/>
      <c r="G61" s="26"/>
      <c r="H61" s="26"/>
      <c r="I61" s="26"/>
      <c r="J61" s="26"/>
      <c r="K61" s="26"/>
      <c r="L61" s="26"/>
      <c r="M61" s="23"/>
    </row>
    <row r="62" spans="1:17" ht="23.1" customHeight="1" x14ac:dyDescent="0.3">
      <c r="A62" s="187" t="s">
        <v>229</v>
      </c>
      <c r="B62" s="188"/>
      <c r="C62" s="188"/>
      <c r="D62" s="188"/>
      <c r="E62" s="188"/>
      <c r="F62" s="188"/>
      <c r="G62" s="15" t="s">
        <v>136</v>
      </c>
      <c r="H62" s="15"/>
      <c r="I62" s="15"/>
      <c r="J62" s="15"/>
      <c r="K62" s="15"/>
      <c r="L62" s="15"/>
      <c r="M62" s="16"/>
    </row>
    <row r="63" spans="1:17" ht="23.1" customHeight="1" x14ac:dyDescent="0.3">
      <c r="A63" s="189"/>
      <c r="B63" s="189"/>
      <c r="C63" s="189"/>
      <c r="D63" s="189"/>
      <c r="E63" s="189"/>
      <c r="F63" s="189"/>
      <c r="G63" s="17">
        <v>273676</v>
      </c>
      <c r="H63" s="18"/>
      <c r="I63" s="18"/>
      <c r="J63" s="18"/>
      <c r="K63" s="18"/>
      <c r="L63" s="18"/>
      <c r="M63" s="19"/>
    </row>
    <row r="64" spans="1:17" ht="23.1" customHeight="1" x14ac:dyDescent="0.3">
      <c r="A64" s="20" t="s">
        <v>70</v>
      </c>
      <c r="B64" s="20" t="s">
        <v>71</v>
      </c>
      <c r="C64" s="20" t="s">
        <v>72</v>
      </c>
      <c r="D64" s="21">
        <v>1</v>
      </c>
      <c r="E64" s="22">
        <v>1</v>
      </c>
      <c r="F64" s="21">
        <f>ROUNDDOWN(D64, 6)</f>
        <v>1</v>
      </c>
      <c r="G64" s="21">
        <v>0.66</v>
      </c>
      <c r="H64" s="21"/>
      <c r="I64" s="21"/>
      <c r="J64" s="21"/>
      <c r="K64" s="21"/>
      <c r="L64" s="21"/>
      <c r="M64" s="32"/>
    </row>
    <row r="65" spans="1:17" ht="23.1" customHeight="1" x14ac:dyDescent="0.3">
      <c r="A65" s="23"/>
      <c r="B65" s="23"/>
      <c r="C65" s="23"/>
      <c r="D65" s="24" t="s">
        <v>225</v>
      </c>
      <c r="E65" s="33">
        <v>1</v>
      </c>
      <c r="F65" s="26"/>
      <c r="G65" s="26">
        <f>D64*ROUND(E65*G64, 5)</f>
        <v>0.66</v>
      </c>
      <c r="H65" s="26"/>
      <c r="I65" s="26"/>
      <c r="J65" s="26"/>
      <c r="K65" s="26"/>
      <c r="L65" s="26"/>
      <c r="M65" s="23"/>
      <c r="Q65">
        <v>1</v>
      </c>
    </row>
    <row r="66" spans="1:17" ht="23.1" customHeight="1" x14ac:dyDescent="0.3">
      <c r="A66" s="27" t="s">
        <v>216</v>
      </c>
      <c r="B66" s="28"/>
      <c r="C66" s="28"/>
      <c r="D66" s="29"/>
      <c r="E66" s="29"/>
      <c r="F66" s="29"/>
      <c r="G66" s="29">
        <f>SUMIF(Q64:Q65, "1", G64:G65)</f>
        <v>0.66</v>
      </c>
      <c r="H66" s="29"/>
      <c r="I66" s="29"/>
      <c r="J66" s="29"/>
      <c r="K66" s="29"/>
      <c r="L66" s="29"/>
      <c r="M66" s="28"/>
    </row>
    <row r="67" spans="1:17" ht="23.1" customHeight="1" x14ac:dyDescent="0.3">
      <c r="A67" s="30"/>
      <c r="B67" s="30"/>
      <c r="C67" s="30"/>
      <c r="D67" s="31"/>
      <c r="E67" s="31"/>
      <c r="F67" s="31"/>
      <c r="G67" s="31">
        <f>ROUND(G66, 4)</f>
        <v>0.66</v>
      </c>
      <c r="H67" s="31"/>
      <c r="I67" s="31"/>
      <c r="J67" s="31"/>
      <c r="K67" s="31"/>
      <c r="L67" s="31"/>
      <c r="M67" s="30"/>
    </row>
    <row r="68" spans="1:17" ht="23.1" customHeight="1" x14ac:dyDescent="0.3">
      <c r="A68" s="32"/>
      <c r="B68" s="32"/>
      <c r="C68" s="32"/>
      <c r="D68" s="21"/>
      <c r="E68" s="21"/>
      <c r="F68" s="21"/>
      <c r="G68" s="21"/>
      <c r="H68" s="21"/>
      <c r="I68" s="21"/>
      <c r="J68" s="21"/>
      <c r="K68" s="21"/>
      <c r="L68" s="21"/>
      <c r="M68" s="32"/>
    </row>
    <row r="69" spans="1:17" ht="23.1" customHeight="1" x14ac:dyDescent="0.3">
      <c r="A69" s="23"/>
      <c r="B69" s="23"/>
      <c r="C69" s="23"/>
      <c r="D69" s="26"/>
      <c r="E69" s="26"/>
      <c r="F69" s="26"/>
      <c r="G69" s="26"/>
      <c r="H69" s="26"/>
      <c r="I69" s="26"/>
      <c r="J69" s="26"/>
      <c r="K69" s="26"/>
      <c r="L69" s="26"/>
      <c r="M69" s="23"/>
    </row>
    <row r="70" spans="1:17" ht="23.1" customHeight="1" x14ac:dyDescent="0.3">
      <c r="A70" s="187" t="s">
        <v>230</v>
      </c>
      <c r="B70" s="188"/>
      <c r="C70" s="188"/>
      <c r="D70" s="188"/>
      <c r="E70" s="188"/>
      <c r="F70" s="188"/>
      <c r="G70" s="15" t="s">
        <v>136</v>
      </c>
      <c r="H70" s="15"/>
      <c r="I70" s="15"/>
      <c r="J70" s="15"/>
      <c r="K70" s="15"/>
      <c r="L70" s="15"/>
      <c r="M70" s="16"/>
    </row>
    <row r="71" spans="1:17" ht="23.1" customHeight="1" x14ac:dyDescent="0.3">
      <c r="A71" s="189"/>
      <c r="B71" s="189"/>
      <c r="C71" s="189"/>
      <c r="D71" s="189"/>
      <c r="E71" s="189"/>
      <c r="F71" s="189"/>
      <c r="G71" s="17">
        <v>273676</v>
      </c>
      <c r="H71" s="18"/>
      <c r="I71" s="18"/>
      <c r="J71" s="18"/>
      <c r="K71" s="18"/>
      <c r="L71" s="18"/>
      <c r="M71" s="19"/>
    </row>
    <row r="72" spans="1:17" ht="23.1" customHeight="1" x14ac:dyDescent="0.3">
      <c r="A72" s="20" t="s">
        <v>50</v>
      </c>
      <c r="B72" s="20" t="s">
        <v>51</v>
      </c>
      <c r="C72" s="20" t="s">
        <v>40</v>
      </c>
      <c r="D72" s="21">
        <v>1</v>
      </c>
      <c r="E72" s="22">
        <v>1</v>
      </c>
      <c r="F72" s="21">
        <f>ROUNDDOWN(D72, 6)</f>
        <v>1</v>
      </c>
      <c r="G72" s="21">
        <v>0.70199999999999996</v>
      </c>
      <c r="H72" s="21"/>
      <c r="I72" s="21"/>
      <c r="J72" s="21"/>
      <c r="K72" s="21"/>
      <c r="L72" s="21"/>
      <c r="M72" s="20" t="s">
        <v>55</v>
      </c>
    </row>
    <row r="73" spans="1:17" ht="23.1" customHeight="1" x14ac:dyDescent="0.3">
      <c r="A73" s="23"/>
      <c r="B73" s="23"/>
      <c r="C73" s="23"/>
      <c r="D73" s="24" t="s">
        <v>231</v>
      </c>
      <c r="E73" s="33">
        <v>1</v>
      </c>
      <c r="F73" s="26"/>
      <c r="G73" s="26">
        <f>D72*ROUND(E73*G72, 5)</f>
        <v>0.70199999999999996</v>
      </c>
      <c r="H73" s="26"/>
      <c r="I73" s="26"/>
      <c r="J73" s="26"/>
      <c r="K73" s="26"/>
      <c r="L73" s="26"/>
      <c r="M73" s="23"/>
      <c r="Q73">
        <v>1</v>
      </c>
    </row>
    <row r="74" spans="1:17" ht="23.1" customHeight="1" x14ac:dyDescent="0.3">
      <c r="A74" s="27" t="s">
        <v>216</v>
      </c>
      <c r="B74" s="28"/>
      <c r="C74" s="28"/>
      <c r="D74" s="29"/>
      <c r="E74" s="29"/>
      <c r="F74" s="29"/>
      <c r="G74" s="29">
        <f>SUMIF(Q72:Q73, "1", G72:G73)</f>
        <v>0.70199999999999996</v>
      </c>
      <c r="H74" s="29"/>
      <c r="I74" s="29"/>
      <c r="J74" s="29"/>
      <c r="K74" s="29"/>
      <c r="L74" s="29"/>
      <c r="M74" s="28"/>
    </row>
    <row r="75" spans="1:17" ht="23.1" customHeight="1" x14ac:dyDescent="0.3">
      <c r="A75" s="30"/>
      <c r="B75" s="30"/>
      <c r="C75" s="30"/>
      <c r="D75" s="31"/>
      <c r="E75" s="31"/>
      <c r="F75" s="31"/>
      <c r="G75" s="31">
        <f>ROUND(G74, 4)</f>
        <v>0.70199999999999996</v>
      </c>
      <c r="H75" s="31"/>
      <c r="I75" s="31"/>
      <c r="J75" s="31"/>
      <c r="K75" s="31"/>
      <c r="L75" s="31"/>
      <c r="M75" s="30"/>
    </row>
    <row r="76" spans="1:17" ht="23.1" customHeight="1" x14ac:dyDescent="0.3">
      <c r="A76" s="32"/>
      <c r="B76" s="32"/>
      <c r="C76" s="32"/>
      <c r="D76" s="21"/>
      <c r="E76" s="21"/>
      <c r="F76" s="21"/>
      <c r="G76" s="21"/>
      <c r="H76" s="21"/>
      <c r="I76" s="21"/>
      <c r="J76" s="21"/>
      <c r="K76" s="21"/>
      <c r="L76" s="21"/>
      <c r="M76" s="32"/>
    </row>
    <row r="77" spans="1:17" ht="23.1" customHeight="1" x14ac:dyDescent="0.3">
      <c r="A77" s="23"/>
      <c r="B77" s="23"/>
      <c r="C77" s="23"/>
      <c r="D77" s="26"/>
      <c r="E77" s="26"/>
      <c r="F77" s="26"/>
      <c r="G77" s="26"/>
      <c r="H77" s="26"/>
      <c r="I77" s="26"/>
      <c r="J77" s="26"/>
      <c r="K77" s="26"/>
      <c r="L77" s="26"/>
      <c r="M77" s="23"/>
    </row>
    <row r="78" spans="1:17" ht="23.1" customHeight="1" x14ac:dyDescent="0.3">
      <c r="A78" s="32"/>
      <c r="B78" s="32"/>
      <c r="C78" s="32"/>
      <c r="D78" s="21"/>
      <c r="E78" s="21"/>
      <c r="F78" s="21"/>
      <c r="G78" s="21"/>
      <c r="H78" s="21"/>
      <c r="I78" s="21"/>
      <c r="J78" s="21"/>
      <c r="K78" s="21"/>
      <c r="L78" s="21"/>
      <c r="M78" s="32"/>
    </row>
    <row r="79" spans="1:17" ht="23.1" customHeight="1" x14ac:dyDescent="0.3">
      <c r="A79" s="23"/>
      <c r="B79" s="23"/>
      <c r="C79" s="23"/>
      <c r="D79" s="26"/>
      <c r="E79" s="26"/>
      <c r="F79" s="26"/>
      <c r="G79" s="26"/>
      <c r="H79" s="26"/>
      <c r="I79" s="26"/>
      <c r="J79" s="26"/>
      <c r="K79" s="26"/>
      <c r="L79" s="26"/>
      <c r="M79" s="23"/>
    </row>
    <row r="80" spans="1:17" ht="23.1" customHeight="1" x14ac:dyDescent="0.3">
      <c r="A80" s="32"/>
      <c r="B80" s="32"/>
      <c r="C80" s="32"/>
      <c r="D80" s="21"/>
      <c r="E80" s="21"/>
      <c r="F80" s="21"/>
      <c r="G80" s="21"/>
      <c r="H80" s="21"/>
      <c r="I80" s="21"/>
      <c r="J80" s="21"/>
      <c r="K80" s="21"/>
      <c r="L80" s="21"/>
      <c r="M80" s="32"/>
    </row>
    <row r="81" spans="1:13" ht="23.1" customHeight="1" x14ac:dyDescent="0.3">
      <c r="A81" s="23"/>
      <c r="B81" s="23"/>
      <c r="C81" s="23"/>
      <c r="D81" s="26"/>
      <c r="E81" s="26"/>
      <c r="F81" s="26"/>
      <c r="G81" s="26"/>
      <c r="H81" s="26"/>
      <c r="I81" s="26"/>
      <c r="J81" s="26"/>
      <c r="K81" s="26"/>
      <c r="L81" s="26"/>
      <c r="M81" s="23"/>
    </row>
    <row r="82" spans="1:13" ht="23.1" customHeight="1" x14ac:dyDescent="0.3">
      <c r="A82" s="32"/>
      <c r="B82" s="32"/>
      <c r="C82" s="32"/>
      <c r="D82" s="21"/>
      <c r="E82" s="21"/>
      <c r="F82" s="21"/>
      <c r="G82" s="21"/>
      <c r="H82" s="21"/>
      <c r="I82" s="21"/>
      <c r="J82" s="21"/>
      <c r="K82" s="21"/>
      <c r="L82" s="21"/>
      <c r="M82" s="32"/>
    </row>
    <row r="83" spans="1:13" ht="23.1" customHeight="1" x14ac:dyDescent="0.3">
      <c r="A83" s="23"/>
      <c r="B83" s="23"/>
      <c r="C83" s="23"/>
      <c r="D83" s="26"/>
      <c r="E83" s="26"/>
      <c r="F83" s="26"/>
      <c r="G83" s="26"/>
      <c r="H83" s="26"/>
      <c r="I83" s="26"/>
      <c r="J83" s="26"/>
      <c r="K83" s="26"/>
      <c r="L83" s="26"/>
      <c r="M83" s="23"/>
    </row>
    <row r="84" spans="1:13" ht="23.1" customHeight="1" x14ac:dyDescent="0.3">
      <c r="A84" s="32"/>
      <c r="B84" s="32"/>
      <c r="C84" s="32"/>
      <c r="D84" s="21"/>
      <c r="E84" s="21"/>
      <c r="F84" s="21"/>
      <c r="G84" s="21"/>
      <c r="H84" s="21"/>
      <c r="I84" s="21"/>
      <c r="J84" s="21"/>
      <c r="K84" s="21"/>
      <c r="L84" s="21"/>
      <c r="M84" s="32"/>
    </row>
    <row r="85" spans="1:13" ht="23.1" customHeight="1" x14ac:dyDescent="0.3">
      <c r="A85" s="23"/>
      <c r="B85" s="23"/>
      <c r="C85" s="23"/>
      <c r="D85" s="26"/>
      <c r="E85" s="26"/>
      <c r="F85" s="26"/>
      <c r="G85" s="26"/>
      <c r="H85" s="26"/>
      <c r="I85" s="26"/>
      <c r="J85" s="26"/>
      <c r="K85" s="26"/>
      <c r="L85" s="26"/>
      <c r="M85" s="23"/>
    </row>
    <row r="86" spans="1:13" ht="23.1" customHeight="1" x14ac:dyDescent="0.3">
      <c r="A86" s="32"/>
      <c r="B86" s="32"/>
      <c r="C86" s="32"/>
      <c r="D86" s="21"/>
      <c r="E86" s="21"/>
      <c r="F86" s="21"/>
      <c r="G86" s="21"/>
      <c r="H86" s="21"/>
      <c r="I86" s="21"/>
      <c r="J86" s="21"/>
      <c r="K86" s="21"/>
      <c r="L86" s="21"/>
      <c r="M86" s="32"/>
    </row>
    <row r="87" spans="1:13" ht="23.1" customHeight="1" x14ac:dyDescent="0.3">
      <c r="A87" s="23"/>
      <c r="B87" s="23"/>
      <c r="C87" s="23"/>
      <c r="D87" s="26"/>
      <c r="E87" s="26"/>
      <c r="F87" s="26"/>
      <c r="G87" s="26"/>
      <c r="H87" s="26"/>
      <c r="I87" s="26"/>
      <c r="J87" s="26"/>
      <c r="K87" s="26"/>
      <c r="L87" s="26"/>
      <c r="M87" s="23"/>
    </row>
    <row r="88" spans="1:13" ht="23.1" customHeight="1" x14ac:dyDescent="0.3">
      <c r="A88" s="32"/>
      <c r="B88" s="32"/>
      <c r="C88" s="32"/>
      <c r="D88" s="21"/>
      <c r="E88" s="21"/>
      <c r="F88" s="21"/>
      <c r="G88" s="21"/>
      <c r="H88" s="21"/>
      <c r="I88" s="21"/>
      <c r="J88" s="21"/>
      <c r="K88" s="21"/>
      <c r="L88" s="21"/>
      <c r="M88" s="32"/>
    </row>
    <row r="89" spans="1:13" ht="23.1" customHeight="1" x14ac:dyDescent="0.3">
      <c r="A89" s="23"/>
      <c r="B89" s="23"/>
      <c r="C89" s="23"/>
      <c r="D89" s="26"/>
      <c r="E89" s="26"/>
      <c r="F89" s="26"/>
      <c r="G89" s="26"/>
      <c r="H89" s="26"/>
      <c r="I89" s="26"/>
      <c r="J89" s="26"/>
      <c r="K89" s="26"/>
      <c r="L89" s="26"/>
      <c r="M89" s="23"/>
    </row>
  </sheetData>
  <mergeCells count="17">
    <mergeCell ref="A54:F55"/>
    <mergeCell ref="A62:F63"/>
    <mergeCell ref="A70:F71"/>
    <mergeCell ref="A6:F7"/>
    <mergeCell ref="A14:F15"/>
    <mergeCell ref="A22:F23"/>
    <mergeCell ref="A30:F31"/>
    <mergeCell ref="A38:F39"/>
    <mergeCell ref="A46:F47"/>
    <mergeCell ref="A1:M1"/>
    <mergeCell ref="A2:M2"/>
    <mergeCell ref="A3:A5"/>
    <mergeCell ref="B3:B5"/>
    <mergeCell ref="C3:C5"/>
    <mergeCell ref="F3:F5"/>
    <mergeCell ref="M3:M5"/>
    <mergeCell ref="G3:L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6" manualBreakCount="6">
    <brk id="19" max="16383" man="1"/>
    <brk id="33" max="16383" man="1"/>
    <brk id="47" max="16383" man="1"/>
    <brk id="61" max="16383" man="1"/>
    <brk id="75" max="16383" man="1"/>
    <brk id="8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B7"/>
  </sheetPr>
  <dimension ref="A1:Q68"/>
  <sheetViews>
    <sheetView view="pageBreakPreview" zoomScaleNormal="100" zoomScaleSheetLayoutView="100" workbookViewId="0">
      <pane xSplit="3" ySplit="4" topLeftCell="D17" activePane="bottomRight" state="frozen"/>
      <selection pane="topRight" activeCell="D1" sqref="D1"/>
      <selection pane="bottomLeft" activeCell="A5" sqref="A5"/>
      <selection pane="bottomRight" activeCell="N19" sqref="N19"/>
    </sheetView>
  </sheetViews>
  <sheetFormatPr defaultRowHeight="16.5" x14ac:dyDescent="0.3"/>
  <cols>
    <col min="1" max="2" width="17.625" style="1" customWidth="1"/>
    <col min="3" max="3" width="3.625" style="2" customWidth="1"/>
    <col min="4" max="4" width="6.625" style="3" customWidth="1"/>
    <col min="5" max="5" width="4.625" style="3" customWidth="1"/>
    <col min="6" max="6" width="6.625" style="3" customWidth="1"/>
    <col min="7" max="7" width="4.625" style="3" customWidth="1"/>
    <col min="8" max="9" width="6.625" style="3" customWidth="1"/>
    <col min="10" max="10" width="4.625" style="3" customWidth="1"/>
    <col min="11" max="11" width="6.625" style="3" customWidth="1"/>
    <col min="12" max="12" width="4.625" style="3" customWidth="1"/>
    <col min="13" max="14" width="6.625" style="3" customWidth="1"/>
    <col min="15" max="15" width="7.625" style="3" customWidth="1"/>
    <col min="16" max="16" width="7.625" style="1" customWidth="1"/>
    <col min="17" max="17" width="0" hidden="1" customWidth="1"/>
  </cols>
  <sheetData>
    <row r="1" spans="1:17" ht="30" customHeight="1" x14ac:dyDescent="0.3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7" ht="23.1" customHeight="1" x14ac:dyDescent="0.3">
      <c r="A2" s="159" t="s">
        <v>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17" ht="23.1" customHeight="1" x14ac:dyDescent="0.3">
      <c r="A3" s="190" t="s">
        <v>2</v>
      </c>
      <c r="B3" s="190" t="s">
        <v>3</v>
      </c>
      <c r="C3" s="190" t="s">
        <v>4</v>
      </c>
      <c r="D3" s="190" t="s">
        <v>5</v>
      </c>
      <c r="E3" s="190"/>
      <c r="F3" s="190" t="s">
        <v>6</v>
      </c>
      <c r="G3" s="190"/>
      <c r="H3" s="4" t="s">
        <v>7</v>
      </c>
      <c r="I3" s="190" t="s">
        <v>8</v>
      </c>
      <c r="J3" s="190"/>
      <c r="K3" s="190" t="s">
        <v>9</v>
      </c>
      <c r="L3" s="190"/>
      <c r="M3" s="4" t="s">
        <v>10</v>
      </c>
      <c r="N3" s="4" t="s">
        <v>11</v>
      </c>
      <c r="O3" s="190" t="s">
        <v>12</v>
      </c>
      <c r="P3" s="190" t="s">
        <v>13</v>
      </c>
    </row>
    <row r="4" spans="1:17" ht="23.1" customHeight="1" x14ac:dyDescent="0.3">
      <c r="A4" s="190"/>
      <c r="B4" s="190"/>
      <c r="C4" s="190"/>
      <c r="D4" s="4" t="s">
        <v>14</v>
      </c>
      <c r="E4" s="4" t="s">
        <v>15</v>
      </c>
      <c r="F4" s="4" t="s">
        <v>14</v>
      </c>
      <c r="G4" s="4" t="s">
        <v>15</v>
      </c>
      <c r="H4" s="4" t="s">
        <v>14</v>
      </c>
      <c r="I4" s="4" t="s">
        <v>14</v>
      </c>
      <c r="J4" s="4" t="s">
        <v>15</v>
      </c>
      <c r="K4" s="4" t="s">
        <v>14</v>
      </c>
      <c r="L4" s="4" t="s">
        <v>15</v>
      </c>
      <c r="M4" s="4" t="s">
        <v>14</v>
      </c>
      <c r="N4" s="4" t="s">
        <v>14</v>
      </c>
      <c r="O4" s="190"/>
      <c r="P4" s="190"/>
      <c r="Q4" t="s">
        <v>16</v>
      </c>
    </row>
    <row r="5" spans="1:17" ht="23.1" customHeight="1" x14ac:dyDescent="0.3">
      <c r="A5" s="5" t="s">
        <v>17</v>
      </c>
      <c r="B5" s="5" t="s">
        <v>18</v>
      </c>
      <c r="C5" s="6" t="s">
        <v>19</v>
      </c>
      <c r="D5" s="7"/>
      <c r="E5" s="7"/>
      <c r="F5" s="7"/>
      <c r="G5" s="7"/>
      <c r="H5" s="7"/>
      <c r="I5" s="8">
        <v>12900</v>
      </c>
      <c r="J5" s="9" t="s">
        <v>20</v>
      </c>
      <c r="K5" s="8">
        <v>12900</v>
      </c>
      <c r="L5" s="9" t="s">
        <v>21</v>
      </c>
      <c r="M5" s="7"/>
      <c r="N5" s="7"/>
      <c r="O5" s="8">
        <f t="shared" ref="O5:O29" si="0">MIN(D5,F5,H5,I5,K5,M5,N5)</f>
        <v>12900</v>
      </c>
      <c r="P5" s="10"/>
    </row>
    <row r="6" spans="1:17" ht="23.1" customHeight="1" x14ac:dyDescent="0.3">
      <c r="A6" s="5" t="s">
        <v>22</v>
      </c>
      <c r="B6" s="5" t="s">
        <v>23</v>
      </c>
      <c r="C6" s="6" t="s">
        <v>19</v>
      </c>
      <c r="D6" s="8">
        <v>4278</v>
      </c>
      <c r="E6" s="9" t="s">
        <v>24</v>
      </c>
      <c r="F6" s="8">
        <v>3305</v>
      </c>
      <c r="G6" s="9" t="s">
        <v>25</v>
      </c>
      <c r="H6" s="8">
        <v>2983</v>
      </c>
      <c r="I6" s="8">
        <v>3903</v>
      </c>
      <c r="J6" s="9" t="s">
        <v>26</v>
      </c>
      <c r="K6" s="8">
        <v>3397</v>
      </c>
      <c r="L6" s="9" t="s">
        <v>27</v>
      </c>
      <c r="M6" s="7"/>
      <c r="N6" s="7"/>
      <c r="O6" s="8">
        <f t="shared" si="0"/>
        <v>2983</v>
      </c>
      <c r="P6" s="10"/>
    </row>
    <row r="7" spans="1:17" ht="23.1" customHeight="1" x14ac:dyDescent="0.3">
      <c r="A7" s="5" t="s">
        <v>22</v>
      </c>
      <c r="B7" s="5" t="s">
        <v>28</v>
      </c>
      <c r="C7" s="6" t="s">
        <v>19</v>
      </c>
      <c r="D7" s="8">
        <v>6154</v>
      </c>
      <c r="E7" s="9" t="s">
        <v>24</v>
      </c>
      <c r="F7" s="8">
        <v>4739</v>
      </c>
      <c r="G7" s="9" t="s">
        <v>25</v>
      </c>
      <c r="H7" s="8">
        <v>4207</v>
      </c>
      <c r="I7" s="8">
        <v>5595</v>
      </c>
      <c r="J7" s="9" t="s">
        <v>26</v>
      </c>
      <c r="K7" s="8">
        <v>4873</v>
      </c>
      <c r="L7" s="9" t="s">
        <v>27</v>
      </c>
      <c r="M7" s="7"/>
      <c r="N7" s="7"/>
      <c r="O7" s="8">
        <f t="shared" si="0"/>
        <v>4207</v>
      </c>
      <c r="P7" s="10"/>
    </row>
    <row r="8" spans="1:17" ht="23.1" customHeight="1" x14ac:dyDescent="0.3">
      <c r="A8" s="5" t="s">
        <v>29</v>
      </c>
      <c r="B8" s="5" t="s">
        <v>30</v>
      </c>
      <c r="C8" s="6" t="s">
        <v>31</v>
      </c>
      <c r="D8" s="8">
        <v>1800</v>
      </c>
      <c r="E8" s="9" t="s">
        <v>32</v>
      </c>
      <c r="F8" s="7"/>
      <c r="G8" s="7"/>
      <c r="H8" s="8">
        <v>1657</v>
      </c>
      <c r="I8" s="8">
        <v>1839</v>
      </c>
      <c r="J8" s="9" t="s">
        <v>33</v>
      </c>
      <c r="K8" s="8">
        <v>1822</v>
      </c>
      <c r="L8" s="9" t="s">
        <v>34</v>
      </c>
      <c r="M8" s="7"/>
      <c r="N8" s="7"/>
      <c r="O8" s="8">
        <f t="shared" si="0"/>
        <v>1657</v>
      </c>
      <c r="P8" s="10"/>
    </row>
    <row r="9" spans="1:17" ht="23.1" customHeight="1" x14ac:dyDescent="0.3">
      <c r="A9" s="5" t="s">
        <v>35</v>
      </c>
      <c r="B9" s="5" t="s">
        <v>36</v>
      </c>
      <c r="C9" s="6" t="s">
        <v>31</v>
      </c>
      <c r="D9" s="8">
        <v>1836</v>
      </c>
      <c r="E9" s="9" t="s">
        <v>32</v>
      </c>
      <c r="F9" s="8">
        <v>1888</v>
      </c>
      <c r="G9" s="9" t="s">
        <v>37</v>
      </c>
      <c r="H9" s="8">
        <v>1676</v>
      </c>
      <c r="I9" s="8">
        <v>1838</v>
      </c>
      <c r="J9" s="9" t="s">
        <v>33</v>
      </c>
      <c r="K9" s="8">
        <v>1827</v>
      </c>
      <c r="L9" s="9" t="s">
        <v>34</v>
      </c>
      <c r="M9" s="7"/>
      <c r="N9" s="7"/>
      <c r="O9" s="8">
        <f t="shared" si="0"/>
        <v>1676</v>
      </c>
      <c r="P9" s="10"/>
    </row>
    <row r="10" spans="1:17" ht="23.1" customHeight="1" x14ac:dyDescent="0.3">
      <c r="A10" s="5" t="s">
        <v>38</v>
      </c>
      <c r="B10" s="5" t="s">
        <v>39</v>
      </c>
      <c r="C10" s="6" t="s">
        <v>40</v>
      </c>
      <c r="D10" s="7"/>
      <c r="E10" s="7"/>
      <c r="F10" s="8">
        <v>1890</v>
      </c>
      <c r="G10" s="9" t="s">
        <v>41</v>
      </c>
      <c r="H10" s="7"/>
      <c r="I10" s="7"/>
      <c r="J10" s="7"/>
      <c r="K10" s="8">
        <v>1890</v>
      </c>
      <c r="L10" s="9" t="s">
        <v>42</v>
      </c>
      <c r="M10" s="7"/>
      <c r="N10" s="7"/>
      <c r="O10" s="8">
        <f t="shared" si="0"/>
        <v>1890</v>
      </c>
      <c r="P10" s="5" t="s">
        <v>43</v>
      </c>
    </row>
    <row r="11" spans="1:17" ht="23.1" customHeight="1" x14ac:dyDescent="0.3">
      <c r="A11" s="5" t="s">
        <v>38</v>
      </c>
      <c r="B11" s="5" t="s">
        <v>44</v>
      </c>
      <c r="C11" s="6" t="s">
        <v>40</v>
      </c>
      <c r="D11" s="7"/>
      <c r="E11" s="7"/>
      <c r="F11" s="8">
        <v>1160</v>
      </c>
      <c r="G11" s="9" t="s">
        <v>41</v>
      </c>
      <c r="H11" s="7"/>
      <c r="I11" s="7"/>
      <c r="J11" s="7"/>
      <c r="K11" s="8">
        <v>1160</v>
      </c>
      <c r="L11" s="9" t="s">
        <v>42</v>
      </c>
      <c r="M11" s="7"/>
      <c r="N11" s="7"/>
      <c r="O11" s="8">
        <f t="shared" si="0"/>
        <v>1160</v>
      </c>
      <c r="P11" s="5" t="s">
        <v>43</v>
      </c>
    </row>
    <row r="12" spans="1:17" ht="23.1" customHeight="1" x14ac:dyDescent="0.3">
      <c r="A12" s="5" t="s">
        <v>45</v>
      </c>
      <c r="B12" s="5" t="s">
        <v>46</v>
      </c>
      <c r="C12" s="6" t="s">
        <v>47</v>
      </c>
      <c r="D12" s="7"/>
      <c r="E12" s="7"/>
      <c r="F12" s="7"/>
      <c r="G12" s="7"/>
      <c r="H12" s="7"/>
      <c r="I12" s="8">
        <v>5900</v>
      </c>
      <c r="J12" s="9" t="s">
        <v>48</v>
      </c>
      <c r="K12" s="8">
        <v>5900</v>
      </c>
      <c r="L12" s="9" t="s">
        <v>49</v>
      </c>
      <c r="M12" s="7"/>
      <c r="N12" s="7"/>
      <c r="O12" s="8">
        <f t="shared" si="0"/>
        <v>5900</v>
      </c>
      <c r="P12" s="10"/>
    </row>
    <row r="13" spans="1:17" ht="23.1" customHeight="1" x14ac:dyDescent="0.3">
      <c r="A13" s="5" t="s">
        <v>50</v>
      </c>
      <c r="B13" s="5" t="s">
        <v>51</v>
      </c>
      <c r="C13" s="6" t="s">
        <v>40</v>
      </c>
      <c r="D13" s="8">
        <v>40200</v>
      </c>
      <c r="E13" s="9" t="s">
        <v>52</v>
      </c>
      <c r="F13" s="8">
        <v>63300</v>
      </c>
      <c r="G13" s="9" t="s">
        <v>53</v>
      </c>
      <c r="H13" s="7"/>
      <c r="I13" s="7"/>
      <c r="J13" s="7"/>
      <c r="K13" s="8">
        <v>65600</v>
      </c>
      <c r="L13" s="9" t="s">
        <v>54</v>
      </c>
      <c r="M13" s="7"/>
      <c r="N13" s="7"/>
      <c r="O13" s="8">
        <f t="shared" si="0"/>
        <v>40200</v>
      </c>
      <c r="P13" s="5" t="s">
        <v>55</v>
      </c>
    </row>
    <row r="14" spans="1:17" ht="23.1" customHeight="1" x14ac:dyDescent="0.3">
      <c r="A14" s="5" t="s">
        <v>56</v>
      </c>
      <c r="B14" s="5" t="s">
        <v>57</v>
      </c>
      <c r="C14" s="6" t="s">
        <v>58</v>
      </c>
      <c r="D14" s="7"/>
      <c r="E14" s="7"/>
      <c r="F14" s="8">
        <v>1428000</v>
      </c>
      <c r="G14" s="9" t="s">
        <v>59</v>
      </c>
      <c r="H14" s="7"/>
      <c r="I14" s="7"/>
      <c r="J14" s="7"/>
      <c r="K14" s="8">
        <v>1183000</v>
      </c>
      <c r="L14" s="9" t="s">
        <v>60</v>
      </c>
      <c r="M14" s="7"/>
      <c r="N14" s="7"/>
      <c r="O14" s="8">
        <f t="shared" si="0"/>
        <v>1183000</v>
      </c>
      <c r="P14" s="5" t="s">
        <v>61</v>
      </c>
    </row>
    <row r="15" spans="1:17" ht="23.1" customHeight="1" x14ac:dyDescent="0.3">
      <c r="A15" s="5" t="s">
        <v>62</v>
      </c>
      <c r="B15" s="5" t="s">
        <v>63</v>
      </c>
      <c r="C15" s="6" t="s">
        <v>64</v>
      </c>
      <c r="D15" s="8">
        <v>450</v>
      </c>
      <c r="E15" s="9" t="s">
        <v>65</v>
      </c>
      <c r="F15" s="7"/>
      <c r="G15" s="7"/>
      <c r="H15" s="7"/>
      <c r="I15" s="7"/>
      <c r="J15" s="7"/>
      <c r="K15" s="7"/>
      <c r="L15" s="7"/>
      <c r="M15" s="7"/>
      <c r="N15" s="7"/>
      <c r="O15" s="8">
        <f t="shared" si="0"/>
        <v>450</v>
      </c>
      <c r="P15" s="10"/>
    </row>
    <row r="16" spans="1:17" ht="23.1" customHeight="1" x14ac:dyDescent="0.3">
      <c r="A16" s="5" t="s">
        <v>66</v>
      </c>
      <c r="B16" s="5" t="s">
        <v>67</v>
      </c>
      <c r="C16" s="6" t="s">
        <v>40</v>
      </c>
      <c r="D16" s="7"/>
      <c r="E16" s="7"/>
      <c r="F16" s="7"/>
      <c r="G16" s="7"/>
      <c r="H16" s="7"/>
      <c r="I16" s="8">
        <v>206000</v>
      </c>
      <c r="J16" s="9" t="s">
        <v>68</v>
      </c>
      <c r="K16" s="7"/>
      <c r="L16" s="7"/>
      <c r="M16" s="7"/>
      <c r="N16" s="7"/>
      <c r="O16" s="8">
        <f t="shared" si="0"/>
        <v>206000</v>
      </c>
      <c r="P16" s="5" t="s">
        <v>69</v>
      </c>
    </row>
    <row r="17" spans="1:16" ht="23.1" customHeight="1" x14ac:dyDescent="0.3">
      <c r="A17" s="5" t="s">
        <v>70</v>
      </c>
      <c r="B17" s="5" t="s">
        <v>71</v>
      </c>
      <c r="C17" s="6" t="s">
        <v>72</v>
      </c>
      <c r="D17" s="7"/>
      <c r="E17" s="7"/>
      <c r="F17" s="7"/>
      <c r="G17" s="7"/>
      <c r="H17" s="7"/>
      <c r="I17" s="8">
        <v>309300</v>
      </c>
      <c r="J17" s="9" t="s">
        <v>73</v>
      </c>
      <c r="K17" s="8">
        <v>309300</v>
      </c>
      <c r="L17" s="9" t="s">
        <v>74</v>
      </c>
      <c r="M17" s="7"/>
      <c r="N17" s="7"/>
      <c r="O17" s="8">
        <f t="shared" si="0"/>
        <v>309300</v>
      </c>
      <c r="P17" s="10"/>
    </row>
    <row r="18" spans="1:16" ht="23.1" customHeight="1" x14ac:dyDescent="0.3">
      <c r="A18" s="5" t="s">
        <v>75</v>
      </c>
      <c r="B18" s="5" t="s">
        <v>76</v>
      </c>
      <c r="C18" s="6" t="s">
        <v>72</v>
      </c>
      <c r="D18" s="7"/>
      <c r="E18" s="7"/>
      <c r="F18" s="8">
        <v>169800</v>
      </c>
      <c r="G18" s="9" t="s">
        <v>77</v>
      </c>
      <c r="H18" s="7"/>
      <c r="I18" s="8">
        <v>210000</v>
      </c>
      <c r="J18" s="9" t="s">
        <v>78</v>
      </c>
      <c r="K18" s="8">
        <v>169800</v>
      </c>
      <c r="L18" s="9" t="s">
        <v>79</v>
      </c>
      <c r="M18" s="7"/>
      <c r="N18" s="7"/>
      <c r="O18" s="8">
        <f t="shared" si="0"/>
        <v>169800</v>
      </c>
      <c r="P18" s="10"/>
    </row>
    <row r="19" spans="1:16" ht="23.1" customHeight="1" x14ac:dyDescent="0.3">
      <c r="A19" s="5" t="s">
        <v>80</v>
      </c>
      <c r="B19" s="5" t="s">
        <v>81</v>
      </c>
      <c r="C19" s="6" t="s">
        <v>82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8">
        <v>133100</v>
      </c>
      <c r="O19" s="8">
        <f t="shared" si="0"/>
        <v>133100</v>
      </c>
      <c r="P19" s="10"/>
    </row>
    <row r="20" spans="1:16" ht="23.1" customHeight="1" x14ac:dyDescent="0.3">
      <c r="A20" s="5" t="s">
        <v>83</v>
      </c>
      <c r="B20" s="5" t="s">
        <v>84</v>
      </c>
      <c r="C20" s="6" t="s">
        <v>85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8">
        <v>11059400</v>
      </c>
      <c r="O20" s="8">
        <f t="shared" si="0"/>
        <v>11059400</v>
      </c>
      <c r="P20" s="10"/>
    </row>
    <row r="21" spans="1:16" ht="23.1" customHeight="1" x14ac:dyDescent="0.3">
      <c r="A21" s="5" t="s">
        <v>86</v>
      </c>
      <c r="B21" s="5" t="s">
        <v>87</v>
      </c>
      <c r="C21" s="6" t="s">
        <v>40</v>
      </c>
      <c r="D21" s="8">
        <v>5780</v>
      </c>
      <c r="E21" s="9" t="s">
        <v>88</v>
      </c>
      <c r="F21" s="8">
        <v>7000</v>
      </c>
      <c r="G21" s="9" t="s">
        <v>89</v>
      </c>
      <c r="H21" s="8">
        <v>3381</v>
      </c>
      <c r="I21" s="7"/>
      <c r="J21" s="7"/>
      <c r="K21" s="8">
        <v>3900</v>
      </c>
      <c r="L21" s="9" t="s">
        <v>90</v>
      </c>
      <c r="M21" s="7"/>
      <c r="N21" s="7"/>
      <c r="O21" s="8">
        <f t="shared" si="0"/>
        <v>3381</v>
      </c>
      <c r="P21" s="10"/>
    </row>
    <row r="22" spans="1:16" ht="23.1" customHeight="1" x14ac:dyDescent="0.3">
      <c r="A22" s="5" t="s">
        <v>91</v>
      </c>
      <c r="B22" s="5" t="s">
        <v>92</v>
      </c>
      <c r="C22" s="6" t="s">
        <v>19</v>
      </c>
      <c r="D22" s="8">
        <v>1854</v>
      </c>
      <c r="E22" s="9" t="s">
        <v>24</v>
      </c>
      <c r="F22" s="8">
        <v>1595</v>
      </c>
      <c r="G22" s="9" t="s">
        <v>93</v>
      </c>
      <c r="H22" s="8">
        <v>1157</v>
      </c>
      <c r="I22" s="8">
        <v>1641</v>
      </c>
      <c r="J22" s="9" t="s">
        <v>94</v>
      </c>
      <c r="K22" s="8">
        <v>1582</v>
      </c>
      <c r="L22" s="9" t="s">
        <v>95</v>
      </c>
      <c r="M22" s="7"/>
      <c r="N22" s="7"/>
      <c r="O22" s="8">
        <f t="shared" si="0"/>
        <v>1157</v>
      </c>
      <c r="P22" s="10"/>
    </row>
    <row r="23" spans="1:16" ht="23.1" customHeight="1" x14ac:dyDescent="0.3">
      <c r="A23" s="5" t="s">
        <v>96</v>
      </c>
      <c r="B23" s="5" t="s">
        <v>97</v>
      </c>
      <c r="C23" s="6" t="s">
        <v>98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>
        <f t="shared" si="0"/>
        <v>0</v>
      </c>
      <c r="P23" s="10"/>
    </row>
    <row r="24" spans="1:16" ht="23.1" customHeight="1" x14ac:dyDescent="0.3">
      <c r="A24" s="5" t="s">
        <v>99</v>
      </c>
      <c r="B24" s="5" t="s">
        <v>100</v>
      </c>
      <c r="C24" s="6" t="s">
        <v>19</v>
      </c>
      <c r="D24" s="8">
        <v>5707</v>
      </c>
      <c r="E24" s="9" t="s">
        <v>101</v>
      </c>
      <c r="F24" s="7"/>
      <c r="G24" s="7"/>
      <c r="H24" s="8">
        <v>3913</v>
      </c>
      <c r="I24" s="8">
        <v>4943</v>
      </c>
      <c r="J24" s="9" t="s">
        <v>102</v>
      </c>
      <c r="K24" s="8">
        <v>5728</v>
      </c>
      <c r="L24" s="9" t="s">
        <v>27</v>
      </c>
      <c r="M24" s="7"/>
      <c r="N24" s="7"/>
      <c r="O24" s="8">
        <f t="shared" si="0"/>
        <v>3913</v>
      </c>
      <c r="P24" s="5" t="s">
        <v>103</v>
      </c>
    </row>
    <row r="25" spans="1:16" ht="23.1" customHeight="1" x14ac:dyDescent="0.3">
      <c r="A25" s="5" t="s">
        <v>104</v>
      </c>
      <c r="B25" s="5" t="s">
        <v>105</v>
      </c>
      <c r="C25" s="6" t="s">
        <v>106</v>
      </c>
      <c r="D25" s="8">
        <v>985</v>
      </c>
      <c r="E25" s="9" t="s">
        <v>107</v>
      </c>
      <c r="F25" s="8">
        <v>998</v>
      </c>
      <c r="G25" s="9" t="s">
        <v>107</v>
      </c>
      <c r="H25" s="7"/>
      <c r="I25" s="8">
        <v>970</v>
      </c>
      <c r="J25" s="9" t="s">
        <v>108</v>
      </c>
      <c r="K25" s="7"/>
      <c r="L25" s="7"/>
      <c r="M25" s="7"/>
      <c r="N25" s="7"/>
      <c r="O25" s="8">
        <f t="shared" si="0"/>
        <v>970</v>
      </c>
      <c r="P25" s="10"/>
    </row>
    <row r="26" spans="1:16" ht="23.1" customHeight="1" x14ac:dyDescent="0.3">
      <c r="A26" s="5" t="s">
        <v>109</v>
      </c>
      <c r="B26" s="5" t="s">
        <v>110</v>
      </c>
      <c r="C26" s="6" t="s">
        <v>64</v>
      </c>
      <c r="D26" s="7"/>
      <c r="E26" s="7"/>
      <c r="F26" s="8">
        <v>1056</v>
      </c>
      <c r="G26" s="9" t="s">
        <v>111</v>
      </c>
      <c r="H26" s="7"/>
      <c r="I26" s="7"/>
      <c r="J26" s="7"/>
      <c r="K26" s="8">
        <v>1112</v>
      </c>
      <c r="L26" s="9" t="s">
        <v>112</v>
      </c>
      <c r="M26" s="7"/>
      <c r="N26" s="7"/>
      <c r="O26" s="8">
        <f t="shared" si="0"/>
        <v>1056</v>
      </c>
      <c r="P26" s="5" t="s">
        <v>113</v>
      </c>
    </row>
    <row r="27" spans="1:16" ht="23.1" customHeight="1" x14ac:dyDescent="0.3">
      <c r="A27" s="5" t="s">
        <v>114</v>
      </c>
      <c r="B27" s="5" t="s">
        <v>115</v>
      </c>
      <c r="C27" s="6" t="s">
        <v>116</v>
      </c>
      <c r="D27" s="8">
        <v>-1850</v>
      </c>
      <c r="E27" s="9" t="s">
        <v>117</v>
      </c>
      <c r="F27" s="7"/>
      <c r="G27" s="7"/>
      <c r="H27" s="8">
        <v>-1662</v>
      </c>
      <c r="I27" s="8">
        <v>-1900</v>
      </c>
      <c r="J27" s="9" t="s">
        <v>118</v>
      </c>
      <c r="K27" s="8">
        <v>-1900</v>
      </c>
      <c r="L27" s="9" t="s">
        <v>88</v>
      </c>
      <c r="M27" s="7"/>
      <c r="N27" s="7"/>
      <c r="O27" s="8">
        <f t="shared" si="0"/>
        <v>-1900</v>
      </c>
      <c r="P27" s="5" t="s">
        <v>119</v>
      </c>
    </row>
    <row r="28" spans="1:16" ht="23.1" customHeight="1" x14ac:dyDescent="0.3">
      <c r="A28" s="5" t="s">
        <v>120</v>
      </c>
      <c r="B28" s="5" t="s">
        <v>121</v>
      </c>
      <c r="C28" s="6" t="s">
        <v>19</v>
      </c>
      <c r="D28" s="8">
        <v>730</v>
      </c>
      <c r="E28" s="9" t="s">
        <v>122</v>
      </c>
      <c r="F28" s="8">
        <v>860</v>
      </c>
      <c r="G28" s="9" t="s">
        <v>123</v>
      </c>
      <c r="H28" s="8">
        <v>680</v>
      </c>
      <c r="I28" s="8">
        <v>1143</v>
      </c>
      <c r="J28" s="9" t="s">
        <v>124</v>
      </c>
      <c r="K28" s="8">
        <v>860</v>
      </c>
      <c r="L28" s="9" t="s">
        <v>125</v>
      </c>
      <c r="M28" s="7"/>
      <c r="N28" s="7"/>
      <c r="O28" s="8">
        <f t="shared" si="0"/>
        <v>680</v>
      </c>
      <c r="P28" s="5" t="s">
        <v>126</v>
      </c>
    </row>
    <row r="29" spans="1:16" ht="23.1" customHeight="1" x14ac:dyDescent="0.3">
      <c r="A29" s="5" t="s">
        <v>127</v>
      </c>
      <c r="B29" s="5" t="s">
        <v>128</v>
      </c>
      <c r="C29" s="6" t="s">
        <v>72</v>
      </c>
      <c r="D29" s="7"/>
      <c r="E29" s="7"/>
      <c r="F29" s="7"/>
      <c r="G29" s="7"/>
      <c r="H29" s="7"/>
      <c r="I29" s="8">
        <v>20125</v>
      </c>
      <c r="J29" s="9" t="s">
        <v>129</v>
      </c>
      <c r="K29" s="7"/>
      <c r="L29" s="7"/>
      <c r="M29" s="7"/>
      <c r="N29" s="7"/>
      <c r="O29" s="8">
        <f t="shared" si="0"/>
        <v>20125</v>
      </c>
      <c r="P29" s="10"/>
    </row>
    <row r="30" spans="1:16" ht="23.1" customHeight="1" x14ac:dyDescent="0.3">
      <c r="A30" s="5" t="s">
        <v>130</v>
      </c>
      <c r="B30" s="5" t="s">
        <v>131</v>
      </c>
      <c r="C30" s="6" t="s">
        <v>132</v>
      </c>
      <c r="D30" s="7"/>
      <c r="E30" s="7"/>
      <c r="F30" s="7"/>
      <c r="G30" s="7"/>
      <c r="H30" s="7"/>
      <c r="I30" s="7"/>
      <c r="J30" s="7"/>
      <c r="K30" s="7"/>
      <c r="L30" s="7"/>
      <c r="M30" s="8">
        <v>283297</v>
      </c>
      <c r="N30" s="7"/>
      <c r="O30" s="8">
        <f t="shared" ref="O30:O46" si="1">M30</f>
        <v>283297</v>
      </c>
      <c r="P30" s="5" t="s">
        <v>133</v>
      </c>
    </row>
    <row r="31" spans="1:16" ht="23.1" customHeight="1" x14ac:dyDescent="0.3">
      <c r="A31" s="5" t="s">
        <v>134</v>
      </c>
      <c r="B31" s="5" t="s">
        <v>131</v>
      </c>
      <c r="C31" s="6" t="s">
        <v>132</v>
      </c>
      <c r="D31" s="7"/>
      <c r="E31" s="7"/>
      <c r="F31" s="7"/>
      <c r="G31" s="7"/>
      <c r="H31" s="7"/>
      <c r="I31" s="7"/>
      <c r="J31" s="7"/>
      <c r="K31" s="7"/>
      <c r="L31" s="7"/>
      <c r="M31" s="8">
        <v>241698</v>
      </c>
      <c r="N31" s="7"/>
      <c r="O31" s="8">
        <f t="shared" si="1"/>
        <v>241698</v>
      </c>
      <c r="P31" s="5" t="s">
        <v>135</v>
      </c>
    </row>
    <row r="32" spans="1:16" ht="23.1" customHeight="1" x14ac:dyDescent="0.3">
      <c r="A32" s="5" t="s">
        <v>136</v>
      </c>
      <c r="B32" s="5" t="s">
        <v>131</v>
      </c>
      <c r="C32" s="6" t="s">
        <v>132</v>
      </c>
      <c r="D32" s="7"/>
      <c r="E32" s="7"/>
      <c r="F32" s="7"/>
      <c r="G32" s="7"/>
      <c r="H32" s="7"/>
      <c r="I32" s="7"/>
      <c r="J32" s="7"/>
      <c r="K32" s="7"/>
      <c r="L32" s="7"/>
      <c r="M32" s="8">
        <v>273676</v>
      </c>
      <c r="N32" s="7"/>
      <c r="O32" s="8">
        <f t="shared" si="1"/>
        <v>273676</v>
      </c>
      <c r="P32" s="10"/>
    </row>
    <row r="33" spans="1:16" ht="23.1" customHeight="1" x14ac:dyDescent="0.3">
      <c r="A33" s="5" t="s">
        <v>137</v>
      </c>
      <c r="B33" s="5" t="s">
        <v>131</v>
      </c>
      <c r="C33" s="6" t="s">
        <v>132</v>
      </c>
      <c r="D33" s="7"/>
      <c r="E33" s="7"/>
      <c r="F33" s="7"/>
      <c r="G33" s="7"/>
      <c r="H33" s="7"/>
      <c r="I33" s="7"/>
      <c r="J33" s="7"/>
      <c r="K33" s="7"/>
      <c r="L33" s="7"/>
      <c r="M33" s="8">
        <v>414968</v>
      </c>
      <c r="N33" s="7"/>
      <c r="O33" s="8">
        <f t="shared" si="1"/>
        <v>414968</v>
      </c>
      <c r="P33" s="10"/>
    </row>
    <row r="34" spans="1:16" ht="23.1" customHeight="1" x14ac:dyDescent="0.3">
      <c r="A34" s="5" t="s">
        <v>138</v>
      </c>
      <c r="B34" s="5" t="s">
        <v>139</v>
      </c>
      <c r="C34" s="6" t="s">
        <v>132</v>
      </c>
      <c r="D34" s="7"/>
      <c r="E34" s="7"/>
      <c r="F34" s="7"/>
      <c r="G34" s="7"/>
      <c r="H34" s="7"/>
      <c r="I34" s="7"/>
      <c r="J34" s="7"/>
      <c r="K34" s="7"/>
      <c r="L34" s="7"/>
      <c r="M34" s="8">
        <v>485075</v>
      </c>
      <c r="N34" s="7"/>
      <c r="O34" s="8">
        <f t="shared" si="1"/>
        <v>485075</v>
      </c>
      <c r="P34" s="10"/>
    </row>
    <row r="35" spans="1:16" ht="23.1" customHeight="1" x14ac:dyDescent="0.3">
      <c r="A35" s="5" t="s">
        <v>140</v>
      </c>
      <c r="B35" s="5" t="s">
        <v>131</v>
      </c>
      <c r="C35" s="6" t="s">
        <v>132</v>
      </c>
      <c r="D35" s="7"/>
      <c r="E35" s="7"/>
      <c r="F35" s="7"/>
      <c r="G35" s="7"/>
      <c r="H35" s="7"/>
      <c r="I35" s="7"/>
      <c r="J35" s="7"/>
      <c r="K35" s="7"/>
      <c r="L35" s="7"/>
      <c r="M35" s="8">
        <v>172068</v>
      </c>
      <c r="N35" s="7"/>
      <c r="O35" s="8">
        <f t="shared" si="1"/>
        <v>172068</v>
      </c>
      <c r="P35" s="10"/>
    </row>
    <row r="36" spans="1:16" ht="23.1" customHeight="1" x14ac:dyDescent="0.3">
      <c r="A36" s="5" t="s">
        <v>141</v>
      </c>
      <c r="B36" s="5" t="s">
        <v>131</v>
      </c>
      <c r="C36" s="6" t="s">
        <v>132</v>
      </c>
      <c r="D36" s="7"/>
      <c r="E36" s="7"/>
      <c r="F36" s="7"/>
      <c r="G36" s="7"/>
      <c r="H36" s="7"/>
      <c r="I36" s="7"/>
      <c r="J36" s="7"/>
      <c r="K36" s="7"/>
      <c r="L36" s="7"/>
      <c r="M36" s="8">
        <v>281939</v>
      </c>
      <c r="N36" s="7"/>
      <c r="O36" s="8">
        <f t="shared" si="1"/>
        <v>281939</v>
      </c>
      <c r="P36" s="10"/>
    </row>
    <row r="37" spans="1:16" ht="23.1" customHeight="1" x14ac:dyDescent="0.3">
      <c r="A37" s="5" t="s">
        <v>142</v>
      </c>
      <c r="B37" s="5" t="s">
        <v>131</v>
      </c>
      <c r="C37" s="6" t="s">
        <v>132</v>
      </c>
      <c r="D37" s="7"/>
      <c r="E37" s="7"/>
      <c r="F37" s="7"/>
      <c r="G37" s="7"/>
      <c r="H37" s="7"/>
      <c r="I37" s="7"/>
      <c r="J37" s="7"/>
      <c r="K37" s="7"/>
      <c r="L37" s="7"/>
      <c r="M37" s="8">
        <v>282536</v>
      </c>
      <c r="N37" s="7"/>
      <c r="O37" s="8">
        <f t="shared" si="1"/>
        <v>282536</v>
      </c>
      <c r="P37" s="5" t="s">
        <v>143</v>
      </c>
    </row>
    <row r="38" spans="1:16" ht="23.1" customHeight="1" x14ac:dyDescent="0.3">
      <c r="A38" s="5" t="s">
        <v>144</v>
      </c>
      <c r="B38" s="5" t="s">
        <v>131</v>
      </c>
      <c r="C38" s="6" t="s">
        <v>132</v>
      </c>
      <c r="D38" s="7"/>
      <c r="E38" s="7"/>
      <c r="F38" s="7"/>
      <c r="G38" s="7"/>
      <c r="H38" s="7"/>
      <c r="I38" s="7"/>
      <c r="J38" s="7"/>
      <c r="K38" s="7"/>
      <c r="L38" s="7"/>
      <c r="M38" s="8">
        <v>173995</v>
      </c>
      <c r="N38" s="7"/>
      <c r="O38" s="8">
        <f t="shared" si="1"/>
        <v>173995</v>
      </c>
      <c r="P38" s="5" t="s">
        <v>145</v>
      </c>
    </row>
    <row r="39" spans="1:16" ht="23.1" customHeight="1" x14ac:dyDescent="0.3">
      <c r="A39" s="5" t="s">
        <v>146</v>
      </c>
      <c r="B39" s="5" t="s">
        <v>131</v>
      </c>
      <c r="C39" s="6" t="s">
        <v>132</v>
      </c>
      <c r="D39" s="7"/>
      <c r="E39" s="7"/>
      <c r="F39" s="7"/>
      <c r="G39" s="7"/>
      <c r="H39" s="7"/>
      <c r="I39" s="7"/>
      <c r="J39" s="7"/>
      <c r="K39" s="7"/>
      <c r="L39" s="7"/>
      <c r="M39" s="8">
        <v>304156</v>
      </c>
      <c r="N39" s="7"/>
      <c r="O39" s="8">
        <f t="shared" si="1"/>
        <v>304156</v>
      </c>
      <c r="P39" s="10"/>
    </row>
    <row r="40" spans="1:16" ht="23.1" customHeight="1" x14ac:dyDescent="0.3">
      <c r="A40" s="5" t="s">
        <v>147</v>
      </c>
      <c r="B40" s="5" t="s">
        <v>131</v>
      </c>
      <c r="C40" s="6" t="s">
        <v>132</v>
      </c>
      <c r="D40" s="7"/>
      <c r="E40" s="7"/>
      <c r="F40" s="7"/>
      <c r="G40" s="7"/>
      <c r="H40" s="7"/>
      <c r="I40" s="7"/>
      <c r="J40" s="7"/>
      <c r="K40" s="7"/>
      <c r="L40" s="7"/>
      <c r="M40" s="8">
        <v>222306</v>
      </c>
      <c r="N40" s="7"/>
      <c r="O40" s="8">
        <f t="shared" si="1"/>
        <v>222306</v>
      </c>
      <c r="P40" s="10"/>
    </row>
    <row r="41" spans="1:16" ht="23.1" customHeight="1" x14ac:dyDescent="0.3">
      <c r="A41" s="5" t="s">
        <v>148</v>
      </c>
      <c r="B41" s="5" t="s">
        <v>131</v>
      </c>
      <c r="C41" s="6" t="s">
        <v>132</v>
      </c>
      <c r="D41" s="7"/>
      <c r="E41" s="7"/>
      <c r="F41" s="7"/>
      <c r="G41" s="7"/>
      <c r="H41" s="7"/>
      <c r="I41" s="7"/>
      <c r="J41" s="7"/>
      <c r="K41" s="7"/>
      <c r="L41" s="7"/>
      <c r="M41" s="8">
        <v>239808</v>
      </c>
      <c r="N41" s="7"/>
      <c r="O41" s="8">
        <f t="shared" si="1"/>
        <v>239808</v>
      </c>
      <c r="P41" s="10"/>
    </row>
    <row r="42" spans="1:16" ht="23.1" customHeight="1" x14ac:dyDescent="0.3">
      <c r="A42" s="5" t="s">
        <v>149</v>
      </c>
      <c r="B42" s="5" t="s">
        <v>131</v>
      </c>
      <c r="C42" s="6" t="s">
        <v>132</v>
      </c>
      <c r="D42" s="7"/>
      <c r="E42" s="7"/>
      <c r="F42" s="7"/>
      <c r="G42" s="7"/>
      <c r="H42" s="7"/>
      <c r="I42" s="7"/>
      <c r="J42" s="7"/>
      <c r="K42" s="7"/>
      <c r="L42" s="7"/>
      <c r="M42" s="8">
        <v>273540</v>
      </c>
      <c r="N42" s="7"/>
      <c r="O42" s="8">
        <f t="shared" si="1"/>
        <v>273540</v>
      </c>
      <c r="P42" s="10"/>
    </row>
    <row r="43" spans="1:16" ht="23.1" customHeight="1" x14ac:dyDescent="0.3">
      <c r="A43" s="5" t="s">
        <v>150</v>
      </c>
      <c r="B43" s="5" t="s">
        <v>131</v>
      </c>
      <c r="C43" s="6" t="s">
        <v>132</v>
      </c>
      <c r="D43" s="7"/>
      <c r="E43" s="7"/>
      <c r="F43" s="7"/>
      <c r="G43" s="7"/>
      <c r="H43" s="7"/>
      <c r="I43" s="7"/>
      <c r="J43" s="7"/>
      <c r="K43" s="7"/>
      <c r="L43" s="7"/>
      <c r="M43" s="8">
        <v>436224</v>
      </c>
      <c r="N43" s="7"/>
      <c r="O43" s="8">
        <f t="shared" si="1"/>
        <v>436224</v>
      </c>
      <c r="P43" s="10"/>
    </row>
    <row r="44" spans="1:16" ht="23.1" customHeight="1" x14ac:dyDescent="0.3">
      <c r="A44" s="5" t="s">
        <v>151</v>
      </c>
      <c r="B44" s="5" t="s">
        <v>131</v>
      </c>
      <c r="C44" s="6" t="s">
        <v>132</v>
      </c>
      <c r="D44" s="7"/>
      <c r="E44" s="7"/>
      <c r="F44" s="7"/>
      <c r="G44" s="7"/>
      <c r="H44" s="7"/>
      <c r="I44" s="7"/>
      <c r="J44" s="7"/>
      <c r="K44" s="7"/>
      <c r="L44" s="7"/>
      <c r="M44" s="8">
        <v>226122</v>
      </c>
      <c r="N44" s="7"/>
      <c r="O44" s="8">
        <f t="shared" si="1"/>
        <v>226122</v>
      </c>
      <c r="P44" s="10"/>
    </row>
    <row r="45" spans="1:16" ht="23.1" customHeight="1" x14ac:dyDescent="0.3">
      <c r="A45" s="5" t="s">
        <v>152</v>
      </c>
      <c r="B45" s="5" t="s">
        <v>131</v>
      </c>
      <c r="C45" s="6" t="s">
        <v>132</v>
      </c>
      <c r="D45" s="7"/>
      <c r="E45" s="7"/>
      <c r="F45" s="7"/>
      <c r="G45" s="7"/>
      <c r="H45" s="7"/>
      <c r="I45" s="7"/>
      <c r="J45" s="7"/>
      <c r="K45" s="7"/>
      <c r="L45" s="7"/>
      <c r="M45" s="8">
        <v>273308</v>
      </c>
      <c r="N45" s="7"/>
      <c r="O45" s="8">
        <f t="shared" si="1"/>
        <v>273308</v>
      </c>
      <c r="P45" s="10"/>
    </row>
    <row r="46" spans="1:16" ht="23.1" customHeight="1" x14ac:dyDescent="0.3">
      <c r="A46" s="5" t="s">
        <v>153</v>
      </c>
      <c r="B46" s="5" t="s">
        <v>131</v>
      </c>
      <c r="C46" s="6" t="s">
        <v>132</v>
      </c>
      <c r="D46" s="7"/>
      <c r="E46" s="7"/>
      <c r="F46" s="7"/>
      <c r="G46" s="7"/>
      <c r="H46" s="7"/>
      <c r="I46" s="7"/>
      <c r="J46" s="7"/>
      <c r="K46" s="7"/>
      <c r="L46" s="7"/>
      <c r="M46" s="8">
        <v>238936</v>
      </c>
      <c r="N46" s="7"/>
      <c r="O46" s="8">
        <f t="shared" si="1"/>
        <v>238936</v>
      </c>
      <c r="P46" s="5" t="s">
        <v>154</v>
      </c>
    </row>
    <row r="47" spans="1:16" ht="23.1" customHeight="1" x14ac:dyDescent="0.3">
      <c r="A47" s="5" t="s">
        <v>155</v>
      </c>
      <c r="B47" s="5" t="s">
        <v>156</v>
      </c>
      <c r="C47" s="6" t="s">
        <v>157</v>
      </c>
      <c r="D47" s="8">
        <v>63290</v>
      </c>
      <c r="E47" s="9" t="s">
        <v>158</v>
      </c>
      <c r="F47" s="7"/>
      <c r="G47" s="7"/>
      <c r="H47" s="7"/>
      <c r="I47" s="8">
        <v>63290</v>
      </c>
      <c r="J47" s="9" t="s">
        <v>159</v>
      </c>
      <c r="K47" s="8">
        <v>63290</v>
      </c>
      <c r="L47" s="9" t="s">
        <v>160</v>
      </c>
      <c r="M47" s="7"/>
      <c r="N47" s="7"/>
      <c r="O47" s="8">
        <f t="shared" ref="O47:O58" si="2">MIN(D47,F47,H47,I47,K47,M47,N47)</f>
        <v>63290</v>
      </c>
      <c r="P47" s="5" t="s">
        <v>161</v>
      </c>
    </row>
    <row r="48" spans="1:16" ht="23.1" customHeight="1" x14ac:dyDescent="0.3">
      <c r="A48" s="5" t="s">
        <v>162</v>
      </c>
      <c r="B48" s="5" t="s">
        <v>163</v>
      </c>
      <c r="C48" s="6" t="s">
        <v>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8">
        <v>41165000</v>
      </c>
      <c r="O48" s="8">
        <f t="shared" si="2"/>
        <v>41165000</v>
      </c>
      <c r="P48" s="5" t="s">
        <v>164</v>
      </c>
    </row>
    <row r="49" spans="1:16" ht="23.1" customHeight="1" x14ac:dyDescent="0.3">
      <c r="A49" s="5" t="s">
        <v>165</v>
      </c>
      <c r="B49" s="5" t="s">
        <v>166</v>
      </c>
      <c r="C49" s="6" t="s">
        <v>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8">
        <v>66538000</v>
      </c>
      <c r="O49" s="8">
        <f t="shared" si="2"/>
        <v>66538000</v>
      </c>
      <c r="P49" s="5" t="s">
        <v>167</v>
      </c>
    </row>
    <row r="50" spans="1:16" ht="23.1" customHeight="1" x14ac:dyDescent="0.3">
      <c r="A50" s="5" t="s">
        <v>168</v>
      </c>
      <c r="B50" s="5" t="s">
        <v>169</v>
      </c>
      <c r="C50" s="6" t="s">
        <v>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8">
        <v>69333000</v>
      </c>
      <c r="O50" s="8">
        <f t="shared" si="2"/>
        <v>69333000</v>
      </c>
      <c r="P50" s="5" t="s">
        <v>170</v>
      </c>
    </row>
    <row r="51" spans="1:16" ht="23.1" customHeight="1" x14ac:dyDescent="0.3">
      <c r="A51" s="5" t="s">
        <v>171</v>
      </c>
      <c r="B51" s="5" t="s">
        <v>172</v>
      </c>
      <c r="C51" s="6" t="s">
        <v>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8">
        <v>4559000</v>
      </c>
      <c r="O51" s="8">
        <f t="shared" si="2"/>
        <v>4559000</v>
      </c>
      <c r="P51" s="5" t="s">
        <v>173</v>
      </c>
    </row>
    <row r="52" spans="1:16" ht="23.1" customHeight="1" x14ac:dyDescent="0.3">
      <c r="A52" s="5" t="s">
        <v>174</v>
      </c>
      <c r="B52" s="5" t="s">
        <v>175</v>
      </c>
      <c r="C52" s="6" t="s">
        <v>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8">
        <v>922000</v>
      </c>
      <c r="O52" s="8">
        <f t="shared" si="2"/>
        <v>922000</v>
      </c>
      <c r="P52" s="5" t="s">
        <v>176</v>
      </c>
    </row>
    <row r="53" spans="1:16" ht="23.1" customHeight="1" x14ac:dyDescent="0.3">
      <c r="A53" s="5" t="s">
        <v>177</v>
      </c>
      <c r="B53" s="5" t="s">
        <v>178</v>
      </c>
      <c r="C53" s="6" t="s">
        <v>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8">
        <v>35999000</v>
      </c>
      <c r="O53" s="8">
        <f t="shared" si="2"/>
        <v>35999000</v>
      </c>
      <c r="P53" s="5" t="s">
        <v>179</v>
      </c>
    </row>
    <row r="54" spans="1:16" ht="23.1" customHeight="1" x14ac:dyDescent="0.3">
      <c r="A54" s="5" t="s">
        <v>180</v>
      </c>
      <c r="B54" s="5" t="s">
        <v>181</v>
      </c>
      <c r="C54" s="6" t="s">
        <v>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8">
        <v>47263000</v>
      </c>
      <c r="O54" s="8">
        <f t="shared" si="2"/>
        <v>47263000</v>
      </c>
      <c r="P54" s="5" t="s">
        <v>182</v>
      </c>
    </row>
    <row r="55" spans="1:16" ht="23.1" customHeight="1" x14ac:dyDescent="0.3">
      <c r="A55" s="5" t="s">
        <v>183</v>
      </c>
      <c r="B55" s="5" t="s">
        <v>184</v>
      </c>
      <c r="C55" s="6" t="s">
        <v>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8">
        <v>6966000</v>
      </c>
      <c r="O55" s="8">
        <f t="shared" si="2"/>
        <v>6966000</v>
      </c>
      <c r="P55" s="5" t="s">
        <v>185</v>
      </c>
    </row>
    <row r="56" spans="1:16" ht="23.1" customHeight="1" x14ac:dyDescent="0.3">
      <c r="A56" s="5" t="s">
        <v>186</v>
      </c>
      <c r="B56" s="5" t="s">
        <v>187</v>
      </c>
      <c r="C56" s="6" t="s">
        <v>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8">
        <v>3249000</v>
      </c>
      <c r="O56" s="8">
        <f t="shared" si="2"/>
        <v>3249000</v>
      </c>
      <c r="P56" s="5" t="s">
        <v>188</v>
      </c>
    </row>
    <row r="57" spans="1:16" ht="23.1" customHeight="1" x14ac:dyDescent="0.3">
      <c r="A57" s="5" t="s">
        <v>189</v>
      </c>
      <c r="B57" s="5" t="s">
        <v>190</v>
      </c>
      <c r="C57" s="6" t="s">
        <v>191</v>
      </c>
      <c r="D57" s="8">
        <v>49571</v>
      </c>
      <c r="E57" s="9" t="s">
        <v>192</v>
      </c>
      <c r="F57" s="8">
        <v>49571</v>
      </c>
      <c r="G57" s="9" t="s">
        <v>193</v>
      </c>
      <c r="H57" s="7"/>
      <c r="I57" s="8">
        <v>49571</v>
      </c>
      <c r="J57" s="9" t="s">
        <v>194</v>
      </c>
      <c r="K57" s="8">
        <v>49571</v>
      </c>
      <c r="L57" s="9" t="s">
        <v>160</v>
      </c>
      <c r="M57" s="7"/>
      <c r="N57" s="7"/>
      <c r="O57" s="8">
        <f t="shared" si="2"/>
        <v>49571</v>
      </c>
      <c r="P57" s="5" t="s">
        <v>195</v>
      </c>
    </row>
    <row r="58" spans="1:16" ht="23.1" customHeight="1" x14ac:dyDescent="0.3">
      <c r="A58" s="5" t="s">
        <v>196</v>
      </c>
      <c r="B58" s="5" t="s">
        <v>197</v>
      </c>
      <c r="C58" s="6" t="s">
        <v>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8">
        <v>1673000</v>
      </c>
      <c r="O58" s="8">
        <f t="shared" si="2"/>
        <v>1673000</v>
      </c>
      <c r="P58" s="5" t="s">
        <v>198</v>
      </c>
    </row>
    <row r="59" spans="1:16" ht="23.1" customHeight="1" x14ac:dyDescent="0.3">
      <c r="A59" s="10"/>
      <c r="B59" s="10"/>
      <c r="C59" s="1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10"/>
    </row>
    <row r="60" spans="1:16" ht="23.1" customHeight="1" x14ac:dyDescent="0.3">
      <c r="A60" s="10"/>
      <c r="B60" s="10"/>
      <c r="C60" s="1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10"/>
    </row>
    <row r="61" spans="1:16" ht="23.1" customHeight="1" x14ac:dyDescent="0.3">
      <c r="A61" s="10"/>
      <c r="B61" s="10"/>
      <c r="C61" s="1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10"/>
    </row>
    <row r="62" spans="1:16" ht="23.1" customHeight="1" x14ac:dyDescent="0.3">
      <c r="A62" s="10"/>
      <c r="B62" s="10"/>
      <c r="C62" s="1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10"/>
    </row>
    <row r="63" spans="1:16" ht="23.1" customHeight="1" x14ac:dyDescent="0.3">
      <c r="A63" s="10"/>
      <c r="B63" s="10"/>
      <c r="C63" s="1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10"/>
    </row>
    <row r="64" spans="1:16" ht="23.1" customHeight="1" x14ac:dyDescent="0.3">
      <c r="A64" s="10"/>
      <c r="B64" s="10"/>
      <c r="C64" s="1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10"/>
    </row>
    <row r="65" spans="1:16" ht="23.1" customHeight="1" x14ac:dyDescent="0.3">
      <c r="A65" s="10"/>
      <c r="B65" s="10"/>
      <c r="C65" s="1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10"/>
    </row>
    <row r="66" spans="1:16" ht="23.1" customHeight="1" x14ac:dyDescent="0.3">
      <c r="A66" s="10"/>
      <c r="B66" s="10"/>
      <c r="C66" s="1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10"/>
    </row>
    <row r="67" spans="1:16" ht="23.1" customHeight="1" x14ac:dyDescent="0.3">
      <c r="A67" s="10"/>
      <c r="B67" s="10"/>
      <c r="C67" s="1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10"/>
    </row>
    <row r="68" spans="1:16" ht="23.1" customHeight="1" x14ac:dyDescent="0.3">
      <c r="A68" s="10"/>
      <c r="B68" s="10"/>
      <c r="C68" s="1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10"/>
    </row>
  </sheetData>
  <mergeCells count="11">
    <mergeCell ref="K3:L3"/>
    <mergeCell ref="A1:P1"/>
    <mergeCell ref="A2:P2"/>
    <mergeCell ref="A3:A4"/>
    <mergeCell ref="B3:B4"/>
    <mergeCell ref="C3:C4"/>
    <mergeCell ref="O3:O4"/>
    <mergeCell ref="P3:P4"/>
    <mergeCell ref="D3:E3"/>
    <mergeCell ref="F3:G3"/>
    <mergeCell ref="I3:J3"/>
  </mergeCells>
  <phoneticPr fontId="1" type="noConversion"/>
  <pageMargins left="0.74090148180296356" right="0" top="0.54405108810217628" bottom="0.1388888888888889" header="0.3" footer="0.1388888888888889"/>
  <pageSetup paperSize="9" orientation="landscape" r:id="rId1"/>
  <rowBreaks count="4" manualBreakCount="4">
    <brk id="20" max="16383" man="1"/>
    <brk id="36" max="16383" man="1"/>
    <brk id="52" max="16383" man="1"/>
    <brk id="6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23</vt:i4>
      </vt:variant>
    </vt:vector>
  </HeadingPairs>
  <TitlesOfParts>
    <vt:vector size="36" baseType="lpstr">
      <vt:lpstr>갑지</vt:lpstr>
      <vt:lpstr>원가계산서</vt:lpstr>
      <vt:lpstr>집계표</vt:lpstr>
      <vt:lpstr>내역서</vt:lpstr>
      <vt:lpstr>일위대가목록</vt:lpstr>
      <vt:lpstr>일위대가표</vt:lpstr>
      <vt:lpstr>단가산출서목록</vt:lpstr>
      <vt:lpstr>단가산출서</vt:lpstr>
      <vt:lpstr>중기경비목록</vt:lpstr>
      <vt:lpstr>중기경비</vt:lpstr>
      <vt:lpstr>일위공량산출서</vt:lpstr>
      <vt:lpstr>단가대비표</vt:lpstr>
      <vt:lpstr>Sheet1</vt:lpstr>
      <vt:lpstr>갑지!Print_Area</vt:lpstr>
      <vt:lpstr>내역서!Print_Area</vt:lpstr>
      <vt:lpstr>단가대비표!Print_Area</vt:lpstr>
      <vt:lpstr>단가산출서!Print_Area</vt:lpstr>
      <vt:lpstr>단가산출서목록!Print_Area</vt:lpstr>
      <vt:lpstr>원가계산서!Print_Area</vt:lpstr>
      <vt:lpstr>일위공량산출서!Print_Area</vt:lpstr>
      <vt:lpstr>일위대가목록!Print_Area</vt:lpstr>
      <vt:lpstr>일위대가표!Print_Area</vt:lpstr>
      <vt:lpstr>중기경비!Print_Area</vt:lpstr>
      <vt:lpstr>중기경비목록!Print_Area</vt:lpstr>
      <vt:lpstr>집계표!Print_Area</vt:lpstr>
      <vt:lpstr>내역서!Print_Titles</vt:lpstr>
      <vt:lpstr>단가대비표!Print_Titles</vt:lpstr>
      <vt:lpstr>단가산출서!Print_Titles</vt:lpstr>
      <vt:lpstr>단가산출서목록!Print_Titles</vt:lpstr>
      <vt:lpstr>원가계산서!Print_Titles</vt:lpstr>
      <vt:lpstr>일위공량산출서!Print_Titles</vt:lpstr>
      <vt:lpstr>일위대가목록!Print_Titles</vt:lpstr>
      <vt:lpstr>일위대가표!Print_Titles</vt:lpstr>
      <vt:lpstr>중기경비!Print_Titles</vt:lpstr>
      <vt:lpstr>중기경비목록!Print_Titles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박성진</dc:creator>
  <cp:lastModifiedBy>user</cp:lastModifiedBy>
  <dcterms:created xsi:type="dcterms:W3CDTF">2026-07-13T00:53:04Z</dcterms:created>
  <dcterms:modified xsi:type="dcterms:W3CDTF">2026-07-14T00:08:23Z</dcterms:modified>
</cp:coreProperties>
</file>