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년\7. 상수도 이설 공사\1. 왕산리 799-37번지 배수관로 이설공사\1. 실시설계용역\3. 준공성과품\001.설계내역서\내역서(관로공)\"/>
    </mc:Choice>
  </mc:AlternateContent>
  <xr:revisionPtr revIDLastSave="0" documentId="13_ncr:1_{CA49CC62-4ECC-4E50-A24C-01D9966EEA90}" xr6:coauthVersionLast="47" xr6:coauthVersionMax="47" xr10:uidLastSave="{00000000-0000-0000-0000-000000000000}"/>
  <bookViews>
    <workbookView xWindow="-120" yWindow="-120" windowWidth="29040" windowHeight="15720" firstSheet="2" activeTab="3" xr2:uid="{A1130ED8-81E5-43A7-8314-872668A07E1B}"/>
  </bookViews>
  <sheets>
    <sheet name="〓 목 차 〓" sheetId="1" r:id="rId1"/>
    <sheet name="※※안내※※" sheetId="2" r:id="rId2"/>
    <sheet name="공사원가계산서" sheetId="3" r:id="rId3"/>
    <sheet name="총괄내역서" sheetId="4" r:id="rId4"/>
    <sheet name="설계내역서" sheetId="5" r:id="rId5"/>
    <sheet name="일위대가목록표" sheetId="6" r:id="rId6"/>
    <sheet name="일위대가표" sheetId="7" r:id="rId7"/>
    <sheet name="단가산출근거목록표" sheetId="8" r:id="rId8"/>
    <sheet name="단가산출근거" sheetId="9" r:id="rId9"/>
    <sheet name="환율및기초자료" sheetId="10" r:id="rId10"/>
    <sheet name="중기목록표" sheetId="11" r:id="rId11"/>
    <sheet name="중기사용료" sheetId="12" r:id="rId12"/>
    <sheet name="재료비목록표" sheetId="13" r:id="rId13"/>
    <sheet name="노무비목록표" sheetId="14" r:id="rId14"/>
    <sheet name="경비목록표" sheetId="15" r:id="rId15"/>
    <sheet name="일식견적목록표" sheetId="16" r:id="rId16"/>
    <sheet name="자재단가대비표" sheetId="17" r:id="rId17"/>
    <sheet name="〓 INITIAL 〓" sheetId="18" state="veryHidden" r:id="rId18"/>
  </sheets>
  <definedNames>
    <definedName name="_xlnm.Print_Area" localSheetId="0">'〓 목 차 〓'!$A:$C</definedName>
    <definedName name="_xlnm.Print_Area" localSheetId="14">경비목록표!$A:$F</definedName>
    <definedName name="_xlnm.Print_Area" localSheetId="2">공사원가계산서!$A:$F</definedName>
    <definedName name="_xlnm.Print_Area" localSheetId="13">노무비목록표!$A:$F</definedName>
    <definedName name="_xlnm.Print_Area" localSheetId="8">단가산출근거!$A:$F</definedName>
    <definedName name="_xlnm.Print_Area" localSheetId="7">단가산출근거목록표!$A:$I</definedName>
    <definedName name="_xlnm.Print_Area" localSheetId="4">설계내역서!$A:$N</definedName>
    <definedName name="_xlnm.Print_Area" localSheetId="15">일식견적목록표!$A:$I</definedName>
    <definedName name="_xlnm.Print_Area" localSheetId="5">일위대가목록표!$A:$I</definedName>
    <definedName name="_xlnm.Print_Area" localSheetId="6">일위대가표!$A:$M</definedName>
    <definedName name="_xlnm.Print_Area" localSheetId="16">자재단가대비표!$A:$Q</definedName>
    <definedName name="_xlnm.Print_Area" localSheetId="12">재료비목록표!$A:$F</definedName>
    <definedName name="_xlnm.Print_Area" localSheetId="10">중기목록표!$A:$I</definedName>
    <definedName name="_xlnm.Print_Area" localSheetId="11">중기사용료!$A:$M</definedName>
    <definedName name="_xlnm.Print_Area" localSheetId="3">총괄내역서!$A:$G</definedName>
    <definedName name="_xlnm.Print_Area" localSheetId="9">환율및기초자료!$A:$H</definedName>
    <definedName name="_xlnm.Print_Titles" localSheetId="14">경비목록표!$1:$3</definedName>
    <definedName name="_xlnm.Print_Titles" localSheetId="2">공사원가계산서!$1:$4</definedName>
    <definedName name="_xlnm.Print_Titles" localSheetId="13">노무비목록표!$1:$3</definedName>
    <definedName name="_xlnm.Print_Titles" localSheetId="8">단가산출근거!$1:$4</definedName>
    <definedName name="_xlnm.Print_Titles" localSheetId="7">단가산출근거목록표!$1:$3</definedName>
    <definedName name="_xlnm.Print_Titles" localSheetId="4">설계내역서!$1:$4</definedName>
    <definedName name="_xlnm.Print_Titles" localSheetId="15">일식견적목록표!$1:$3</definedName>
    <definedName name="_xlnm.Print_Titles" localSheetId="5">일위대가목록표!$1:$3</definedName>
    <definedName name="_xlnm.Print_Titles" localSheetId="6">일위대가표!$1:$4</definedName>
    <definedName name="_xlnm.Print_Titles" localSheetId="16">자재단가대비표!$1:$4</definedName>
    <definedName name="_xlnm.Print_Titles" localSheetId="12">재료비목록표!$1:$3</definedName>
    <definedName name="_xlnm.Print_Titles" localSheetId="10">중기목록표!$1:$3</definedName>
    <definedName name="_xlnm.Print_Titles" localSheetId="11">중기사용료!$1:$4</definedName>
    <definedName name="_xlnm.Print_Titles" localSheetId="3">총괄내역서!$1:$3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" i="4" l="1"/>
  <c r="I18" i="4"/>
  <c r="D33" i="3" l="1"/>
  <c r="D4" i="18"/>
  <c r="D6" i="18"/>
  <c r="C6" i="18" s="1"/>
  <c r="X6" i="18" s="1"/>
  <c r="D7" i="18"/>
  <c r="C7" i="18" s="1"/>
  <c r="D8" i="18"/>
  <c r="C8" i="18" s="1"/>
  <c r="X8" i="18" s="1"/>
  <c r="D9" i="18"/>
  <c r="C9" i="18" s="1"/>
  <c r="F9" i="18" s="1"/>
  <c r="D10" i="18"/>
  <c r="C10" i="18" s="1"/>
  <c r="F10" i="18" s="1"/>
  <c r="D11" i="18"/>
  <c r="C11" i="18" s="1"/>
  <c r="I11" i="18" s="1"/>
  <c r="D13" i="18"/>
  <c r="C13" i="18" s="1"/>
  <c r="L13" i="18" s="1"/>
  <c r="D14" i="18"/>
  <c r="C14" i="18" s="1"/>
  <c r="D15" i="18"/>
  <c r="C15" i="18" s="1"/>
  <c r="I15" i="18" s="1"/>
  <c r="D16" i="18"/>
  <c r="C16" i="18" s="1"/>
  <c r="J16" i="18" s="1"/>
  <c r="D17" i="18"/>
  <c r="C17" i="18" s="1"/>
  <c r="P17" i="18" s="1"/>
  <c r="D18" i="18"/>
  <c r="C18" i="18" s="1"/>
  <c r="R18" i="18" s="1"/>
  <c r="D19" i="18"/>
  <c r="C19" i="18" s="1"/>
  <c r="F19" i="18" s="1"/>
  <c r="D20" i="18"/>
  <c r="C20" i="18" s="1"/>
  <c r="E20" i="18" s="1"/>
  <c r="D24" i="18"/>
  <c r="D33" i="18"/>
  <c r="C35" i="18"/>
  <c r="D35" i="18"/>
  <c r="E35" i="18"/>
  <c r="F35" i="18"/>
  <c r="G35" i="18"/>
  <c r="H35" i="18"/>
  <c r="I35" i="18"/>
  <c r="J35" i="18"/>
  <c r="D52" i="18"/>
  <c r="D75" i="18"/>
  <c r="D4" i="1"/>
  <c r="A2" i="2"/>
  <c r="G2" i="15"/>
  <c r="D17" i="1" s="1"/>
  <c r="H3" i="15"/>
  <c r="G2" i="3"/>
  <c r="D5" i="1" s="1"/>
  <c r="H4" i="3"/>
  <c r="F20" i="3"/>
  <c r="D21" i="3"/>
  <c r="F23" i="3"/>
  <c r="F24" i="3"/>
  <c r="D25" i="3"/>
  <c r="D26" i="3"/>
  <c r="F28" i="3"/>
  <c r="G2" i="14"/>
  <c r="Y531" i="9" s="1"/>
  <c r="H3" i="14"/>
  <c r="G2" i="9"/>
  <c r="K44" i="8" s="1"/>
  <c r="Y4" i="9"/>
  <c r="G5" i="9"/>
  <c r="AB10" i="9"/>
  <c r="B10" i="9" s="1"/>
  <c r="AB11" i="9"/>
  <c r="AD12" i="9"/>
  <c r="AC28" i="9" s="1"/>
  <c r="H28" i="9" s="1"/>
  <c r="D28" i="9" s="1"/>
  <c r="I16" i="9"/>
  <c r="J16" i="9"/>
  <c r="X16" i="9"/>
  <c r="J18" i="9"/>
  <c r="I18" i="9" s="1"/>
  <c r="X18" i="9"/>
  <c r="X24" i="9"/>
  <c r="AC24" i="9"/>
  <c r="H24" i="9" s="1"/>
  <c r="X26" i="9"/>
  <c r="X28" i="9"/>
  <c r="X34" i="9"/>
  <c r="X36" i="9"/>
  <c r="X38" i="9"/>
  <c r="X44" i="9"/>
  <c r="AE44" i="9"/>
  <c r="H44" i="9" s="1"/>
  <c r="D44" i="9" s="1"/>
  <c r="D74" i="9" s="1"/>
  <c r="B52" i="9"/>
  <c r="AB52" i="9"/>
  <c r="AF52" i="9"/>
  <c r="AJ52" i="9"/>
  <c r="AB56" i="9"/>
  <c r="Z62" i="9" s="1"/>
  <c r="AG56" i="9"/>
  <c r="B58" i="9"/>
  <c r="AB58" i="9"/>
  <c r="AC64" i="9" s="1"/>
  <c r="AF58" i="9"/>
  <c r="AF62" i="9" s="1"/>
  <c r="B60" i="9"/>
  <c r="AB60" i="9"/>
  <c r="AH62" i="9" s="1"/>
  <c r="AD62" i="9"/>
  <c r="X68" i="9"/>
  <c r="X70" i="9"/>
  <c r="X72" i="9"/>
  <c r="H76" i="9"/>
  <c r="D76" i="9" s="1"/>
  <c r="D78" i="9" s="1"/>
  <c r="AC76" i="9"/>
  <c r="G105" i="9"/>
  <c r="B114" i="9"/>
  <c r="AB114" i="9"/>
  <c r="AA123" i="9" s="1"/>
  <c r="X117" i="9"/>
  <c r="X120" i="9"/>
  <c r="X123" i="9"/>
  <c r="AC123" i="9"/>
  <c r="H123" i="9" s="1"/>
  <c r="E123" i="9" s="1"/>
  <c r="J131" i="9"/>
  <c r="I131" i="9" s="1"/>
  <c r="X131" i="9"/>
  <c r="X138" i="9"/>
  <c r="G155" i="9"/>
  <c r="B163" i="9"/>
  <c r="AB163" i="9"/>
  <c r="AA165" i="9" s="1"/>
  <c r="X165" i="9"/>
  <c r="X166" i="9"/>
  <c r="X167" i="9"/>
  <c r="X173" i="9"/>
  <c r="J179" i="9"/>
  <c r="I179" i="9" s="1"/>
  <c r="X179" i="9"/>
  <c r="AC179" i="9"/>
  <c r="G205" i="9"/>
  <c r="B215" i="9"/>
  <c r="AB215" i="9"/>
  <c r="AB221" i="9" s="1"/>
  <c r="AF215" i="9"/>
  <c r="AD221" i="9" s="1"/>
  <c r="AD217" i="9"/>
  <c r="AF221" i="9" s="1"/>
  <c r="AH217" i="9"/>
  <c r="AH221" i="9" s="1"/>
  <c r="B219" i="9"/>
  <c r="AB219" i="9"/>
  <c r="AJ221" i="9" s="1"/>
  <c r="X223" i="9"/>
  <c r="X225" i="9"/>
  <c r="X227" i="9"/>
  <c r="AG235" i="9"/>
  <c r="B235" i="9" s="1"/>
  <c r="J237" i="9"/>
  <c r="I237" i="9" s="1"/>
  <c r="X237" i="9"/>
  <c r="AC237" i="9"/>
  <c r="AI237" i="9"/>
  <c r="H237" i="9" s="1"/>
  <c r="G255" i="9"/>
  <c r="AB262" i="9"/>
  <c r="AL268" i="9" s="1"/>
  <c r="AH262" i="9"/>
  <c r="B262" i="9" s="1"/>
  <c r="AB264" i="9"/>
  <c r="AH268" i="9" s="1"/>
  <c r="B266" i="9"/>
  <c r="AB266" i="9"/>
  <c r="AF266" i="9"/>
  <c r="AJ268" i="9" s="1"/>
  <c r="AB268" i="9"/>
  <c r="AD268" i="9"/>
  <c r="AF268" i="9"/>
  <c r="X271" i="9"/>
  <c r="X273" i="9"/>
  <c r="X275" i="9"/>
  <c r="H281" i="9"/>
  <c r="J281" i="9"/>
  <c r="I281" i="9" s="1"/>
  <c r="X281" i="9"/>
  <c r="AD281" i="9"/>
  <c r="B287" i="9"/>
  <c r="AB287" i="9"/>
  <c r="AF287" i="9"/>
  <c r="AJ287" i="9"/>
  <c r="AN291" i="9" s="1"/>
  <c r="B289" i="9"/>
  <c r="AB289" i="9"/>
  <c r="AH291" i="9" s="1"/>
  <c r="AF289" i="9"/>
  <c r="AJ291" i="9" s="1"/>
  <c r="AJ289" i="9"/>
  <c r="AL291" i="9" s="1"/>
  <c r="AB291" i="9"/>
  <c r="AD291" i="9"/>
  <c r="AF291" i="9"/>
  <c r="X294" i="9"/>
  <c r="X296" i="9"/>
  <c r="X298" i="9"/>
  <c r="G305" i="9"/>
  <c r="AB312" i="9"/>
  <c r="AB318" i="9" s="1"/>
  <c r="AH312" i="9"/>
  <c r="B312" i="9" s="1"/>
  <c r="B314" i="9"/>
  <c r="AB314" i="9"/>
  <c r="AH318" i="9" s="1"/>
  <c r="B316" i="9"/>
  <c r="AB316" i="9"/>
  <c r="AD318" i="9" s="1"/>
  <c r="AF316" i="9"/>
  <c r="AJ318" i="9" s="1"/>
  <c r="X320" i="9"/>
  <c r="X322" i="9"/>
  <c r="X324" i="9"/>
  <c r="J330" i="9"/>
  <c r="I330" i="9" s="1"/>
  <c r="X330" i="9"/>
  <c r="AD330" i="9"/>
  <c r="H330" i="9" s="1"/>
  <c r="D330" i="9" s="1"/>
  <c r="D332" i="9" s="1"/>
  <c r="B337" i="9"/>
  <c r="AB337" i="9"/>
  <c r="AF337" i="9"/>
  <c r="AD341" i="9" s="1"/>
  <c r="AJ337" i="9"/>
  <c r="AF341" i="9" s="1"/>
  <c r="B339" i="9"/>
  <c r="AB339" i="9"/>
  <c r="AH341" i="9" s="1"/>
  <c r="AF339" i="9"/>
  <c r="AJ341" i="9" s="1"/>
  <c r="AJ339" i="9"/>
  <c r="AL341" i="9" s="1"/>
  <c r="X343" i="9"/>
  <c r="X345" i="9"/>
  <c r="X347" i="9"/>
  <c r="G355" i="9"/>
  <c r="B360" i="9"/>
  <c r="AB360" i="9"/>
  <c r="AF360" i="9"/>
  <c r="AD366" i="9" s="1"/>
  <c r="AD362" i="9"/>
  <c r="B362" i="9" s="1"/>
  <c r="AH362" i="9"/>
  <c r="AF366" i="9" s="1"/>
  <c r="B364" i="9"/>
  <c r="AB364" i="9"/>
  <c r="AJ366" i="9"/>
  <c r="X369" i="9"/>
  <c r="X371" i="9"/>
  <c r="X373" i="9"/>
  <c r="G405" i="9"/>
  <c r="B415" i="9"/>
  <c r="AB415" i="9"/>
  <c r="AD423" i="9" s="1"/>
  <c r="AF415" i="9"/>
  <c r="AF425" i="9" s="1"/>
  <c r="AJ415" i="9"/>
  <c r="AA427" i="9" s="1"/>
  <c r="B417" i="9"/>
  <c r="AB417" i="9"/>
  <c r="AB419" i="9"/>
  <c r="AF433" i="9" s="1"/>
  <c r="AH419" i="9"/>
  <c r="AD433" i="9" s="1"/>
  <c r="AF421" i="9"/>
  <c r="AE427" i="9"/>
  <c r="AK427" i="9"/>
  <c r="B427" i="9" s="1"/>
  <c r="B429" i="9"/>
  <c r="AB429" i="9"/>
  <c r="AD431" i="9" s="1"/>
  <c r="AF429" i="9"/>
  <c r="AF431" i="9" s="1"/>
  <c r="AJ429" i="9"/>
  <c r="AH431" i="9" s="1"/>
  <c r="X436" i="9"/>
  <c r="X438" i="9"/>
  <c r="X440" i="9"/>
  <c r="H448" i="9"/>
  <c r="E448" i="9" s="1"/>
  <c r="X448" i="9"/>
  <c r="AC448" i="9"/>
  <c r="H450" i="9"/>
  <c r="F450" i="9" s="1"/>
  <c r="X450" i="9"/>
  <c r="AC450" i="9"/>
  <c r="X452" i="9"/>
  <c r="AC452" i="9"/>
  <c r="H452" i="9" s="1"/>
  <c r="I458" i="9"/>
  <c r="AC458" i="9"/>
  <c r="H458" i="9" s="1"/>
  <c r="G505" i="9"/>
  <c r="X515" i="9"/>
  <c r="AC515" i="9"/>
  <c r="H515" i="9" s="1"/>
  <c r="X518" i="9"/>
  <c r="AC518" i="9"/>
  <c r="H518" i="9" s="1"/>
  <c r="X521" i="9"/>
  <c r="AC521" i="9"/>
  <c r="H521" i="9" s="1"/>
  <c r="J528" i="9"/>
  <c r="I528" i="9" s="1"/>
  <c r="X528" i="9"/>
  <c r="AC528" i="9"/>
  <c r="H528" i="9" s="1"/>
  <c r="H531" i="9"/>
  <c r="F531" i="9" s="1"/>
  <c r="J531" i="9"/>
  <c r="I531" i="9" s="1"/>
  <c r="X531" i="9"/>
  <c r="AC531" i="9"/>
  <c r="I537" i="9"/>
  <c r="AC537" i="9"/>
  <c r="H537" i="9" s="1"/>
  <c r="F537" i="9" s="1"/>
  <c r="G555" i="9"/>
  <c r="X560" i="9"/>
  <c r="AC560" i="9"/>
  <c r="H560" i="9" s="1"/>
  <c r="D562" i="9"/>
  <c r="E562" i="9"/>
  <c r="F562" i="9"/>
  <c r="AC567" i="9"/>
  <c r="H567" i="9" s="1"/>
  <c r="G605" i="9"/>
  <c r="AD608" i="9"/>
  <c r="AD610" i="9"/>
  <c r="X616" i="9"/>
  <c r="X618" i="9"/>
  <c r="X620" i="9"/>
  <c r="J628" i="9"/>
  <c r="I628" i="9" s="1"/>
  <c r="X628" i="9"/>
  <c r="G655" i="9"/>
  <c r="AD660" i="9"/>
  <c r="AD662" i="9"/>
  <c r="B662" i="9" s="1"/>
  <c r="AD664" i="9"/>
  <c r="AC696" i="9" s="1"/>
  <c r="H696" i="9" s="1"/>
  <c r="J668" i="9"/>
  <c r="I668" i="9" s="1"/>
  <c r="X668" i="9"/>
  <c r="J670" i="9"/>
  <c r="I670" i="9" s="1"/>
  <c r="X670" i="9"/>
  <c r="AA670" i="9"/>
  <c r="X678" i="9"/>
  <c r="X680" i="9"/>
  <c r="X682" i="9"/>
  <c r="X686" i="9"/>
  <c r="X688" i="9"/>
  <c r="X690" i="9"/>
  <c r="X694" i="9"/>
  <c r="X696" i="9"/>
  <c r="X698" i="9"/>
  <c r="X702" i="9"/>
  <c r="X704" i="9"/>
  <c r="X706" i="9"/>
  <c r="G755" i="9"/>
  <c r="AD759" i="9"/>
  <c r="AD761" i="9"/>
  <c r="B761" i="9" s="1"/>
  <c r="AD763" i="9"/>
  <c r="AA829" i="9" s="1"/>
  <c r="J767" i="9"/>
  <c r="I767" i="9" s="1"/>
  <c r="X767" i="9"/>
  <c r="AC767" i="9"/>
  <c r="J769" i="9"/>
  <c r="I769" i="9" s="1"/>
  <c r="X769" i="9"/>
  <c r="AA769" i="9"/>
  <c r="X775" i="9"/>
  <c r="X777" i="9"/>
  <c r="X779" i="9"/>
  <c r="AE779" i="9"/>
  <c r="H779" i="9" s="1"/>
  <c r="D779" i="9" s="1"/>
  <c r="X785" i="9"/>
  <c r="AA785" i="9"/>
  <c r="X787" i="9"/>
  <c r="AA787" i="9"/>
  <c r="AC787" i="9"/>
  <c r="H787" i="9" s="1"/>
  <c r="X789" i="9"/>
  <c r="AA789" i="9"/>
  <c r="AC789" i="9"/>
  <c r="H789" i="9" s="1"/>
  <c r="X797" i="9"/>
  <c r="X799" i="9"/>
  <c r="X801" i="9"/>
  <c r="X805" i="9"/>
  <c r="X807" i="9"/>
  <c r="AA807" i="9"/>
  <c r="AC807" i="9"/>
  <c r="H807" i="9" s="1"/>
  <c r="D807" i="9" s="1"/>
  <c r="X809" i="9"/>
  <c r="AA809" i="9"/>
  <c r="X815" i="9"/>
  <c r="H817" i="9"/>
  <c r="D817" i="9" s="1"/>
  <c r="X817" i="9"/>
  <c r="AC817" i="9"/>
  <c r="X819" i="9"/>
  <c r="X825" i="9"/>
  <c r="AA825" i="9"/>
  <c r="X827" i="9"/>
  <c r="H829" i="9"/>
  <c r="D829" i="9" s="1"/>
  <c r="X829" i="9"/>
  <c r="AC829" i="9"/>
  <c r="X835" i="9"/>
  <c r="AA835" i="9"/>
  <c r="AC835" i="9"/>
  <c r="H835" i="9" s="1"/>
  <c r="X837" i="9"/>
  <c r="X839" i="9"/>
  <c r="AC839" i="9"/>
  <c r="H839" i="9" s="1"/>
  <c r="X845" i="9"/>
  <c r="X847" i="9"/>
  <c r="AC847" i="9"/>
  <c r="H847" i="9" s="1"/>
  <c r="D847" i="9" s="1"/>
  <c r="X849" i="9"/>
  <c r="X855" i="9"/>
  <c r="X857" i="9"/>
  <c r="AA857" i="9"/>
  <c r="AC857" i="9"/>
  <c r="H857" i="9" s="1"/>
  <c r="X859" i="9"/>
  <c r="AA859" i="9"/>
  <c r="AC859" i="9"/>
  <c r="H859" i="9" s="1"/>
  <c r="D863" i="9"/>
  <c r="X863" i="9"/>
  <c r="AC863" i="9"/>
  <c r="H863" i="9" s="1"/>
  <c r="F863" i="9" s="1"/>
  <c r="G905" i="9"/>
  <c r="AD910" i="9"/>
  <c r="AA950" i="9" s="1"/>
  <c r="AD911" i="9"/>
  <c r="AD912" i="9"/>
  <c r="AE939" i="9" s="1"/>
  <c r="H939" i="9" s="1"/>
  <c r="X917" i="9"/>
  <c r="X919" i="9"/>
  <c r="X921" i="9"/>
  <c r="X928" i="9"/>
  <c r="X930" i="9"/>
  <c r="X932" i="9"/>
  <c r="X939" i="9"/>
  <c r="X941" i="9"/>
  <c r="X943" i="9"/>
  <c r="I950" i="9"/>
  <c r="J950" i="9"/>
  <c r="X950" i="9"/>
  <c r="I952" i="9"/>
  <c r="J952" i="9"/>
  <c r="X952" i="9"/>
  <c r="G1005" i="9"/>
  <c r="B1009" i="9"/>
  <c r="AB1009" i="9"/>
  <c r="B1010" i="9"/>
  <c r="AB1010" i="9"/>
  <c r="AA1017" i="9" s="1"/>
  <c r="AD1011" i="9"/>
  <c r="AC1039" i="9" s="1"/>
  <c r="H1039" i="9" s="1"/>
  <c r="D1039" i="9" s="1"/>
  <c r="J1015" i="9"/>
  <c r="I1015" i="9" s="1"/>
  <c r="X1015" i="9"/>
  <c r="J1017" i="9"/>
  <c r="I1017" i="9" s="1"/>
  <c r="X1017" i="9"/>
  <c r="AE1017" i="9"/>
  <c r="H1017" i="9" s="1"/>
  <c r="X1025" i="9"/>
  <c r="X1027" i="9"/>
  <c r="X1029" i="9"/>
  <c r="X1035" i="9"/>
  <c r="X1037" i="9"/>
  <c r="X1039" i="9"/>
  <c r="X1045" i="9"/>
  <c r="AC1045" i="9"/>
  <c r="H1045" i="9" s="1"/>
  <c r="X1047" i="9"/>
  <c r="X1049" i="9"/>
  <c r="X1055" i="9"/>
  <c r="X1057" i="9"/>
  <c r="X1059" i="9"/>
  <c r="G1105" i="9"/>
  <c r="AD1109" i="9"/>
  <c r="AD1111" i="9"/>
  <c r="AB1124" i="9" s="1"/>
  <c r="AD1113" i="9"/>
  <c r="AD1124" i="9" s="1"/>
  <c r="J1122" i="9"/>
  <c r="I1122" i="9" s="1"/>
  <c r="X1122" i="9"/>
  <c r="J1124" i="9"/>
  <c r="I1124" i="9" s="1"/>
  <c r="X1124" i="9"/>
  <c r="X1126" i="9"/>
  <c r="X1128" i="9"/>
  <c r="X1134" i="9"/>
  <c r="AC1134" i="9"/>
  <c r="H1134" i="9" s="1"/>
  <c r="G1155" i="9"/>
  <c r="AD1158" i="9"/>
  <c r="AD1160" i="9"/>
  <c r="B1160" i="9" s="1"/>
  <c r="AD1162" i="9"/>
  <c r="AC1168" i="9" s="1"/>
  <c r="J1168" i="9"/>
  <c r="I1168" i="9" s="1"/>
  <c r="X1168" i="9"/>
  <c r="J1170" i="9"/>
  <c r="I1170" i="9" s="1"/>
  <c r="X1170" i="9"/>
  <c r="AC1170" i="9"/>
  <c r="AE1170" i="9"/>
  <c r="H1170" i="9" s="1"/>
  <c r="I1178" i="9"/>
  <c r="AC1178" i="9"/>
  <c r="H1178" i="9" s="1"/>
  <c r="G1205" i="9"/>
  <c r="B1209" i="9"/>
  <c r="AB1209" i="9"/>
  <c r="AA1260" i="9" s="1"/>
  <c r="B1227" i="9"/>
  <c r="AB1227" i="9"/>
  <c r="AE1248" i="9" s="1"/>
  <c r="B1233" i="9"/>
  <c r="AD1233" i="9"/>
  <c r="Z1242" i="9" s="1"/>
  <c r="Z1236" i="9"/>
  <c r="AF1236" i="9"/>
  <c r="B1236" i="9" s="1"/>
  <c r="B1239" i="9"/>
  <c r="AD1239" i="9"/>
  <c r="AD1242" i="9" s="1"/>
  <c r="X1245" i="9"/>
  <c r="AE1245" i="9"/>
  <c r="X1248" i="9"/>
  <c r="X1251" i="9"/>
  <c r="AE1251" i="9"/>
  <c r="X1266" i="9"/>
  <c r="E1273" i="9"/>
  <c r="I1273" i="9"/>
  <c r="AC1273" i="9"/>
  <c r="H1273" i="9" s="1"/>
  <c r="F1273" i="9" s="1"/>
  <c r="E1304" i="9"/>
  <c r="F1304" i="9"/>
  <c r="G1305" i="9"/>
  <c r="AD1311" i="9"/>
  <c r="Z1312" i="9" s="1"/>
  <c r="X1316" i="9"/>
  <c r="AC1316" i="9"/>
  <c r="H1316" i="9" s="1"/>
  <c r="F1316" i="9" s="1"/>
  <c r="X1317" i="9"/>
  <c r="AC1317" i="9"/>
  <c r="H1317" i="9" s="1"/>
  <c r="X1318" i="9"/>
  <c r="AC1318" i="9"/>
  <c r="H1318" i="9" s="1"/>
  <c r="X1319" i="9"/>
  <c r="AC1319" i="9"/>
  <c r="H1319" i="9" s="1"/>
  <c r="AC1320" i="9"/>
  <c r="H1320" i="9" s="1"/>
  <c r="J1327" i="9"/>
  <c r="I1327" i="9" s="1"/>
  <c r="X1327" i="9"/>
  <c r="Y1327" i="9"/>
  <c r="J1328" i="9"/>
  <c r="I1328" i="9" s="1"/>
  <c r="X1328" i="9"/>
  <c r="AC1329" i="9"/>
  <c r="H1329" i="9" s="1"/>
  <c r="X1337" i="9"/>
  <c r="X1338" i="9"/>
  <c r="X1339" i="9"/>
  <c r="X1344" i="9"/>
  <c r="X1345" i="9"/>
  <c r="X1346" i="9"/>
  <c r="G1355" i="9"/>
  <c r="B1362" i="9"/>
  <c r="AD1362" i="9"/>
  <c r="AE1379" i="9" s="1"/>
  <c r="X1368" i="9"/>
  <c r="AC1368" i="9"/>
  <c r="H1368" i="9" s="1"/>
  <c r="X1369" i="9"/>
  <c r="AC1369" i="9"/>
  <c r="H1369" i="9" s="1"/>
  <c r="X1370" i="9"/>
  <c r="AC1370" i="9"/>
  <c r="H1370" i="9" s="1"/>
  <c r="H1371" i="9"/>
  <c r="F1371" i="9" s="1"/>
  <c r="X1371" i="9"/>
  <c r="AC1371" i="9"/>
  <c r="AC1372" i="9"/>
  <c r="H1372" i="9" s="1"/>
  <c r="D1372" i="9" s="1"/>
  <c r="J1378" i="9"/>
  <c r="I1378" i="9" s="1"/>
  <c r="X1378" i="9"/>
  <c r="AC1378" i="9"/>
  <c r="AE1378" i="9"/>
  <c r="H1378" i="9" s="1"/>
  <c r="E1379" i="9"/>
  <c r="C1379" i="9" s="1"/>
  <c r="F1379" i="9"/>
  <c r="H1379" i="9"/>
  <c r="D1379" i="9" s="1"/>
  <c r="J1379" i="9"/>
  <c r="I1379" i="9" s="1"/>
  <c r="X1379" i="9"/>
  <c r="AC1379" i="9"/>
  <c r="AC1380" i="9"/>
  <c r="H1380" i="9" s="1"/>
  <c r="X1389" i="9"/>
  <c r="X1390" i="9"/>
  <c r="X1391" i="9"/>
  <c r="X1396" i="9"/>
  <c r="X1397" i="9"/>
  <c r="X1398" i="9"/>
  <c r="G1455" i="9"/>
  <c r="AD1461" i="9"/>
  <c r="AE1477" i="9" s="1"/>
  <c r="H1477" i="9" s="1"/>
  <c r="Z1462" i="9"/>
  <c r="X1466" i="9"/>
  <c r="AC1466" i="9"/>
  <c r="H1466" i="9" s="1"/>
  <c r="X1467" i="9"/>
  <c r="AC1467" i="9"/>
  <c r="H1467" i="9" s="1"/>
  <c r="X1468" i="9"/>
  <c r="AC1468" i="9"/>
  <c r="H1468" i="9" s="1"/>
  <c r="H1469" i="9"/>
  <c r="X1469" i="9"/>
  <c r="AC1469" i="9"/>
  <c r="AC1470" i="9"/>
  <c r="H1470" i="9" s="1"/>
  <c r="F1470" i="9" s="1"/>
  <c r="J1476" i="9"/>
  <c r="I1476" i="9" s="1"/>
  <c r="X1476" i="9"/>
  <c r="J1477" i="9"/>
  <c r="I1477" i="9" s="1"/>
  <c r="X1477" i="9"/>
  <c r="AC1478" i="9"/>
  <c r="H1478" i="9" s="1"/>
  <c r="X1486" i="9"/>
  <c r="X1487" i="9"/>
  <c r="X1488" i="9"/>
  <c r="X1493" i="9"/>
  <c r="X1494" i="9"/>
  <c r="X1495" i="9"/>
  <c r="G1505" i="9"/>
  <c r="X1517" i="9"/>
  <c r="AE1517" i="9"/>
  <c r="H1517" i="9" s="1"/>
  <c r="AC1520" i="9"/>
  <c r="H1520" i="9" s="1"/>
  <c r="G1555" i="9"/>
  <c r="D1567" i="9"/>
  <c r="H1567" i="9"/>
  <c r="X1567" i="9"/>
  <c r="AE1567" i="9"/>
  <c r="AC1569" i="9"/>
  <c r="H1569" i="9" s="1"/>
  <c r="G1605" i="9"/>
  <c r="J1616" i="9"/>
  <c r="I1616" i="9" s="1"/>
  <c r="X1616" i="9"/>
  <c r="AC1616" i="9"/>
  <c r="H1616" i="9" s="1"/>
  <c r="D1618" i="9"/>
  <c r="D1620" i="9" s="1"/>
  <c r="D1654" i="9" s="1"/>
  <c r="H1618" i="9"/>
  <c r="E1618" i="9" s="1"/>
  <c r="E1620" i="9" s="1"/>
  <c r="AC1618" i="9"/>
  <c r="G1655" i="9"/>
  <c r="J1666" i="9"/>
  <c r="I1666" i="9" s="1"/>
  <c r="X1666" i="9"/>
  <c r="AC1666" i="9"/>
  <c r="H1666" i="9" s="1"/>
  <c r="AC1669" i="9"/>
  <c r="H1669" i="9" s="1"/>
  <c r="G1705" i="9"/>
  <c r="B1714" i="9"/>
  <c r="AB1714" i="9"/>
  <c r="AD1718" i="9" s="1"/>
  <c r="AF1714" i="9"/>
  <c r="AF1720" i="9" s="1"/>
  <c r="AJ1714" i="9"/>
  <c r="AB1718" i="9" s="1"/>
  <c r="AN1714" i="9"/>
  <c r="AF1718" i="9" s="1"/>
  <c r="AD1716" i="9"/>
  <c r="AD1720" i="9" s="1"/>
  <c r="AJ1716" i="9"/>
  <c r="Z1718" i="9"/>
  <c r="X1722" i="9"/>
  <c r="X1723" i="9"/>
  <c r="X1724" i="9"/>
  <c r="G1755" i="9"/>
  <c r="J1775" i="9"/>
  <c r="I1775" i="9" s="1"/>
  <c r="X1775" i="9"/>
  <c r="AC1775" i="9"/>
  <c r="H1775" i="9" s="1"/>
  <c r="G1805" i="9"/>
  <c r="AD1809" i="9"/>
  <c r="AA1828" i="9" s="1"/>
  <c r="B1811" i="9"/>
  <c r="AD1811" i="9"/>
  <c r="AA1830" i="9" s="1"/>
  <c r="AD1813" i="9"/>
  <c r="AD1815" i="9"/>
  <c r="I1828" i="9"/>
  <c r="J1828" i="9"/>
  <c r="X1828" i="9"/>
  <c r="J1830" i="9"/>
  <c r="I1830" i="9" s="1"/>
  <c r="X1830" i="9"/>
  <c r="J1832" i="9"/>
  <c r="I1832" i="9" s="1"/>
  <c r="X1832" i="9"/>
  <c r="AC1834" i="9"/>
  <c r="H1834" i="9" s="1"/>
  <c r="X1840" i="9"/>
  <c r="X1842" i="9"/>
  <c r="X1844" i="9"/>
  <c r="X1850" i="9"/>
  <c r="X1852" i="9"/>
  <c r="X1854" i="9"/>
  <c r="G1905" i="9"/>
  <c r="AD1909" i="9"/>
  <c r="AB1934" i="9" s="1"/>
  <c r="AD1911" i="9"/>
  <c r="AD1913" i="9"/>
  <c r="AF1936" i="9" s="1"/>
  <c r="H1936" i="9" s="1"/>
  <c r="H1922" i="9"/>
  <c r="X1922" i="9"/>
  <c r="AC1922" i="9"/>
  <c r="X1928" i="9"/>
  <c r="AC1928" i="9"/>
  <c r="H1928" i="9" s="1"/>
  <c r="J1934" i="9"/>
  <c r="I1934" i="9" s="1"/>
  <c r="X1934" i="9"/>
  <c r="J1936" i="9"/>
  <c r="I1936" i="9" s="1"/>
  <c r="X1936" i="9"/>
  <c r="X1938" i="9"/>
  <c r="H1944" i="9"/>
  <c r="X1944" i="9"/>
  <c r="AC1944" i="9"/>
  <c r="G1955" i="9"/>
  <c r="AD1962" i="9"/>
  <c r="B1962" i="9" s="1"/>
  <c r="AD1964" i="9"/>
  <c r="B1966" i="9"/>
  <c r="AD1966" i="9"/>
  <c r="AE1971" i="9" s="1"/>
  <c r="H1971" i="9" s="1"/>
  <c r="J1971" i="9"/>
  <c r="I1971" i="9" s="1"/>
  <c r="X1971" i="9"/>
  <c r="AA1971" i="9"/>
  <c r="J1973" i="9"/>
  <c r="I1973" i="9" s="1"/>
  <c r="X1973" i="9"/>
  <c r="AC1977" i="9"/>
  <c r="H1977" i="9" s="1"/>
  <c r="G2005" i="9"/>
  <c r="AD2012" i="9"/>
  <c r="B2014" i="9"/>
  <c r="AD2014" i="9"/>
  <c r="AE2034" i="9" s="1"/>
  <c r="H2034" i="9" s="1"/>
  <c r="AD2016" i="9"/>
  <c r="B2016" i="9" s="1"/>
  <c r="D2020" i="9"/>
  <c r="X2020" i="9"/>
  <c r="AE2020" i="9"/>
  <c r="H2020" i="9" s="1"/>
  <c r="F2020" i="9" s="1"/>
  <c r="X2022" i="9"/>
  <c r="AE2022" i="9"/>
  <c r="H2022" i="9" s="1"/>
  <c r="AC2028" i="9"/>
  <c r="H2028" i="9" s="1"/>
  <c r="I2032" i="9"/>
  <c r="J2032" i="9"/>
  <c r="X2032" i="9"/>
  <c r="AA2032" i="9"/>
  <c r="AC2032" i="9"/>
  <c r="I2034" i="9"/>
  <c r="J2034" i="9"/>
  <c r="X2034" i="9"/>
  <c r="AC2036" i="9"/>
  <c r="H2036" i="9" s="1"/>
  <c r="E2036" i="9" s="1"/>
  <c r="G2055" i="9"/>
  <c r="J2061" i="9"/>
  <c r="I2061" i="9" s="1"/>
  <c r="X2061" i="9"/>
  <c r="Y2061" i="9"/>
  <c r="AE2061" i="9"/>
  <c r="H2061" i="9" s="1"/>
  <c r="E2061" i="9" s="1"/>
  <c r="I2063" i="9"/>
  <c r="J2063" i="9"/>
  <c r="X2063" i="9"/>
  <c r="AE2063" i="9"/>
  <c r="H2063" i="9" s="1"/>
  <c r="F2063" i="9" s="1"/>
  <c r="H2065" i="9"/>
  <c r="X2065" i="9"/>
  <c r="AE2065" i="9"/>
  <c r="G2105" i="9"/>
  <c r="B2110" i="9"/>
  <c r="AB2110" i="9"/>
  <c r="Z2112" i="9" s="1"/>
  <c r="J2117" i="9"/>
  <c r="I2117" i="9" s="1"/>
  <c r="X2117" i="9"/>
  <c r="J2119" i="9"/>
  <c r="I2119" i="9" s="1"/>
  <c r="X2119" i="9"/>
  <c r="AC2121" i="9"/>
  <c r="H2121" i="9" s="1"/>
  <c r="X2131" i="9"/>
  <c r="X2133" i="9"/>
  <c r="X2135" i="9"/>
  <c r="G2155" i="9"/>
  <c r="B2160" i="9"/>
  <c r="AB2160" i="9"/>
  <c r="Z2162" i="9" s="1"/>
  <c r="J2167" i="9"/>
  <c r="I2167" i="9" s="1"/>
  <c r="X2167" i="9"/>
  <c r="I2169" i="9"/>
  <c r="J2169" i="9"/>
  <c r="X2169" i="9"/>
  <c r="AC2171" i="9"/>
  <c r="H2171" i="9" s="1"/>
  <c r="X2181" i="9"/>
  <c r="X2183" i="9"/>
  <c r="X2185" i="9"/>
  <c r="G2205" i="9"/>
  <c r="B2213" i="9"/>
  <c r="AB2213" i="9"/>
  <c r="I2219" i="9"/>
  <c r="J2219" i="9"/>
  <c r="X2219" i="9"/>
  <c r="J2221" i="9"/>
  <c r="I2221" i="9" s="1"/>
  <c r="X2221" i="9"/>
  <c r="AC2223" i="9"/>
  <c r="H2223" i="9" s="1"/>
  <c r="X2233" i="9"/>
  <c r="X2235" i="9"/>
  <c r="X2237" i="9"/>
  <c r="G2255" i="9"/>
  <c r="B2259" i="9"/>
  <c r="AD2259" i="9"/>
  <c r="AA2269" i="9" s="1"/>
  <c r="AD2261" i="9"/>
  <c r="B2261" i="9" s="1"/>
  <c r="AD2263" i="9"/>
  <c r="B2263" i="9" s="1"/>
  <c r="J2269" i="9"/>
  <c r="I2269" i="9" s="1"/>
  <c r="X2269" i="9"/>
  <c r="J2271" i="9"/>
  <c r="I2271" i="9" s="1"/>
  <c r="X2271" i="9"/>
  <c r="X2277" i="9"/>
  <c r="AC2277" i="9"/>
  <c r="H2277" i="9" s="1"/>
  <c r="X2279" i="9"/>
  <c r="X2281" i="9"/>
  <c r="G2305" i="9"/>
  <c r="AD2312" i="9"/>
  <c r="AD2314" i="9"/>
  <c r="AD2316" i="9"/>
  <c r="X2321" i="9"/>
  <c r="AC2321" i="9"/>
  <c r="H2321" i="9" s="1"/>
  <c r="AC2323" i="9"/>
  <c r="H2323" i="9" s="1"/>
  <c r="D2323" i="9" s="1"/>
  <c r="AC2325" i="9"/>
  <c r="H2325" i="9" s="1"/>
  <c r="I2331" i="9"/>
  <c r="J2331" i="9"/>
  <c r="X2331" i="9"/>
  <c r="J2333" i="9"/>
  <c r="I2333" i="9" s="1"/>
  <c r="X2333" i="9"/>
  <c r="Y2333" i="9"/>
  <c r="AC2337" i="9"/>
  <c r="H2337" i="9" s="1"/>
  <c r="G2355" i="9"/>
  <c r="AD2361" i="9"/>
  <c r="B2361" i="9" s="1"/>
  <c r="B2363" i="9"/>
  <c r="AD2363" i="9"/>
  <c r="AD2365" i="9"/>
  <c r="AA2383" i="9" s="1"/>
  <c r="J2370" i="9"/>
  <c r="I2370" i="9" s="1"/>
  <c r="X2370" i="9"/>
  <c r="J2372" i="9"/>
  <c r="I2372" i="9" s="1"/>
  <c r="X2372" i="9"/>
  <c r="X2379" i="9"/>
  <c r="X2381" i="9"/>
  <c r="X2383" i="9"/>
  <c r="G2405" i="9"/>
  <c r="B2415" i="9"/>
  <c r="AB2415" i="9"/>
  <c r="AC2439" i="9" s="1"/>
  <c r="X2418" i="9"/>
  <c r="AA2418" i="9"/>
  <c r="AC2418" i="9"/>
  <c r="H2418" i="9" s="1"/>
  <c r="X2421" i="9"/>
  <c r="AA2421" i="9"/>
  <c r="AC2421" i="9"/>
  <c r="H2421" i="9" s="1"/>
  <c r="F2421" i="9" s="1"/>
  <c r="X2424" i="9"/>
  <c r="AA2424" i="9"/>
  <c r="J2432" i="9"/>
  <c r="I2432" i="9" s="1"/>
  <c r="X2432" i="9"/>
  <c r="AD2432" i="9"/>
  <c r="AG2432" i="9"/>
  <c r="H2432" i="9" s="1"/>
  <c r="X2439" i="9"/>
  <c r="AE2439" i="9"/>
  <c r="H2439" i="9" s="1"/>
  <c r="G2455" i="9"/>
  <c r="B2463" i="9"/>
  <c r="AB2463" i="9"/>
  <c r="AB2467" i="9" s="1"/>
  <c r="AF2463" i="9"/>
  <c r="AD2467" i="9" s="1"/>
  <c r="AL2463" i="9"/>
  <c r="AF2467" i="9" s="1"/>
  <c r="AD2465" i="9"/>
  <c r="B2465" i="9" s="1"/>
  <c r="AH2465" i="9"/>
  <c r="AJ2467" i="9" s="1"/>
  <c r="AH2467" i="9"/>
  <c r="X2469" i="9"/>
  <c r="X2470" i="9"/>
  <c r="X2471" i="9"/>
  <c r="B2478" i="9"/>
  <c r="AB2478" i="9"/>
  <c r="J2480" i="9"/>
  <c r="I2480" i="9" s="1"/>
  <c r="X2480" i="9"/>
  <c r="G2505" i="9"/>
  <c r="AB2514" i="9"/>
  <c r="AH2514" i="9"/>
  <c r="B2516" i="9"/>
  <c r="AB2516" i="9"/>
  <c r="AH2520" i="9" s="1"/>
  <c r="B2518" i="9"/>
  <c r="AB2518" i="9"/>
  <c r="AD2520" i="9" s="1"/>
  <c r="AF2518" i="9"/>
  <c r="AJ2520" i="9" s="1"/>
  <c r="AB2520" i="9"/>
  <c r="X2522" i="9"/>
  <c r="X2524" i="9"/>
  <c r="X2526" i="9"/>
  <c r="J2532" i="9"/>
  <c r="I2532" i="9" s="1"/>
  <c r="X2532" i="9"/>
  <c r="Y2532" i="9"/>
  <c r="AD2532" i="9"/>
  <c r="H2532" i="9" s="1"/>
  <c r="B2538" i="9"/>
  <c r="AB2538" i="9"/>
  <c r="AB2542" i="9" s="1"/>
  <c r="AF2538" i="9"/>
  <c r="AD2542" i="9" s="1"/>
  <c r="AJ2538" i="9"/>
  <c r="B2540" i="9"/>
  <c r="AB2540" i="9"/>
  <c r="AF2540" i="9"/>
  <c r="AJ2540" i="9"/>
  <c r="AF2542" i="9"/>
  <c r="AH2542" i="9"/>
  <c r="AJ2542" i="9"/>
  <c r="AL2542" i="9"/>
  <c r="AN2542" i="9"/>
  <c r="AA2546" i="9" s="1"/>
  <c r="X2544" i="9"/>
  <c r="X2546" i="9"/>
  <c r="X2548" i="9"/>
  <c r="G2555" i="9"/>
  <c r="X2566" i="9"/>
  <c r="AE2566" i="9"/>
  <c r="H2566" i="9" s="1"/>
  <c r="F2566" i="9" s="1"/>
  <c r="AC2568" i="9"/>
  <c r="H2568" i="9" s="1"/>
  <c r="J2" i="8"/>
  <c r="AC15" i="5" s="1"/>
  <c r="K3" i="8"/>
  <c r="J4" i="8"/>
  <c r="J5" i="8"/>
  <c r="J6" i="8"/>
  <c r="J7" i="8"/>
  <c r="K7" i="8"/>
  <c r="J8" i="8"/>
  <c r="J9" i="8"/>
  <c r="J10" i="8"/>
  <c r="K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K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K39" i="8"/>
  <c r="J40" i="8"/>
  <c r="J41" i="8"/>
  <c r="J42" i="8"/>
  <c r="J43" i="8"/>
  <c r="J44" i="8"/>
  <c r="J45" i="8"/>
  <c r="O2" i="5"/>
  <c r="D7" i="1" s="1"/>
  <c r="AC4" i="5"/>
  <c r="O5" i="5"/>
  <c r="O6" i="5"/>
  <c r="O14" i="5"/>
  <c r="O20" i="5"/>
  <c r="O21" i="5"/>
  <c r="O33" i="5"/>
  <c r="O36" i="5"/>
  <c r="O37" i="5"/>
  <c r="O41" i="5"/>
  <c r="O43" i="5"/>
  <c r="O45" i="5"/>
  <c r="O47" i="5"/>
  <c r="O51" i="5"/>
  <c r="O54" i="5"/>
  <c r="O55" i="5"/>
  <c r="H57" i="5"/>
  <c r="I57" i="5" s="1"/>
  <c r="J57" i="5"/>
  <c r="F57" i="5" s="1"/>
  <c r="K57" i="5"/>
  <c r="G57" i="5" s="1"/>
  <c r="L57" i="5"/>
  <c r="M57" i="5"/>
  <c r="H58" i="5"/>
  <c r="I58" i="5" s="1"/>
  <c r="J58" i="5"/>
  <c r="K58" i="5" s="1"/>
  <c r="L58" i="5"/>
  <c r="M58" i="5"/>
  <c r="O63" i="5"/>
  <c r="O65" i="5"/>
  <c r="I66" i="5"/>
  <c r="M66" i="5"/>
  <c r="I67" i="5"/>
  <c r="M67" i="5"/>
  <c r="I68" i="5"/>
  <c r="M68" i="5"/>
  <c r="I69" i="5"/>
  <c r="M69" i="5"/>
  <c r="I70" i="5"/>
  <c r="J70" i="5"/>
  <c r="F70" i="5" s="1"/>
  <c r="K70" i="5"/>
  <c r="M70" i="5"/>
  <c r="I71" i="5"/>
  <c r="M71" i="5"/>
  <c r="I72" i="5"/>
  <c r="M72" i="5"/>
  <c r="F73" i="5"/>
  <c r="I73" i="5"/>
  <c r="M73" i="5"/>
  <c r="I74" i="5"/>
  <c r="M74" i="5"/>
  <c r="I75" i="5"/>
  <c r="M75" i="5"/>
  <c r="I76" i="5"/>
  <c r="M76" i="5"/>
  <c r="I77" i="5"/>
  <c r="M77" i="5"/>
  <c r="I78" i="5"/>
  <c r="M78" i="5"/>
  <c r="I79" i="5"/>
  <c r="M79" i="5"/>
  <c r="I80" i="5"/>
  <c r="M80" i="5"/>
  <c r="I81" i="5"/>
  <c r="M81" i="5"/>
  <c r="I82" i="5"/>
  <c r="J82" i="5"/>
  <c r="M82" i="5"/>
  <c r="I83" i="5"/>
  <c r="M83" i="5"/>
  <c r="I84" i="5"/>
  <c r="J84" i="5"/>
  <c r="F84" i="5" s="1"/>
  <c r="M84" i="5"/>
  <c r="I85" i="5"/>
  <c r="M85" i="5"/>
  <c r="I86" i="5"/>
  <c r="M86" i="5"/>
  <c r="I87" i="5"/>
  <c r="M87" i="5"/>
  <c r="O105" i="5"/>
  <c r="O125" i="5"/>
  <c r="O126" i="5"/>
  <c r="I127" i="5"/>
  <c r="M127" i="5"/>
  <c r="I128" i="5"/>
  <c r="K128" i="5"/>
  <c r="I129" i="5"/>
  <c r="O129" i="5"/>
  <c r="I130" i="5"/>
  <c r="M130" i="5"/>
  <c r="I131" i="5"/>
  <c r="M131" i="5"/>
  <c r="H132" i="5"/>
  <c r="I132" i="5"/>
  <c r="J132" i="5"/>
  <c r="K132" i="5" s="1"/>
  <c r="L132" i="5"/>
  <c r="M132" i="5"/>
  <c r="I133" i="5"/>
  <c r="K133" i="5"/>
  <c r="O134" i="5"/>
  <c r="I135" i="5"/>
  <c r="M135" i="5"/>
  <c r="I136" i="5"/>
  <c r="I134" i="5" s="1"/>
  <c r="K136" i="5"/>
  <c r="O137" i="5"/>
  <c r="I138" i="5"/>
  <c r="I137" i="5" s="1"/>
  <c r="K138" i="5"/>
  <c r="M138" i="5"/>
  <c r="I139" i="5"/>
  <c r="K139" i="5"/>
  <c r="I140" i="5"/>
  <c r="K140" i="5"/>
  <c r="L140" i="5"/>
  <c r="F140" i="5" s="1"/>
  <c r="O145" i="5"/>
  <c r="I146" i="5"/>
  <c r="J146" i="5"/>
  <c r="F146" i="5" s="1"/>
  <c r="K146" i="5"/>
  <c r="M146" i="5"/>
  <c r="I147" i="5"/>
  <c r="K147" i="5"/>
  <c r="I148" i="5"/>
  <c r="J148" i="5"/>
  <c r="M148" i="5"/>
  <c r="O165" i="5"/>
  <c r="O166" i="5"/>
  <c r="F167" i="5"/>
  <c r="I167" i="5"/>
  <c r="K167" i="5"/>
  <c r="L167" i="5"/>
  <c r="M167" i="5" s="1"/>
  <c r="I168" i="5"/>
  <c r="K168" i="5"/>
  <c r="L168" i="5"/>
  <c r="F168" i="5" s="1"/>
  <c r="M168" i="5"/>
  <c r="O169" i="5"/>
  <c r="F170" i="5"/>
  <c r="I170" i="5"/>
  <c r="I169" i="5" s="1"/>
  <c r="K170" i="5"/>
  <c r="L170" i="5"/>
  <c r="M170" i="5" s="1"/>
  <c r="I171" i="5"/>
  <c r="K171" i="5"/>
  <c r="G171" i="5" s="1"/>
  <c r="L171" i="5"/>
  <c r="F171" i="5" s="1"/>
  <c r="M171" i="5"/>
  <c r="I172" i="5"/>
  <c r="K172" i="5"/>
  <c r="L172" i="5"/>
  <c r="F172" i="5" s="1"/>
  <c r="O185" i="5"/>
  <c r="I186" i="5"/>
  <c r="J186" i="5"/>
  <c r="F186" i="5" s="1"/>
  <c r="M186" i="5"/>
  <c r="F187" i="5"/>
  <c r="I187" i="5"/>
  <c r="K187" i="5"/>
  <c r="L187" i="5"/>
  <c r="M187" i="5" s="1"/>
  <c r="AC187" i="5"/>
  <c r="J2" i="16"/>
  <c r="AC132" i="5" s="1"/>
  <c r="K3" i="16"/>
  <c r="E4" i="16"/>
  <c r="E5" i="16"/>
  <c r="E6" i="16"/>
  <c r="J2" i="6"/>
  <c r="AC26" i="5" s="1"/>
  <c r="K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N2" i="7"/>
  <c r="K22" i="6" s="1"/>
  <c r="Z4" i="7"/>
  <c r="N6" i="7"/>
  <c r="N10" i="7"/>
  <c r="E11" i="7"/>
  <c r="F11" i="7"/>
  <c r="G11" i="7"/>
  <c r="H11" i="7" s="1"/>
  <c r="J11" i="7"/>
  <c r="L11" i="7"/>
  <c r="G12" i="7"/>
  <c r="E12" i="7" s="1"/>
  <c r="J12" i="7"/>
  <c r="L12" i="7"/>
  <c r="N17" i="7"/>
  <c r="J20" i="7"/>
  <c r="J21" i="7" s="1"/>
  <c r="G6" i="6" s="1"/>
  <c r="J12" i="5" s="1"/>
  <c r="K12" i="5" s="1"/>
  <c r="L20" i="7"/>
  <c r="L21" i="7" s="1"/>
  <c r="H6" i="6" s="1"/>
  <c r="L12" i="5" s="1"/>
  <c r="M12" i="5" s="1"/>
  <c r="N23" i="7"/>
  <c r="N27" i="7"/>
  <c r="N33" i="7"/>
  <c r="N39" i="7"/>
  <c r="N45" i="7"/>
  <c r="N49" i="7"/>
  <c r="N55" i="7"/>
  <c r="E56" i="7"/>
  <c r="G56" i="7"/>
  <c r="H56" i="7" s="1"/>
  <c r="J56" i="7"/>
  <c r="L56" i="7"/>
  <c r="H57" i="7"/>
  <c r="J57" i="7"/>
  <c r="J58" i="7"/>
  <c r="G13" i="6" s="1"/>
  <c r="J27" i="5" s="1"/>
  <c r="N60" i="7"/>
  <c r="G61" i="7"/>
  <c r="E61" i="7" s="1"/>
  <c r="H61" i="7"/>
  <c r="F61" i="7" s="1"/>
  <c r="J61" i="7"/>
  <c r="L61" i="7"/>
  <c r="Z61" i="7"/>
  <c r="G62" i="7"/>
  <c r="E62" i="7" s="1"/>
  <c r="H62" i="7"/>
  <c r="J62" i="7"/>
  <c r="L62" i="7"/>
  <c r="H64" i="7"/>
  <c r="J64" i="7"/>
  <c r="N67" i="7"/>
  <c r="G68" i="7"/>
  <c r="E68" i="7" s="1"/>
  <c r="J68" i="7"/>
  <c r="L68" i="7"/>
  <c r="E69" i="7"/>
  <c r="F69" i="7"/>
  <c r="G69" i="7"/>
  <c r="H69" i="7" s="1"/>
  <c r="J69" i="7"/>
  <c r="L69" i="7"/>
  <c r="H70" i="7"/>
  <c r="J70" i="7"/>
  <c r="N74" i="7"/>
  <c r="G75" i="7"/>
  <c r="E75" i="7" s="1"/>
  <c r="J75" i="7"/>
  <c r="L75" i="7"/>
  <c r="Z75" i="7"/>
  <c r="G76" i="7"/>
  <c r="H76" i="7" s="1"/>
  <c r="J76" i="7"/>
  <c r="L76" i="7"/>
  <c r="H77" i="7"/>
  <c r="J77" i="7"/>
  <c r="N81" i="7"/>
  <c r="H82" i="7"/>
  <c r="L82" i="7"/>
  <c r="G83" i="7"/>
  <c r="E83" i="7" s="1"/>
  <c r="H83" i="7"/>
  <c r="J83" i="7"/>
  <c r="L83" i="7"/>
  <c r="Z83" i="7"/>
  <c r="G84" i="7"/>
  <c r="E84" i="7" s="1"/>
  <c r="J84" i="7"/>
  <c r="L84" i="7"/>
  <c r="H85" i="7"/>
  <c r="J85" i="7"/>
  <c r="N88" i="7"/>
  <c r="N93" i="7"/>
  <c r="G94" i="7"/>
  <c r="E94" i="7" s="1"/>
  <c r="J94" i="7"/>
  <c r="L94" i="7"/>
  <c r="G95" i="7"/>
  <c r="H95" i="7" s="1"/>
  <c r="J95" i="7"/>
  <c r="L95" i="7"/>
  <c r="G96" i="7"/>
  <c r="E96" i="7" s="1"/>
  <c r="H96" i="7"/>
  <c r="J96" i="7"/>
  <c r="F96" i="7" s="1"/>
  <c r="L96" i="7"/>
  <c r="H97" i="7"/>
  <c r="J97" i="7"/>
  <c r="N102" i="7"/>
  <c r="G104" i="7"/>
  <c r="E104" i="7" s="1"/>
  <c r="J104" i="7"/>
  <c r="L104" i="7"/>
  <c r="G105" i="7"/>
  <c r="E105" i="7" s="1"/>
  <c r="H105" i="7"/>
  <c r="J105" i="7"/>
  <c r="L105" i="7"/>
  <c r="J106" i="7"/>
  <c r="L106" i="7"/>
  <c r="N114" i="7"/>
  <c r="G116" i="7"/>
  <c r="H116" i="7" s="1"/>
  <c r="J116" i="7"/>
  <c r="L116" i="7"/>
  <c r="Z116" i="7"/>
  <c r="G117" i="7"/>
  <c r="E117" i="7" s="1"/>
  <c r="H117" i="7"/>
  <c r="J117" i="7"/>
  <c r="L117" i="7"/>
  <c r="J118" i="7"/>
  <c r="L118" i="7"/>
  <c r="N126" i="7"/>
  <c r="N130" i="7"/>
  <c r="N134" i="7"/>
  <c r="H140" i="7"/>
  <c r="L140" i="7"/>
  <c r="N143" i="7"/>
  <c r="G144" i="7"/>
  <c r="E144" i="7" s="1"/>
  <c r="J144" i="7"/>
  <c r="J145" i="7" s="1"/>
  <c r="L144" i="7"/>
  <c r="L145" i="7" s="1"/>
  <c r="Z144" i="7"/>
  <c r="H146" i="7"/>
  <c r="J146" i="7"/>
  <c r="J147" i="7" s="1"/>
  <c r="G25" i="6" s="1"/>
  <c r="J106" i="5" s="1"/>
  <c r="H147" i="7"/>
  <c r="F25" i="6" s="1"/>
  <c r="H106" i="5" s="1"/>
  <c r="I106" i="5" s="1"/>
  <c r="N149" i="7"/>
  <c r="H151" i="7"/>
  <c r="L151" i="7"/>
  <c r="N154" i="7"/>
  <c r="N158" i="7"/>
  <c r="H159" i="7"/>
  <c r="L159" i="7"/>
  <c r="N163" i="7"/>
  <c r="G165" i="7"/>
  <c r="E165" i="7" s="1"/>
  <c r="J165" i="7"/>
  <c r="L165" i="7"/>
  <c r="Z165" i="7"/>
  <c r="N168" i="7"/>
  <c r="H169" i="7"/>
  <c r="L169" i="7"/>
  <c r="L172" i="7" s="1"/>
  <c r="H30" i="6" s="1"/>
  <c r="K164" i="7" s="1"/>
  <c r="L164" i="7" s="1"/>
  <c r="L166" i="7" s="1"/>
  <c r="H29" i="6" s="1"/>
  <c r="K111" i="7" s="1"/>
  <c r="L111" i="7" s="1"/>
  <c r="H170" i="7"/>
  <c r="L170" i="7"/>
  <c r="G171" i="7"/>
  <c r="E171" i="7" s="1"/>
  <c r="J171" i="7"/>
  <c r="L171" i="7"/>
  <c r="R2" i="17"/>
  <c r="H32" i="13" s="1"/>
  <c r="S4" i="17"/>
  <c r="V5" i="17"/>
  <c r="U5" i="17" s="1"/>
  <c r="W5" i="17" s="1"/>
  <c r="V6" i="17"/>
  <c r="U6" i="17" s="1"/>
  <c r="W6" i="17" s="1"/>
  <c r="V7" i="17"/>
  <c r="U7" i="17" s="1"/>
  <c r="W7" i="17" s="1"/>
  <c r="U8" i="17"/>
  <c r="W8" i="17" s="1"/>
  <c r="V8" i="17"/>
  <c r="V9" i="17"/>
  <c r="U9" i="17" s="1"/>
  <c r="W9" i="17" s="1"/>
  <c r="V10" i="17"/>
  <c r="U10" i="17" s="1"/>
  <c r="W10" i="17" s="1"/>
  <c r="V11" i="17"/>
  <c r="U11" i="17" s="1"/>
  <c r="W11" i="17" s="1"/>
  <c r="V12" i="17"/>
  <c r="U12" i="17" s="1"/>
  <c r="W12" i="17" s="1"/>
  <c r="V13" i="17"/>
  <c r="U13" i="17" s="1"/>
  <c r="W13" i="17" s="1"/>
  <c r="V14" i="17"/>
  <c r="U14" i="17" s="1"/>
  <c r="W14" i="17" s="1"/>
  <c r="V15" i="17"/>
  <c r="U15" i="17" s="1"/>
  <c r="W15" i="17" s="1"/>
  <c r="U16" i="17"/>
  <c r="W16" i="17" s="1"/>
  <c r="V16" i="17"/>
  <c r="V17" i="17"/>
  <c r="U17" i="17" s="1"/>
  <c r="W17" i="17" s="1"/>
  <c r="V18" i="17"/>
  <c r="U18" i="17" s="1"/>
  <c r="W18" i="17" s="1"/>
  <c r="V19" i="17"/>
  <c r="U19" i="17" s="1"/>
  <c r="W19" i="17" s="1"/>
  <c r="V20" i="17"/>
  <c r="U20" i="17" s="1"/>
  <c r="W20" i="17" s="1"/>
  <c r="V21" i="17"/>
  <c r="U21" i="17" s="1"/>
  <c r="W21" i="17"/>
  <c r="V22" i="17"/>
  <c r="U22" i="17" s="1"/>
  <c r="W22" i="17" s="1"/>
  <c r="V23" i="17"/>
  <c r="U23" i="17" s="1"/>
  <c r="W23" i="17" s="1"/>
  <c r="V24" i="17"/>
  <c r="U24" i="17" s="1"/>
  <c r="W24" i="17" s="1"/>
  <c r="V25" i="17"/>
  <c r="U25" i="17" s="1"/>
  <c r="W25" i="17" s="1"/>
  <c r="V26" i="17"/>
  <c r="U26" i="17" s="1"/>
  <c r="W26" i="17" s="1"/>
  <c r="V27" i="17"/>
  <c r="U27" i="17" s="1"/>
  <c r="W27" i="17" s="1"/>
  <c r="V28" i="17"/>
  <c r="U28" i="17" s="1"/>
  <c r="W28" i="17" s="1"/>
  <c r="V29" i="17"/>
  <c r="U29" i="17" s="1"/>
  <c r="W29" i="17" s="1"/>
  <c r="V30" i="17"/>
  <c r="U30" i="17" s="1"/>
  <c r="W30" i="17" s="1"/>
  <c r="V31" i="17"/>
  <c r="U31" i="17" s="1"/>
  <c r="W31" i="17" s="1"/>
  <c r="V32" i="17"/>
  <c r="U32" i="17" s="1"/>
  <c r="W32" i="17" s="1"/>
  <c r="V33" i="17"/>
  <c r="U33" i="17" s="1"/>
  <c r="W33" i="17" s="1"/>
  <c r="V34" i="17"/>
  <c r="U34" i="17" s="1"/>
  <c r="W34" i="17" s="1"/>
  <c r="V35" i="17"/>
  <c r="U35" i="17" s="1"/>
  <c r="W35" i="17" s="1"/>
  <c r="V36" i="17"/>
  <c r="U36" i="17" s="1"/>
  <c r="W36" i="17" s="1"/>
  <c r="V37" i="17"/>
  <c r="U37" i="17" s="1"/>
  <c r="W37" i="17" s="1"/>
  <c r="V38" i="17"/>
  <c r="U38" i="17" s="1"/>
  <c r="W38" i="17" s="1"/>
  <c r="V39" i="17"/>
  <c r="U39" i="17" s="1"/>
  <c r="W39" i="17" s="1"/>
  <c r="V40" i="17"/>
  <c r="U40" i="17" s="1"/>
  <c r="W40" i="17" s="1"/>
  <c r="V41" i="17"/>
  <c r="U41" i="17" s="1"/>
  <c r="W41" i="17" s="1"/>
  <c r="V42" i="17"/>
  <c r="U42" i="17" s="1"/>
  <c r="W42" i="17"/>
  <c r="V43" i="17"/>
  <c r="U43" i="17" s="1"/>
  <c r="W43" i="17" s="1"/>
  <c r="V44" i="17"/>
  <c r="U44" i="17" s="1"/>
  <c r="W44" i="17" s="1"/>
  <c r="U45" i="17"/>
  <c r="W45" i="17" s="1"/>
  <c r="V45" i="17"/>
  <c r="V46" i="17"/>
  <c r="U46" i="17" s="1"/>
  <c r="W46" i="17" s="1"/>
  <c r="U47" i="17"/>
  <c r="W47" i="17" s="1"/>
  <c r="V47" i="17"/>
  <c r="V48" i="17"/>
  <c r="U48" i="17" s="1"/>
  <c r="W48" i="17" s="1"/>
  <c r="V49" i="17"/>
  <c r="U49" i="17" s="1"/>
  <c r="W49" i="17" s="1"/>
  <c r="V50" i="17"/>
  <c r="U50" i="17" s="1"/>
  <c r="W50" i="17" s="1"/>
  <c r="V51" i="17"/>
  <c r="U51" i="17" s="1"/>
  <c r="W51" i="17" s="1"/>
  <c r="V52" i="17"/>
  <c r="U52" i="17" s="1"/>
  <c r="W52" i="17" s="1"/>
  <c r="V53" i="17"/>
  <c r="U53" i="17" s="1"/>
  <c r="W53" i="17" s="1"/>
  <c r="V54" i="17"/>
  <c r="U54" i="17" s="1"/>
  <c r="W54" i="17"/>
  <c r="V55" i="17"/>
  <c r="U55" i="17" s="1"/>
  <c r="W55" i="17" s="1"/>
  <c r="V56" i="17"/>
  <c r="U56" i="17" s="1"/>
  <c r="W56" i="17" s="1"/>
  <c r="V57" i="17"/>
  <c r="U57" i="17" s="1"/>
  <c r="W57" i="17" s="1"/>
  <c r="G2" i="13"/>
  <c r="Z121" i="12" s="1"/>
  <c r="H3" i="13"/>
  <c r="E4" i="13"/>
  <c r="J86" i="5" s="1"/>
  <c r="G4" i="13"/>
  <c r="E5" i="13"/>
  <c r="J131" i="5" s="1"/>
  <c r="G5" i="13"/>
  <c r="E6" i="13"/>
  <c r="J85" i="5" s="1"/>
  <c r="F85" i="5" s="1"/>
  <c r="G6" i="13"/>
  <c r="E7" i="13"/>
  <c r="G7" i="13"/>
  <c r="E8" i="13"/>
  <c r="J83" i="5" s="1"/>
  <c r="G8" i="13"/>
  <c r="E9" i="13"/>
  <c r="G9" i="13"/>
  <c r="E10" i="13"/>
  <c r="J81" i="5" s="1"/>
  <c r="G10" i="13"/>
  <c r="E11" i="13"/>
  <c r="K2022" i="9" s="1"/>
  <c r="I2022" i="9" s="1"/>
  <c r="G11" i="13"/>
  <c r="E12" i="13"/>
  <c r="K2321" i="9" s="1"/>
  <c r="I2321" i="9" s="1"/>
  <c r="G12" i="13"/>
  <c r="E13" i="13"/>
  <c r="I202" i="12" s="1"/>
  <c r="G13" i="13"/>
  <c r="E14" i="13"/>
  <c r="G14" i="13"/>
  <c r="E15" i="13"/>
  <c r="K1567" i="9" s="1"/>
  <c r="I1567" i="9" s="1"/>
  <c r="G15" i="13"/>
  <c r="E16" i="13"/>
  <c r="K1517" i="9" s="1"/>
  <c r="I1517" i="9" s="1"/>
  <c r="G16" i="13"/>
  <c r="E17" i="13"/>
  <c r="K2566" i="9" s="1"/>
  <c r="I2566" i="9" s="1"/>
  <c r="G17" i="13"/>
  <c r="E18" i="13"/>
  <c r="J87" i="5" s="1"/>
  <c r="F87" i="5" s="1"/>
  <c r="G18" i="13"/>
  <c r="E19" i="13"/>
  <c r="J130" i="5" s="1"/>
  <c r="G19" i="13"/>
  <c r="E20" i="13"/>
  <c r="G20" i="13"/>
  <c r="E21" i="13"/>
  <c r="J77" i="5" s="1"/>
  <c r="G21" i="13"/>
  <c r="E22" i="13"/>
  <c r="K1368" i="9" s="1"/>
  <c r="I1368" i="9" s="1"/>
  <c r="G22" i="13"/>
  <c r="E23" i="13"/>
  <c r="J66" i="5" s="1"/>
  <c r="G23" i="13"/>
  <c r="E24" i="13"/>
  <c r="I159" i="7" s="1"/>
  <c r="G24" i="13"/>
  <c r="E25" i="13"/>
  <c r="G25" i="13"/>
  <c r="E26" i="13"/>
  <c r="J72" i="5" s="1"/>
  <c r="G26" i="13"/>
  <c r="E27" i="13"/>
  <c r="I170" i="7" s="1"/>
  <c r="E170" i="7" s="1"/>
  <c r="G27" i="13"/>
  <c r="E28" i="13"/>
  <c r="J76" i="5" s="1"/>
  <c r="G28" i="13"/>
  <c r="E29" i="13"/>
  <c r="J75" i="5" s="1"/>
  <c r="G29" i="13"/>
  <c r="E30" i="13"/>
  <c r="G30" i="13"/>
  <c r="E31" i="13"/>
  <c r="J80" i="5" s="1"/>
  <c r="K80" i="5" s="1"/>
  <c r="G80" i="5" s="1"/>
  <c r="G31" i="13"/>
  <c r="E32" i="13"/>
  <c r="K44" i="9" s="1"/>
  <c r="G32" i="13"/>
  <c r="E33" i="13"/>
  <c r="J74" i="5" s="1"/>
  <c r="G33" i="13"/>
  <c r="E34" i="13"/>
  <c r="I169" i="7" s="1"/>
  <c r="G34" i="13"/>
  <c r="E35" i="13"/>
  <c r="J73" i="5" s="1"/>
  <c r="K73" i="5" s="1"/>
  <c r="G73" i="5" s="1"/>
  <c r="G35" i="13"/>
  <c r="E36" i="13"/>
  <c r="G36" i="13"/>
  <c r="E37" i="13"/>
  <c r="J67" i="5" s="1"/>
  <c r="K67" i="5" s="1"/>
  <c r="G37" i="13"/>
  <c r="E38" i="13"/>
  <c r="G38" i="13"/>
  <c r="E39" i="13"/>
  <c r="J69" i="5" s="1"/>
  <c r="G39" i="13"/>
  <c r="E40" i="13"/>
  <c r="G40" i="13"/>
  <c r="E41" i="13"/>
  <c r="G41" i="13"/>
  <c r="E42" i="13"/>
  <c r="G42" i="13"/>
  <c r="E43" i="13"/>
  <c r="J135" i="5" s="1"/>
  <c r="G43" i="13"/>
  <c r="E44" i="13"/>
  <c r="G44" i="13"/>
  <c r="E45" i="13"/>
  <c r="J78" i="5" s="1"/>
  <c r="K78" i="5" s="1"/>
  <c r="G45" i="13"/>
  <c r="E46" i="13"/>
  <c r="J138" i="5" s="1"/>
  <c r="F138" i="5" s="1"/>
  <c r="G46" i="13"/>
  <c r="E47" i="13"/>
  <c r="K173" i="9" s="1"/>
  <c r="I173" i="9" s="1"/>
  <c r="G47" i="13"/>
  <c r="E48" i="13"/>
  <c r="K138" i="9" s="1"/>
  <c r="I138" i="9" s="1"/>
  <c r="G48" i="13"/>
  <c r="E49" i="13"/>
  <c r="K2439" i="9" s="1"/>
  <c r="I2439" i="9" s="1"/>
  <c r="G49" i="13"/>
  <c r="E50" i="13"/>
  <c r="J79" i="5" s="1"/>
  <c r="G50" i="13"/>
  <c r="E51" i="13"/>
  <c r="K863" i="9" s="1"/>
  <c r="I863" i="9" s="1"/>
  <c r="G51" i="13"/>
  <c r="E52" i="13"/>
  <c r="I82" i="7" s="1"/>
  <c r="G52" i="13"/>
  <c r="E53" i="13"/>
  <c r="I151" i="7" s="1"/>
  <c r="J151" i="7" s="1"/>
  <c r="F151" i="7" s="1"/>
  <c r="G53" i="13"/>
  <c r="E54" i="13"/>
  <c r="K2020" i="9" s="1"/>
  <c r="G54" i="13"/>
  <c r="E55" i="13"/>
  <c r="J71" i="5" s="1"/>
  <c r="G55" i="13"/>
  <c r="E56" i="13"/>
  <c r="I92" i="12" s="1"/>
  <c r="G56" i="13"/>
  <c r="J2" i="11"/>
  <c r="Y825" i="9" s="1"/>
  <c r="K3" i="11"/>
  <c r="J4" i="11"/>
  <c r="J5" i="11"/>
  <c r="J6" i="11"/>
  <c r="J7" i="11"/>
  <c r="J8" i="11"/>
  <c r="J9" i="11"/>
  <c r="J10" i="11"/>
  <c r="J11" i="11"/>
  <c r="H12" i="11"/>
  <c r="K10" i="12" s="1"/>
  <c r="L10" i="12" s="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N2" i="12"/>
  <c r="K11" i="11" s="1"/>
  <c r="Z4" i="12"/>
  <c r="N6" i="12"/>
  <c r="E7" i="12"/>
  <c r="H7" i="12"/>
  <c r="J7" i="12"/>
  <c r="K7" i="12"/>
  <c r="L7" i="12" s="1"/>
  <c r="J8" i="12"/>
  <c r="L8" i="12"/>
  <c r="H9" i="12"/>
  <c r="L9" i="12"/>
  <c r="H11" i="12"/>
  <c r="L11" i="12"/>
  <c r="N14" i="12"/>
  <c r="H15" i="12"/>
  <c r="J15" i="12"/>
  <c r="K15" i="12"/>
  <c r="E15" i="12" s="1"/>
  <c r="J16" i="12"/>
  <c r="L16" i="12"/>
  <c r="H17" i="12"/>
  <c r="L17" i="12"/>
  <c r="H18" i="12"/>
  <c r="L18" i="12"/>
  <c r="N21" i="12"/>
  <c r="H22" i="12"/>
  <c r="J22" i="12"/>
  <c r="K22" i="12"/>
  <c r="E22" i="12" s="1"/>
  <c r="J23" i="12"/>
  <c r="L23" i="12"/>
  <c r="H24" i="12"/>
  <c r="L24" i="12"/>
  <c r="H25" i="12"/>
  <c r="L25" i="12"/>
  <c r="N28" i="12"/>
  <c r="H29" i="12"/>
  <c r="J29" i="12"/>
  <c r="K29" i="12"/>
  <c r="E29" i="12" s="1"/>
  <c r="L29" i="12"/>
  <c r="J30" i="12"/>
  <c r="L30" i="12"/>
  <c r="H31" i="12"/>
  <c r="L31" i="12"/>
  <c r="H32" i="12"/>
  <c r="L32" i="12"/>
  <c r="H33" i="12"/>
  <c r="J33" i="12"/>
  <c r="K33" i="12"/>
  <c r="E33" i="12" s="1"/>
  <c r="N36" i="12"/>
  <c r="H37" i="12"/>
  <c r="J37" i="12"/>
  <c r="K37" i="12"/>
  <c r="E37" i="12" s="1"/>
  <c r="J38" i="12"/>
  <c r="L38" i="12"/>
  <c r="H39" i="12"/>
  <c r="L39" i="12"/>
  <c r="H40" i="12"/>
  <c r="L40" i="12"/>
  <c r="H41" i="12"/>
  <c r="J41" i="12"/>
  <c r="K41" i="12"/>
  <c r="N44" i="12"/>
  <c r="H45" i="12"/>
  <c r="H49" i="12" s="1"/>
  <c r="F9" i="11" s="1"/>
  <c r="J45" i="12"/>
  <c r="K45" i="12"/>
  <c r="E45" i="12" s="1"/>
  <c r="G46" i="12"/>
  <c r="H46" i="12" s="1"/>
  <c r="J46" i="12"/>
  <c r="L46" i="12"/>
  <c r="H47" i="12"/>
  <c r="L47" i="12"/>
  <c r="H48" i="12"/>
  <c r="L48" i="12"/>
  <c r="N51" i="12"/>
  <c r="H52" i="12"/>
  <c r="J52" i="12"/>
  <c r="K52" i="12"/>
  <c r="E52" i="12" s="1"/>
  <c r="L52" i="12"/>
  <c r="G53" i="12"/>
  <c r="H53" i="12" s="1"/>
  <c r="J53" i="12"/>
  <c r="L53" i="12"/>
  <c r="H54" i="12"/>
  <c r="L54" i="12"/>
  <c r="H55" i="12"/>
  <c r="L55" i="12"/>
  <c r="N58" i="12"/>
  <c r="E59" i="12"/>
  <c r="H59" i="12"/>
  <c r="J59" i="12"/>
  <c r="K59" i="12"/>
  <c r="L59" i="12" s="1"/>
  <c r="J60" i="12"/>
  <c r="L60" i="12"/>
  <c r="H61" i="12"/>
  <c r="L61" i="12"/>
  <c r="H62" i="12"/>
  <c r="L62" i="12"/>
  <c r="N65" i="12"/>
  <c r="H66" i="12"/>
  <c r="H67" i="12" s="1"/>
  <c r="F12" i="11" s="1"/>
  <c r="G10" i="12" s="1"/>
  <c r="H10" i="12" s="1"/>
  <c r="J66" i="12"/>
  <c r="F66" i="12" s="1"/>
  <c r="K66" i="12"/>
  <c r="E66" i="12" s="1"/>
  <c r="L66" i="12"/>
  <c r="L67" i="12" s="1"/>
  <c r="N69" i="12"/>
  <c r="H70" i="12"/>
  <c r="J70" i="12"/>
  <c r="K70" i="12"/>
  <c r="E70" i="12" s="1"/>
  <c r="L70" i="12"/>
  <c r="L74" i="12" s="1"/>
  <c r="H13" i="11" s="1"/>
  <c r="L440" i="9" s="1"/>
  <c r="I440" i="9" s="1"/>
  <c r="G71" i="12"/>
  <c r="E71" i="12" s="1"/>
  <c r="J71" i="12"/>
  <c r="L71" i="12"/>
  <c r="H72" i="12"/>
  <c r="L72" i="12"/>
  <c r="H73" i="12"/>
  <c r="L73" i="12"/>
  <c r="N76" i="12"/>
  <c r="H77" i="12"/>
  <c r="J77" i="12"/>
  <c r="K77" i="12"/>
  <c r="E77" i="12" s="1"/>
  <c r="J78" i="12"/>
  <c r="L78" i="12"/>
  <c r="H79" i="12"/>
  <c r="L79" i="12"/>
  <c r="H80" i="12"/>
  <c r="L80" i="12"/>
  <c r="N83" i="12"/>
  <c r="H84" i="12"/>
  <c r="J84" i="12"/>
  <c r="K84" i="12"/>
  <c r="E84" i="12" s="1"/>
  <c r="L84" i="12"/>
  <c r="J85" i="12"/>
  <c r="L85" i="12"/>
  <c r="H86" i="12"/>
  <c r="L86" i="12"/>
  <c r="H87" i="12"/>
  <c r="L87" i="12"/>
  <c r="N90" i="12"/>
  <c r="H91" i="12"/>
  <c r="J91" i="12"/>
  <c r="K91" i="12"/>
  <c r="E91" i="12" s="1"/>
  <c r="L91" i="12"/>
  <c r="H92" i="12"/>
  <c r="L92" i="12"/>
  <c r="H93" i="12"/>
  <c r="L93" i="12"/>
  <c r="N96" i="12"/>
  <c r="H97" i="12"/>
  <c r="J97" i="12"/>
  <c r="K97" i="12"/>
  <c r="E97" i="12" s="1"/>
  <c r="J98" i="12"/>
  <c r="L98" i="12"/>
  <c r="H99" i="12"/>
  <c r="L99" i="12"/>
  <c r="H100" i="12"/>
  <c r="L100" i="12"/>
  <c r="N103" i="12"/>
  <c r="H104" i="12"/>
  <c r="J104" i="12"/>
  <c r="K104" i="12"/>
  <c r="E104" i="12" s="1"/>
  <c r="Z104" i="12"/>
  <c r="G105" i="12"/>
  <c r="E105" i="12" s="1"/>
  <c r="J105" i="12"/>
  <c r="L105" i="12"/>
  <c r="H106" i="12"/>
  <c r="L106" i="12"/>
  <c r="H107" i="12"/>
  <c r="L107" i="12"/>
  <c r="N111" i="12"/>
  <c r="H112" i="12"/>
  <c r="J112" i="12"/>
  <c r="K112" i="12"/>
  <c r="E112" i="12" s="1"/>
  <c r="L112" i="12"/>
  <c r="J113" i="12"/>
  <c r="L113" i="12"/>
  <c r="H114" i="12"/>
  <c r="L114" i="12"/>
  <c r="H115" i="12"/>
  <c r="L115" i="12"/>
  <c r="N118" i="12"/>
  <c r="H119" i="12"/>
  <c r="J119" i="12"/>
  <c r="K119" i="12"/>
  <c r="E119" i="12" s="1"/>
  <c r="J120" i="12"/>
  <c r="L120" i="12"/>
  <c r="H121" i="12"/>
  <c r="L121" i="12"/>
  <c r="H122" i="12"/>
  <c r="L122" i="12"/>
  <c r="N125" i="12"/>
  <c r="H126" i="12"/>
  <c r="J126" i="12"/>
  <c r="K126" i="12"/>
  <c r="E126" i="12" s="1"/>
  <c r="L126" i="12"/>
  <c r="J127" i="12"/>
  <c r="L127" i="12"/>
  <c r="H128" i="12"/>
  <c r="L128" i="12"/>
  <c r="H129" i="12"/>
  <c r="L129" i="12"/>
  <c r="N132" i="12"/>
  <c r="E133" i="12"/>
  <c r="H133" i="12"/>
  <c r="J133" i="12"/>
  <c r="K133" i="12"/>
  <c r="L133" i="12"/>
  <c r="L137" i="12" s="1"/>
  <c r="H22" i="11" s="1"/>
  <c r="L1724" i="9" s="1"/>
  <c r="I1724" i="9" s="1"/>
  <c r="J134" i="12"/>
  <c r="L134" i="12"/>
  <c r="H135" i="12"/>
  <c r="L135" i="12"/>
  <c r="H136" i="12"/>
  <c r="L136" i="12"/>
  <c r="N139" i="12"/>
  <c r="H140" i="12"/>
  <c r="H141" i="12" s="1"/>
  <c r="F23" i="11" s="1"/>
  <c r="G108" i="12" s="1"/>
  <c r="H108" i="12" s="1"/>
  <c r="J140" i="12"/>
  <c r="J141" i="12" s="1"/>
  <c r="K140" i="12"/>
  <c r="E140" i="12" s="1"/>
  <c r="L140" i="12"/>
  <c r="L141" i="12" s="1"/>
  <c r="H23" i="11" s="1"/>
  <c r="K108" i="12" s="1"/>
  <c r="L108" i="12" s="1"/>
  <c r="N143" i="12"/>
  <c r="H144" i="12"/>
  <c r="J144" i="12"/>
  <c r="K144" i="12"/>
  <c r="E144" i="12" s="1"/>
  <c r="L144" i="12"/>
  <c r="Z144" i="12"/>
  <c r="G145" i="12"/>
  <c r="E145" i="12" s="1"/>
  <c r="H145" i="12"/>
  <c r="J145" i="12"/>
  <c r="F145" i="12" s="1"/>
  <c r="L145" i="12"/>
  <c r="H146" i="12"/>
  <c r="L146" i="12"/>
  <c r="H147" i="12"/>
  <c r="L147" i="12"/>
  <c r="N150" i="12"/>
  <c r="H151" i="12"/>
  <c r="J151" i="12"/>
  <c r="K151" i="12"/>
  <c r="E151" i="12" s="1"/>
  <c r="L151" i="12"/>
  <c r="J152" i="12"/>
  <c r="L152" i="12"/>
  <c r="H153" i="12"/>
  <c r="L153" i="12"/>
  <c r="H154" i="12"/>
  <c r="L154" i="12"/>
  <c r="N157" i="12"/>
  <c r="H158" i="12"/>
  <c r="J158" i="12"/>
  <c r="K158" i="12"/>
  <c r="E158" i="12" s="1"/>
  <c r="L158" i="12"/>
  <c r="L162" i="12" s="1"/>
  <c r="H26" i="11" s="1"/>
  <c r="L789" i="9" s="1"/>
  <c r="I789" i="9" s="1"/>
  <c r="J159" i="12"/>
  <c r="L159" i="12"/>
  <c r="H160" i="12"/>
  <c r="L160" i="12"/>
  <c r="H161" i="12"/>
  <c r="L161" i="12"/>
  <c r="N164" i="12"/>
  <c r="H165" i="12"/>
  <c r="J165" i="12"/>
  <c r="K165" i="12"/>
  <c r="E165" i="12" s="1"/>
  <c r="J166" i="12"/>
  <c r="L166" i="12"/>
  <c r="H167" i="12"/>
  <c r="L167" i="12"/>
  <c r="H168" i="12"/>
  <c r="L168" i="12"/>
  <c r="N171" i="12"/>
  <c r="H172" i="12"/>
  <c r="J172" i="12"/>
  <c r="K172" i="12"/>
  <c r="E172" i="12" s="1"/>
  <c r="J173" i="12"/>
  <c r="L173" i="12"/>
  <c r="H174" i="12"/>
  <c r="L174" i="12"/>
  <c r="H175" i="12"/>
  <c r="L175" i="12"/>
  <c r="N178" i="12"/>
  <c r="H179" i="12"/>
  <c r="J179" i="12"/>
  <c r="K179" i="12"/>
  <c r="E179" i="12" s="1"/>
  <c r="L179" i="12"/>
  <c r="J180" i="12"/>
  <c r="L180" i="12"/>
  <c r="H181" i="12"/>
  <c r="L181" i="12"/>
  <c r="H182" i="12"/>
  <c r="L182" i="12"/>
  <c r="L183" i="12"/>
  <c r="H29" i="11" s="1"/>
  <c r="N185" i="12"/>
  <c r="H186" i="12"/>
  <c r="J186" i="12"/>
  <c r="K186" i="12"/>
  <c r="E186" i="12" s="1"/>
  <c r="L186" i="12"/>
  <c r="L190" i="12" s="1"/>
  <c r="H30" i="11" s="1"/>
  <c r="L515" i="9" s="1"/>
  <c r="I515" i="9" s="1"/>
  <c r="J187" i="12"/>
  <c r="L187" i="12"/>
  <c r="H188" i="12"/>
  <c r="L188" i="12"/>
  <c r="H189" i="12"/>
  <c r="L189" i="12"/>
  <c r="N192" i="12"/>
  <c r="H193" i="12"/>
  <c r="J193" i="12"/>
  <c r="K193" i="12"/>
  <c r="E193" i="12" s="1"/>
  <c r="J194" i="12"/>
  <c r="L194" i="12"/>
  <c r="H195" i="12"/>
  <c r="L195" i="12"/>
  <c r="H196" i="12"/>
  <c r="L196" i="12"/>
  <c r="N199" i="12"/>
  <c r="E200" i="12"/>
  <c r="H200" i="12"/>
  <c r="F200" i="12" s="1"/>
  <c r="J200" i="12"/>
  <c r="K200" i="12"/>
  <c r="L200" i="12" s="1"/>
  <c r="J201" i="12"/>
  <c r="L201" i="12"/>
  <c r="H202" i="12"/>
  <c r="L202" i="12"/>
  <c r="H203" i="12"/>
  <c r="L203" i="12"/>
  <c r="N206" i="12"/>
  <c r="H207" i="12"/>
  <c r="J207" i="12"/>
  <c r="K207" i="12"/>
  <c r="E207" i="12" s="1"/>
  <c r="L207" i="12"/>
  <c r="J208" i="12"/>
  <c r="L208" i="12"/>
  <c r="H209" i="12"/>
  <c r="L209" i="12"/>
  <c r="H210" i="12"/>
  <c r="L210" i="12"/>
  <c r="N213" i="12"/>
  <c r="H214" i="12"/>
  <c r="J214" i="12"/>
  <c r="K214" i="12"/>
  <c r="E214" i="12" s="1"/>
  <c r="J215" i="12"/>
  <c r="L215" i="12"/>
  <c r="H216" i="12"/>
  <c r="L216" i="12"/>
  <c r="H217" i="12"/>
  <c r="L217" i="12"/>
  <c r="N220" i="12"/>
  <c r="H221" i="12"/>
  <c r="J221" i="12"/>
  <c r="K221" i="12"/>
  <c r="E221" i="12" s="1"/>
  <c r="L221" i="12"/>
  <c r="Z221" i="12"/>
  <c r="J222" i="12"/>
  <c r="L222" i="12"/>
  <c r="H223" i="12"/>
  <c r="L223" i="12"/>
  <c r="H224" i="12"/>
  <c r="L224" i="12"/>
  <c r="N227" i="12"/>
  <c r="H228" i="12"/>
  <c r="J228" i="12"/>
  <c r="K228" i="12"/>
  <c r="E228" i="12" s="1"/>
  <c r="J229" i="12"/>
  <c r="L229" i="12"/>
  <c r="H230" i="12"/>
  <c r="L230" i="12"/>
  <c r="H231" i="12"/>
  <c r="L231" i="12"/>
  <c r="H2" i="4"/>
  <c r="H20" i="3" s="1"/>
  <c r="Q3" i="4"/>
  <c r="E5" i="4"/>
  <c r="F10" i="3" s="1"/>
  <c r="E6" i="4"/>
  <c r="F13" i="3" s="1"/>
  <c r="E7" i="4"/>
  <c r="F14" i="3" s="1"/>
  <c r="E9" i="4"/>
  <c r="F16" i="3" s="1"/>
  <c r="E10" i="4"/>
  <c r="F17" i="3" s="1"/>
  <c r="E11" i="4"/>
  <c r="F18" i="3" s="1"/>
  <c r="E12" i="4"/>
  <c r="F19" i="3" s="1"/>
  <c r="E13" i="4"/>
  <c r="E16" i="4"/>
  <c r="J19" i="4"/>
  <c r="L19" i="4"/>
  <c r="J20" i="4"/>
  <c r="L20" i="4"/>
  <c r="E22" i="4"/>
  <c r="D24" i="4"/>
  <c r="D30" i="3" s="1"/>
  <c r="J24" i="4"/>
  <c r="L24" i="4"/>
  <c r="D25" i="4"/>
  <c r="D31" i="3" s="1"/>
  <c r="J25" i="4"/>
  <c r="L25" i="4"/>
  <c r="I2" i="10"/>
  <c r="Z166" i="12" s="1"/>
  <c r="D6" i="10"/>
  <c r="G6" i="10"/>
  <c r="G8" i="12" s="1"/>
  <c r="D7" i="10"/>
  <c r="G7" i="10"/>
  <c r="D8" i="10"/>
  <c r="G8" i="10"/>
  <c r="G152" i="12" s="1"/>
  <c r="J8" i="10"/>
  <c r="F12" i="10"/>
  <c r="J12" i="10"/>
  <c r="F13" i="10"/>
  <c r="J13" i="10"/>
  <c r="F14" i="10"/>
  <c r="AC40" i="5" l="1"/>
  <c r="N20" i="18"/>
  <c r="Z139" i="7"/>
  <c r="H19" i="3"/>
  <c r="H19" i="13"/>
  <c r="AC17" i="5"/>
  <c r="Y18" i="9"/>
  <c r="AC48" i="5"/>
  <c r="H56" i="13"/>
  <c r="AC13" i="5"/>
  <c r="Y179" i="9"/>
  <c r="H25" i="13"/>
  <c r="AC72" i="5"/>
  <c r="Z31" i="12"/>
  <c r="AC108" i="5"/>
  <c r="Z222" i="12"/>
  <c r="P20" i="18"/>
  <c r="J11" i="18"/>
  <c r="X9" i="18"/>
  <c r="Z84" i="12"/>
  <c r="K38" i="8"/>
  <c r="Z180" i="12"/>
  <c r="Z158" i="12"/>
  <c r="Z60" i="12"/>
  <c r="K18" i="8"/>
  <c r="K8" i="8"/>
  <c r="Y767" i="9"/>
  <c r="S18" i="18"/>
  <c r="R9" i="18"/>
  <c r="I9" i="18"/>
  <c r="Z208" i="12"/>
  <c r="Z193" i="12"/>
  <c r="Z179" i="12"/>
  <c r="Z172" i="12"/>
  <c r="Z15" i="12"/>
  <c r="Z207" i="12"/>
  <c r="H35" i="13"/>
  <c r="K24" i="8"/>
  <c r="X15" i="18"/>
  <c r="Z133" i="12"/>
  <c r="Z119" i="12"/>
  <c r="K32" i="8"/>
  <c r="K23" i="8"/>
  <c r="H17" i="13"/>
  <c r="K22" i="8"/>
  <c r="S22" i="17"/>
  <c r="K6" i="8"/>
  <c r="B12" i="2"/>
  <c r="Z29" i="12"/>
  <c r="H26" i="13"/>
  <c r="AC61" i="5"/>
  <c r="K35" i="8"/>
  <c r="Y2119" i="9"/>
  <c r="H47" i="13"/>
  <c r="H36" i="13"/>
  <c r="Z84" i="7"/>
  <c r="Z7" i="7"/>
  <c r="AC60" i="5"/>
  <c r="K20" i="8"/>
  <c r="Z70" i="12"/>
  <c r="AC19" i="5"/>
  <c r="K34" i="8"/>
  <c r="K4" i="8"/>
  <c r="Z137" i="7"/>
  <c r="Z51" i="7"/>
  <c r="K16" i="8"/>
  <c r="Z52" i="12"/>
  <c r="H55" i="13"/>
  <c r="H34" i="13"/>
  <c r="Z136" i="7"/>
  <c r="K31" i="8"/>
  <c r="K30" i="8"/>
  <c r="Y2271" i="9"/>
  <c r="AC52" i="5"/>
  <c r="K43" i="8"/>
  <c r="K27" i="8"/>
  <c r="K12" i="8"/>
  <c r="Y668" i="9"/>
  <c r="Z98" i="12"/>
  <c r="H44" i="13"/>
  <c r="AC140" i="5"/>
  <c r="Z96" i="7"/>
  <c r="K14" i="8"/>
  <c r="Y952" i="9"/>
  <c r="H11" i="13"/>
  <c r="Z160" i="7"/>
  <c r="Y2269" i="9"/>
  <c r="H52" i="13"/>
  <c r="H20" i="13"/>
  <c r="H10" i="13"/>
  <c r="Y1379" i="9"/>
  <c r="Y950" i="9"/>
  <c r="R20" i="18"/>
  <c r="F27" i="8"/>
  <c r="H110" i="5" s="1"/>
  <c r="I110" i="5" s="1"/>
  <c r="D1605" i="9"/>
  <c r="E1616" i="9"/>
  <c r="F1616" i="9"/>
  <c r="M185" i="5"/>
  <c r="D2121" i="9"/>
  <c r="E2121" i="9"/>
  <c r="F1017" i="9"/>
  <c r="D1017" i="9"/>
  <c r="E1017" i="9"/>
  <c r="F59" i="12"/>
  <c r="D1467" i="9"/>
  <c r="F1467" i="9"/>
  <c r="F72" i="5"/>
  <c r="K72" i="5"/>
  <c r="D1319" i="9"/>
  <c r="F1319" i="9"/>
  <c r="F787" i="9"/>
  <c r="D787" i="9"/>
  <c r="H172" i="7"/>
  <c r="F30" i="6" s="1"/>
  <c r="G164" i="7" s="1"/>
  <c r="H164" i="7" s="1"/>
  <c r="E82" i="7"/>
  <c r="J82" i="7"/>
  <c r="J86" i="7" s="1"/>
  <c r="G167" i="5"/>
  <c r="AE273" i="9"/>
  <c r="H273" i="9" s="1"/>
  <c r="AA273" i="9"/>
  <c r="E92" i="12"/>
  <c r="J92" i="12"/>
  <c r="D1317" i="9"/>
  <c r="F1317" i="9"/>
  <c r="F2034" i="9"/>
  <c r="E2034" i="9"/>
  <c r="D2034" i="9"/>
  <c r="C2034" i="9" s="1"/>
  <c r="B2034" i="9" s="1"/>
  <c r="K57" i="7"/>
  <c r="H58" i="7"/>
  <c r="F13" i="6" s="1"/>
  <c r="H27" i="5" s="1"/>
  <c r="I27" i="5" s="1"/>
  <c r="E1666" i="9"/>
  <c r="F1666" i="9"/>
  <c r="D1666" i="9"/>
  <c r="C1666" i="9" s="1"/>
  <c r="L1669" i="9" s="1"/>
  <c r="I1669" i="9" s="1"/>
  <c r="L22" i="12"/>
  <c r="K22" i="11"/>
  <c r="H84" i="7"/>
  <c r="F84" i="7" s="1"/>
  <c r="K84" i="5"/>
  <c r="G84" i="5" s="1"/>
  <c r="AC1971" i="9"/>
  <c r="AD1462" i="9"/>
  <c r="AC1487" i="9" s="1"/>
  <c r="H1487" i="9" s="1"/>
  <c r="AD131" i="9"/>
  <c r="I16" i="18"/>
  <c r="J170" i="7"/>
  <c r="F170" i="7" s="1"/>
  <c r="AA1045" i="9"/>
  <c r="L228" i="12"/>
  <c r="L232" i="12" s="1"/>
  <c r="H36" i="11" s="1"/>
  <c r="L214" i="12"/>
  <c r="L218" i="12" s="1"/>
  <c r="H34" i="11" s="1"/>
  <c r="L2237" i="9" s="1"/>
  <c r="I2237" i="9" s="1"/>
  <c r="L204" i="12"/>
  <c r="H32" i="11" s="1"/>
  <c r="L829" i="9" s="1"/>
  <c r="F829" i="9" s="1"/>
  <c r="C829" i="9" s="1"/>
  <c r="L172" i="12"/>
  <c r="F172" i="12" s="1"/>
  <c r="F133" i="12"/>
  <c r="F105" i="12"/>
  <c r="F46" i="12"/>
  <c r="Z18" i="7"/>
  <c r="I126" i="5"/>
  <c r="I125" i="5" s="1"/>
  <c r="AC50" i="5"/>
  <c r="AC16" i="5"/>
  <c r="AA2372" i="9"/>
  <c r="B1809" i="9"/>
  <c r="AC1477" i="9"/>
  <c r="AA1170" i="9"/>
  <c r="AD1122" i="9"/>
  <c r="AA917" i="9"/>
  <c r="AA24" i="9"/>
  <c r="X20" i="18"/>
  <c r="L15" i="18"/>
  <c r="G138" i="5"/>
  <c r="L139" i="5" s="1"/>
  <c r="AC917" i="9"/>
  <c r="H917" i="9" s="1"/>
  <c r="H105" i="12"/>
  <c r="L45" i="12"/>
  <c r="L49" i="12" s="1"/>
  <c r="H9" i="11" s="1"/>
  <c r="AC62" i="5"/>
  <c r="AC49" i="5"/>
  <c r="B1716" i="9"/>
  <c r="AA1039" i="9"/>
  <c r="K137" i="5"/>
  <c r="AG423" i="9"/>
  <c r="AB425" i="9" s="1"/>
  <c r="AF1242" i="9"/>
  <c r="AG1245" i="9" s="1"/>
  <c r="H1245" i="9" s="1"/>
  <c r="F817" i="9"/>
  <c r="AL318" i="9"/>
  <c r="B264" i="9"/>
  <c r="L20" i="18"/>
  <c r="D123" i="9"/>
  <c r="K20" i="18"/>
  <c r="J67" i="12"/>
  <c r="F67" i="12" s="1"/>
  <c r="E12" i="11" s="1"/>
  <c r="AC59" i="5"/>
  <c r="AC2370" i="9"/>
  <c r="AC1037" i="9"/>
  <c r="H1037" i="9" s="1"/>
  <c r="F56" i="7"/>
  <c r="AC111" i="5"/>
  <c r="AC44" i="5"/>
  <c r="AA2370" i="9"/>
  <c r="Z41" i="12"/>
  <c r="Z30" i="12"/>
  <c r="Z111" i="7"/>
  <c r="H68" i="7"/>
  <c r="K70" i="7" s="1"/>
  <c r="AC170" i="5"/>
  <c r="AC110" i="5"/>
  <c r="AC11" i="5"/>
  <c r="Y1337" i="9"/>
  <c r="AD1312" i="9"/>
  <c r="AB1242" i="9"/>
  <c r="B1111" i="9"/>
  <c r="AA837" i="9"/>
  <c r="B419" i="9"/>
  <c r="AF318" i="9"/>
  <c r="AC16" i="9"/>
  <c r="H16" i="9" s="1"/>
  <c r="J20" i="18"/>
  <c r="AC12" i="5"/>
  <c r="AE2370" i="9"/>
  <c r="H2370" i="9" s="1"/>
  <c r="D2370" i="9" s="1"/>
  <c r="E1039" i="9"/>
  <c r="B1113" i="9"/>
  <c r="S44" i="17"/>
  <c r="F68" i="7"/>
  <c r="AC837" i="9"/>
  <c r="H837" i="9" s="1"/>
  <c r="D837" i="9" s="1"/>
  <c r="L116" i="12"/>
  <c r="H19" i="11" s="1"/>
  <c r="L809" i="9" s="1"/>
  <c r="I809" i="9" s="1"/>
  <c r="Z152" i="12"/>
  <c r="Z140" i="12"/>
  <c r="H43" i="13"/>
  <c r="S43" i="17"/>
  <c r="Z110" i="7"/>
  <c r="F95" i="7"/>
  <c r="AC109" i="5"/>
  <c r="AC10" i="5"/>
  <c r="AC2424" i="9"/>
  <c r="H2424" i="9" s="1"/>
  <c r="D2424" i="9" s="1"/>
  <c r="AC809" i="9"/>
  <c r="H809" i="9" s="1"/>
  <c r="D809" i="9" s="1"/>
  <c r="AC785" i="9"/>
  <c r="H785" i="9" s="1"/>
  <c r="F785" i="9" s="1"/>
  <c r="AA117" i="9"/>
  <c r="AA16" i="9"/>
  <c r="F20" i="18"/>
  <c r="Z164" i="7"/>
  <c r="Z109" i="7"/>
  <c r="AA1029" i="9"/>
  <c r="E863" i="9"/>
  <c r="C863" i="9" s="1"/>
  <c r="AC167" i="9"/>
  <c r="H167" i="9" s="1"/>
  <c r="G10" i="18"/>
  <c r="L77" i="12"/>
  <c r="Z138" i="7"/>
  <c r="E95" i="7"/>
  <c r="G187" i="5"/>
  <c r="G170" i="5"/>
  <c r="AC106" i="5"/>
  <c r="F80" i="5"/>
  <c r="AC38" i="5"/>
  <c r="AE1059" i="9"/>
  <c r="H1059" i="9" s="1"/>
  <c r="AA167" i="9"/>
  <c r="L19" i="18"/>
  <c r="Z135" i="7"/>
  <c r="Z46" i="7"/>
  <c r="K186" i="5"/>
  <c r="K185" i="5" s="1"/>
  <c r="K87" i="5"/>
  <c r="G87" i="5" s="1"/>
  <c r="AC35" i="5"/>
  <c r="AE1057" i="9"/>
  <c r="H1057" i="9" s="1"/>
  <c r="AA1025" i="9"/>
  <c r="F448" i="9"/>
  <c r="F44" i="9"/>
  <c r="F74" i="9" s="1"/>
  <c r="J9" i="18"/>
  <c r="D2566" i="9"/>
  <c r="E779" i="9"/>
  <c r="K10" i="11"/>
  <c r="AE2032" i="9"/>
  <c r="H2032" i="9" s="1"/>
  <c r="E76" i="9"/>
  <c r="E78" i="9" s="1"/>
  <c r="K25" i="11"/>
  <c r="AC168" i="5"/>
  <c r="M140" i="5"/>
  <c r="G140" i="5" s="1"/>
  <c r="AC2548" i="9"/>
  <c r="H2548" i="9" s="1"/>
  <c r="AL2467" i="9"/>
  <c r="AE2469" i="9" s="1"/>
  <c r="H2469" i="9" s="1"/>
  <c r="AD2112" i="9"/>
  <c r="AC2133" i="9" s="1"/>
  <c r="H2133" i="9" s="1"/>
  <c r="AC2034" i="9"/>
  <c r="B2012" i="9"/>
  <c r="D1273" i="9"/>
  <c r="D1304" i="9" s="1"/>
  <c r="AC1126" i="9"/>
  <c r="H1126" i="9" s="1"/>
  <c r="E829" i="9"/>
  <c r="X16" i="18"/>
  <c r="F77" i="12"/>
  <c r="Z155" i="7"/>
  <c r="Z41" i="7"/>
  <c r="AA2034" i="9"/>
  <c r="AA1126" i="9"/>
  <c r="AA1055" i="9"/>
  <c r="AC855" i="9"/>
  <c r="H855" i="9" s="1"/>
  <c r="AE799" i="9"/>
  <c r="H799" i="9" s="1"/>
  <c r="D799" i="9" s="1"/>
  <c r="AE775" i="9"/>
  <c r="H775" i="9" s="1"/>
  <c r="AE36" i="9"/>
  <c r="H36" i="9" s="1"/>
  <c r="S16" i="18"/>
  <c r="I99" i="12"/>
  <c r="G78" i="5"/>
  <c r="Z131" i="7"/>
  <c r="K169" i="5"/>
  <c r="Y696" i="9"/>
  <c r="M166" i="5"/>
  <c r="L37" i="12"/>
  <c r="F37" i="12" s="1"/>
  <c r="K24" i="11"/>
  <c r="H28" i="13"/>
  <c r="H9" i="13"/>
  <c r="Z123" i="7"/>
  <c r="K85" i="5"/>
  <c r="G85" i="5" s="1"/>
  <c r="AC24" i="5"/>
  <c r="AC2546" i="9"/>
  <c r="H2546" i="9" s="1"/>
  <c r="D2546" i="9" s="1"/>
  <c r="AB1720" i="9"/>
  <c r="AC827" i="9"/>
  <c r="H827" i="9" s="1"/>
  <c r="D827" i="9" s="1"/>
  <c r="AC799" i="9"/>
  <c r="AC775" i="9"/>
  <c r="AE138" i="9"/>
  <c r="H138" i="9" s="1"/>
  <c r="F138" i="9" s="1"/>
  <c r="O16" i="18"/>
  <c r="L211" i="12"/>
  <c r="H33" i="11" s="1"/>
  <c r="L1245" i="9" s="1"/>
  <c r="I1245" i="9" s="1"/>
  <c r="K26" i="11"/>
  <c r="F78" i="5"/>
  <c r="Z37" i="12"/>
  <c r="AC25" i="5"/>
  <c r="I146" i="12"/>
  <c r="J146" i="12" s="1"/>
  <c r="Z85" i="12"/>
  <c r="Z59" i="12"/>
  <c r="H104" i="7"/>
  <c r="H75" i="7"/>
  <c r="F75" i="7" s="1"/>
  <c r="AC23" i="5"/>
  <c r="AC1973" i="9"/>
  <c r="AJ1718" i="9"/>
  <c r="AJ1720" i="9" s="1"/>
  <c r="AD1364" i="9"/>
  <c r="AF1124" i="9"/>
  <c r="H1124" i="9" s="1"/>
  <c r="D1124" i="9" s="1"/>
  <c r="AC1049" i="9"/>
  <c r="H1049" i="9" s="1"/>
  <c r="D1049" i="9" s="1"/>
  <c r="AA827" i="9"/>
  <c r="AH366" i="9"/>
  <c r="N16" i="18"/>
  <c r="G70" i="5"/>
  <c r="AC1025" i="9"/>
  <c r="H1025" i="9" s="1"/>
  <c r="F1025" i="9" s="1"/>
  <c r="F112" i="12"/>
  <c r="G98" i="12"/>
  <c r="Z97" i="12"/>
  <c r="H18" i="13"/>
  <c r="F171" i="7"/>
  <c r="E151" i="7"/>
  <c r="Z24" i="7"/>
  <c r="AC172" i="5"/>
  <c r="G67" i="5"/>
  <c r="AC22" i="5"/>
  <c r="AC2383" i="9"/>
  <c r="H2383" i="9" s="1"/>
  <c r="Z1364" i="9"/>
  <c r="AI1260" i="9"/>
  <c r="AE797" i="9"/>
  <c r="H797" i="9" s="1"/>
  <c r="E797" i="9" s="1"/>
  <c r="AE769" i="9"/>
  <c r="H769" i="9" s="1"/>
  <c r="D769" i="9" s="1"/>
  <c r="AA28" i="9"/>
  <c r="K16" i="18"/>
  <c r="L56" i="12"/>
  <c r="H10" i="11" s="1"/>
  <c r="K99" i="7" s="1"/>
  <c r="L99" i="7" s="1"/>
  <c r="L225" i="12"/>
  <c r="H35" i="11" s="1"/>
  <c r="G132" i="5"/>
  <c r="AC34" i="5"/>
  <c r="I185" i="5"/>
  <c r="AA38" i="9"/>
  <c r="Q4" i="4"/>
  <c r="I86" i="12"/>
  <c r="E86" i="12" s="1"/>
  <c r="Z35" i="7"/>
  <c r="F132" i="5"/>
  <c r="Z145" i="12"/>
  <c r="L97" i="12"/>
  <c r="F97" i="12" s="1"/>
  <c r="H71" i="12"/>
  <c r="H74" i="12" s="1"/>
  <c r="F13" i="11" s="1"/>
  <c r="J436" i="9" s="1"/>
  <c r="I436" i="9" s="1"/>
  <c r="I47" i="12"/>
  <c r="F7" i="12"/>
  <c r="H27" i="13"/>
  <c r="H8" i="13"/>
  <c r="H171" i="7"/>
  <c r="M172" i="5"/>
  <c r="M169" i="5" s="1"/>
  <c r="M165" i="5" s="1"/>
  <c r="F67" i="5"/>
  <c r="AA1047" i="9"/>
  <c r="AC797" i="9"/>
  <c r="AC769" i="9"/>
  <c r="AB431" i="9"/>
  <c r="AG131" i="9"/>
  <c r="H131" i="9" s="1"/>
  <c r="I14" i="18"/>
  <c r="R14" i="18"/>
  <c r="X14" i="18"/>
  <c r="G14" i="18"/>
  <c r="D14" i="1"/>
  <c r="K14" i="11"/>
  <c r="K15" i="11"/>
  <c r="K28" i="11"/>
  <c r="K5" i="11"/>
  <c r="K31" i="11"/>
  <c r="K7" i="11"/>
  <c r="K19" i="11"/>
  <c r="K20" i="11"/>
  <c r="K21" i="11"/>
  <c r="K4" i="11"/>
  <c r="K33" i="11"/>
  <c r="K9" i="11"/>
  <c r="K34" i="11"/>
  <c r="K16" i="11"/>
  <c r="K29" i="11"/>
  <c r="K17" i="11"/>
  <c r="K30" i="11"/>
  <c r="K6" i="11"/>
  <c r="K7" i="6"/>
  <c r="K35" i="11"/>
  <c r="N17" i="18"/>
  <c r="D9" i="1"/>
  <c r="K11" i="6"/>
  <c r="K23" i="6"/>
  <c r="K12" i="6"/>
  <c r="K24" i="6"/>
  <c r="K15" i="6"/>
  <c r="K5" i="6"/>
  <c r="K27" i="6"/>
  <c r="K17" i="6"/>
  <c r="K18" i="6"/>
  <c r="K4" i="6"/>
  <c r="K16" i="6"/>
  <c r="K28" i="6"/>
  <c r="K6" i="6"/>
  <c r="K29" i="6"/>
  <c r="K13" i="6"/>
  <c r="K14" i="6"/>
  <c r="K25" i="6"/>
  <c r="K26" i="6"/>
  <c r="K9" i="6"/>
  <c r="K8" i="6"/>
  <c r="Y1328" i="9"/>
  <c r="Y1828" i="9"/>
  <c r="Y2032" i="9"/>
  <c r="Y2219" i="9"/>
  <c r="Z62" i="7"/>
  <c r="Z117" i="7"/>
  <c r="J14" i="10"/>
  <c r="Z76" i="7"/>
  <c r="Z104" i="7"/>
  <c r="Y1168" i="9"/>
  <c r="Y2063" i="9"/>
  <c r="Y2370" i="9"/>
  <c r="Y330" i="9"/>
  <c r="Y2480" i="9"/>
  <c r="Y1124" i="9"/>
  <c r="Y1378" i="9"/>
  <c r="Y1936" i="9"/>
  <c r="Y2167" i="9"/>
  <c r="Y2372" i="9"/>
  <c r="Y16" i="9"/>
  <c r="Y237" i="9"/>
  <c r="Y528" i="9"/>
  <c r="Y281" i="9"/>
  <c r="Y1477" i="9"/>
  <c r="Z95" i="7"/>
  <c r="Y1017" i="9"/>
  <c r="Y1775" i="9"/>
  <c r="Y2169" i="9"/>
  <c r="Y2331" i="9"/>
  <c r="Y670" i="9"/>
  <c r="Z11" i="7"/>
  <c r="Y1934" i="9"/>
  <c r="Z68" i="7"/>
  <c r="Z105" i="7"/>
  <c r="J6" i="10"/>
  <c r="Y628" i="9"/>
  <c r="Y1616" i="9"/>
  <c r="Y2117" i="9"/>
  <c r="Z69" i="7"/>
  <c r="Y769" i="9"/>
  <c r="Y1122" i="9"/>
  <c r="Y1666" i="9"/>
  <c r="Y1830" i="9"/>
  <c r="Y1973" i="9"/>
  <c r="Y2221" i="9"/>
  <c r="D16" i="1"/>
  <c r="Y1015" i="9"/>
  <c r="Y2432" i="9"/>
  <c r="Z56" i="7"/>
  <c r="Z94" i="7"/>
  <c r="Y2034" i="9"/>
  <c r="Y1170" i="9"/>
  <c r="Y1476" i="9"/>
  <c r="Z12" i="7"/>
  <c r="Z171" i="7"/>
  <c r="Y1832" i="9"/>
  <c r="K30" i="6"/>
  <c r="K10" i="6"/>
  <c r="K21" i="6"/>
  <c r="K12" i="11"/>
  <c r="K20" i="6"/>
  <c r="Y2022" i="9"/>
  <c r="Y2566" i="9"/>
  <c r="Z99" i="12"/>
  <c r="Z174" i="12"/>
  <c r="Z92" i="12"/>
  <c r="Z11" i="12"/>
  <c r="S50" i="17"/>
  <c r="S51" i="17"/>
  <c r="S15" i="17"/>
  <c r="AC73" i="5"/>
  <c r="Z54" i="12"/>
  <c r="Z79" i="12"/>
  <c r="Z24" i="12"/>
  <c r="Z167" i="12"/>
  <c r="AC66" i="5"/>
  <c r="S32" i="17"/>
  <c r="Z9" i="12"/>
  <c r="Z39" i="12"/>
  <c r="K19" i="6"/>
  <c r="Y1971" i="9"/>
  <c r="Y131" i="9"/>
  <c r="J7" i="10"/>
  <c r="S23" i="17"/>
  <c r="G16" i="18"/>
  <c r="H16" i="18"/>
  <c r="E16" i="18"/>
  <c r="F16" i="18"/>
  <c r="Z113" i="12"/>
  <c r="H50" i="13"/>
  <c r="H15" i="13"/>
  <c r="Z127" i="7"/>
  <c r="AC167" i="5"/>
  <c r="AC9" i="5"/>
  <c r="V15" i="18"/>
  <c r="G9" i="18"/>
  <c r="Z165" i="12"/>
  <c r="H24" i="13"/>
  <c r="Z126" i="12"/>
  <c r="Z23" i="12"/>
  <c r="H41" i="13"/>
  <c r="AC32" i="5"/>
  <c r="AC8" i="5"/>
  <c r="R15" i="18"/>
  <c r="Z112" i="12"/>
  <c r="Z45" i="12"/>
  <c r="H49" i="13"/>
  <c r="Z150" i="7"/>
  <c r="Z122" i="7"/>
  <c r="AC171" i="5"/>
  <c r="AC56" i="5"/>
  <c r="AC30" i="5"/>
  <c r="J15" i="18"/>
  <c r="H51" i="13"/>
  <c r="H16" i="13"/>
  <c r="H33" i="13"/>
  <c r="Z33" i="12"/>
  <c r="Z228" i="12"/>
  <c r="Z91" i="12"/>
  <c r="Z8" i="12"/>
  <c r="H40" i="13"/>
  <c r="H31" i="13"/>
  <c r="Z200" i="12"/>
  <c r="H48" i="13"/>
  <c r="Z89" i="7"/>
  <c r="Z127" i="12"/>
  <c r="H42" i="13"/>
  <c r="H7" i="13"/>
  <c r="Z151" i="12"/>
  <c r="Z46" i="12"/>
  <c r="Z215" i="12"/>
  <c r="H23" i="13"/>
  <c r="AC31" i="5"/>
  <c r="Z187" i="12"/>
  <c r="Z22" i="12"/>
  <c r="Z121" i="7"/>
  <c r="AC29" i="5"/>
  <c r="Z214" i="12"/>
  <c r="Z66" i="12"/>
  <c r="H4" i="13"/>
  <c r="AC28" i="5"/>
  <c r="Z186" i="12"/>
  <c r="Z173" i="12"/>
  <c r="Z77" i="12"/>
  <c r="Z7" i="12"/>
  <c r="H39" i="13"/>
  <c r="H12" i="13"/>
  <c r="AC64" i="5"/>
  <c r="AC53" i="5"/>
  <c r="Y1928" i="9"/>
  <c r="I147" i="12"/>
  <c r="F146" i="12"/>
  <c r="D696" i="9"/>
  <c r="F696" i="9"/>
  <c r="J47" i="12"/>
  <c r="E47" i="12"/>
  <c r="G17" i="6"/>
  <c r="J31" i="5" s="1"/>
  <c r="E8" i="12"/>
  <c r="H8" i="12"/>
  <c r="J917" i="9"/>
  <c r="I917" i="9" s="1"/>
  <c r="J2065" i="9"/>
  <c r="J2379" i="9"/>
  <c r="I2379" i="9" s="1"/>
  <c r="J2470" i="9"/>
  <c r="I2470" i="9" s="1"/>
  <c r="J2522" i="9"/>
  <c r="I2522" i="9" s="1"/>
  <c r="L12" i="12"/>
  <c r="H4" i="11" s="1"/>
  <c r="L2424" i="9" s="1"/>
  <c r="I2424" i="9" s="1"/>
  <c r="E917" i="9"/>
  <c r="F917" i="9"/>
  <c r="F186" i="12"/>
  <c r="E202" i="12"/>
  <c r="J202" i="12"/>
  <c r="H166" i="7"/>
  <c r="F29" i="6" s="1"/>
  <c r="F69" i="5"/>
  <c r="K69" i="5"/>
  <c r="G69" i="5" s="1"/>
  <c r="L155" i="12"/>
  <c r="H25" i="11" s="1"/>
  <c r="L620" i="9" s="1"/>
  <c r="I620" i="9" s="1"/>
  <c r="H165" i="7"/>
  <c r="F165" i="7" s="1"/>
  <c r="K123" i="7"/>
  <c r="L123" i="7" s="1"/>
  <c r="K106" i="5"/>
  <c r="F76" i="7"/>
  <c r="H144" i="7"/>
  <c r="L1039" i="9"/>
  <c r="I1039" i="9" s="1"/>
  <c r="L682" i="9"/>
  <c r="I682" i="9" s="1"/>
  <c r="L343" i="9"/>
  <c r="I343" i="9" s="1"/>
  <c r="L1844" i="9"/>
  <c r="I1844" i="9" s="1"/>
  <c r="K98" i="7"/>
  <c r="L98" i="7" s="1"/>
  <c r="F104" i="7"/>
  <c r="G106" i="7"/>
  <c r="L81" i="12"/>
  <c r="H14" i="11" s="1"/>
  <c r="K27" i="5"/>
  <c r="E152" i="12"/>
  <c r="H152" i="12"/>
  <c r="H155" i="12" s="1"/>
  <c r="F25" i="11" s="1"/>
  <c r="J616" i="9" s="1"/>
  <c r="I616" i="9" s="1"/>
  <c r="F77" i="5"/>
  <c r="K77" i="5"/>
  <c r="G77" i="5" s="1"/>
  <c r="E146" i="12"/>
  <c r="I829" i="9"/>
  <c r="D2469" i="9"/>
  <c r="F2469" i="9"/>
  <c r="L1266" i="9"/>
  <c r="L2281" i="9"/>
  <c r="I2281" i="9" s="1"/>
  <c r="K74" i="5"/>
  <c r="G74" i="5" s="1"/>
  <c r="F74" i="5"/>
  <c r="AA1494" i="9"/>
  <c r="AC1488" i="9"/>
  <c r="H1488" i="9" s="1"/>
  <c r="AA1487" i="9"/>
  <c r="AA1493" i="9"/>
  <c r="AC1493" i="9"/>
  <c r="H1493" i="9" s="1"/>
  <c r="AA1486" i="9"/>
  <c r="AA1488" i="9"/>
  <c r="AA1495" i="9"/>
  <c r="AC1486" i="9"/>
  <c r="H1486" i="9" s="1"/>
  <c r="F560" i="9"/>
  <c r="D560" i="9"/>
  <c r="F139" i="5"/>
  <c r="M139" i="5"/>
  <c r="M137" i="5" s="1"/>
  <c r="F33" i="12"/>
  <c r="AA2271" i="9"/>
  <c r="AE2271" i="9"/>
  <c r="H2271" i="9" s="1"/>
  <c r="F148" i="5"/>
  <c r="K148" i="5"/>
  <c r="G148" i="5" s="1"/>
  <c r="L1938" i="9"/>
  <c r="K71" i="7"/>
  <c r="L71" i="7" s="1"/>
  <c r="K78" i="7"/>
  <c r="L78" i="7" s="1"/>
  <c r="K63" i="7"/>
  <c r="L63" i="7" s="1"/>
  <c r="F2568" i="9"/>
  <c r="E2568" i="9"/>
  <c r="AC668" i="9"/>
  <c r="AC680" i="9"/>
  <c r="H680" i="9" s="1"/>
  <c r="AC698" i="9"/>
  <c r="H698" i="9" s="1"/>
  <c r="AA690" i="9"/>
  <c r="AC690" i="9"/>
  <c r="H690" i="9" s="1"/>
  <c r="AA678" i="9"/>
  <c r="AC678" i="9"/>
  <c r="H678" i="9" s="1"/>
  <c r="AE704" i="9"/>
  <c r="H704" i="9" s="1"/>
  <c r="AA682" i="9"/>
  <c r="B664" i="9"/>
  <c r="AC682" i="9"/>
  <c r="H682" i="9" s="1"/>
  <c r="AA706" i="9"/>
  <c r="AA698" i="9"/>
  <c r="AE706" i="9"/>
  <c r="H706" i="9" s="1"/>
  <c r="AA680" i="9"/>
  <c r="AA694" i="9"/>
  <c r="AC694" i="9"/>
  <c r="H694" i="9" s="1"/>
  <c r="AA704" i="9"/>
  <c r="AA688" i="9"/>
  <c r="AC688" i="9"/>
  <c r="H688" i="9" s="1"/>
  <c r="AE670" i="9"/>
  <c r="H670" i="9" s="1"/>
  <c r="AA702" i="9"/>
  <c r="AE702" i="9"/>
  <c r="H702" i="9" s="1"/>
  <c r="AA686" i="9"/>
  <c r="AC686" i="9"/>
  <c r="H686" i="9" s="1"/>
  <c r="AA696" i="9"/>
  <c r="AC670" i="9"/>
  <c r="L921" i="9"/>
  <c r="I921" i="9" s="1"/>
  <c r="L2526" i="9"/>
  <c r="I2526" i="9" s="1"/>
  <c r="L2065" i="9"/>
  <c r="F2065" i="9" s="1"/>
  <c r="L2471" i="9"/>
  <c r="I2471" i="9" s="1"/>
  <c r="L2383" i="9"/>
  <c r="I2383" i="9" s="1"/>
  <c r="D458" i="9"/>
  <c r="D504" i="9" s="1"/>
  <c r="E458" i="9"/>
  <c r="F458" i="9"/>
  <c r="F504" i="9" s="1"/>
  <c r="K66" i="5"/>
  <c r="F66" i="5"/>
  <c r="F131" i="5"/>
  <c r="K131" i="5"/>
  <c r="G131" i="5" s="1"/>
  <c r="L193" i="12"/>
  <c r="L197" i="12" s="1"/>
  <c r="H31" i="11" s="1"/>
  <c r="L819" i="9" s="1"/>
  <c r="I819" i="9" s="1"/>
  <c r="L33" i="12"/>
  <c r="L34" i="12" s="1"/>
  <c r="H7" i="11" s="1"/>
  <c r="L123" i="9" s="1"/>
  <c r="F15" i="12"/>
  <c r="D1178" i="9"/>
  <c r="D1181" i="9" s="1"/>
  <c r="E1178" i="9"/>
  <c r="F1178" i="9"/>
  <c r="F1181" i="9" s="1"/>
  <c r="E859" i="9"/>
  <c r="D859" i="9"/>
  <c r="M65" i="5"/>
  <c r="Z107" i="7"/>
  <c r="I39" i="12"/>
  <c r="F70" i="12"/>
  <c r="F83" i="7"/>
  <c r="E1378" i="9"/>
  <c r="F1378" i="9"/>
  <c r="D1378" i="9"/>
  <c r="F76" i="5"/>
  <c r="K76" i="5"/>
  <c r="G76" i="5" s="1"/>
  <c r="S57" i="17"/>
  <c r="S10" i="17"/>
  <c r="Z99" i="7"/>
  <c r="Y2383" i="9"/>
  <c r="F58" i="5"/>
  <c r="S38" i="17"/>
  <c r="I209" i="12"/>
  <c r="Z82" i="7"/>
  <c r="AC76" i="5"/>
  <c r="Z195" i="12"/>
  <c r="G173" i="12"/>
  <c r="L165" i="12"/>
  <c r="L169" i="12" s="1"/>
  <c r="H27" i="11" s="1"/>
  <c r="G30" i="12"/>
  <c r="L15" i="12"/>
  <c r="L19" i="12" s="1"/>
  <c r="H5" i="11" s="1"/>
  <c r="S56" i="17"/>
  <c r="S9" i="17"/>
  <c r="Z119" i="7"/>
  <c r="AA1346" i="9"/>
  <c r="F827" i="9"/>
  <c r="D1368" i="9"/>
  <c r="E1368" i="9"/>
  <c r="H56" i="12"/>
  <c r="F10" i="11" s="1"/>
  <c r="G99" i="7" s="1"/>
  <c r="H99" i="7" s="1"/>
  <c r="D1468" i="9"/>
  <c r="F1468" i="9"/>
  <c r="Y2277" i="9"/>
  <c r="E1977" i="9"/>
  <c r="AC58" i="5"/>
  <c r="D18" i="1"/>
  <c r="AC57" i="5"/>
  <c r="D1977" i="9"/>
  <c r="D1979" i="9" s="1"/>
  <c r="K81" i="5"/>
  <c r="G81" i="5" s="1"/>
  <c r="F81" i="5"/>
  <c r="H94" i="12"/>
  <c r="F16" i="11" s="1"/>
  <c r="J34" i="9" s="1"/>
  <c r="I34" i="9" s="1"/>
  <c r="E2223" i="9"/>
  <c r="F158" i="12"/>
  <c r="F151" i="12"/>
  <c r="L101" i="12"/>
  <c r="H17" i="11" s="1"/>
  <c r="F45" i="12"/>
  <c r="L26" i="12"/>
  <c r="H6" i="11" s="1"/>
  <c r="S17" i="17"/>
  <c r="F82" i="7"/>
  <c r="D2223" i="9"/>
  <c r="D2022" i="9"/>
  <c r="D2024" i="9" s="1"/>
  <c r="F2022" i="9"/>
  <c r="F2024" i="9" s="1"/>
  <c r="D1478" i="9"/>
  <c r="E1478" i="9"/>
  <c r="Y1346" i="9"/>
  <c r="E567" i="9"/>
  <c r="F567" i="9"/>
  <c r="F569" i="9" s="1"/>
  <c r="F571" i="9" s="1"/>
  <c r="F604" i="9" s="1"/>
  <c r="C1616" i="9"/>
  <c r="L1618" i="9" s="1"/>
  <c r="E939" i="9"/>
  <c r="F939" i="9"/>
  <c r="B1312" i="9"/>
  <c r="I121" i="12"/>
  <c r="AC1852" i="9"/>
  <c r="H1852" i="9" s="1"/>
  <c r="AA1840" i="9"/>
  <c r="AC1828" i="9"/>
  <c r="AC1832" i="9"/>
  <c r="AC1842" i="9"/>
  <c r="H1842" i="9" s="1"/>
  <c r="AC1840" i="9"/>
  <c r="H1840" i="9" s="1"/>
  <c r="AA1850" i="9"/>
  <c r="AC1850" i="9"/>
  <c r="H1850" i="9" s="1"/>
  <c r="AA1842" i="9"/>
  <c r="AA1852" i="9"/>
  <c r="B1815" i="9"/>
  <c r="AE1828" i="9"/>
  <c r="H1828" i="9" s="1"/>
  <c r="AA1854" i="9"/>
  <c r="AC1854" i="9"/>
  <c r="H1854" i="9" s="1"/>
  <c r="X11" i="18"/>
  <c r="F11" i="18"/>
  <c r="G11" i="18"/>
  <c r="K11" i="18"/>
  <c r="L11" i="18"/>
  <c r="N11" i="18"/>
  <c r="R11" i="18"/>
  <c r="P11" i="18"/>
  <c r="F221" i="12"/>
  <c r="Z181" i="12"/>
  <c r="S11" i="17"/>
  <c r="AB366" i="9"/>
  <c r="AL366" i="9"/>
  <c r="Z140" i="7"/>
  <c r="G118" i="7"/>
  <c r="B1666" i="9"/>
  <c r="F53" i="12"/>
  <c r="L148" i="12"/>
  <c r="H24" i="11" s="1"/>
  <c r="L859" i="9" s="1"/>
  <c r="I859" i="9" s="1"/>
  <c r="E53" i="12"/>
  <c r="AC127" i="5"/>
  <c r="L63" i="12"/>
  <c r="H11" i="11" s="1"/>
  <c r="L779" i="9" s="1"/>
  <c r="D2325" i="9"/>
  <c r="F2325" i="9"/>
  <c r="AC2167" i="9"/>
  <c r="AC2169" i="9"/>
  <c r="AD2162" i="9"/>
  <c r="AJ2167" i="9"/>
  <c r="H2167" i="9" s="1"/>
  <c r="AJ2169" i="9"/>
  <c r="H2169" i="9" s="1"/>
  <c r="E1775" i="9"/>
  <c r="F1775" i="9"/>
  <c r="F1779" i="9" s="1"/>
  <c r="F1804" i="9" s="1"/>
  <c r="D1775" i="9"/>
  <c r="D1779" i="9" s="1"/>
  <c r="D1804" i="9" s="1"/>
  <c r="L130" i="12"/>
  <c r="H21" i="11" s="1"/>
  <c r="F165" i="12"/>
  <c r="L104" i="12"/>
  <c r="L109" i="12" s="1"/>
  <c r="H18" i="11" s="1"/>
  <c r="L849" i="9" s="1"/>
  <c r="I849" i="9" s="1"/>
  <c r="S37" i="17"/>
  <c r="F82" i="5"/>
  <c r="K82" i="5"/>
  <c r="G82" i="5" s="1"/>
  <c r="Y2546" i="9"/>
  <c r="Y2181" i="9"/>
  <c r="E1477" i="9"/>
  <c r="F1477" i="9"/>
  <c r="D1477" i="9"/>
  <c r="D528" i="9"/>
  <c r="F528" i="9"/>
  <c r="F539" i="9" s="1"/>
  <c r="E528" i="9"/>
  <c r="I31" i="12"/>
  <c r="I216" i="12"/>
  <c r="I195" i="12"/>
  <c r="I128" i="12"/>
  <c r="F15" i="10"/>
  <c r="I79" i="12"/>
  <c r="I188" i="12"/>
  <c r="I223" i="12"/>
  <c r="I17" i="12"/>
  <c r="I72" i="12"/>
  <c r="I135" i="12"/>
  <c r="I160" i="12"/>
  <c r="I54" i="12"/>
  <c r="D273" i="9"/>
  <c r="F273" i="9"/>
  <c r="I61" i="12"/>
  <c r="E76" i="7"/>
  <c r="Y1319" i="9"/>
  <c r="Y44" i="9"/>
  <c r="Y138" i="9"/>
  <c r="Y1467" i="9"/>
  <c r="Y1368" i="9"/>
  <c r="Y173" i="9"/>
  <c r="D15" i="1"/>
  <c r="Y1318" i="9"/>
  <c r="Y1466" i="9"/>
  <c r="Y560" i="9"/>
  <c r="Y1316" i="9"/>
  <c r="Y1317" i="9"/>
  <c r="Y1369" i="9"/>
  <c r="Y1567" i="9"/>
  <c r="Y2020" i="9"/>
  <c r="Y2439" i="9"/>
  <c r="Y2321" i="9"/>
  <c r="Y1371" i="9"/>
  <c r="Y1469" i="9"/>
  <c r="Y863" i="9"/>
  <c r="Y1517" i="9"/>
  <c r="AC74" i="5"/>
  <c r="AC78" i="5"/>
  <c r="AC138" i="5"/>
  <c r="AC146" i="5"/>
  <c r="Z169" i="7"/>
  <c r="Z114" i="12"/>
  <c r="Z135" i="12"/>
  <c r="AC130" i="5"/>
  <c r="S6" i="17"/>
  <c r="S12" i="17"/>
  <c r="S18" i="17"/>
  <c r="S24" i="17"/>
  <c r="S30" i="17"/>
  <c r="S36" i="17"/>
  <c r="S42" i="17"/>
  <c r="S48" i="17"/>
  <c r="S54" i="17"/>
  <c r="AC67" i="5"/>
  <c r="AC82" i="5"/>
  <c r="Z61" i="12"/>
  <c r="AC86" i="5"/>
  <c r="Y1370" i="9"/>
  <c r="AC71" i="5"/>
  <c r="Z151" i="7"/>
  <c r="AC75" i="5"/>
  <c r="Z159" i="7"/>
  <c r="AC79" i="5"/>
  <c r="AC131" i="5"/>
  <c r="AC69" i="5"/>
  <c r="AC84" i="5"/>
  <c r="S19" i="17"/>
  <c r="S46" i="17"/>
  <c r="Z216" i="12"/>
  <c r="S28" i="17"/>
  <c r="S26" i="17"/>
  <c r="S53" i="17"/>
  <c r="J15" i="10"/>
  <c r="S5" i="17"/>
  <c r="S33" i="17"/>
  <c r="Z47" i="12"/>
  <c r="Z106" i="12"/>
  <c r="Z153" i="12"/>
  <c r="J16" i="10"/>
  <c r="Z72" i="12"/>
  <c r="AC186" i="5"/>
  <c r="S13" i="17"/>
  <c r="S40" i="17"/>
  <c r="Z128" i="12"/>
  <c r="S20" i="17"/>
  <c r="S47" i="17"/>
  <c r="AC80" i="5"/>
  <c r="Z188" i="12"/>
  <c r="Z223" i="12"/>
  <c r="Z160" i="12"/>
  <c r="AC135" i="5"/>
  <c r="S27" i="17"/>
  <c r="S49" i="17"/>
  <c r="AC70" i="5"/>
  <c r="AC85" i="5"/>
  <c r="S7" i="17"/>
  <c r="S34" i="17"/>
  <c r="S55" i="17"/>
  <c r="Z32" i="12"/>
  <c r="S21" i="17"/>
  <c r="S14" i="17"/>
  <c r="S41" i="17"/>
  <c r="F75" i="5"/>
  <c r="K75" i="5"/>
  <c r="G75" i="5" s="1"/>
  <c r="Y809" i="9"/>
  <c r="Z63" i="7"/>
  <c r="G172" i="5"/>
  <c r="G169" i="5" s="1"/>
  <c r="G222" i="12"/>
  <c r="G78" i="12"/>
  <c r="G85" i="12"/>
  <c r="G58" i="5"/>
  <c r="D2432" i="9"/>
  <c r="E2432" i="9"/>
  <c r="F2432" i="9"/>
  <c r="Y1842" i="9"/>
  <c r="AC83" i="5"/>
  <c r="F126" i="12"/>
  <c r="F52" i="12"/>
  <c r="Y2424" i="9"/>
  <c r="F2321" i="9"/>
  <c r="D2321" i="9"/>
  <c r="F2133" i="9"/>
  <c r="F1466" i="9"/>
  <c r="Y845" i="9"/>
  <c r="F214" i="12"/>
  <c r="H148" i="12"/>
  <c r="F24" i="11" s="1"/>
  <c r="J855" i="9" s="1"/>
  <c r="I855" i="9" s="1"/>
  <c r="S31" i="17"/>
  <c r="I65" i="5"/>
  <c r="Z17" i="12"/>
  <c r="I153" i="12"/>
  <c r="I174" i="12"/>
  <c r="F16" i="10"/>
  <c r="I230" i="12"/>
  <c r="G168" i="5"/>
  <c r="G166" i="5" s="1"/>
  <c r="K166" i="5"/>
  <c r="K165" i="5" s="1"/>
  <c r="AC77" i="5"/>
  <c r="B16" i="2"/>
  <c r="H17" i="3"/>
  <c r="B17" i="2"/>
  <c r="H24" i="3"/>
  <c r="H32" i="3"/>
  <c r="H14" i="3"/>
  <c r="H21" i="3"/>
  <c r="D6" i="1"/>
  <c r="H5" i="3"/>
  <c r="H26" i="3"/>
  <c r="H27" i="3"/>
  <c r="H18" i="3"/>
  <c r="H9" i="3"/>
  <c r="H12" i="3"/>
  <c r="H13" i="3"/>
  <c r="H10" i="3"/>
  <c r="H25" i="3"/>
  <c r="H29" i="3"/>
  <c r="H15" i="3"/>
  <c r="H23" i="3"/>
  <c r="H31" i="3"/>
  <c r="H16" i="3"/>
  <c r="H28" i="3"/>
  <c r="H30" i="3"/>
  <c r="G127" i="12"/>
  <c r="S29" i="17"/>
  <c r="Z170" i="7"/>
  <c r="J68" i="5"/>
  <c r="I140" i="7"/>
  <c r="S8" i="17"/>
  <c r="E1936" i="9"/>
  <c r="D1936" i="9"/>
  <c r="F1936" i="9"/>
  <c r="AE1830" i="9"/>
  <c r="H1830" i="9" s="1"/>
  <c r="D1318" i="9"/>
  <c r="F1318" i="9"/>
  <c r="Y294" i="9"/>
  <c r="Y298" i="9"/>
  <c r="Y271" i="9"/>
  <c r="Y275" i="9"/>
  <c r="Y939" i="9"/>
  <c r="Y943" i="9"/>
  <c r="Y789" i="9"/>
  <c r="Y921" i="9"/>
  <c r="Y1045" i="9"/>
  <c r="Y1049" i="9"/>
  <c r="Y1245" i="9"/>
  <c r="Y167" i="9"/>
  <c r="Y347" i="9"/>
  <c r="Y371" i="9"/>
  <c r="Y296" i="9"/>
  <c r="Y839" i="9"/>
  <c r="Y847" i="9"/>
  <c r="Y855" i="9"/>
  <c r="Y941" i="9"/>
  <c r="Y1338" i="9"/>
  <c r="Y1494" i="9"/>
  <c r="Y2235" i="9"/>
  <c r="Y70" i="9"/>
  <c r="Y620" i="9"/>
  <c r="Y704" i="9"/>
  <c r="Y2183" i="9"/>
  <c r="Y120" i="9"/>
  <c r="Y618" i="9"/>
  <c r="Y817" i="9"/>
  <c r="Y2065" i="9"/>
  <c r="Y2233" i="9"/>
  <c r="Y26" i="9"/>
  <c r="Y698" i="9"/>
  <c r="Y930" i="9"/>
  <c r="Y1057" i="9"/>
  <c r="Y1266" i="9"/>
  <c r="Y1339" i="9"/>
  <c r="Y1844" i="9"/>
  <c r="Y2471" i="9"/>
  <c r="Y72" i="9"/>
  <c r="Y223" i="9"/>
  <c r="Y28" i="9"/>
  <c r="Y123" i="9"/>
  <c r="D13" i="1"/>
  <c r="Y24" i="9"/>
  <c r="Y166" i="9"/>
  <c r="Y440" i="9"/>
  <c r="Y682" i="9"/>
  <c r="Y1035" i="9"/>
  <c r="Y227" i="9"/>
  <c r="Y324" i="9"/>
  <c r="Y829" i="9"/>
  <c r="Y1248" i="9"/>
  <c r="Y68" i="9"/>
  <c r="Y799" i="9"/>
  <c r="Y917" i="9"/>
  <c r="Y1391" i="9"/>
  <c r="Y1397" i="9"/>
  <c r="Y273" i="9"/>
  <c r="Y36" i="9"/>
  <c r="Y1488" i="9"/>
  <c r="Y2279" i="9"/>
  <c r="Y849" i="9"/>
  <c r="Y1251" i="9"/>
  <c r="Y1722" i="9"/>
  <c r="Y777" i="9"/>
  <c r="Y807" i="9"/>
  <c r="Y680" i="9"/>
  <c r="Y787" i="9"/>
  <c r="Y1396" i="9"/>
  <c r="Y1724" i="9"/>
  <c r="Y616" i="9"/>
  <c r="Y1493" i="9"/>
  <c r="Y1938" i="9"/>
  <c r="Y2522" i="9"/>
  <c r="Y322" i="9"/>
  <c r="Y690" i="9"/>
  <c r="Y837" i="9"/>
  <c r="Y518" i="9"/>
  <c r="Y1039" i="9"/>
  <c r="Y1390" i="9"/>
  <c r="Y165" i="9"/>
  <c r="Y369" i="9"/>
  <c r="Y1025" i="9"/>
  <c r="Y345" i="9"/>
  <c r="Y805" i="9"/>
  <c r="Y1047" i="9"/>
  <c r="Y1037" i="9"/>
  <c r="Y2381" i="9"/>
  <c r="Z78" i="7"/>
  <c r="Y34" i="9"/>
  <c r="Y1850" i="9"/>
  <c r="Y1059" i="9"/>
  <c r="Y2131" i="9"/>
  <c r="Y2237" i="9"/>
  <c r="Y706" i="9"/>
  <c r="Y320" i="9"/>
  <c r="Y521" i="9"/>
  <c r="Y785" i="9"/>
  <c r="Y797" i="9"/>
  <c r="Y819" i="9"/>
  <c r="Y438" i="9"/>
  <c r="Y686" i="9"/>
  <c r="Y1495" i="9"/>
  <c r="Y1723" i="9"/>
  <c r="Y919" i="9"/>
  <c r="Y2544" i="9"/>
  <c r="Y775" i="9"/>
  <c r="Y801" i="9"/>
  <c r="Y835" i="9"/>
  <c r="Y117" i="9"/>
  <c r="Y343" i="9"/>
  <c r="Y515" i="9"/>
  <c r="Y694" i="9"/>
  <c r="Y678" i="9"/>
  <c r="Y928" i="9"/>
  <c r="Y1126" i="9"/>
  <c r="Y1389" i="9"/>
  <c r="Y1486" i="9"/>
  <c r="Y2379" i="9"/>
  <c r="Y38" i="9"/>
  <c r="Y373" i="9"/>
  <c r="Y1344" i="9"/>
  <c r="Y1854" i="9"/>
  <c r="Y2469" i="9"/>
  <c r="Y436" i="9"/>
  <c r="Y2524" i="9"/>
  <c r="Y827" i="9"/>
  <c r="Y1345" i="9"/>
  <c r="Z10" i="12"/>
  <c r="Y688" i="9"/>
  <c r="Y932" i="9"/>
  <c r="Y2135" i="9"/>
  <c r="Y2185" i="9"/>
  <c r="Y2281" i="9"/>
  <c r="Y2526" i="9"/>
  <c r="Z14" i="7"/>
  <c r="Z98" i="7"/>
  <c r="Y1852" i="9"/>
  <c r="Z71" i="7"/>
  <c r="Z108" i="7"/>
  <c r="Y779" i="9"/>
  <c r="Y1398" i="9"/>
  <c r="Y2548" i="9"/>
  <c r="Y2418" i="9"/>
  <c r="Y815" i="9"/>
  <c r="Y857" i="9"/>
  <c r="Y1487" i="9"/>
  <c r="Y2133" i="9"/>
  <c r="Z120" i="7"/>
  <c r="Y1128" i="9"/>
  <c r="Y2470" i="9"/>
  <c r="Y859" i="9"/>
  <c r="Y225" i="9"/>
  <c r="Y2421" i="9"/>
  <c r="Z13" i="7"/>
  <c r="Y1840" i="9"/>
  <c r="Y1055" i="9"/>
  <c r="G72" i="5"/>
  <c r="AC1844" i="9"/>
  <c r="H1844" i="9" s="1"/>
  <c r="F228" i="12"/>
  <c r="S39" i="17"/>
  <c r="D2383" i="9"/>
  <c r="F2383" i="9"/>
  <c r="E2383" i="9"/>
  <c r="K10" i="18"/>
  <c r="L10" i="18"/>
  <c r="X10" i="18"/>
  <c r="E10" i="18"/>
  <c r="I10" i="18"/>
  <c r="J10" i="18"/>
  <c r="Z209" i="12"/>
  <c r="K71" i="5"/>
  <c r="G71" i="5" s="1"/>
  <c r="F71" i="5"/>
  <c r="F116" i="7"/>
  <c r="Y1468" i="9"/>
  <c r="Y1027" i="9"/>
  <c r="F130" i="5"/>
  <c r="K130" i="5"/>
  <c r="G16" i="12"/>
  <c r="G180" i="12"/>
  <c r="G201" i="12"/>
  <c r="G159" i="12"/>
  <c r="G194" i="12"/>
  <c r="G60" i="12"/>
  <c r="G38" i="12"/>
  <c r="G113" i="12"/>
  <c r="G23" i="12"/>
  <c r="S45" i="17"/>
  <c r="G23" i="11"/>
  <c r="I108" i="12" s="1"/>
  <c r="F141" i="12"/>
  <c r="E23" i="11" s="1"/>
  <c r="H109" i="12"/>
  <c r="F18" i="11" s="1"/>
  <c r="J845" i="9" s="1"/>
  <c r="I845" i="9" s="1"/>
  <c r="E41" i="12"/>
  <c r="L41" i="12"/>
  <c r="F41" i="12" s="1"/>
  <c r="E169" i="7"/>
  <c r="J169" i="7"/>
  <c r="S25" i="17"/>
  <c r="S16" i="17"/>
  <c r="AC148" i="5"/>
  <c r="AC81" i="5"/>
  <c r="F2546" i="9"/>
  <c r="E2532" i="9"/>
  <c r="F2532" i="9"/>
  <c r="F2534" i="9" s="1"/>
  <c r="D2532" i="9"/>
  <c r="D2534" i="9" s="1"/>
  <c r="AA2469" i="9"/>
  <c r="AA2471" i="9"/>
  <c r="AE2471" i="9"/>
  <c r="H2471" i="9" s="1"/>
  <c r="B2467" i="9"/>
  <c r="AA2470" i="9"/>
  <c r="AE2470" i="9"/>
  <c r="H2470" i="9" s="1"/>
  <c r="E2321" i="9"/>
  <c r="D2133" i="9"/>
  <c r="D2065" i="9"/>
  <c r="E2022" i="9"/>
  <c r="C2022" i="9" s="1"/>
  <c r="B2022" i="9" s="1"/>
  <c r="AC1830" i="9"/>
  <c r="D1466" i="9"/>
  <c r="F2439" i="9"/>
  <c r="E2439" i="9"/>
  <c r="Y1029" i="9"/>
  <c r="F1368" i="9"/>
  <c r="AA1844" i="9"/>
  <c r="E116" i="7"/>
  <c r="D2548" i="9"/>
  <c r="E2548" i="9"/>
  <c r="Z202" i="12"/>
  <c r="Z230" i="12"/>
  <c r="F179" i="12"/>
  <c r="Z146" i="12"/>
  <c r="Z108" i="12"/>
  <c r="F29" i="12"/>
  <c r="F62" i="7"/>
  <c r="AC2333" i="9"/>
  <c r="AC2331" i="9"/>
  <c r="B2316" i="9"/>
  <c r="P13" i="18"/>
  <c r="R13" i="18"/>
  <c r="X13" i="18"/>
  <c r="G13" i="18"/>
  <c r="I13" i="18"/>
  <c r="F13" i="18"/>
  <c r="J13" i="18"/>
  <c r="K13" i="18"/>
  <c r="N13" i="18"/>
  <c r="K1371" i="9"/>
  <c r="I1371" i="9" s="1"/>
  <c r="K1319" i="9"/>
  <c r="K1469" i="9"/>
  <c r="I1469" i="9" s="1"/>
  <c r="I114" i="12"/>
  <c r="F86" i="5"/>
  <c r="K86" i="5"/>
  <c r="G86" i="5" s="1"/>
  <c r="G229" i="12"/>
  <c r="G166" i="12"/>
  <c r="I106" i="12"/>
  <c r="I24" i="12"/>
  <c r="G146" i="5"/>
  <c r="D2439" i="9"/>
  <c r="I167" i="12"/>
  <c r="I9" i="12"/>
  <c r="I181" i="12"/>
  <c r="F2277" i="9"/>
  <c r="E2277" i="9"/>
  <c r="G120" i="12"/>
  <c r="E46" i="12"/>
  <c r="D450" i="9"/>
  <c r="G134" i="12"/>
  <c r="G187" i="12"/>
  <c r="G215" i="12"/>
  <c r="G208" i="12"/>
  <c r="F140" i="12"/>
  <c r="Z86" i="12"/>
  <c r="S52" i="17"/>
  <c r="S35" i="17"/>
  <c r="AC87" i="5"/>
  <c r="AC68" i="5"/>
  <c r="D839" i="9"/>
  <c r="E839" i="9"/>
  <c r="Y702" i="9"/>
  <c r="Z78" i="12"/>
  <c r="Z38" i="12"/>
  <c r="F135" i="5"/>
  <c r="K135" i="5"/>
  <c r="E2566" i="9"/>
  <c r="B1461" i="9"/>
  <c r="AC1476" i="9"/>
  <c r="AE1476" i="9"/>
  <c r="H1476" i="9" s="1"/>
  <c r="E1170" i="9"/>
  <c r="D1170" i="9"/>
  <c r="D19" i="1"/>
  <c r="F144" i="12"/>
  <c r="L119" i="12"/>
  <c r="L123" i="12" s="1"/>
  <c r="H20" i="11" s="1"/>
  <c r="L839" i="9" s="1"/>
  <c r="I839" i="9" s="1"/>
  <c r="F83" i="5"/>
  <c r="K83" i="5"/>
  <c r="G83" i="5" s="1"/>
  <c r="AC2544" i="9"/>
  <c r="H2544" i="9" s="1"/>
  <c r="AA2544" i="9"/>
  <c r="B2542" i="9"/>
  <c r="AA2548" i="9"/>
  <c r="D2171" i="9"/>
  <c r="E2171" i="9"/>
  <c r="B1909" i="9"/>
  <c r="F837" i="9"/>
  <c r="D167" i="9"/>
  <c r="E167" i="9"/>
  <c r="L94" i="12"/>
  <c r="H16" i="11" s="1"/>
  <c r="L38" i="9" s="1"/>
  <c r="I38" i="9" s="1"/>
  <c r="K77" i="7"/>
  <c r="D12" i="1"/>
  <c r="Z105" i="12"/>
  <c r="Z120" i="12"/>
  <c r="B1911" i="9"/>
  <c r="AB1936" i="9"/>
  <c r="D1371" i="9"/>
  <c r="E1371" i="9"/>
  <c r="C1371" i="9" s="1"/>
  <c r="Z16" i="12"/>
  <c r="B863" i="9"/>
  <c r="K560" i="9"/>
  <c r="I560" i="9" s="1"/>
  <c r="J127" i="5"/>
  <c r="F117" i="7"/>
  <c r="AC2219" i="9"/>
  <c r="AK2219" i="9"/>
  <c r="H2219" i="9" s="1"/>
  <c r="Z2215" i="9"/>
  <c r="AD2215" i="9"/>
  <c r="AC2221" i="9"/>
  <c r="AK2221" i="9"/>
  <c r="H2221" i="9" s="1"/>
  <c r="F2061" i="9"/>
  <c r="D2061" i="9"/>
  <c r="AB1122" i="9"/>
  <c r="AF1122" i="9"/>
  <c r="H1122" i="9" s="1"/>
  <c r="F91" i="12"/>
  <c r="D2421" i="9"/>
  <c r="C2061" i="9"/>
  <c r="B2061" i="9" s="1"/>
  <c r="AA1973" i="9"/>
  <c r="AE1973" i="9"/>
  <c r="H1973" i="9" s="1"/>
  <c r="AF1934" i="9"/>
  <c r="H1934" i="9" s="1"/>
  <c r="D1834" i="9"/>
  <c r="E1834" i="9"/>
  <c r="F1205" i="9"/>
  <c r="H21" i="8"/>
  <c r="L56" i="5" s="1"/>
  <c r="M56" i="5" s="1"/>
  <c r="B1109" i="9"/>
  <c r="E1045" i="9"/>
  <c r="F1045" i="9"/>
  <c r="B1913" i="9"/>
  <c r="AD1934" i="9"/>
  <c r="AD1936" i="9"/>
  <c r="AA1938" i="9"/>
  <c r="AC1938" i="9"/>
  <c r="H1938" i="9" s="1"/>
  <c r="L88" i="12"/>
  <c r="H15" i="11" s="1"/>
  <c r="K1318" i="9"/>
  <c r="I1318" i="9" s="1"/>
  <c r="K1370" i="9"/>
  <c r="I1370" i="9" s="1"/>
  <c r="K1468" i="9"/>
  <c r="I1468" i="9" s="1"/>
  <c r="F207" i="12"/>
  <c r="K32" i="11"/>
  <c r="K23" i="11"/>
  <c r="AA2131" i="9"/>
  <c r="AC2135" i="9"/>
  <c r="H2135" i="9" s="1"/>
  <c r="AC2131" i="9"/>
  <c r="H2131" i="9" s="1"/>
  <c r="AA2135" i="9"/>
  <c r="D2028" i="9"/>
  <c r="B1964" i="9"/>
  <c r="E1205" i="9"/>
  <c r="G21" i="8"/>
  <c r="J56" i="5" s="1"/>
  <c r="AA1245" i="9"/>
  <c r="AA294" i="9"/>
  <c r="AA298" i="9"/>
  <c r="AC294" i="9"/>
  <c r="H294" i="9" s="1"/>
  <c r="AC298" i="9"/>
  <c r="H298" i="9" s="1"/>
  <c r="B291" i="9"/>
  <c r="AA296" i="9"/>
  <c r="AC296" i="9"/>
  <c r="H296" i="9" s="1"/>
  <c r="Z53" i="12"/>
  <c r="F22" i="12"/>
  <c r="K13" i="11"/>
  <c r="F79" i="5"/>
  <c r="K79" i="5"/>
  <c r="G79" i="5" s="1"/>
  <c r="E159" i="7"/>
  <c r="J159" i="7"/>
  <c r="F105" i="7"/>
  <c r="H94" i="7"/>
  <c r="E2418" i="9"/>
  <c r="F2418" i="9"/>
  <c r="F2028" i="9"/>
  <c r="D1469" i="9"/>
  <c r="F1469" i="9"/>
  <c r="AC1327" i="9"/>
  <c r="AE1327" i="9"/>
  <c r="H1327" i="9" s="1"/>
  <c r="B1311" i="9"/>
  <c r="AE1328" i="9"/>
  <c r="H1328" i="9" s="1"/>
  <c r="AC1328" i="9"/>
  <c r="Z201" i="12"/>
  <c r="Z194" i="12"/>
  <c r="Z134" i="12"/>
  <c r="F84" i="12"/>
  <c r="Z71" i="12"/>
  <c r="K1317" i="9"/>
  <c r="I1317" i="9" s="1"/>
  <c r="K1369" i="9"/>
  <c r="I1369" i="9" s="1"/>
  <c r="K1467" i="9"/>
  <c r="B2314" i="9"/>
  <c r="AA2333" i="9"/>
  <c r="AE2333" i="9"/>
  <c r="H2333" i="9" s="1"/>
  <c r="Z229" i="12"/>
  <c r="Z159" i="12"/>
  <c r="K36" i="11"/>
  <c r="K27" i="11"/>
  <c r="K18" i="11"/>
  <c r="K8" i="11"/>
  <c r="I44" i="9"/>
  <c r="E44" i="9"/>
  <c r="H5" i="13"/>
  <c r="H13" i="13"/>
  <c r="H21" i="13"/>
  <c r="H29" i="13"/>
  <c r="H37" i="13"/>
  <c r="H45" i="13"/>
  <c r="H53" i="13"/>
  <c r="H6" i="13"/>
  <c r="H14" i="13"/>
  <c r="H22" i="13"/>
  <c r="H38" i="13"/>
  <c r="H46" i="13"/>
  <c r="H54" i="13"/>
  <c r="H30" i="13"/>
  <c r="AC2269" i="9"/>
  <c r="AA2281" i="9"/>
  <c r="AC2281" i="9"/>
  <c r="H2281" i="9" s="1"/>
  <c r="AA2277" i="9"/>
  <c r="AE2269" i="9"/>
  <c r="H2269" i="9" s="1"/>
  <c r="AA2279" i="9"/>
  <c r="AC2279" i="9"/>
  <c r="H2279" i="9" s="1"/>
  <c r="AC2271" i="9"/>
  <c r="AE2117" i="9"/>
  <c r="H2117" i="9" s="1"/>
  <c r="AC2117" i="9"/>
  <c r="AC2119" i="9"/>
  <c r="AE2119" i="9"/>
  <c r="H2119" i="9" s="1"/>
  <c r="D1616" i="9"/>
  <c r="F1170" i="9"/>
  <c r="D1059" i="9"/>
  <c r="E1059" i="9"/>
  <c r="D855" i="9"/>
  <c r="E1025" i="9"/>
  <c r="H12" i="7"/>
  <c r="F12" i="7" s="1"/>
  <c r="AC2480" i="9"/>
  <c r="AG2480" i="9"/>
  <c r="H2480" i="9" s="1"/>
  <c r="E1380" i="9"/>
  <c r="D1380" i="9"/>
  <c r="Z425" i="9"/>
  <c r="E1370" i="9"/>
  <c r="D1370" i="9"/>
  <c r="F1370" i="9"/>
  <c r="AA939" i="9"/>
  <c r="AA943" i="9"/>
  <c r="AE943" i="9"/>
  <c r="H943" i="9" s="1"/>
  <c r="AA932" i="9"/>
  <c r="AC932" i="9"/>
  <c r="H932" i="9" s="1"/>
  <c r="AA941" i="9"/>
  <c r="AC950" i="9"/>
  <c r="AE941" i="9"/>
  <c r="H941" i="9" s="1"/>
  <c r="AC919" i="9"/>
  <c r="H919" i="9" s="1"/>
  <c r="AA930" i="9"/>
  <c r="AC930" i="9"/>
  <c r="H930" i="9" s="1"/>
  <c r="AC952" i="9"/>
  <c r="AC921" i="9"/>
  <c r="H921" i="9" s="1"/>
  <c r="B912" i="9"/>
  <c r="AE952" i="9"/>
  <c r="H952" i="9" s="1"/>
  <c r="AA919" i="9"/>
  <c r="AA921" i="9"/>
  <c r="AA928" i="9"/>
  <c r="AC928" i="9"/>
  <c r="H928" i="9" s="1"/>
  <c r="I145" i="5"/>
  <c r="B2365" i="9"/>
  <c r="AC2372" i="9"/>
  <c r="AC2379" i="9"/>
  <c r="H2379" i="9" s="1"/>
  <c r="AA2381" i="9"/>
  <c r="AE2372" i="9"/>
  <c r="H2372" i="9" s="1"/>
  <c r="AC2381" i="9"/>
  <c r="H2381" i="9" s="1"/>
  <c r="AA2379" i="9"/>
  <c r="B1162" i="9"/>
  <c r="AD66" i="9"/>
  <c r="AF2520" i="9"/>
  <c r="B2514" i="9"/>
  <c r="F2323" i="9"/>
  <c r="D2032" i="9"/>
  <c r="F2032" i="9"/>
  <c r="E2032" i="9"/>
  <c r="D1520" i="9"/>
  <c r="D1522" i="9" s="1"/>
  <c r="D1554" i="9" s="1"/>
  <c r="E1520" i="9"/>
  <c r="F847" i="9"/>
  <c r="E2020" i="9"/>
  <c r="I2020" i="9"/>
  <c r="K1466" i="9"/>
  <c r="I1466" i="9" s="1"/>
  <c r="K1316" i="9"/>
  <c r="I1316" i="9" s="1"/>
  <c r="B1379" i="9"/>
  <c r="AM56" i="9"/>
  <c r="AE56" i="9"/>
  <c r="I166" i="5"/>
  <c r="I165" i="5" s="1"/>
  <c r="F2570" i="9"/>
  <c r="F2572" i="9" s="1"/>
  <c r="F2604" i="9" s="1"/>
  <c r="D1971" i="9"/>
  <c r="E1971" i="9"/>
  <c r="F1971" i="9"/>
  <c r="F1517" i="9"/>
  <c r="D1517" i="9"/>
  <c r="E1517" i="9"/>
  <c r="E1654" i="9"/>
  <c r="AA668" i="9"/>
  <c r="AE668" i="9"/>
  <c r="H668" i="9" s="1"/>
  <c r="H19" i="18"/>
  <c r="Y448" i="9"/>
  <c r="Y1134" i="9"/>
  <c r="Y1922" i="9"/>
  <c r="AC18" i="5"/>
  <c r="AC42" i="5"/>
  <c r="AC7" i="5"/>
  <c r="AC39" i="5"/>
  <c r="D10" i="1"/>
  <c r="Y452" i="9"/>
  <c r="Y450" i="9"/>
  <c r="Z29" i="7"/>
  <c r="Y1944" i="9"/>
  <c r="D789" i="9"/>
  <c r="E789" i="9"/>
  <c r="F789" i="9"/>
  <c r="F791" i="9" s="1"/>
  <c r="B660" i="9"/>
  <c r="K9" i="18"/>
  <c r="L9" i="18"/>
  <c r="N9" i="18"/>
  <c r="P9" i="18"/>
  <c r="AA1168" i="9"/>
  <c r="AE1168" i="9"/>
  <c r="H1168" i="9" s="1"/>
  <c r="B759" i="9"/>
  <c r="AA767" i="9"/>
  <c r="AE767" i="9"/>
  <c r="H767" i="9" s="1"/>
  <c r="AA618" i="9"/>
  <c r="AC618" i="9"/>
  <c r="H618" i="9" s="1"/>
  <c r="AA616" i="9"/>
  <c r="AC616" i="9"/>
  <c r="H616" i="9" s="1"/>
  <c r="AC628" i="9"/>
  <c r="AA620" i="9"/>
  <c r="AC620" i="9"/>
  <c r="H620" i="9" s="1"/>
  <c r="O19" i="18"/>
  <c r="P19" i="18"/>
  <c r="Q19" i="18"/>
  <c r="X19" i="18"/>
  <c r="S19" i="18"/>
  <c r="N19" i="18"/>
  <c r="G19" i="18"/>
  <c r="I19" i="18"/>
  <c r="J19" i="18"/>
  <c r="K19" i="18"/>
  <c r="M19" i="18"/>
  <c r="R19" i="18"/>
  <c r="D1569" i="9"/>
  <c r="D1571" i="9" s="1"/>
  <c r="D1604" i="9" s="1"/>
  <c r="E1569" i="9"/>
  <c r="B1158" i="9"/>
  <c r="E835" i="9"/>
  <c r="F835" i="9"/>
  <c r="E775" i="9"/>
  <c r="F775" i="9"/>
  <c r="B610" i="9"/>
  <c r="D515" i="9"/>
  <c r="E515" i="9"/>
  <c r="F330" i="9"/>
  <c r="F332" i="9" s="1"/>
  <c r="B1813" i="9"/>
  <c r="AA1832" i="9"/>
  <c r="AE1832" i="9"/>
  <c r="H1832" i="9" s="1"/>
  <c r="AA1396" i="9"/>
  <c r="AA1390" i="9"/>
  <c r="AC1396" i="9"/>
  <c r="H1396" i="9" s="1"/>
  <c r="B608" i="9"/>
  <c r="AA628" i="9"/>
  <c r="AE628" i="9"/>
  <c r="H628" i="9" s="1"/>
  <c r="E330" i="9"/>
  <c r="AL2520" i="9"/>
  <c r="D2337" i="9"/>
  <c r="D2339" i="9" s="1"/>
  <c r="E2337" i="9"/>
  <c r="D2063" i="9"/>
  <c r="E2063" i="9"/>
  <c r="C2063" i="9" s="1"/>
  <c r="B2063" i="9" s="1"/>
  <c r="E1669" i="9"/>
  <c r="D16" i="9"/>
  <c r="E16" i="9"/>
  <c r="F16" i="9"/>
  <c r="H18" i="18"/>
  <c r="I18" i="18"/>
  <c r="J18" i="18"/>
  <c r="G18" i="18"/>
  <c r="K18" i="18"/>
  <c r="X18" i="18"/>
  <c r="F18" i="18"/>
  <c r="L18" i="18"/>
  <c r="M18" i="18"/>
  <c r="N18" i="18"/>
  <c r="O18" i="18"/>
  <c r="P18" i="18"/>
  <c r="Q18" i="18"/>
  <c r="B2312" i="9"/>
  <c r="AA2331" i="9"/>
  <c r="AE2331" i="9"/>
  <c r="H2331" i="9" s="1"/>
  <c r="D1669" i="9"/>
  <c r="D1672" i="9" s="1"/>
  <c r="D1704" i="9" s="1"/>
  <c r="F515" i="9"/>
  <c r="E1567" i="9"/>
  <c r="F1567" i="9"/>
  <c r="D531" i="9"/>
  <c r="E531" i="9"/>
  <c r="C531" i="9" s="1"/>
  <c r="B531" i="9" s="1"/>
  <c r="AA952" i="9"/>
  <c r="B911" i="9"/>
  <c r="D36" i="9"/>
  <c r="F36" i="9"/>
  <c r="B18" i="2"/>
  <c r="K5" i="8"/>
  <c r="K9" i="8"/>
  <c r="K13" i="8"/>
  <c r="K17" i="8"/>
  <c r="K21" i="8"/>
  <c r="K25" i="8"/>
  <c r="K29" i="8"/>
  <c r="K33" i="8"/>
  <c r="K37" i="8"/>
  <c r="K41" i="8"/>
  <c r="K45" i="8"/>
  <c r="K15" i="8"/>
  <c r="K40" i="8"/>
  <c r="K11" i="8"/>
  <c r="K36" i="8"/>
  <c r="D11" i="1"/>
  <c r="B19" i="2"/>
  <c r="B20" i="2"/>
  <c r="B21" i="2"/>
  <c r="K19" i="8"/>
  <c r="N15" i="18"/>
  <c r="O15" i="18"/>
  <c r="P15" i="18"/>
  <c r="F15" i="18"/>
  <c r="G15" i="18"/>
  <c r="M15" i="18"/>
  <c r="Q15" i="18"/>
  <c r="K15" i="18"/>
  <c r="S15" i="18"/>
  <c r="T15" i="18"/>
  <c r="U15" i="18"/>
  <c r="W15" i="18"/>
  <c r="F1320" i="9"/>
  <c r="D1320" i="9"/>
  <c r="E769" i="9"/>
  <c r="B217" i="9"/>
  <c r="Z423" i="9"/>
  <c r="B421" i="9"/>
  <c r="AB433" i="9"/>
  <c r="AB341" i="9"/>
  <c r="AN341" i="9"/>
  <c r="AC27" i="5"/>
  <c r="D8" i="1"/>
  <c r="AC107" i="5"/>
  <c r="AC46" i="5"/>
  <c r="K42" i="8"/>
  <c r="K28" i="8"/>
  <c r="D2036" i="9"/>
  <c r="D1329" i="9"/>
  <c r="E1329" i="9"/>
  <c r="D1316" i="9"/>
  <c r="E17" i="18"/>
  <c r="F17" i="18"/>
  <c r="Q17" i="18"/>
  <c r="X17" i="18"/>
  <c r="G17" i="18"/>
  <c r="K17" i="18"/>
  <c r="L17" i="18"/>
  <c r="M17" i="18"/>
  <c r="O17" i="18"/>
  <c r="I17" i="18"/>
  <c r="J17" i="18"/>
  <c r="D1470" i="9"/>
  <c r="D537" i="9"/>
  <c r="E537" i="9"/>
  <c r="C537" i="9" s="1"/>
  <c r="B537" i="9" s="1"/>
  <c r="E518" i="9"/>
  <c r="F518" i="9"/>
  <c r="AA324" i="9"/>
  <c r="AA322" i="9"/>
  <c r="AE322" i="9"/>
  <c r="H322" i="9" s="1"/>
  <c r="F1369" i="9"/>
  <c r="D1369" i="9"/>
  <c r="D521" i="9"/>
  <c r="F521" i="9"/>
  <c r="B910" i="9"/>
  <c r="AE950" i="9"/>
  <c r="H950" i="9" s="1"/>
  <c r="I8" i="18"/>
  <c r="J8" i="18"/>
  <c r="K8" i="18"/>
  <c r="F8" i="18"/>
  <c r="G8" i="18"/>
  <c r="L8" i="18"/>
  <c r="F1372" i="9"/>
  <c r="AA1128" i="9"/>
  <c r="AC1128" i="9"/>
  <c r="H1128" i="9" s="1"/>
  <c r="F807" i="9"/>
  <c r="AA271" i="9"/>
  <c r="AA275" i="9"/>
  <c r="AE275" i="9"/>
  <c r="H275" i="9" s="1"/>
  <c r="AE271" i="9"/>
  <c r="H271" i="9" s="1"/>
  <c r="B268" i="9"/>
  <c r="AE1055" i="9"/>
  <c r="H1055" i="9" s="1"/>
  <c r="AA1049" i="9"/>
  <c r="AA1027" i="9"/>
  <c r="AC1027" i="9"/>
  <c r="H1027" i="9" s="1"/>
  <c r="AA1035" i="9"/>
  <c r="AC1035" i="9"/>
  <c r="H1035" i="9" s="1"/>
  <c r="AA1059" i="9"/>
  <c r="AA1037" i="9"/>
  <c r="F857" i="9"/>
  <c r="D857" i="9"/>
  <c r="D281" i="9"/>
  <c r="D283" i="9" s="1"/>
  <c r="E281" i="9"/>
  <c r="F237" i="9"/>
  <c r="F239" i="9" s="1"/>
  <c r="D237" i="9"/>
  <c r="D239" i="9" s="1"/>
  <c r="E237" i="9"/>
  <c r="AA1057" i="9"/>
  <c r="AC1047" i="9"/>
  <c r="H1047" i="9" s="1"/>
  <c r="AC1029" i="9"/>
  <c r="H1029" i="9" s="1"/>
  <c r="B1011" i="9"/>
  <c r="F281" i="9"/>
  <c r="F283" i="9" s="1"/>
  <c r="AC173" i="9"/>
  <c r="AE173" i="9"/>
  <c r="H173" i="9" s="1"/>
  <c r="AC166" i="9"/>
  <c r="H166" i="9" s="1"/>
  <c r="AA166" i="9"/>
  <c r="AH179" i="9"/>
  <c r="H179" i="9" s="1"/>
  <c r="AC165" i="9"/>
  <c r="H165" i="9" s="1"/>
  <c r="F14" i="18"/>
  <c r="J14" i="18"/>
  <c r="K14" i="18"/>
  <c r="L14" i="18"/>
  <c r="N14" i="18"/>
  <c r="P14" i="18"/>
  <c r="AA1015" i="9"/>
  <c r="AE1015" i="9"/>
  <c r="H1015" i="9" s="1"/>
  <c r="E24" i="9"/>
  <c r="F24" i="9"/>
  <c r="AC777" i="9"/>
  <c r="AA815" i="9"/>
  <c r="AA819" i="9"/>
  <c r="AA845" i="9"/>
  <c r="AA849" i="9"/>
  <c r="AE777" i="9"/>
  <c r="H777" i="9" s="1"/>
  <c r="AC815" i="9"/>
  <c r="H815" i="9" s="1"/>
  <c r="AC819" i="9"/>
  <c r="H819" i="9" s="1"/>
  <c r="AC845" i="9"/>
  <c r="H845" i="9" s="1"/>
  <c r="AC849" i="9"/>
  <c r="H849" i="9" s="1"/>
  <c r="AC805" i="9"/>
  <c r="H805" i="9" s="1"/>
  <c r="AA805" i="9"/>
  <c r="AA839" i="9"/>
  <c r="AA847" i="9"/>
  <c r="AA855" i="9"/>
  <c r="AC801" i="9"/>
  <c r="AC825" i="9"/>
  <c r="H825" i="9" s="1"/>
  <c r="B763" i="9"/>
  <c r="AE801" i="9"/>
  <c r="H801" i="9" s="1"/>
  <c r="AA817" i="9"/>
  <c r="AC779" i="9"/>
  <c r="E28" i="9"/>
  <c r="F7" i="18"/>
  <c r="G7" i="18"/>
  <c r="K7" i="18"/>
  <c r="I7" i="18"/>
  <c r="J7" i="18"/>
  <c r="L7" i="18"/>
  <c r="X7" i="18"/>
  <c r="AC120" i="9"/>
  <c r="H120" i="9" s="1"/>
  <c r="AC117" i="9"/>
  <c r="H117" i="9" s="1"/>
  <c r="AE34" i="9"/>
  <c r="H34" i="9" s="1"/>
  <c r="AE38" i="9"/>
  <c r="H38" i="9" s="1"/>
  <c r="AC26" i="9"/>
  <c r="H26" i="9" s="1"/>
  <c r="AA34" i="9"/>
  <c r="AA26" i="9"/>
  <c r="B12" i="9"/>
  <c r="B11" i="9"/>
  <c r="AA18" i="9"/>
  <c r="AA36" i="9"/>
  <c r="AC18" i="9"/>
  <c r="H18" i="9" s="1"/>
  <c r="AC138" i="9"/>
  <c r="AA120" i="9"/>
  <c r="D452" i="9"/>
  <c r="E452" i="9"/>
  <c r="P16" i="18"/>
  <c r="Q16" i="18"/>
  <c r="R16" i="18"/>
  <c r="L16" i="18"/>
  <c r="M16" i="18"/>
  <c r="F6" i="18"/>
  <c r="G6" i="18"/>
  <c r="I6" i="18"/>
  <c r="J6" i="18"/>
  <c r="K6" i="18"/>
  <c r="L6" i="18"/>
  <c r="C562" i="9"/>
  <c r="AL221" i="9"/>
  <c r="E70" i="7" l="1"/>
  <c r="L70" i="7"/>
  <c r="L72" i="7" s="1"/>
  <c r="H15" i="6" s="1"/>
  <c r="L29" i="5" s="1"/>
  <c r="M29" i="5" s="1"/>
  <c r="AC1722" i="9"/>
  <c r="H1722" i="9" s="1"/>
  <c r="AA1723" i="9"/>
  <c r="AC1723" i="9"/>
  <c r="H1723" i="9" s="1"/>
  <c r="AC1724" i="9"/>
  <c r="H1724" i="9" s="1"/>
  <c r="AA1724" i="9"/>
  <c r="AA1722" i="9"/>
  <c r="B1720" i="9"/>
  <c r="C2032" i="9"/>
  <c r="B2032" i="9" s="1"/>
  <c r="K85" i="7"/>
  <c r="F859" i="9"/>
  <c r="C859" i="9" s="1"/>
  <c r="B859" i="9" s="1"/>
  <c r="E99" i="12"/>
  <c r="J99" i="12"/>
  <c r="F71" i="12"/>
  <c r="F1037" i="9"/>
  <c r="D1037" i="9"/>
  <c r="G12" i="11"/>
  <c r="I10" i="12" s="1"/>
  <c r="J10" i="12" s="1"/>
  <c r="E855" i="9"/>
  <c r="C855" i="9" s="1"/>
  <c r="B855" i="9" s="1"/>
  <c r="F855" i="9"/>
  <c r="F865" i="9" s="1"/>
  <c r="C2432" i="9"/>
  <c r="B2432" i="9" s="1"/>
  <c r="F809" i="9"/>
  <c r="C809" i="9" s="1"/>
  <c r="B809" i="9" s="1"/>
  <c r="E809" i="9"/>
  <c r="AA2133" i="9"/>
  <c r="F2424" i="9"/>
  <c r="F1057" i="9"/>
  <c r="D1057" i="9"/>
  <c r="F799" i="9"/>
  <c r="E2424" i="9"/>
  <c r="J86" i="12"/>
  <c r="G186" i="5"/>
  <c r="G185" i="5" s="1"/>
  <c r="AA320" i="9"/>
  <c r="AE320" i="9"/>
  <c r="H320" i="9" s="1"/>
  <c r="B318" i="9"/>
  <c r="AE324" i="9"/>
  <c r="H324" i="9" s="1"/>
  <c r="E98" i="12"/>
  <c r="H98" i="12"/>
  <c r="F1039" i="9"/>
  <c r="C1039" i="9" s="1"/>
  <c r="B1039" i="9" s="1"/>
  <c r="AG1248" i="9"/>
  <c r="H1248" i="9" s="1"/>
  <c r="E1248" i="9" s="1"/>
  <c r="F131" i="9"/>
  <c r="D131" i="9"/>
  <c r="E131" i="9"/>
  <c r="E57" i="7"/>
  <c r="L57" i="7"/>
  <c r="AA1389" i="9"/>
  <c r="AC1389" i="9"/>
  <c r="H1389" i="9" s="1"/>
  <c r="AC1390" i="9"/>
  <c r="H1390" i="9" s="1"/>
  <c r="AA1391" i="9"/>
  <c r="AC1391" i="9"/>
  <c r="H1391" i="9" s="1"/>
  <c r="AA1398" i="9"/>
  <c r="AA1397" i="9"/>
  <c r="AC1397" i="9"/>
  <c r="H1397" i="9" s="1"/>
  <c r="AC1398" i="9"/>
  <c r="H1398" i="9" s="1"/>
  <c r="AC1346" i="9"/>
  <c r="H1346" i="9" s="1"/>
  <c r="AA1337" i="9"/>
  <c r="AC1337" i="9"/>
  <c r="H1337" i="9" s="1"/>
  <c r="B1718" i="9"/>
  <c r="AH1720" i="9"/>
  <c r="C1017" i="9"/>
  <c r="B1017" i="9" s="1"/>
  <c r="AG1251" i="9"/>
  <c r="H1251" i="9" s="1"/>
  <c r="D1251" i="9" s="1"/>
  <c r="E138" i="9"/>
  <c r="AA1248" i="9"/>
  <c r="D138" i="9"/>
  <c r="B1242" i="9"/>
  <c r="C2383" i="9"/>
  <c r="B2383" i="9" s="1"/>
  <c r="AC1345" i="9"/>
  <c r="H1345" i="9" s="1"/>
  <c r="E1345" i="9" s="1"/>
  <c r="F193" i="12"/>
  <c r="D1205" i="9"/>
  <c r="F21" i="8"/>
  <c r="H56" i="5" s="1"/>
  <c r="I56" i="5" s="1"/>
  <c r="AA1344" i="9"/>
  <c r="E1316" i="9"/>
  <c r="AI425" i="9"/>
  <c r="AA1251" i="9"/>
  <c r="F1472" i="9"/>
  <c r="E785" i="9"/>
  <c r="F769" i="9"/>
  <c r="C769" i="9" s="1"/>
  <c r="B769" i="9" s="1"/>
  <c r="E1124" i="9"/>
  <c r="C1124" i="9" s="1"/>
  <c r="B1124" i="9" s="1"/>
  <c r="F797" i="9"/>
  <c r="C1936" i="9"/>
  <c r="B1936" i="9" s="1"/>
  <c r="D2327" i="9"/>
  <c r="AA1345" i="9"/>
  <c r="AC1494" i="9"/>
  <c r="H1494" i="9" s="1"/>
  <c r="F1494" i="9" s="1"/>
  <c r="L2185" i="9"/>
  <c r="I2185" i="9" s="1"/>
  <c r="F92" i="12"/>
  <c r="I93" i="12"/>
  <c r="AC1338" i="9"/>
  <c r="H1338" i="9" s="1"/>
  <c r="E1338" i="9" s="1"/>
  <c r="B423" i="9"/>
  <c r="F1124" i="9"/>
  <c r="AC1339" i="9"/>
  <c r="H1339" i="9" s="1"/>
  <c r="E1339" i="9" s="1"/>
  <c r="E1049" i="9"/>
  <c r="F839" i="9"/>
  <c r="F841" i="9" s="1"/>
  <c r="AA1339" i="9"/>
  <c r="AC1495" i="9"/>
  <c r="H1495" i="9" s="1"/>
  <c r="L2135" i="9"/>
  <c r="I2135" i="9" s="1"/>
  <c r="F2370" i="9"/>
  <c r="C1273" i="9"/>
  <c r="B1273" i="9" s="1"/>
  <c r="F2442" i="9"/>
  <c r="F2454" i="9" s="1"/>
  <c r="H42" i="8" s="1"/>
  <c r="K136" i="7" s="1"/>
  <c r="L136" i="7" s="1"/>
  <c r="AC1344" i="9"/>
  <c r="H1344" i="9" s="1"/>
  <c r="D1344" i="9" s="1"/>
  <c r="F119" i="12"/>
  <c r="C1304" i="9"/>
  <c r="C1205" i="9" s="1"/>
  <c r="B1364" i="9"/>
  <c r="F1669" i="9"/>
  <c r="F1672" i="9" s="1"/>
  <c r="F1704" i="9" s="1"/>
  <c r="H28" i="8" s="1"/>
  <c r="L111" i="5" s="1"/>
  <c r="M111" i="5" s="1"/>
  <c r="AA1338" i="9"/>
  <c r="B1462" i="9"/>
  <c r="E2370" i="9"/>
  <c r="AG1263" i="9"/>
  <c r="AE1263" i="9"/>
  <c r="B1260" i="9"/>
  <c r="L176" i="12"/>
  <c r="H28" i="11" s="1"/>
  <c r="L28" i="9" s="1"/>
  <c r="E1466" i="9"/>
  <c r="D1323" i="9"/>
  <c r="C1517" i="9"/>
  <c r="B2112" i="9"/>
  <c r="H86" i="7"/>
  <c r="F17" i="6" s="1"/>
  <c r="H31" i="5" s="1"/>
  <c r="I31" i="5" s="1"/>
  <c r="C4" i="18"/>
  <c r="D1" i="1" s="1"/>
  <c r="I123" i="9"/>
  <c r="F123" i="9"/>
  <c r="C123" i="9" s="1"/>
  <c r="D1488" i="9"/>
  <c r="E1488" i="9"/>
  <c r="D1029" i="9"/>
  <c r="E1029" i="9"/>
  <c r="C1370" i="9"/>
  <c r="B1370" i="9" s="1"/>
  <c r="K97" i="7"/>
  <c r="H215" i="12"/>
  <c r="E215" i="12"/>
  <c r="C2370" i="9"/>
  <c r="B2370" i="9" s="1"/>
  <c r="B56" i="9"/>
  <c r="AJ62" i="9"/>
  <c r="AB62" i="9"/>
  <c r="AJ431" i="9"/>
  <c r="B425" i="9"/>
  <c r="Z431" i="9"/>
  <c r="C16" i="9"/>
  <c r="L1488" i="9"/>
  <c r="I1488" i="9" s="1"/>
  <c r="L1339" i="9"/>
  <c r="I1339" i="9" s="1"/>
  <c r="L1391" i="9"/>
  <c r="H23" i="12"/>
  <c r="E23" i="12"/>
  <c r="C44" i="9"/>
  <c r="E74" i="9"/>
  <c r="C74" i="9" s="1"/>
  <c r="E113" i="12"/>
  <c r="H113" i="12"/>
  <c r="E79" i="12"/>
  <c r="J79" i="12"/>
  <c r="D1383" i="9"/>
  <c r="F941" i="9"/>
  <c r="D941" i="9"/>
  <c r="H159" i="12"/>
  <c r="E159" i="12"/>
  <c r="C2424" i="9"/>
  <c r="B2424" i="9" s="1"/>
  <c r="B341" i="9"/>
  <c r="AA343" i="9"/>
  <c r="AC343" i="9"/>
  <c r="H343" i="9" s="1"/>
  <c r="AA347" i="9"/>
  <c r="AC347" i="9"/>
  <c r="H347" i="9" s="1"/>
  <c r="AA345" i="9"/>
  <c r="AC345" i="9"/>
  <c r="H345" i="9" s="1"/>
  <c r="D2331" i="9"/>
  <c r="D2335" i="9" s="1"/>
  <c r="D2341" i="9" s="1"/>
  <c r="D2354" i="9" s="1"/>
  <c r="E2331" i="9"/>
  <c r="F2331" i="9"/>
  <c r="AE2524" i="9"/>
  <c r="H2524" i="9" s="1"/>
  <c r="AA2524" i="9"/>
  <c r="AA2526" i="9"/>
  <c r="AE2526" i="9"/>
  <c r="H2526" i="9" s="1"/>
  <c r="B2520" i="9"/>
  <c r="AE2522" i="9"/>
  <c r="H2522" i="9" s="1"/>
  <c r="AA2522" i="9"/>
  <c r="E1571" i="9"/>
  <c r="D1168" i="9"/>
  <c r="D1172" i="9" s="1"/>
  <c r="D1183" i="9" s="1"/>
  <c r="D1204" i="9" s="1"/>
  <c r="E1168" i="9"/>
  <c r="F1168" i="9"/>
  <c r="F1172" i="9" s="1"/>
  <c r="F1183" i="9" s="1"/>
  <c r="F1204" i="9" s="1"/>
  <c r="D2480" i="9"/>
  <c r="D2482" i="9" s="1"/>
  <c r="E2480" i="9"/>
  <c r="F2480" i="9"/>
  <c r="F2482" i="9" s="1"/>
  <c r="D2269" i="9"/>
  <c r="E2269" i="9"/>
  <c r="F2269" i="9"/>
  <c r="D296" i="9"/>
  <c r="F296" i="9"/>
  <c r="F1724" i="9"/>
  <c r="D1724" i="9"/>
  <c r="E1724" i="9"/>
  <c r="C1724" i="9" s="1"/>
  <c r="B1724" i="9" s="1"/>
  <c r="D1122" i="9"/>
  <c r="E1122" i="9"/>
  <c r="F1122" i="9"/>
  <c r="L77" i="7"/>
  <c r="E77" i="7"/>
  <c r="H201" i="12"/>
  <c r="E201" i="12"/>
  <c r="E230" i="12"/>
  <c r="J230" i="12"/>
  <c r="J216" i="12"/>
  <c r="E216" i="12"/>
  <c r="H30" i="12"/>
  <c r="E30" i="12"/>
  <c r="C458" i="9"/>
  <c r="B458" i="9" s="1"/>
  <c r="E504" i="9"/>
  <c r="E1495" i="9"/>
  <c r="D1495" i="9"/>
  <c r="F1495" i="9"/>
  <c r="B829" i="9"/>
  <c r="D917" i="9"/>
  <c r="C917" i="9" s="1"/>
  <c r="B917" i="9" s="1"/>
  <c r="C1316" i="9"/>
  <c r="B1316" i="9" s="1"/>
  <c r="C1971" i="9"/>
  <c r="B1971" i="9" s="1"/>
  <c r="E85" i="12"/>
  <c r="H85" i="12"/>
  <c r="J61" i="12"/>
  <c r="E61" i="12"/>
  <c r="H45" i="8"/>
  <c r="K150" i="7" s="1"/>
  <c r="L150" i="7" s="1"/>
  <c r="L152" i="7" s="1"/>
  <c r="H26" i="6" s="1"/>
  <c r="L107" i="5" s="1"/>
  <c r="M107" i="5" s="1"/>
  <c r="F2555" i="9"/>
  <c r="E275" i="9"/>
  <c r="D275" i="9"/>
  <c r="E1467" i="9"/>
  <c r="C1467" i="9" s="1"/>
  <c r="I1467" i="9"/>
  <c r="B1467" i="9" s="1"/>
  <c r="H222" i="12"/>
  <c r="E222" i="12"/>
  <c r="J2568" i="9"/>
  <c r="C2566" i="9"/>
  <c r="B2566" i="9" s="1"/>
  <c r="E2570" i="9"/>
  <c r="D1047" i="9"/>
  <c r="F1047" i="9"/>
  <c r="C1567" i="9"/>
  <c r="E160" i="12"/>
  <c r="J160" i="12"/>
  <c r="D801" i="9"/>
  <c r="E801" i="9"/>
  <c r="F94" i="7"/>
  <c r="L72" i="9"/>
  <c r="I72" i="9" s="1"/>
  <c r="L1059" i="9"/>
  <c r="L706" i="9"/>
  <c r="I706" i="9" s="1"/>
  <c r="L943" i="9"/>
  <c r="I943" i="9" s="1"/>
  <c r="D680" i="9"/>
  <c r="F680" i="9"/>
  <c r="C1669" i="9"/>
  <c r="B1669" i="9" s="1"/>
  <c r="E1672" i="9"/>
  <c r="E560" i="9"/>
  <c r="E38" i="12"/>
  <c r="H38" i="12"/>
  <c r="E702" i="9"/>
  <c r="F702" i="9"/>
  <c r="F152" i="12"/>
  <c r="D1327" i="9"/>
  <c r="E1327" i="9"/>
  <c r="F1327" i="9"/>
  <c r="J195" i="12"/>
  <c r="E195" i="12"/>
  <c r="D849" i="9"/>
  <c r="E849" i="9"/>
  <c r="F849" i="9"/>
  <c r="F34" i="9"/>
  <c r="D34" i="9"/>
  <c r="E34" i="9"/>
  <c r="D845" i="9"/>
  <c r="E845" i="9"/>
  <c r="F845" i="9"/>
  <c r="F851" i="9" s="1"/>
  <c r="E332" i="9"/>
  <c r="C332" i="9" s="1"/>
  <c r="C330" i="9"/>
  <c r="B330" i="9" s="1"/>
  <c r="F26" i="8"/>
  <c r="H109" i="5" s="1"/>
  <c r="I109" i="5" s="1"/>
  <c r="D1555" i="9"/>
  <c r="E668" i="9"/>
  <c r="F668" i="9"/>
  <c r="D668" i="9"/>
  <c r="D932" i="9"/>
  <c r="E932" i="9"/>
  <c r="E2534" i="9"/>
  <c r="C2534" i="9" s="1"/>
  <c r="C2532" i="9"/>
  <c r="B2532" i="9" s="1"/>
  <c r="H180" i="12"/>
  <c r="E180" i="12"/>
  <c r="J31" i="12"/>
  <c r="E31" i="12"/>
  <c r="G139" i="5"/>
  <c r="G137" i="5" s="1"/>
  <c r="D405" i="9"/>
  <c r="F11" i="8"/>
  <c r="H19" i="5" s="1"/>
  <c r="I19" i="5" s="1"/>
  <c r="F8" i="12"/>
  <c r="H12" i="12"/>
  <c r="F4" i="11" s="1"/>
  <c r="J2418" i="9" s="1"/>
  <c r="E1522" i="9"/>
  <c r="E166" i="12"/>
  <c r="H166" i="12"/>
  <c r="D1505" i="9"/>
  <c r="F25" i="8"/>
  <c r="H108" i="5" s="1"/>
  <c r="I108" i="5" s="1"/>
  <c r="H229" i="12"/>
  <c r="E229" i="12"/>
  <c r="C1466" i="9"/>
  <c r="E678" i="9"/>
  <c r="F678" i="9"/>
  <c r="B1317" i="9"/>
  <c r="E54" i="12"/>
  <c r="J54" i="12"/>
  <c r="E620" i="9"/>
  <c r="F620" i="9"/>
  <c r="D620" i="9"/>
  <c r="C237" i="9"/>
  <c r="B237" i="9" s="1"/>
  <c r="E239" i="9"/>
  <c r="C239" i="9" s="1"/>
  <c r="F523" i="9"/>
  <c r="F541" i="9" s="1"/>
  <c r="F554" i="9" s="1"/>
  <c r="K56" i="5"/>
  <c r="D2119" i="9"/>
  <c r="E2119" i="9"/>
  <c r="F2119" i="9"/>
  <c r="J223" i="12"/>
  <c r="E223" i="12"/>
  <c r="I48" i="12"/>
  <c r="F47" i="12"/>
  <c r="D1328" i="9"/>
  <c r="E1328" i="9"/>
  <c r="F1328" i="9"/>
  <c r="D2169" i="9"/>
  <c r="E2169" i="9"/>
  <c r="F2169" i="9"/>
  <c r="J128" i="12"/>
  <c r="E128" i="12"/>
  <c r="E805" i="9"/>
  <c r="F805" i="9"/>
  <c r="E1383" i="9"/>
  <c r="C1378" i="9"/>
  <c r="D38" i="9"/>
  <c r="E38" i="9"/>
  <c r="F38" i="9"/>
  <c r="E1035" i="9"/>
  <c r="F1035" i="9"/>
  <c r="F1655" i="9"/>
  <c r="C2020" i="9"/>
  <c r="B2020" i="9" s="1"/>
  <c r="K2028" i="9"/>
  <c r="E2024" i="9"/>
  <c r="F2281" i="9"/>
  <c r="D2281" i="9"/>
  <c r="E2281" i="9"/>
  <c r="D2067" i="9"/>
  <c r="D2104" i="9" s="1"/>
  <c r="F1374" i="9"/>
  <c r="H16" i="12"/>
  <c r="E16" i="12"/>
  <c r="F1323" i="9"/>
  <c r="J174" i="12"/>
  <c r="E174" i="12"/>
  <c r="E539" i="9"/>
  <c r="C528" i="9"/>
  <c r="B528" i="9" s="1"/>
  <c r="E694" i="9"/>
  <c r="F694" i="9"/>
  <c r="F1487" i="9"/>
  <c r="E1487" i="9"/>
  <c r="F169" i="7"/>
  <c r="J172" i="7"/>
  <c r="E682" i="9"/>
  <c r="F682" i="9"/>
  <c r="D682" i="9"/>
  <c r="F555" i="9"/>
  <c r="H13" i="8"/>
  <c r="L35" i="5" s="1"/>
  <c r="M35" i="5" s="1"/>
  <c r="E1245" i="9"/>
  <c r="D1245" i="9"/>
  <c r="F1245" i="9"/>
  <c r="G111" i="7"/>
  <c r="H111" i="7" s="1"/>
  <c r="G123" i="7"/>
  <c r="H123" i="7" s="1"/>
  <c r="I87" i="12"/>
  <c r="F86" i="12"/>
  <c r="F952" i="9"/>
  <c r="E952" i="9"/>
  <c r="D952" i="9"/>
  <c r="F68" i="5"/>
  <c r="K68" i="5"/>
  <c r="G68" i="5" s="1"/>
  <c r="D18" i="9"/>
  <c r="E18" i="9"/>
  <c r="F18" i="9"/>
  <c r="F1842" i="9"/>
  <c r="D1842" i="9"/>
  <c r="E616" i="9"/>
  <c r="F616" i="9"/>
  <c r="D616" i="9"/>
  <c r="D2470" i="9"/>
  <c r="D2473" i="9" s="1"/>
  <c r="D2485" i="9" s="1"/>
  <c r="D2504" i="9" s="1"/>
  <c r="E2470" i="9"/>
  <c r="F2470" i="9"/>
  <c r="D1755" i="9"/>
  <c r="F30" i="8"/>
  <c r="F70" i="7"/>
  <c r="E1317" i="9"/>
  <c r="C1317" i="9" s="1"/>
  <c r="D618" i="9"/>
  <c r="F618" i="9"/>
  <c r="F1938" i="9"/>
  <c r="G165" i="5"/>
  <c r="E106" i="7"/>
  <c r="H106" i="7"/>
  <c r="F919" i="9"/>
  <c r="D919" i="9"/>
  <c r="D2167" i="9"/>
  <c r="E2167" i="9"/>
  <c r="F2167" i="9"/>
  <c r="K65" i="5"/>
  <c r="G66" i="5"/>
  <c r="G65" i="5" s="1"/>
  <c r="F2279" i="9"/>
  <c r="F2283" i="9" s="1"/>
  <c r="D2279" i="9"/>
  <c r="D120" i="9"/>
  <c r="F120" i="9"/>
  <c r="G27" i="8"/>
  <c r="J110" i="5" s="1"/>
  <c r="E1605" i="9"/>
  <c r="D943" i="9"/>
  <c r="E943" i="9"/>
  <c r="D2333" i="9"/>
  <c r="F2333" i="9"/>
  <c r="E2333" i="9"/>
  <c r="E298" i="9"/>
  <c r="D298" i="9"/>
  <c r="D2038" i="9"/>
  <c r="D2040" i="9" s="1"/>
  <c r="D2054" i="9" s="1"/>
  <c r="F2067" i="9"/>
  <c r="F2104" i="9" s="1"/>
  <c r="E181" i="12"/>
  <c r="J181" i="12"/>
  <c r="L42" i="12"/>
  <c r="H8" i="11" s="1"/>
  <c r="L167" i="9" s="1"/>
  <c r="E1318" i="9"/>
  <c r="C1318" i="9" s="1"/>
  <c r="B1318" i="9" s="1"/>
  <c r="J153" i="12"/>
  <c r="E153" i="12"/>
  <c r="E1979" i="9"/>
  <c r="L686" i="9"/>
  <c r="I686" i="9" s="1"/>
  <c r="L2548" i="9"/>
  <c r="L932" i="9"/>
  <c r="I932" i="9" s="1"/>
  <c r="L1049" i="9"/>
  <c r="L298" i="9"/>
  <c r="I298" i="9" s="1"/>
  <c r="E1832" i="9"/>
  <c r="F1832" i="9"/>
  <c r="D1832" i="9"/>
  <c r="F2219" i="9"/>
  <c r="E2219" i="9"/>
  <c r="D2219" i="9"/>
  <c r="J24" i="12"/>
  <c r="E24" i="12"/>
  <c r="E106" i="12"/>
  <c r="J106" i="12"/>
  <c r="D1828" i="9"/>
  <c r="E1828" i="9"/>
  <c r="F1828" i="9"/>
  <c r="F1618" i="9"/>
  <c r="I1618" i="9"/>
  <c r="F704" i="9"/>
  <c r="D704" i="9"/>
  <c r="K134" i="5"/>
  <c r="G135" i="5"/>
  <c r="E569" i="9"/>
  <c r="D322" i="9"/>
  <c r="F322" i="9"/>
  <c r="E135" i="12"/>
  <c r="J135" i="12"/>
  <c r="F1128" i="9"/>
  <c r="E114" i="12"/>
  <c r="J114" i="12"/>
  <c r="E698" i="9"/>
  <c r="F698" i="9"/>
  <c r="D698" i="9"/>
  <c r="E825" i="9"/>
  <c r="F825" i="9"/>
  <c r="F831" i="9" s="1"/>
  <c r="I1319" i="9"/>
  <c r="E1319" i="9"/>
  <c r="C1319" i="9" s="1"/>
  <c r="F1755" i="9"/>
  <c r="H30" i="8"/>
  <c r="F2544" i="9"/>
  <c r="E2544" i="9"/>
  <c r="J188" i="12"/>
  <c r="E188" i="12"/>
  <c r="E121" i="12"/>
  <c r="J121" i="12"/>
  <c r="F1486" i="9"/>
  <c r="D1486" i="9"/>
  <c r="E2339" i="9"/>
  <c r="H194" i="12"/>
  <c r="E194" i="12"/>
  <c r="E120" i="12"/>
  <c r="H120" i="12"/>
  <c r="F405" i="9"/>
  <c r="H11" i="8"/>
  <c r="L19" i="5" s="1"/>
  <c r="M19" i="5" s="1"/>
  <c r="E819" i="9"/>
  <c r="F819" i="9"/>
  <c r="D819" i="9"/>
  <c r="D165" i="9"/>
  <c r="F165" i="9"/>
  <c r="D777" i="9"/>
  <c r="F777" i="9"/>
  <c r="F781" i="9" s="1"/>
  <c r="D1027" i="9"/>
  <c r="F1027" i="9"/>
  <c r="D2381" i="9"/>
  <c r="F2381" i="9"/>
  <c r="E1469" i="9"/>
  <c r="C1469" i="9" s="1"/>
  <c r="B1469" i="9" s="1"/>
  <c r="F294" i="9"/>
  <c r="E294" i="9"/>
  <c r="F2221" i="9"/>
  <c r="D2221" i="9"/>
  <c r="E2221" i="9"/>
  <c r="C2221" i="9" s="1"/>
  <c r="B2221" i="9" s="1"/>
  <c r="E9" i="12"/>
  <c r="J9" i="12"/>
  <c r="K129" i="5"/>
  <c r="G130" i="5"/>
  <c r="D539" i="9"/>
  <c r="I779" i="9"/>
  <c r="F779" i="9"/>
  <c r="C779" i="9" s="1"/>
  <c r="E173" i="12"/>
  <c r="H173" i="12"/>
  <c r="D1934" i="9"/>
  <c r="E1934" i="9"/>
  <c r="F1934" i="9"/>
  <c r="E928" i="9"/>
  <c r="F928" i="9"/>
  <c r="F1973" i="9"/>
  <c r="F1975" i="9" s="1"/>
  <c r="E1973" i="9"/>
  <c r="E1975" i="9" s="1"/>
  <c r="D1973" i="9"/>
  <c r="D1975" i="9" s="1"/>
  <c r="D1981" i="9" s="1"/>
  <c r="D2004" i="9" s="1"/>
  <c r="E208" i="12"/>
  <c r="H208" i="12"/>
  <c r="F2374" i="9"/>
  <c r="F2387" i="9" s="1"/>
  <c r="F2404" i="9" s="1"/>
  <c r="K145" i="5"/>
  <c r="E108" i="12"/>
  <c r="J108" i="12"/>
  <c r="F108" i="12" s="1"/>
  <c r="F19" i="9"/>
  <c r="H134" i="12"/>
  <c r="E134" i="12"/>
  <c r="L1398" i="9"/>
  <c r="L1128" i="9"/>
  <c r="L1495" i="9"/>
  <c r="I1495" i="9" s="1"/>
  <c r="K14" i="7"/>
  <c r="L14" i="7" s="1"/>
  <c r="K108" i="7"/>
  <c r="L108" i="7" s="1"/>
  <c r="L1346" i="9"/>
  <c r="K120" i="7"/>
  <c r="L120" i="7" s="1"/>
  <c r="E283" i="9"/>
  <c r="C283" i="9" s="1"/>
  <c r="C281" i="9"/>
  <c r="B281" i="9" s="1"/>
  <c r="E1369" i="9"/>
  <c r="C1369" i="9" s="1"/>
  <c r="B1369" i="9" s="1"/>
  <c r="E127" i="12"/>
  <c r="H127" i="12"/>
  <c r="F2117" i="9"/>
  <c r="D2117" i="9"/>
  <c r="E2117" i="9"/>
  <c r="E60" i="12"/>
  <c r="H60" i="12"/>
  <c r="AA225" i="9"/>
  <c r="AE225" i="9"/>
  <c r="H225" i="9" s="1"/>
  <c r="AA223" i="9"/>
  <c r="AG223" i="9"/>
  <c r="H223" i="9" s="1"/>
  <c r="AA227" i="9"/>
  <c r="B221" i="9"/>
  <c r="AE227" i="9"/>
  <c r="H227" i="9" s="1"/>
  <c r="AH2185" i="9"/>
  <c r="H2185" i="9" s="1"/>
  <c r="AA2181" i="9"/>
  <c r="AA2183" i="9"/>
  <c r="AH2183" i="9"/>
  <c r="H2183" i="9" s="1"/>
  <c r="AA2185" i="9"/>
  <c r="B2162" i="9"/>
  <c r="AH2181" i="9"/>
  <c r="H2181" i="9" s="1"/>
  <c r="D670" i="9"/>
  <c r="E670" i="9"/>
  <c r="F670" i="9"/>
  <c r="F28" i="8"/>
  <c r="H111" i="5" s="1"/>
  <c r="I111" i="5" s="1"/>
  <c r="D1655" i="9"/>
  <c r="F117" i="9"/>
  <c r="E117" i="9"/>
  <c r="F815" i="9"/>
  <c r="E815" i="9"/>
  <c r="E179" i="9"/>
  <c r="F179" i="9"/>
  <c r="F181" i="9" s="1"/>
  <c r="D179" i="9"/>
  <c r="D181" i="9" s="1"/>
  <c r="D950" i="9"/>
  <c r="E950" i="9"/>
  <c r="F950" i="9"/>
  <c r="D1396" i="9"/>
  <c r="F1396" i="9"/>
  <c r="F2372" i="9"/>
  <c r="D2372" i="9"/>
  <c r="D2374" i="9" s="1"/>
  <c r="E2372" i="9"/>
  <c r="C2372" i="9" s="1"/>
  <c r="B2372" i="9" s="1"/>
  <c r="E2131" i="9"/>
  <c r="F2131" i="9"/>
  <c r="E167" i="12"/>
  <c r="J167" i="12"/>
  <c r="C2439" i="9"/>
  <c r="B2439" i="9" s="1"/>
  <c r="D1844" i="9"/>
  <c r="E1844" i="9"/>
  <c r="F1844" i="9"/>
  <c r="F1830" i="9"/>
  <c r="D1830" i="9"/>
  <c r="E1830" i="9"/>
  <c r="C1830" i="9" s="1"/>
  <c r="B1830" i="9" s="1"/>
  <c r="E39" i="12"/>
  <c r="J39" i="12"/>
  <c r="D706" i="9"/>
  <c r="E706" i="9"/>
  <c r="F706" i="9"/>
  <c r="D1493" i="9"/>
  <c r="F1493" i="9"/>
  <c r="K146" i="7"/>
  <c r="H145" i="7"/>
  <c r="F145" i="7" s="1"/>
  <c r="F144" i="7"/>
  <c r="L1029" i="9"/>
  <c r="I1029" i="9" s="1"/>
  <c r="L698" i="9"/>
  <c r="I698" i="9" s="1"/>
  <c r="L801" i="9"/>
  <c r="I801" i="9" s="1"/>
  <c r="J209" i="12"/>
  <c r="E209" i="12"/>
  <c r="C789" i="9"/>
  <c r="B789" i="9" s="1"/>
  <c r="D1472" i="9"/>
  <c r="F2271" i="9"/>
  <c r="D2271" i="9"/>
  <c r="E2271" i="9"/>
  <c r="E118" i="7"/>
  <c r="H118" i="7"/>
  <c r="C1368" i="9"/>
  <c r="E1181" i="9"/>
  <c r="C1181" i="9" s="1"/>
  <c r="C1178" i="9"/>
  <c r="B1178" i="9" s="1"/>
  <c r="E1850" i="9"/>
  <c r="F1850" i="9"/>
  <c r="E140" i="7"/>
  <c r="J140" i="7"/>
  <c r="F140" i="7" s="1"/>
  <c r="F159" i="7"/>
  <c r="E187" i="12"/>
  <c r="H187" i="12"/>
  <c r="K31" i="5"/>
  <c r="C2321" i="9"/>
  <c r="F2327" i="9"/>
  <c r="E72" i="12"/>
  <c r="J72" i="12"/>
  <c r="E921" i="9"/>
  <c r="D921" i="9"/>
  <c r="F921" i="9"/>
  <c r="AC369" i="9"/>
  <c r="H369" i="9" s="1"/>
  <c r="B366" i="9"/>
  <c r="AA369" i="9"/>
  <c r="AA371" i="9"/>
  <c r="AC371" i="9"/>
  <c r="H371" i="9" s="1"/>
  <c r="AA373" i="9"/>
  <c r="AC373" i="9"/>
  <c r="H373" i="9" s="1"/>
  <c r="F686" i="9"/>
  <c r="D686" i="9"/>
  <c r="E686" i="9"/>
  <c r="D930" i="9"/>
  <c r="F930" i="9"/>
  <c r="B1371" i="9"/>
  <c r="E85" i="7"/>
  <c r="L85" i="7"/>
  <c r="E1779" i="9"/>
  <c r="C1775" i="9"/>
  <c r="B1775" i="9" s="1"/>
  <c r="D26" i="9"/>
  <c r="F26" i="9"/>
  <c r="L1126" i="9"/>
  <c r="F1126" i="9" s="1"/>
  <c r="K13" i="7"/>
  <c r="L13" i="7" s="1"/>
  <c r="L15" i="7" s="1"/>
  <c r="H5" i="6" s="1"/>
  <c r="L11" i="5" s="1"/>
  <c r="M11" i="5" s="1"/>
  <c r="K107" i="7"/>
  <c r="L107" i="7" s="1"/>
  <c r="K119" i="7"/>
  <c r="L119" i="7" s="1"/>
  <c r="E688" i="9"/>
  <c r="F688" i="9"/>
  <c r="L2036" i="9"/>
  <c r="D2135" i="9"/>
  <c r="F2135" i="9"/>
  <c r="E2135" i="9"/>
  <c r="AA2235" i="9"/>
  <c r="AI2237" i="9"/>
  <c r="H2237" i="9" s="1"/>
  <c r="AA2233" i="9"/>
  <c r="AA2237" i="9"/>
  <c r="AI2235" i="9"/>
  <c r="H2235" i="9" s="1"/>
  <c r="AI2233" i="9"/>
  <c r="H2233" i="9" s="1"/>
  <c r="B2215" i="9"/>
  <c r="C1170" i="9"/>
  <c r="B1170" i="9" s="1"/>
  <c r="E10" i="12"/>
  <c r="L373" i="9"/>
  <c r="I373" i="9" s="1"/>
  <c r="L324" i="9"/>
  <c r="L227" i="9"/>
  <c r="I227" i="9" s="1"/>
  <c r="L1854" i="9"/>
  <c r="I1854" i="9" s="1"/>
  <c r="L275" i="9"/>
  <c r="I275" i="9" s="1"/>
  <c r="F104" i="12"/>
  <c r="J147" i="12"/>
  <c r="E147" i="12"/>
  <c r="E271" i="9"/>
  <c r="F271" i="9"/>
  <c r="E78" i="12"/>
  <c r="H78" i="12"/>
  <c r="C515" i="9"/>
  <c r="B515" i="9" s="1"/>
  <c r="F127" i="5"/>
  <c r="K127" i="5"/>
  <c r="D1374" i="9"/>
  <c r="D1015" i="9"/>
  <c r="D1019" i="9" s="1"/>
  <c r="E1015" i="9"/>
  <c r="F1015" i="9"/>
  <c r="F1019" i="9" s="1"/>
  <c r="D690" i="9"/>
  <c r="F690" i="9"/>
  <c r="E1840" i="9"/>
  <c r="F1840" i="9"/>
  <c r="F202" i="12"/>
  <c r="I203" i="12"/>
  <c r="E17" i="12"/>
  <c r="J17" i="12"/>
  <c r="D19" i="9"/>
  <c r="B44" i="9"/>
  <c r="D2471" i="9"/>
  <c r="E2471" i="9"/>
  <c r="F2471" i="9"/>
  <c r="D1852" i="9"/>
  <c r="F1852" i="9"/>
  <c r="F767" i="9"/>
  <c r="F771" i="9" s="1"/>
  <c r="D767" i="9"/>
  <c r="D771" i="9" s="1"/>
  <c r="E767" i="9"/>
  <c r="F923" i="9"/>
  <c r="D628" i="9"/>
  <c r="D630" i="9" s="1"/>
  <c r="E628" i="9"/>
  <c r="F628" i="9"/>
  <c r="F630" i="9" s="1"/>
  <c r="E166" i="9"/>
  <c r="F166" i="9"/>
  <c r="E173" i="9"/>
  <c r="F173" i="9"/>
  <c r="F175" i="9" s="1"/>
  <c r="D173" i="9"/>
  <c r="D175" i="9" s="1"/>
  <c r="F1055" i="9"/>
  <c r="E1055" i="9"/>
  <c r="E2379" i="9"/>
  <c r="F2379" i="9"/>
  <c r="F2385" i="9" s="1"/>
  <c r="D2379" i="9"/>
  <c r="D2385" i="9" s="1"/>
  <c r="D865" i="9"/>
  <c r="B1616" i="9"/>
  <c r="D1476" i="9"/>
  <c r="D1480" i="9" s="1"/>
  <c r="E1476" i="9"/>
  <c r="F1476" i="9"/>
  <c r="L147" i="5"/>
  <c r="C1477" i="9"/>
  <c r="B1477" i="9" s="1"/>
  <c r="E1854" i="9"/>
  <c r="D1854" i="9"/>
  <c r="E1468" i="9"/>
  <c r="C1468" i="9" s="1"/>
  <c r="B1468" i="9" s="1"/>
  <c r="L58" i="7" l="1"/>
  <c r="F57" i="7"/>
  <c r="C131" i="9"/>
  <c r="B131" i="9" s="1"/>
  <c r="C2169" i="9"/>
  <c r="B2169" i="9" s="1"/>
  <c r="L1520" i="9"/>
  <c r="B1517" i="9"/>
  <c r="I28" i="9"/>
  <c r="F28" i="9"/>
  <c r="C28" i="9" s="1"/>
  <c r="J93" i="12"/>
  <c r="E93" i="12"/>
  <c r="C138" i="9"/>
  <c r="B138" i="9" s="1"/>
  <c r="F98" i="12"/>
  <c r="H101" i="12"/>
  <c r="F17" i="11" s="1"/>
  <c r="F2473" i="9"/>
  <c r="F2485" i="9" s="1"/>
  <c r="F2504" i="9" s="1"/>
  <c r="B1263" i="9"/>
  <c r="AA1266" i="9"/>
  <c r="AC1266" i="9"/>
  <c r="H1266" i="9" s="1"/>
  <c r="F1266" i="9" s="1"/>
  <c r="F1269" i="9" s="1"/>
  <c r="I100" i="12"/>
  <c r="F99" i="12"/>
  <c r="F1248" i="9"/>
  <c r="F1254" i="9" s="1"/>
  <c r="F1271" i="9" s="1"/>
  <c r="C2271" i="9"/>
  <c r="B2271" i="9" s="1"/>
  <c r="F1345" i="9"/>
  <c r="E324" i="9"/>
  <c r="D324" i="9"/>
  <c r="K1470" i="9"/>
  <c r="I1470" i="9" s="1"/>
  <c r="E320" i="9"/>
  <c r="F320" i="9"/>
  <c r="F1496" i="9"/>
  <c r="D1346" i="9"/>
  <c r="E1346" i="9"/>
  <c r="F1339" i="9"/>
  <c r="D1389" i="9"/>
  <c r="F1389" i="9"/>
  <c r="C839" i="9"/>
  <c r="B839" i="9" s="1"/>
  <c r="F1337" i="9"/>
  <c r="D1337" i="9"/>
  <c r="D1398" i="9"/>
  <c r="E1398" i="9"/>
  <c r="F2137" i="9"/>
  <c r="F1251" i="9"/>
  <c r="D1339" i="9"/>
  <c r="C1339" i="9" s="1"/>
  <c r="B1339" i="9" s="1"/>
  <c r="D851" i="9"/>
  <c r="F1723" i="9"/>
  <c r="F1726" i="9" s="1"/>
  <c r="F1754" i="9" s="1"/>
  <c r="E1723" i="9"/>
  <c r="F2405" i="9"/>
  <c r="D2387" i="9"/>
  <c r="D2404" i="9" s="1"/>
  <c r="F1344" i="9"/>
  <c r="D1391" i="9"/>
  <c r="E1391" i="9"/>
  <c r="F1722" i="9"/>
  <c r="D1722" i="9"/>
  <c r="F1041" i="9"/>
  <c r="F56" i="5"/>
  <c r="F30" i="9"/>
  <c r="E1494" i="9"/>
  <c r="F1338" i="9"/>
  <c r="E21" i="8"/>
  <c r="L1977" i="9"/>
  <c r="F1977" i="9" s="1"/>
  <c r="F2335" i="9"/>
  <c r="F1397" i="9"/>
  <c r="E1397" i="9"/>
  <c r="C620" i="9"/>
  <c r="B620" i="9" s="1"/>
  <c r="B123" i="9"/>
  <c r="F1390" i="9"/>
  <c r="E1390" i="9"/>
  <c r="C1975" i="9"/>
  <c r="E1981" i="9"/>
  <c r="D2305" i="9"/>
  <c r="F40" i="8"/>
  <c r="D2455" i="9"/>
  <c r="F43" i="8"/>
  <c r="G137" i="7" s="1"/>
  <c r="H137" i="7" s="1"/>
  <c r="F2455" i="9"/>
  <c r="H43" i="8"/>
  <c r="K137" i="7" s="1"/>
  <c r="L137" i="7" s="1"/>
  <c r="F41" i="8"/>
  <c r="G131" i="7" s="1"/>
  <c r="H131" i="7" s="1"/>
  <c r="H132" i="7" s="1"/>
  <c r="F23" i="6" s="1"/>
  <c r="H62" i="5" s="1"/>
  <c r="I62" i="5" s="1"/>
  <c r="D2355" i="9"/>
  <c r="H162" i="12"/>
  <c r="F26" i="11" s="1"/>
  <c r="J785" i="9" s="1"/>
  <c r="F159" i="12"/>
  <c r="E2181" i="9"/>
  <c r="F2181" i="9"/>
  <c r="F2187" i="9" s="1"/>
  <c r="D672" i="9"/>
  <c r="I189" i="12"/>
  <c r="F188" i="12"/>
  <c r="F153" i="12"/>
  <c r="I154" i="12"/>
  <c r="K1372" i="9"/>
  <c r="B1368" i="9"/>
  <c r="C706" i="9"/>
  <c r="B706" i="9" s="1"/>
  <c r="J1944" i="9"/>
  <c r="D1944" i="9" s="1"/>
  <c r="D1946" i="9" s="1"/>
  <c r="J1134" i="9"/>
  <c r="D1134" i="9" s="1"/>
  <c r="D1136" i="9" s="1"/>
  <c r="K1320" i="9"/>
  <c r="F2524" i="9"/>
  <c r="D2524" i="9"/>
  <c r="F17" i="12"/>
  <c r="I18" i="12"/>
  <c r="D2235" i="9"/>
  <c r="F2235" i="9"/>
  <c r="E345" i="9"/>
  <c r="F345" i="9"/>
  <c r="E175" i="9"/>
  <c r="C175" i="9" s="1"/>
  <c r="C173" i="9"/>
  <c r="B173" i="9" s="1"/>
  <c r="C1844" i="9"/>
  <c r="B1844" i="9" s="1"/>
  <c r="I1059" i="9"/>
  <c r="F1059" i="9"/>
  <c r="C1059" i="9" s="1"/>
  <c r="F275" i="9"/>
  <c r="C275" i="9" s="1"/>
  <c r="B275" i="9" s="1"/>
  <c r="F1029" i="9"/>
  <c r="F1031" i="9" s="1"/>
  <c r="H211" i="12"/>
  <c r="F33" i="11" s="1"/>
  <c r="J1248" i="9" s="1"/>
  <c r="F208" i="12"/>
  <c r="F160" i="12"/>
  <c r="I161" i="12"/>
  <c r="F672" i="9"/>
  <c r="H42" i="12"/>
  <c r="F8" i="11" s="1"/>
  <c r="J166" i="9" s="1"/>
  <c r="F38" i="12"/>
  <c r="L1569" i="9"/>
  <c r="B1567" i="9"/>
  <c r="D2522" i="9"/>
  <c r="F2522" i="9"/>
  <c r="E2522" i="9"/>
  <c r="C2470" i="9"/>
  <c r="B2470" i="9" s="1"/>
  <c r="L97" i="7"/>
  <c r="E97" i="7"/>
  <c r="C179" i="9"/>
  <c r="B179" i="9" s="1"/>
  <c r="E181" i="9"/>
  <c r="C181" i="9" s="1"/>
  <c r="E2173" i="9"/>
  <c r="C2167" i="9"/>
  <c r="B2167" i="9" s="1"/>
  <c r="F300" i="9"/>
  <c r="F174" i="12"/>
  <c r="I175" i="12"/>
  <c r="F1854" i="9"/>
  <c r="F1856" i="9" s="1"/>
  <c r="J203" i="12"/>
  <c r="E203" i="12"/>
  <c r="D2237" i="9"/>
  <c r="F2237" i="9"/>
  <c r="E2237" i="9"/>
  <c r="I210" i="12"/>
  <c r="F209" i="12"/>
  <c r="H63" i="12"/>
  <c r="F11" i="11" s="1"/>
  <c r="J775" i="9" s="1"/>
  <c r="F60" i="12"/>
  <c r="H137" i="12"/>
  <c r="F22" i="11" s="1"/>
  <c r="J1723" i="9" s="1"/>
  <c r="F134" i="12"/>
  <c r="F194" i="12"/>
  <c r="H197" i="12"/>
  <c r="F31" i="11" s="1"/>
  <c r="J815" i="9" s="1"/>
  <c r="F298" i="9"/>
  <c r="C298" i="9" s="1"/>
  <c r="B298" i="9" s="1"/>
  <c r="C682" i="9"/>
  <c r="B682" i="9" s="1"/>
  <c r="F16" i="12"/>
  <c r="H19" i="12"/>
  <c r="F5" i="11" s="1"/>
  <c r="E1554" i="9"/>
  <c r="C849" i="9"/>
  <c r="B849" i="9" s="1"/>
  <c r="F2273" i="9"/>
  <c r="F2285" i="9" s="1"/>
  <c r="F2304" i="9" s="1"/>
  <c r="F347" i="9"/>
  <c r="D347" i="9"/>
  <c r="H26" i="12"/>
  <c r="F6" i="11" s="1"/>
  <c r="F23" i="12"/>
  <c r="D373" i="9"/>
  <c r="E373" i="9"/>
  <c r="F373" i="9"/>
  <c r="F54" i="12"/>
  <c r="I55" i="12"/>
  <c r="C670" i="9"/>
  <c r="B670" i="9" s="1"/>
  <c r="D2005" i="9"/>
  <c r="F34" i="8"/>
  <c r="J1928" i="9" s="1"/>
  <c r="D1928" i="9" s="1"/>
  <c r="D1930" i="9" s="1"/>
  <c r="H204" i="12"/>
  <c r="F32" i="11" s="1"/>
  <c r="J825" i="9" s="1"/>
  <c r="F201" i="12"/>
  <c r="E1604" i="9"/>
  <c r="F708" i="9"/>
  <c r="F135" i="12"/>
  <c r="I136" i="12"/>
  <c r="F118" i="7"/>
  <c r="F10" i="12"/>
  <c r="I11" i="12"/>
  <c r="F79" i="12"/>
  <c r="I80" i="12"/>
  <c r="D954" i="9"/>
  <c r="D2225" i="9"/>
  <c r="L2223" i="9"/>
  <c r="I2568" i="9"/>
  <c r="D2568" i="9"/>
  <c r="H232" i="12"/>
  <c r="F36" i="11" s="1"/>
  <c r="F229" i="12"/>
  <c r="H218" i="12"/>
  <c r="F34" i="11" s="1"/>
  <c r="F215" i="12"/>
  <c r="F222" i="12"/>
  <c r="H225" i="12"/>
  <c r="F35" i="11" s="1"/>
  <c r="F85" i="7"/>
  <c r="L86" i="7"/>
  <c r="L136" i="5"/>
  <c r="F505" i="9"/>
  <c r="H12" i="8"/>
  <c r="L34" i="5" s="1"/>
  <c r="M34" i="5" s="1"/>
  <c r="M33" i="5" s="1"/>
  <c r="F40" i="9"/>
  <c r="F141" i="9"/>
  <c r="F154" i="9" s="1"/>
  <c r="G30" i="6"/>
  <c r="I164" i="7" s="1"/>
  <c r="F172" i="7"/>
  <c r="E30" i="6" s="1"/>
  <c r="H34" i="12"/>
  <c r="F7" i="11" s="1"/>
  <c r="J117" i="9" s="1"/>
  <c r="F30" i="12"/>
  <c r="E2273" i="9"/>
  <c r="C2269" i="9"/>
  <c r="B2269" i="9" s="1"/>
  <c r="F1488" i="9"/>
  <c r="C1488" i="9" s="1"/>
  <c r="B1488" i="9" s="1"/>
  <c r="C1168" i="9"/>
  <c r="B1168" i="9" s="1"/>
  <c r="E1172" i="9"/>
  <c r="E1480" i="9"/>
  <c r="C1476" i="9"/>
  <c r="B62" i="9"/>
  <c r="AA64" i="9"/>
  <c r="AF66" i="9"/>
  <c r="AE64" i="9"/>
  <c r="AG64" i="9"/>
  <c r="AK66" i="9"/>
  <c r="D2183" i="9"/>
  <c r="F2183" i="9"/>
  <c r="F106" i="12"/>
  <c r="I107" i="12"/>
  <c r="D2526" i="9"/>
  <c r="E2526" i="9"/>
  <c r="F2526" i="9"/>
  <c r="F24" i="12"/>
  <c r="I25" i="12"/>
  <c r="E2374" i="9"/>
  <c r="D227" i="9"/>
  <c r="E227" i="9"/>
  <c r="F227" i="9"/>
  <c r="C845" i="9"/>
  <c r="B845" i="9" s="1"/>
  <c r="H183" i="12"/>
  <c r="F29" i="11" s="1"/>
  <c r="F180" i="12"/>
  <c r="D623" i="9"/>
  <c r="D632" i="9" s="1"/>
  <c r="D654" i="9" s="1"/>
  <c r="H35" i="8"/>
  <c r="K24" i="7" s="1"/>
  <c r="L24" i="7" s="1"/>
  <c r="L25" i="7" s="1"/>
  <c r="H7" i="6" s="1"/>
  <c r="L13" i="5" s="1"/>
  <c r="M13" i="5" s="1"/>
  <c r="F2055" i="9"/>
  <c r="C1495" i="9"/>
  <c r="B1495" i="9" s="1"/>
  <c r="H169" i="12"/>
  <c r="F27" i="11" s="1"/>
  <c r="F166" i="12"/>
  <c r="F1846" i="9"/>
  <c r="C2135" i="9"/>
  <c r="B2135" i="9" s="1"/>
  <c r="F187" i="12"/>
  <c r="H190" i="12"/>
  <c r="F30" i="11" s="1"/>
  <c r="J518" i="9" s="1"/>
  <c r="I168" i="12"/>
  <c r="F167" i="12"/>
  <c r="E2123" i="9"/>
  <c r="C2117" i="9"/>
  <c r="B2117" i="9" s="1"/>
  <c r="C2333" i="9"/>
  <c r="B2333" i="9" s="1"/>
  <c r="F106" i="7"/>
  <c r="I129" i="12"/>
  <c r="F128" i="12"/>
  <c r="I2418" i="9"/>
  <c r="D2418" i="9"/>
  <c r="D2273" i="9"/>
  <c r="F343" i="9"/>
  <c r="F349" i="9" s="1"/>
  <c r="D343" i="9"/>
  <c r="E343" i="9"/>
  <c r="I1391" i="9"/>
  <c r="F1391" i="9"/>
  <c r="F114" i="12"/>
  <c r="I115" i="12"/>
  <c r="I231" i="12"/>
  <c r="F230" i="12"/>
  <c r="B779" i="9"/>
  <c r="K110" i="5"/>
  <c r="C952" i="9"/>
  <c r="B952" i="9" s="1"/>
  <c r="C1328" i="9"/>
  <c r="B1328" i="9" s="1"/>
  <c r="F33" i="8"/>
  <c r="D1955" i="9"/>
  <c r="C1973" i="9"/>
  <c r="B1973" i="9" s="1"/>
  <c r="C668" i="9"/>
  <c r="B668" i="9" s="1"/>
  <c r="E672" i="9"/>
  <c r="G127" i="5"/>
  <c r="K126" i="5"/>
  <c r="K125" i="5" s="1"/>
  <c r="C560" i="9"/>
  <c r="B560" i="9" s="1"/>
  <c r="J567" i="9"/>
  <c r="I324" i="9"/>
  <c r="F324" i="9"/>
  <c r="F954" i="9"/>
  <c r="C819" i="9"/>
  <c r="B819" i="9" s="1"/>
  <c r="D2185" i="9"/>
  <c r="E2185" i="9"/>
  <c r="F2185" i="9"/>
  <c r="I73" i="12"/>
  <c r="F72" i="12"/>
  <c r="I1346" i="9"/>
  <c r="F1346" i="9"/>
  <c r="L1134" i="9"/>
  <c r="F1134" i="9" s="1"/>
  <c r="F1136" i="9" s="1"/>
  <c r="L1944" i="9"/>
  <c r="F1944" i="9" s="1"/>
  <c r="F1946" i="9" s="1"/>
  <c r="I182" i="12"/>
  <c r="F181" i="12"/>
  <c r="C38" i="9"/>
  <c r="B38" i="9" s="1"/>
  <c r="I32" i="12"/>
  <c r="F31" i="12"/>
  <c r="E2225" i="9"/>
  <c r="C2219" i="9"/>
  <c r="B2219" i="9" s="1"/>
  <c r="E1804" i="9"/>
  <c r="C1779" i="9"/>
  <c r="C1934" i="9"/>
  <c r="B1934" i="9" s="1"/>
  <c r="I1398" i="9"/>
  <c r="F1398" i="9"/>
  <c r="C1029" i="9"/>
  <c r="C686" i="9"/>
  <c r="B686" i="9" s="1"/>
  <c r="B1029" i="9"/>
  <c r="L2121" i="9"/>
  <c r="D2123" i="9"/>
  <c r="I1049" i="9"/>
  <c r="F1049" i="9"/>
  <c r="C1049" i="9" s="1"/>
  <c r="F932" i="9"/>
  <c r="F195" i="12"/>
  <c r="I196" i="12"/>
  <c r="F1155" i="9"/>
  <c r="H20" i="8"/>
  <c r="F20" i="8"/>
  <c r="D1155" i="9"/>
  <c r="L79" i="7"/>
  <c r="H16" i="6" s="1"/>
  <c r="L30" i="5" s="1"/>
  <c r="M30" i="5" s="1"/>
  <c r="F77" i="7"/>
  <c r="E369" i="9"/>
  <c r="F369" i="9"/>
  <c r="F9" i="12"/>
  <c r="C1122" i="9"/>
  <c r="B1122" i="9" s="1"/>
  <c r="C2471" i="9"/>
  <c r="B2471" i="9" s="1"/>
  <c r="E2572" i="9"/>
  <c r="C921" i="9"/>
  <c r="B921" i="9" s="1"/>
  <c r="D923" i="9"/>
  <c r="E2233" i="9"/>
  <c r="F2233" i="9"/>
  <c r="F2239" i="9" s="1"/>
  <c r="K2323" i="9"/>
  <c r="K2325" i="9"/>
  <c r="B2321" i="9"/>
  <c r="H123" i="12"/>
  <c r="F20" i="11" s="1"/>
  <c r="J835" i="9" s="1"/>
  <c r="F120" i="12"/>
  <c r="D2173" i="9"/>
  <c r="L2171" i="9"/>
  <c r="C18" i="9"/>
  <c r="B18" i="9" s="1"/>
  <c r="D2055" i="9"/>
  <c r="F35" i="8"/>
  <c r="G24" i="7" s="1"/>
  <c r="H24" i="7" s="1"/>
  <c r="H25" i="7" s="1"/>
  <c r="F7" i="6" s="1"/>
  <c r="H13" i="5" s="1"/>
  <c r="I13" i="5" s="1"/>
  <c r="C932" i="9"/>
  <c r="B932" i="9" s="1"/>
  <c r="C2480" i="9"/>
  <c r="B2480" i="9" s="1"/>
  <c r="E2482" i="9"/>
  <c r="C2482" i="9" s="1"/>
  <c r="F121" i="12"/>
  <c r="I122" i="12"/>
  <c r="E771" i="9"/>
  <c r="C767" i="9"/>
  <c r="B767" i="9" s="1"/>
  <c r="C2024" i="9"/>
  <c r="I2028" i="9"/>
  <c r="E2028" i="9"/>
  <c r="E87" i="12"/>
  <c r="J87" i="12"/>
  <c r="E48" i="12"/>
  <c r="J48" i="12"/>
  <c r="F1130" i="9"/>
  <c r="F934" i="9"/>
  <c r="E1470" i="9"/>
  <c r="C2379" i="9"/>
  <c r="B2379" i="9" s="1"/>
  <c r="H81" i="12"/>
  <c r="F14" i="11" s="1"/>
  <c r="F78" i="12"/>
  <c r="F1940" i="9"/>
  <c r="C539" i="9"/>
  <c r="L1380" i="9"/>
  <c r="B1378" i="9"/>
  <c r="F223" i="9"/>
  <c r="E223" i="9"/>
  <c r="B1319" i="9"/>
  <c r="G56" i="5"/>
  <c r="C34" i="9"/>
  <c r="B34" i="9" s="1"/>
  <c r="C2331" i="9"/>
  <c r="E2335" i="9"/>
  <c r="C2335" i="9" s="1"/>
  <c r="F623" i="9"/>
  <c r="F632" i="9" s="1"/>
  <c r="F654" i="9" s="1"/>
  <c r="D225" i="9"/>
  <c r="F225" i="9"/>
  <c r="C616" i="9"/>
  <c r="B616" i="9" s="1"/>
  <c r="C504" i="9"/>
  <c r="E405" i="9"/>
  <c r="G11" i="8"/>
  <c r="J19" i="5" s="1"/>
  <c r="F1620" i="9"/>
  <c r="C1618" i="9"/>
  <c r="B1618" i="9" s="1"/>
  <c r="I2548" i="9"/>
  <c r="F2548" i="9"/>
  <c r="C2548" i="9" s="1"/>
  <c r="F943" i="9"/>
  <c r="F945" i="9" s="1"/>
  <c r="C2281" i="9"/>
  <c r="B2281" i="9" s="1"/>
  <c r="E1331" i="9"/>
  <c r="C1327" i="9"/>
  <c r="F61" i="12"/>
  <c r="I62" i="12"/>
  <c r="E19" i="9"/>
  <c r="H41" i="8"/>
  <c r="K131" i="7" s="1"/>
  <c r="L131" i="7" s="1"/>
  <c r="L132" i="7" s="1"/>
  <c r="H23" i="6" s="1"/>
  <c r="L62" i="5" s="1"/>
  <c r="M62" i="5" s="1"/>
  <c r="F2355" i="9"/>
  <c r="D371" i="9"/>
  <c r="F371" i="9"/>
  <c r="AH433" i="9"/>
  <c r="B431" i="9"/>
  <c r="AJ433" i="9"/>
  <c r="C1015" i="9"/>
  <c r="B1015" i="9" s="1"/>
  <c r="E1019" i="9"/>
  <c r="E146" i="7"/>
  <c r="L146" i="7"/>
  <c r="L133" i="5"/>
  <c r="C1828" i="9"/>
  <c r="B1828" i="9" s="1"/>
  <c r="E1836" i="9"/>
  <c r="L1834" i="9"/>
  <c r="D1836" i="9"/>
  <c r="I167" i="9"/>
  <c r="F167" i="9"/>
  <c r="C167" i="9" s="1"/>
  <c r="C1672" i="9"/>
  <c r="E1704" i="9"/>
  <c r="C950" i="9"/>
  <c r="B950" i="9" s="1"/>
  <c r="E954" i="9"/>
  <c r="F223" i="12"/>
  <c r="I224" i="12"/>
  <c r="F39" i="12"/>
  <c r="I40" i="12"/>
  <c r="C1245" i="9"/>
  <c r="B1245" i="9" s="1"/>
  <c r="C2119" i="9"/>
  <c r="B2119" i="9" s="1"/>
  <c r="F113" i="12"/>
  <c r="H116" i="12"/>
  <c r="F19" i="11" s="1"/>
  <c r="J805" i="9" s="1"/>
  <c r="E571" i="9"/>
  <c r="D40" i="9"/>
  <c r="F821" i="9"/>
  <c r="C1832" i="9"/>
  <c r="B1832" i="9" s="1"/>
  <c r="C628" i="9"/>
  <c r="B628" i="9" s="1"/>
  <c r="E630" i="9"/>
  <c r="C630" i="9" s="1"/>
  <c r="F147" i="5"/>
  <c r="M147" i="5"/>
  <c r="F147" i="12"/>
  <c r="J148" i="12"/>
  <c r="I2036" i="9"/>
  <c r="F2036" i="9"/>
  <c r="F127" i="12"/>
  <c r="H130" i="12"/>
  <c r="F21" i="11" s="1"/>
  <c r="H176" i="12"/>
  <c r="F28" i="11" s="1"/>
  <c r="J24" i="9" s="1"/>
  <c r="F173" i="12"/>
  <c r="C698" i="9"/>
  <c r="B698" i="9" s="1"/>
  <c r="C943" i="9"/>
  <c r="B943" i="9" s="1"/>
  <c r="D1331" i="9"/>
  <c r="F801" i="9"/>
  <c r="F811" i="9" s="1"/>
  <c r="F866" i="9" s="1"/>
  <c r="F867" i="9" s="1"/>
  <c r="F904" i="9" s="1"/>
  <c r="H88" i="12"/>
  <c r="F15" i="11" s="1"/>
  <c r="F85" i="12"/>
  <c r="I217" i="12"/>
  <c r="F216" i="12"/>
  <c r="B1466" i="9"/>
  <c r="B16" i="9"/>
  <c r="F1705" i="9" l="1"/>
  <c r="H29" i="8"/>
  <c r="L452" i="9" s="1"/>
  <c r="E100" i="12"/>
  <c r="J100" i="12"/>
  <c r="F710" i="9"/>
  <c r="F754" i="9" s="1"/>
  <c r="B1049" i="9"/>
  <c r="C2237" i="9"/>
  <c r="B2237" i="9" s="1"/>
  <c r="F169" i="9"/>
  <c r="F183" i="9" s="1"/>
  <c r="F204" i="9" s="1"/>
  <c r="H6" i="8" s="1"/>
  <c r="L9" i="5" s="1"/>
  <c r="M9" i="5" s="1"/>
  <c r="C1398" i="9"/>
  <c r="J694" i="9"/>
  <c r="J797" i="9"/>
  <c r="J1025" i="9"/>
  <c r="C227" i="9"/>
  <c r="B227" i="9" s="1"/>
  <c r="F1340" i="9"/>
  <c r="F93" i="12"/>
  <c r="J94" i="12"/>
  <c r="C954" i="9"/>
  <c r="C801" i="9"/>
  <c r="B801" i="9" s="1"/>
  <c r="B28" i="9"/>
  <c r="I1520" i="9"/>
  <c r="F1520" i="9"/>
  <c r="F375" i="9"/>
  <c r="F404" i="9" s="1"/>
  <c r="I1977" i="9"/>
  <c r="B1977" i="9" s="1"/>
  <c r="F956" i="9"/>
  <c r="F1004" i="9" s="1"/>
  <c r="H17" i="8" s="1"/>
  <c r="L42" i="5" s="1"/>
  <c r="M42" i="5" s="1"/>
  <c r="M41" i="5" s="1"/>
  <c r="F229" i="9"/>
  <c r="F241" i="9" s="1"/>
  <c r="F254" i="9" s="1"/>
  <c r="C1346" i="9"/>
  <c r="H13" i="6"/>
  <c r="L27" i="5" s="1"/>
  <c r="F58" i="7"/>
  <c r="E13" i="6" s="1"/>
  <c r="B2548" i="9"/>
  <c r="F205" i="9"/>
  <c r="H7" i="8"/>
  <c r="L15" i="5" s="1"/>
  <c r="M15" i="5" s="1"/>
  <c r="E182" i="12"/>
  <c r="J182" i="12"/>
  <c r="E1505" i="9"/>
  <c r="G25" i="8"/>
  <c r="J108" i="5" s="1"/>
  <c r="C2526" i="9"/>
  <c r="B2526" i="9" s="1"/>
  <c r="E161" i="12"/>
  <c r="J161" i="12"/>
  <c r="F1489" i="9"/>
  <c r="F1498" i="9" s="1"/>
  <c r="J2131" i="9"/>
  <c r="J2181" i="9"/>
  <c r="J2233" i="9"/>
  <c r="I1380" i="9"/>
  <c r="F1380" i="9"/>
  <c r="F1347" i="9"/>
  <c r="F1349" i="9" s="1"/>
  <c r="J40" i="12"/>
  <c r="E40" i="12"/>
  <c r="J928" i="9"/>
  <c r="J294" i="9"/>
  <c r="J688" i="9"/>
  <c r="J1045" i="9"/>
  <c r="J2544" i="9"/>
  <c r="C1854" i="9"/>
  <c r="B1854" i="9" s="1"/>
  <c r="D2570" i="9"/>
  <c r="C2568" i="9"/>
  <c r="J1345" i="9"/>
  <c r="J1128" i="9"/>
  <c r="D1128" i="9" s="1"/>
  <c r="J1397" i="9"/>
  <c r="J1494" i="9"/>
  <c r="G14" i="7"/>
  <c r="H14" i="7" s="1"/>
  <c r="G108" i="7"/>
  <c r="H108" i="7" s="1"/>
  <c r="G120" i="7"/>
  <c r="H120" i="7" s="1"/>
  <c r="E73" i="12"/>
  <c r="J73" i="12"/>
  <c r="B64" i="9"/>
  <c r="AC70" i="9"/>
  <c r="B167" i="9"/>
  <c r="C324" i="9"/>
  <c r="B324" i="9" s="1"/>
  <c r="F326" i="9"/>
  <c r="F351" i="9" s="1"/>
  <c r="F354" i="9" s="1"/>
  <c r="C2522" i="9"/>
  <c r="B2522" i="9" s="1"/>
  <c r="F1051" i="9"/>
  <c r="L147" i="7"/>
  <c r="F146" i="7"/>
  <c r="I2121" i="9"/>
  <c r="F2121" i="9"/>
  <c r="C343" i="9"/>
  <c r="B343" i="9" s="1"/>
  <c r="F355" i="9"/>
  <c r="H10" i="8"/>
  <c r="L18" i="5" s="1"/>
  <c r="M18" i="5" s="1"/>
  <c r="F1979" i="9"/>
  <c r="C1977" i="9"/>
  <c r="E2038" i="9"/>
  <c r="C2028" i="9"/>
  <c r="I815" i="9"/>
  <c r="D815" i="9"/>
  <c r="F2038" i="9"/>
  <c r="F2040" i="9" s="1"/>
  <c r="F2054" i="9" s="1"/>
  <c r="C2036" i="9"/>
  <c r="B2036" i="9" s="1"/>
  <c r="F277" i="9"/>
  <c r="F302" i="9" s="1"/>
  <c r="F304" i="9" s="1"/>
  <c r="E55" i="12"/>
  <c r="J55" i="12"/>
  <c r="E62" i="12"/>
  <c r="J62" i="12"/>
  <c r="F1138" i="9"/>
  <c r="F1154" i="9" s="1"/>
  <c r="E2604" i="9"/>
  <c r="C1804" i="9"/>
  <c r="E1755" i="9"/>
  <c r="G30" i="8"/>
  <c r="J231" i="12"/>
  <c r="E231" i="12"/>
  <c r="F2528" i="9"/>
  <c r="E154" i="12"/>
  <c r="J154" i="12"/>
  <c r="I805" i="9"/>
  <c r="D805" i="9"/>
  <c r="C805" i="9" s="1"/>
  <c r="D24" i="9"/>
  <c r="I24" i="9"/>
  <c r="B1346" i="9"/>
  <c r="B2568" i="9"/>
  <c r="C771" i="9"/>
  <c r="B1398" i="9"/>
  <c r="G147" i="5"/>
  <c r="G145" i="5" s="1"/>
  <c r="M145" i="5"/>
  <c r="F2550" i="9"/>
  <c r="I567" i="9"/>
  <c r="D567" i="9"/>
  <c r="F136" i="5"/>
  <c r="M136" i="5"/>
  <c r="J271" i="9"/>
  <c r="J320" i="9"/>
  <c r="J223" i="9"/>
  <c r="J369" i="9"/>
  <c r="J1850" i="9"/>
  <c r="J210" i="12"/>
  <c r="E210" i="12"/>
  <c r="D2528" i="9"/>
  <c r="I518" i="9"/>
  <c r="D518" i="9"/>
  <c r="G26" i="8"/>
  <c r="J109" i="5" s="1"/>
  <c r="E1555" i="9"/>
  <c r="C2273" i="9"/>
  <c r="E175" i="12"/>
  <c r="J175" i="12"/>
  <c r="J1126" i="9"/>
  <c r="D1126" i="9" s="1"/>
  <c r="D1130" i="9" s="1"/>
  <c r="D1138" i="9" s="1"/>
  <c r="D1154" i="9" s="1"/>
  <c r="G13" i="7"/>
  <c r="H13" i="7" s="1"/>
  <c r="H15" i="7" s="1"/>
  <c r="F5" i="6" s="1"/>
  <c r="H11" i="5" s="1"/>
  <c r="I11" i="5" s="1"/>
  <c r="G119" i="7"/>
  <c r="H119" i="7" s="1"/>
  <c r="G107" i="7"/>
  <c r="H107" i="7" s="1"/>
  <c r="F19" i="5"/>
  <c r="K19" i="5"/>
  <c r="G19" i="5" s="1"/>
  <c r="J1840" i="9"/>
  <c r="J678" i="9"/>
  <c r="J1035" i="9"/>
  <c r="J345" i="9"/>
  <c r="G98" i="7"/>
  <c r="H98" i="7" s="1"/>
  <c r="H100" i="7" s="1"/>
  <c r="F19" i="6" s="1"/>
  <c r="H46" i="5" s="1"/>
  <c r="I46" i="5" s="1"/>
  <c r="I45" i="5" s="1"/>
  <c r="I1320" i="9"/>
  <c r="E1320" i="9"/>
  <c r="I2325" i="9"/>
  <c r="E2325" i="9"/>
  <c r="C2325" i="9" s="1"/>
  <c r="F148" i="12"/>
  <c r="E24" i="11" s="1"/>
  <c r="G24" i="11"/>
  <c r="K857" i="9" s="1"/>
  <c r="L100" i="7"/>
  <c r="H19" i="6" s="1"/>
  <c r="L46" i="5" s="1"/>
  <c r="M46" i="5" s="1"/>
  <c r="M45" i="5" s="1"/>
  <c r="F97" i="7"/>
  <c r="I1834" i="9"/>
  <c r="F1834" i="9"/>
  <c r="L1329" i="9"/>
  <c r="B1327" i="9"/>
  <c r="L2337" i="9"/>
  <c r="B2331" i="9"/>
  <c r="G110" i="7"/>
  <c r="H110" i="7" s="1"/>
  <c r="G122" i="7"/>
  <c r="H122" i="7" s="1"/>
  <c r="F133" i="5"/>
  <c r="M133" i="5"/>
  <c r="C1391" i="9"/>
  <c r="B1391" i="9" s="1"/>
  <c r="F1392" i="9"/>
  <c r="J25" i="12"/>
  <c r="E25" i="12"/>
  <c r="F203" i="12"/>
  <c r="J204" i="12"/>
  <c r="F1654" i="9"/>
  <c r="C1620" i="9"/>
  <c r="I2171" i="9"/>
  <c r="F2171" i="9"/>
  <c r="J1922" i="9"/>
  <c r="D1922" i="9" s="1"/>
  <c r="D1924" i="9" s="1"/>
  <c r="G160" i="7"/>
  <c r="H160" i="7" s="1"/>
  <c r="H161" i="7" s="1"/>
  <c r="F28" i="6" s="1"/>
  <c r="AC436" i="9"/>
  <c r="H436" i="9" s="1"/>
  <c r="AC440" i="9"/>
  <c r="H440" i="9" s="1"/>
  <c r="AA440" i="9"/>
  <c r="AA438" i="9"/>
  <c r="B433" i="9"/>
  <c r="AA436" i="9"/>
  <c r="AC438" i="9"/>
  <c r="H438" i="9" s="1"/>
  <c r="I825" i="9"/>
  <c r="D825" i="9"/>
  <c r="B2028" i="9"/>
  <c r="J939" i="9"/>
  <c r="J68" i="9"/>
  <c r="I68" i="9" s="1"/>
  <c r="J1055" i="9"/>
  <c r="J702" i="9"/>
  <c r="E224" i="12"/>
  <c r="J224" i="12"/>
  <c r="I2323" i="9"/>
  <c r="E2323" i="9"/>
  <c r="I1723" i="9"/>
  <c r="D1723" i="9"/>
  <c r="AC68" i="9"/>
  <c r="H68" i="9" s="1"/>
  <c r="AC72" i="9"/>
  <c r="H72" i="9" s="1"/>
  <c r="AE70" i="9"/>
  <c r="H70" i="9" s="1"/>
  <c r="B66" i="9"/>
  <c r="AA68" i="9"/>
  <c r="AA72" i="9"/>
  <c r="AA70" i="9"/>
  <c r="G28" i="8"/>
  <c r="J111" i="5" s="1"/>
  <c r="C1704" i="9"/>
  <c r="E1655" i="9"/>
  <c r="I452" i="9"/>
  <c r="F452" i="9"/>
  <c r="E11" i="12"/>
  <c r="J11" i="12"/>
  <c r="F48" i="12"/>
  <c r="J49" i="12"/>
  <c r="E196" i="12"/>
  <c r="J196" i="12"/>
  <c r="F1399" i="9"/>
  <c r="E115" i="12"/>
  <c r="J115" i="12"/>
  <c r="L1478" i="9"/>
  <c r="B1476" i="9"/>
  <c r="H17" i="6"/>
  <c r="L31" i="5" s="1"/>
  <c r="F86" i="7"/>
  <c r="E17" i="6" s="1"/>
  <c r="C1019" i="9"/>
  <c r="I117" i="9"/>
  <c r="D117" i="9"/>
  <c r="I835" i="9"/>
  <c r="D835" i="9"/>
  <c r="D2442" i="9"/>
  <c r="D2454" i="9" s="1"/>
  <c r="C2418" i="9"/>
  <c r="B2418" i="9" s="1"/>
  <c r="E107" i="12"/>
  <c r="J107" i="12"/>
  <c r="E129" i="12"/>
  <c r="J129" i="12"/>
  <c r="F105" i="9"/>
  <c r="H5" i="8"/>
  <c r="L8" i="5" s="1"/>
  <c r="M8" i="5" s="1"/>
  <c r="D605" i="9"/>
  <c r="F14" i="8"/>
  <c r="H38" i="5" s="1"/>
  <c r="I38" i="5" s="1"/>
  <c r="E217" i="12"/>
  <c r="J217" i="12"/>
  <c r="I1569" i="9"/>
  <c r="F1569" i="9"/>
  <c r="E18" i="12"/>
  <c r="J18" i="12"/>
  <c r="H16" i="8"/>
  <c r="L40" i="5" s="1"/>
  <c r="M40" i="5" s="1"/>
  <c r="F755" i="9"/>
  <c r="I785" i="9"/>
  <c r="D785" i="9"/>
  <c r="I1248" i="9"/>
  <c r="D1248" i="9"/>
  <c r="J164" i="7"/>
  <c r="E164" i="7"/>
  <c r="J122" i="12"/>
  <c r="E122" i="12"/>
  <c r="C2185" i="9"/>
  <c r="B2185" i="9" s="1"/>
  <c r="J80" i="12"/>
  <c r="E80" i="12"/>
  <c r="J1266" i="9"/>
  <c r="D1266" i="9" s="1"/>
  <c r="D1269" i="9" s="1"/>
  <c r="J2277" i="9"/>
  <c r="F605" i="9"/>
  <c r="H14" i="8"/>
  <c r="L38" i="5" s="1"/>
  <c r="M38" i="5" s="1"/>
  <c r="L53" i="5"/>
  <c r="M53" i="5" s="1"/>
  <c r="K127" i="7"/>
  <c r="L127" i="7" s="1"/>
  <c r="L128" i="7" s="1"/>
  <c r="H22" i="6" s="1"/>
  <c r="L52" i="5" s="1"/>
  <c r="M52" i="5" s="1"/>
  <c r="M51" i="5" s="1"/>
  <c r="I1372" i="9"/>
  <c r="E1372" i="9"/>
  <c r="J1390" i="9"/>
  <c r="J1338" i="9"/>
  <c r="J1487" i="9"/>
  <c r="F87" i="12"/>
  <c r="J88" i="12"/>
  <c r="E32" i="12"/>
  <c r="J32" i="12"/>
  <c r="L128" i="5"/>
  <c r="J168" i="12"/>
  <c r="E168" i="12"/>
  <c r="C2374" i="9"/>
  <c r="C1172" i="9"/>
  <c r="E1183" i="9"/>
  <c r="F1061" i="9"/>
  <c r="E136" i="12"/>
  <c r="J136" i="12"/>
  <c r="H39" i="8"/>
  <c r="K89" i="7" s="1"/>
  <c r="L89" i="7" s="1"/>
  <c r="L90" i="7" s="1"/>
  <c r="L91" i="7" s="1"/>
  <c r="H18" i="6" s="1"/>
  <c r="L32" i="5" s="1"/>
  <c r="M32" i="5" s="1"/>
  <c r="F2255" i="9"/>
  <c r="J189" i="12"/>
  <c r="E189" i="12"/>
  <c r="E2004" i="9"/>
  <c r="F655" i="9"/>
  <c r="H15" i="8"/>
  <c r="C405" i="9"/>
  <c r="E11" i="8"/>
  <c r="I2223" i="9"/>
  <c r="F2223" i="9"/>
  <c r="B1059" i="9"/>
  <c r="C19" i="9"/>
  <c r="I775" i="9"/>
  <c r="D775" i="9"/>
  <c r="C1470" i="9"/>
  <c r="B1470" i="9" s="1"/>
  <c r="E1472" i="9"/>
  <c r="G127" i="7"/>
  <c r="H127" i="7" s="1"/>
  <c r="H128" i="7" s="1"/>
  <c r="F22" i="6" s="1"/>
  <c r="H52" i="5" s="1"/>
  <c r="I52" i="5" s="1"/>
  <c r="H53" i="5"/>
  <c r="I53" i="5" s="1"/>
  <c r="C373" i="9"/>
  <c r="B373" i="9" s="1"/>
  <c r="E604" i="9"/>
  <c r="C672" i="9"/>
  <c r="J1938" i="9"/>
  <c r="D1938" i="9" s="1"/>
  <c r="D1940" i="9" s="1"/>
  <c r="G78" i="7"/>
  <c r="H78" i="7" s="1"/>
  <c r="H79" i="7" s="1"/>
  <c r="F16" i="6" s="1"/>
  <c r="H30" i="5" s="1"/>
  <c r="I30" i="5" s="1"/>
  <c r="G71" i="7"/>
  <c r="H71" i="7" s="1"/>
  <c r="H72" i="7" s="1"/>
  <c r="F15" i="6" s="1"/>
  <c r="H29" i="5" s="1"/>
  <c r="I29" i="5" s="1"/>
  <c r="G63" i="7"/>
  <c r="H63" i="7" s="1"/>
  <c r="I166" i="9"/>
  <c r="D166" i="9"/>
  <c r="F94" i="12" l="1"/>
  <c r="E16" i="11" s="1"/>
  <c r="G16" i="11"/>
  <c r="K36" i="9" s="1"/>
  <c r="F905" i="9"/>
  <c r="F100" i="12"/>
  <c r="J101" i="12"/>
  <c r="F1522" i="9"/>
  <c r="C1520" i="9"/>
  <c r="I1025" i="9"/>
  <c r="D1025" i="9"/>
  <c r="M27" i="5"/>
  <c r="G27" i="5" s="1"/>
  <c r="F27" i="5"/>
  <c r="B1520" i="9"/>
  <c r="F155" i="9"/>
  <c r="B2325" i="9"/>
  <c r="F1401" i="9"/>
  <c r="F1063" i="9"/>
  <c r="F1104" i="9" s="1"/>
  <c r="I797" i="9"/>
  <c r="D797" i="9"/>
  <c r="C797" i="9" s="1"/>
  <c r="B797" i="9" s="1"/>
  <c r="I694" i="9"/>
  <c r="D694" i="9"/>
  <c r="C694" i="9" s="1"/>
  <c r="B694" i="9" s="1"/>
  <c r="F2552" i="9"/>
  <c r="F2554" i="9" s="1"/>
  <c r="H44" i="8" s="1"/>
  <c r="K138" i="7" s="1"/>
  <c r="L138" i="7" s="1"/>
  <c r="F1005" i="9"/>
  <c r="H18" i="8"/>
  <c r="L44" i="5" s="1"/>
  <c r="M44" i="5" s="1"/>
  <c r="M43" i="5" s="1"/>
  <c r="F107" i="12"/>
  <c r="J109" i="12"/>
  <c r="F454" i="9"/>
  <c r="C452" i="9"/>
  <c r="K111" i="5"/>
  <c r="G111" i="5" s="1"/>
  <c r="F111" i="5"/>
  <c r="F231" i="12"/>
  <c r="J232" i="12"/>
  <c r="D72" i="9"/>
  <c r="E72" i="9"/>
  <c r="F72" i="9"/>
  <c r="C1723" i="9"/>
  <c r="B1723" i="9" s="1"/>
  <c r="D1726" i="9"/>
  <c r="D1754" i="9" s="1"/>
  <c r="C1834" i="9"/>
  <c r="B1834" i="9" s="1"/>
  <c r="F1836" i="9"/>
  <c r="I1345" i="9"/>
  <c r="D1345" i="9"/>
  <c r="D781" i="9"/>
  <c r="C775" i="9"/>
  <c r="B775" i="9" s="1"/>
  <c r="I1478" i="9"/>
  <c r="F1478" i="9"/>
  <c r="C1755" i="9"/>
  <c r="E30" i="8"/>
  <c r="F182" i="12"/>
  <c r="J183" i="12"/>
  <c r="F255" i="9"/>
  <c r="H8" i="8"/>
  <c r="L16" i="5" s="1"/>
  <c r="M16" i="5" s="1"/>
  <c r="H34" i="8"/>
  <c r="L1928" i="9" s="1"/>
  <c r="F1928" i="9" s="1"/>
  <c r="F1930" i="9" s="1"/>
  <c r="F2005" i="9"/>
  <c r="B452" i="9"/>
  <c r="I223" i="9"/>
  <c r="D223" i="9"/>
  <c r="I1390" i="9"/>
  <c r="D1390" i="9"/>
  <c r="I271" i="9"/>
  <c r="D271" i="9"/>
  <c r="I51" i="5"/>
  <c r="F1571" i="9"/>
  <c r="C1569" i="9"/>
  <c r="B1569" i="9" s="1"/>
  <c r="D70" i="9"/>
  <c r="F70" i="9"/>
  <c r="I2337" i="9"/>
  <c r="F2337" i="9"/>
  <c r="K108" i="5"/>
  <c r="I2277" i="9"/>
  <c r="D2277" i="9"/>
  <c r="K1134" i="9"/>
  <c r="K1944" i="9"/>
  <c r="F80" i="12"/>
  <c r="J81" i="12"/>
  <c r="F217" i="12"/>
  <c r="J218" i="12"/>
  <c r="F115" i="12"/>
  <c r="J116" i="12"/>
  <c r="F1605" i="9"/>
  <c r="H27" i="8"/>
  <c r="L110" i="5" s="1"/>
  <c r="C1654" i="9"/>
  <c r="C2121" i="9"/>
  <c r="B2121" i="9" s="1"/>
  <c r="F2123" i="9"/>
  <c r="D2572" i="9"/>
  <c r="C2570" i="9"/>
  <c r="C1320" i="9"/>
  <c r="B1320" i="9" s="1"/>
  <c r="E1323" i="9"/>
  <c r="I928" i="9"/>
  <c r="D928" i="9"/>
  <c r="F11" i="12"/>
  <c r="J12" i="12"/>
  <c r="I939" i="9"/>
  <c r="D939" i="9"/>
  <c r="D30" i="9"/>
  <c r="D80" i="9" s="1"/>
  <c r="D104" i="9" s="1"/>
  <c r="C24" i="9"/>
  <c r="G133" i="5"/>
  <c r="G129" i="5" s="1"/>
  <c r="M129" i="5"/>
  <c r="E1955" i="9"/>
  <c r="G33" i="8"/>
  <c r="I1338" i="9"/>
  <c r="D1338" i="9"/>
  <c r="I320" i="9"/>
  <c r="D320" i="9"/>
  <c r="M134" i="5"/>
  <c r="G136" i="5"/>
  <c r="G134" i="5" s="1"/>
  <c r="D440" i="9"/>
  <c r="E440" i="9"/>
  <c r="F440" i="9"/>
  <c r="D1948" i="9"/>
  <c r="D1954" i="9" s="1"/>
  <c r="C2323" i="9"/>
  <c r="B2323" i="9" s="1"/>
  <c r="E2327" i="9"/>
  <c r="E2555" i="9"/>
  <c r="G45" i="8"/>
  <c r="I150" i="7" s="1"/>
  <c r="B24" i="9"/>
  <c r="F305" i="9"/>
  <c r="H9" i="8"/>
  <c r="L17" i="5" s="1"/>
  <c r="M17" i="5" s="1"/>
  <c r="M14" i="5" s="1"/>
  <c r="F40" i="12"/>
  <c r="J42" i="12"/>
  <c r="L39" i="5"/>
  <c r="M39" i="5" s="1"/>
  <c r="M37" i="5" s="1"/>
  <c r="K139" i="7"/>
  <c r="L139" i="7" s="1"/>
  <c r="I345" i="9"/>
  <c r="D345" i="9"/>
  <c r="I1035" i="9"/>
  <c r="D1035" i="9"/>
  <c r="F438" i="9"/>
  <c r="D438" i="9"/>
  <c r="I678" i="9"/>
  <c r="D678" i="9"/>
  <c r="I2233" i="9"/>
  <c r="D2233" i="9"/>
  <c r="D141" i="9"/>
  <c r="D154" i="9" s="1"/>
  <c r="C117" i="9"/>
  <c r="B117" i="9" s="1"/>
  <c r="B805" i="9"/>
  <c r="F189" i="12"/>
  <c r="J190" i="12"/>
  <c r="F154" i="12"/>
  <c r="J155" i="12"/>
  <c r="D1105" i="9"/>
  <c r="F19" i="8"/>
  <c r="H50" i="5" s="1"/>
  <c r="I50" i="5" s="1"/>
  <c r="I1494" i="9"/>
  <c r="D1494" i="9"/>
  <c r="E1204" i="9"/>
  <c r="C1183" i="9"/>
  <c r="C2171" i="9"/>
  <c r="B2171" i="9" s="1"/>
  <c r="F2173" i="9"/>
  <c r="F168" i="12"/>
  <c r="J169" i="12"/>
  <c r="K109" i="5"/>
  <c r="F1105" i="9"/>
  <c r="H19" i="8"/>
  <c r="L50" i="5" s="1"/>
  <c r="M50" i="5" s="1"/>
  <c r="D2405" i="9"/>
  <c r="F42" i="8"/>
  <c r="G136" i="7" s="1"/>
  <c r="H136" i="7" s="1"/>
  <c r="C1380" i="9"/>
  <c r="B1380" i="9" s="1"/>
  <c r="F1383" i="9"/>
  <c r="E555" i="9"/>
  <c r="G13" i="8"/>
  <c r="J35" i="5" s="1"/>
  <c r="C1655" i="9"/>
  <c r="E28" i="8"/>
  <c r="F18" i="12"/>
  <c r="J19" i="12"/>
  <c r="I2181" i="9"/>
  <c r="D2181" i="9"/>
  <c r="C1472" i="9"/>
  <c r="C1979" i="9"/>
  <c r="F1981" i="9"/>
  <c r="M31" i="5"/>
  <c r="G31" i="5" s="1"/>
  <c r="F31" i="5"/>
  <c r="F128" i="5"/>
  <c r="M128" i="5"/>
  <c r="F196" i="12"/>
  <c r="J197" i="12"/>
  <c r="F224" i="12"/>
  <c r="J225" i="12"/>
  <c r="G32" i="11"/>
  <c r="K827" i="9" s="1"/>
  <c r="F204" i="12"/>
  <c r="E32" i="11" s="1"/>
  <c r="I857" i="9"/>
  <c r="E857" i="9"/>
  <c r="C518" i="9"/>
  <c r="B518" i="9" s="1"/>
  <c r="D523" i="9"/>
  <c r="D541" i="9" s="1"/>
  <c r="D554" i="9" s="1"/>
  <c r="F62" i="12"/>
  <c r="J63" i="12"/>
  <c r="I2544" i="9"/>
  <c r="D2544" i="9"/>
  <c r="I1487" i="9"/>
  <c r="D1487" i="9"/>
  <c r="D821" i="9"/>
  <c r="C815" i="9"/>
  <c r="C1372" i="9"/>
  <c r="E1374" i="9"/>
  <c r="B1372" i="9"/>
  <c r="H112" i="7"/>
  <c r="F20" i="6" s="1"/>
  <c r="H48" i="5" s="1"/>
  <c r="I48" i="5" s="1"/>
  <c r="D436" i="9"/>
  <c r="E436" i="9"/>
  <c r="F436" i="9"/>
  <c r="D569" i="9"/>
  <c r="C567" i="9"/>
  <c r="B567" i="9" s="1"/>
  <c r="I1397" i="9"/>
  <c r="D1397" i="9"/>
  <c r="F122" i="12"/>
  <c r="J123" i="12"/>
  <c r="D169" i="9"/>
  <c r="D183" i="9" s="1"/>
  <c r="D204" i="9" s="1"/>
  <c r="C166" i="9"/>
  <c r="B166" i="9" s="1"/>
  <c r="I1045" i="9"/>
  <c r="D1045" i="9"/>
  <c r="F88" i="12"/>
  <c r="E15" i="11" s="1"/>
  <c r="G15" i="11"/>
  <c r="D1254" i="9"/>
  <c r="D1271" i="9" s="1"/>
  <c r="C1248" i="9"/>
  <c r="B1248" i="9" s="1"/>
  <c r="F210" i="12"/>
  <c r="J211" i="12"/>
  <c r="D791" i="9"/>
  <c r="C785" i="9"/>
  <c r="B785" i="9" s="1"/>
  <c r="D831" i="9"/>
  <c r="C825" i="9"/>
  <c r="B825" i="9" s="1"/>
  <c r="I369" i="9"/>
  <c r="D369" i="9"/>
  <c r="D841" i="9"/>
  <c r="C835" i="9"/>
  <c r="B835" i="9" s="1"/>
  <c r="B815" i="9"/>
  <c r="I1840" i="9"/>
  <c r="D1840" i="9"/>
  <c r="D811" i="9"/>
  <c r="I2131" i="9"/>
  <c r="D2131" i="9"/>
  <c r="F161" i="12"/>
  <c r="J162" i="12"/>
  <c r="F1329" i="9"/>
  <c r="I1329" i="9"/>
  <c r="C2223" i="9"/>
  <c r="F2225" i="9"/>
  <c r="F32" i="12"/>
  <c r="J34" i="12"/>
  <c r="J166" i="7"/>
  <c r="F164" i="7"/>
  <c r="F49" i="12"/>
  <c r="E9" i="11" s="1"/>
  <c r="G9" i="11"/>
  <c r="I702" i="9"/>
  <c r="D702" i="9"/>
  <c r="C702" i="9" s="1"/>
  <c r="H25" i="6"/>
  <c r="L106" i="5" s="1"/>
  <c r="F147" i="7"/>
  <c r="E25" i="6" s="1"/>
  <c r="I688" i="9"/>
  <c r="D688" i="9"/>
  <c r="C688" i="9" s="1"/>
  <c r="I1850" i="9"/>
  <c r="D1850" i="9"/>
  <c r="F73" i="12"/>
  <c r="J74" i="12"/>
  <c r="C2038" i="9"/>
  <c r="E2040" i="9"/>
  <c r="F136" i="12"/>
  <c r="J137" i="12"/>
  <c r="G121" i="7"/>
  <c r="H121" i="7" s="1"/>
  <c r="H124" i="7" s="1"/>
  <c r="F21" i="6" s="1"/>
  <c r="H49" i="5" s="1"/>
  <c r="I49" i="5" s="1"/>
  <c r="G109" i="7"/>
  <c r="H109" i="7" s="1"/>
  <c r="F175" i="12"/>
  <c r="J176" i="12"/>
  <c r="D68" i="9"/>
  <c r="E68" i="9"/>
  <c r="F68" i="9"/>
  <c r="H65" i="7"/>
  <c r="F14" i="6" s="1"/>
  <c r="H28" i="5" s="1"/>
  <c r="I28" i="5" s="1"/>
  <c r="K64" i="7"/>
  <c r="B2223" i="9"/>
  <c r="F129" i="12"/>
  <c r="J130" i="12"/>
  <c r="I1055" i="9"/>
  <c r="D1055" i="9"/>
  <c r="F25" i="12"/>
  <c r="J26" i="12"/>
  <c r="F55" i="12"/>
  <c r="J56" i="12"/>
  <c r="I294" i="9"/>
  <c r="D294" i="9"/>
  <c r="D866" i="9" l="1"/>
  <c r="D867" i="9" s="1"/>
  <c r="D904" i="9" s="1"/>
  <c r="F442" i="9"/>
  <c r="F456" i="9" s="1"/>
  <c r="F2505" i="9"/>
  <c r="I36" i="9"/>
  <c r="E36" i="9"/>
  <c r="D1031" i="9"/>
  <c r="C1025" i="9"/>
  <c r="B1025" i="9"/>
  <c r="F1554" i="9"/>
  <c r="C1522" i="9"/>
  <c r="G17" i="11"/>
  <c r="F101" i="12"/>
  <c r="E17" i="11" s="1"/>
  <c r="C2040" i="9"/>
  <c r="E2054" i="9"/>
  <c r="D300" i="9"/>
  <c r="C294" i="9"/>
  <c r="B294" i="9" s="1"/>
  <c r="F123" i="12"/>
  <c r="E20" i="11" s="1"/>
  <c r="G20" i="11"/>
  <c r="K837" i="9" s="1"/>
  <c r="D1705" i="9"/>
  <c r="F29" i="8"/>
  <c r="J448" i="9" s="1"/>
  <c r="G34" i="11"/>
  <c r="F218" i="12"/>
  <c r="E34" i="11" s="1"/>
  <c r="D105" i="9"/>
  <c r="F5" i="8"/>
  <c r="H8" i="5" s="1"/>
  <c r="I8" i="5" s="1"/>
  <c r="D2283" i="9"/>
  <c r="D2285" i="9" s="1"/>
  <c r="D2304" i="9" s="1"/>
  <c r="C2277" i="9"/>
  <c r="C68" i="9"/>
  <c r="D442" i="9"/>
  <c r="B2277" i="9"/>
  <c r="G26" i="11"/>
  <c r="K787" i="9" s="1"/>
  <c r="F162" i="12"/>
  <c r="E26" i="11" s="1"/>
  <c r="F74" i="12"/>
  <c r="E13" i="11" s="1"/>
  <c r="G13" i="11"/>
  <c r="K438" i="9" s="1"/>
  <c r="D277" i="9"/>
  <c r="D302" i="9" s="1"/>
  <c r="D304" i="9" s="1"/>
  <c r="C271" i="9"/>
  <c r="F12" i="8"/>
  <c r="H34" i="5" s="1"/>
  <c r="I34" i="5" s="1"/>
  <c r="D505" i="9"/>
  <c r="B1390" i="9"/>
  <c r="B688" i="9"/>
  <c r="C857" i="9"/>
  <c r="B857" i="9" s="1"/>
  <c r="E865" i="9"/>
  <c r="C865" i="9" s="1"/>
  <c r="G14" i="11"/>
  <c r="F81" i="12"/>
  <c r="E14" i="11" s="1"/>
  <c r="B702" i="9"/>
  <c r="I827" i="9"/>
  <c r="E827" i="9"/>
  <c r="F225" i="12"/>
  <c r="E35" i="11" s="1"/>
  <c r="G35" i="11"/>
  <c r="G29" i="11"/>
  <c r="F183" i="12"/>
  <c r="E29" i="11" s="1"/>
  <c r="G128" i="5"/>
  <c r="G126" i="5" s="1"/>
  <c r="G125" i="5" s="1"/>
  <c r="M126" i="5"/>
  <c r="M125" i="5" s="1"/>
  <c r="C2327" i="9"/>
  <c r="E2341" i="9"/>
  <c r="G4" i="11"/>
  <c r="K2421" i="9" s="1"/>
  <c r="F12" i="12"/>
  <c r="E4" i="11" s="1"/>
  <c r="D1489" i="9"/>
  <c r="C1487" i="9"/>
  <c r="F56" i="12"/>
  <c r="E10" i="11" s="1"/>
  <c r="G10" i="11"/>
  <c r="I99" i="7" s="1"/>
  <c r="D2550" i="9"/>
  <c r="D2552" i="9" s="1"/>
  <c r="D2554" i="9" s="1"/>
  <c r="C2544" i="9"/>
  <c r="B2544" i="9" s="1"/>
  <c r="D326" i="9"/>
  <c r="C320" i="9"/>
  <c r="B320" i="9" s="1"/>
  <c r="D1856" i="9"/>
  <c r="C1850" i="9"/>
  <c r="B1850" i="9" s="1"/>
  <c r="G6" i="11"/>
  <c r="F26" i="12"/>
  <c r="E6" i="11" s="1"/>
  <c r="D229" i="9"/>
  <c r="D241" i="9" s="1"/>
  <c r="D254" i="9" s="1"/>
  <c r="C223" i="9"/>
  <c r="B223" i="9" s="1"/>
  <c r="G21" i="11"/>
  <c r="F130" i="12"/>
  <c r="E21" i="11" s="1"/>
  <c r="C1397" i="9"/>
  <c r="D1399" i="9"/>
  <c r="F232" i="12"/>
  <c r="E36" i="11" s="1"/>
  <c r="G36" i="11"/>
  <c r="K919" i="9"/>
  <c r="K2381" i="9"/>
  <c r="K2469" i="9"/>
  <c r="K2065" i="9"/>
  <c r="K2524" i="9"/>
  <c r="I1134" i="9"/>
  <c r="E1134" i="9"/>
  <c r="C436" i="9"/>
  <c r="B436" i="9" s="1"/>
  <c r="D945" i="9"/>
  <c r="C939" i="9"/>
  <c r="B939" i="9" s="1"/>
  <c r="D708" i="9"/>
  <c r="D710" i="9" s="1"/>
  <c r="D754" i="9" s="1"/>
  <c r="C678" i="9"/>
  <c r="B678" i="9" s="1"/>
  <c r="D755" i="9"/>
  <c r="F16" i="8"/>
  <c r="H40" i="5" s="1"/>
  <c r="I40" i="5" s="1"/>
  <c r="F1858" i="9"/>
  <c r="F1904" i="9" s="1"/>
  <c r="C1836" i="9"/>
  <c r="F63" i="12"/>
  <c r="E11" i="11" s="1"/>
  <c r="G11" i="11"/>
  <c r="K777" i="9" s="1"/>
  <c r="D1340" i="9"/>
  <c r="C1338" i="9"/>
  <c r="K1922" i="9"/>
  <c r="I160" i="7"/>
  <c r="F1403" i="9"/>
  <c r="F1454" i="9" s="1"/>
  <c r="C1383" i="9"/>
  <c r="D571" i="9"/>
  <c r="C569" i="9"/>
  <c r="D2239" i="9"/>
  <c r="D2241" i="9" s="1"/>
  <c r="D2254" i="9" s="1"/>
  <c r="C2233" i="9"/>
  <c r="B2233" i="9" s="1"/>
  <c r="F211" i="12"/>
  <c r="E33" i="11" s="1"/>
  <c r="G33" i="11"/>
  <c r="K1251" i="9" s="1"/>
  <c r="C1374" i="9"/>
  <c r="D934" i="9"/>
  <c r="C928" i="9"/>
  <c r="B1487" i="9"/>
  <c r="D155" i="9"/>
  <c r="F6" i="8"/>
  <c r="H9" i="5" s="1"/>
  <c r="I9" i="5" s="1"/>
  <c r="C345" i="9"/>
  <c r="B345" i="9" s="1"/>
  <c r="D349" i="9"/>
  <c r="B2131" i="9"/>
  <c r="G5" i="11"/>
  <c r="F19" i="12"/>
  <c r="E5" i="11" s="1"/>
  <c r="G19" i="11"/>
  <c r="K807" i="9" s="1"/>
  <c r="F116" i="12"/>
  <c r="E19" i="11" s="1"/>
  <c r="F155" i="12"/>
  <c r="E25" i="11" s="1"/>
  <c r="G25" i="11"/>
  <c r="K618" i="9" s="1"/>
  <c r="B1397" i="9"/>
  <c r="D5" i="9"/>
  <c r="F4" i="8"/>
  <c r="I1944" i="9"/>
  <c r="E1944" i="9"/>
  <c r="F197" i="12"/>
  <c r="E31" i="11" s="1"/>
  <c r="G31" i="11"/>
  <c r="K817" i="9" s="1"/>
  <c r="F166" i="7"/>
  <c r="E29" i="6" s="1"/>
  <c r="G29" i="6"/>
  <c r="F176" i="12"/>
  <c r="E28" i="11" s="1"/>
  <c r="G28" i="11"/>
  <c r="K26" i="9" s="1"/>
  <c r="B928" i="9"/>
  <c r="F2339" i="9"/>
  <c r="C2337" i="9"/>
  <c r="B2337" i="9" s="1"/>
  <c r="G18" i="11"/>
  <c r="K847" i="9" s="1"/>
  <c r="F109" i="12"/>
  <c r="E18" i="11" s="1"/>
  <c r="C1204" i="9"/>
  <c r="E1155" i="9"/>
  <c r="G20" i="8"/>
  <c r="B1345" i="9"/>
  <c r="D1392" i="9"/>
  <c r="C1390" i="9"/>
  <c r="C72" i="9"/>
  <c r="B72" i="9" s="1"/>
  <c r="M106" i="5"/>
  <c r="F106" i="5"/>
  <c r="L64" i="7"/>
  <c r="E64" i="7"/>
  <c r="J150" i="7"/>
  <c r="G27" i="11"/>
  <c r="F169" i="12"/>
  <c r="E27" i="11" s="1"/>
  <c r="D1905" i="9"/>
  <c r="F32" i="8"/>
  <c r="G155" i="7" s="1"/>
  <c r="H155" i="7" s="1"/>
  <c r="H156" i="7" s="1"/>
  <c r="F27" i="6" s="1"/>
  <c r="G18" i="7" s="1"/>
  <c r="H18" i="7" s="1"/>
  <c r="C1323" i="9"/>
  <c r="C1478" i="9"/>
  <c r="B1478" i="9" s="1"/>
  <c r="F1480" i="9"/>
  <c r="D2604" i="9"/>
  <c r="C2572" i="9"/>
  <c r="F2139" i="9"/>
  <c r="F2154" i="9" s="1"/>
  <c r="C2123" i="9"/>
  <c r="D1347" i="9"/>
  <c r="C1345" i="9"/>
  <c r="F1604" i="9"/>
  <c r="C1571" i="9"/>
  <c r="D2137" i="9"/>
  <c r="D2139" i="9" s="1"/>
  <c r="D2154" i="9" s="1"/>
  <c r="C2131" i="9"/>
  <c r="D2187" i="9"/>
  <c r="D2189" i="9" s="1"/>
  <c r="D2204" i="9" s="1"/>
  <c r="C2181" i="9"/>
  <c r="C1605" i="9"/>
  <c r="E27" i="8"/>
  <c r="B2181" i="9"/>
  <c r="M110" i="5"/>
  <c r="G110" i="5" s="1"/>
  <c r="F110" i="5"/>
  <c r="B1338" i="9"/>
  <c r="B1840" i="9"/>
  <c r="D1061" i="9"/>
  <c r="C1055" i="9"/>
  <c r="B1055" i="9" s="1"/>
  <c r="K35" i="5"/>
  <c r="G30" i="11"/>
  <c r="K521" i="9" s="1"/>
  <c r="F190" i="12"/>
  <c r="E30" i="11" s="1"/>
  <c r="I47" i="5"/>
  <c r="F2241" i="9"/>
  <c r="F2254" i="9" s="1"/>
  <c r="C2225" i="9"/>
  <c r="G22" i="11"/>
  <c r="K1722" i="9" s="1"/>
  <c r="F137" i="12"/>
  <c r="E22" i="11" s="1"/>
  <c r="B1045" i="9"/>
  <c r="D1496" i="9"/>
  <c r="C1494" i="9"/>
  <c r="B1494" i="9" s="1"/>
  <c r="B271" i="9"/>
  <c r="D1846" i="9"/>
  <c r="C1840" i="9"/>
  <c r="F42" i="12"/>
  <c r="E8" i="11" s="1"/>
  <c r="G8" i="11"/>
  <c r="K165" i="9" s="1"/>
  <c r="D375" i="9"/>
  <c r="D404" i="9" s="1"/>
  <c r="C369" i="9"/>
  <c r="B369" i="9" s="1"/>
  <c r="F34" i="12"/>
  <c r="E7" i="11" s="1"/>
  <c r="G7" i="11"/>
  <c r="K120" i="9" s="1"/>
  <c r="K1337" i="9"/>
  <c r="K1486" i="9"/>
  <c r="K1389" i="9"/>
  <c r="F2004" i="9"/>
  <c r="C1981" i="9"/>
  <c r="C1329" i="9"/>
  <c r="B1329" i="9" s="1"/>
  <c r="F1331" i="9"/>
  <c r="D1051" i="9"/>
  <c r="C1045" i="9"/>
  <c r="F2189" i="9"/>
  <c r="F2204" i="9" s="1"/>
  <c r="C2173" i="9"/>
  <c r="D1041" i="9"/>
  <c r="C1035" i="9"/>
  <c r="B1035" i="9" s="1"/>
  <c r="C440" i="9"/>
  <c r="B440" i="9" s="1"/>
  <c r="D1858" i="9" l="1"/>
  <c r="D1904" i="9" s="1"/>
  <c r="D956" i="9"/>
  <c r="D1004" i="9" s="1"/>
  <c r="K799" i="9"/>
  <c r="K1027" i="9"/>
  <c r="K696" i="9"/>
  <c r="F1505" i="9"/>
  <c r="H25" i="8"/>
  <c r="L108" i="5" s="1"/>
  <c r="C1554" i="9"/>
  <c r="D1401" i="9"/>
  <c r="D1403" i="9" s="1"/>
  <c r="D1454" i="9" s="1"/>
  <c r="D1355" i="9" s="1"/>
  <c r="C36" i="9"/>
  <c r="E40" i="9"/>
  <c r="C40" i="9" s="1"/>
  <c r="B36" i="9"/>
  <c r="I1337" i="9"/>
  <c r="E1337" i="9"/>
  <c r="F1805" i="9"/>
  <c r="H31" i="8"/>
  <c r="K7" i="7" s="1"/>
  <c r="L7" i="7" s="1"/>
  <c r="L8" i="7" s="1"/>
  <c r="H4" i="6" s="1"/>
  <c r="L10" i="5" s="1"/>
  <c r="M10" i="5" s="1"/>
  <c r="I26" i="9"/>
  <c r="E26" i="9"/>
  <c r="J152" i="7"/>
  <c r="D351" i="9"/>
  <c r="D354" i="9" s="1"/>
  <c r="F38" i="8"/>
  <c r="D2205" i="9"/>
  <c r="K2133" i="9"/>
  <c r="K2183" i="9"/>
  <c r="K2235" i="9"/>
  <c r="I2065" i="9"/>
  <c r="E2065" i="9"/>
  <c r="H26" i="8"/>
  <c r="L109" i="5" s="1"/>
  <c r="F1555" i="9"/>
  <c r="C1604" i="9"/>
  <c r="I618" i="9"/>
  <c r="E618" i="9"/>
  <c r="D604" i="9"/>
  <c r="C571" i="9"/>
  <c r="I2469" i="9"/>
  <c r="E2469" i="9"/>
  <c r="C827" i="9"/>
  <c r="E831" i="9"/>
  <c r="C831" i="9" s="1"/>
  <c r="D2155" i="9"/>
  <c r="F37" i="8"/>
  <c r="E1136" i="9"/>
  <c r="C1136" i="9" s="1"/>
  <c r="C1134" i="9"/>
  <c r="B1134" i="9" s="1"/>
  <c r="I2381" i="9"/>
  <c r="E2381" i="9"/>
  <c r="I837" i="9"/>
  <c r="E837" i="9"/>
  <c r="K1128" i="9"/>
  <c r="K1493" i="9"/>
  <c r="K1344" i="9"/>
  <c r="I108" i="7"/>
  <c r="I120" i="7"/>
  <c r="K1396" i="9"/>
  <c r="I14" i="7"/>
  <c r="F1352" i="9"/>
  <c r="F1354" i="9" s="1"/>
  <c r="C1331" i="9"/>
  <c r="I1722" i="9"/>
  <c r="E1722" i="9"/>
  <c r="F1355" i="9"/>
  <c r="H23" i="8"/>
  <c r="L60" i="5" s="1"/>
  <c r="M60" i="5" s="1"/>
  <c r="I919" i="9"/>
  <c r="E919" i="9"/>
  <c r="F1500" i="9"/>
  <c r="F1504" i="9" s="1"/>
  <c r="C1480" i="9"/>
  <c r="I438" i="9"/>
  <c r="E438" i="9"/>
  <c r="F10" i="8"/>
  <c r="H18" i="5" s="1"/>
  <c r="I18" i="5" s="1"/>
  <c r="D355" i="9"/>
  <c r="G20" i="7"/>
  <c r="H19" i="7"/>
  <c r="F39" i="8"/>
  <c r="G89" i="7" s="1"/>
  <c r="H89" i="7" s="1"/>
  <c r="H90" i="7" s="1"/>
  <c r="H91" i="7" s="1"/>
  <c r="F18" i="6" s="1"/>
  <c r="H32" i="5" s="1"/>
  <c r="I32" i="5" s="1"/>
  <c r="D2255" i="9"/>
  <c r="D1063" i="9"/>
  <c r="D1104" i="9" s="1"/>
  <c r="G135" i="7"/>
  <c r="H135" i="7" s="1"/>
  <c r="H7" i="5"/>
  <c r="I7" i="5" s="1"/>
  <c r="D448" i="9"/>
  <c r="I448" i="9"/>
  <c r="J160" i="7"/>
  <c r="D1498" i="9"/>
  <c r="D1500" i="9" s="1"/>
  <c r="D1504" i="9" s="1"/>
  <c r="I71" i="7"/>
  <c r="K1938" i="9"/>
  <c r="I78" i="7"/>
  <c r="I63" i="7"/>
  <c r="B68" i="9"/>
  <c r="E1946" i="9"/>
  <c r="C1946" i="9" s="1"/>
  <c r="C1944" i="9"/>
  <c r="B1944" i="9" s="1"/>
  <c r="D2105" i="9"/>
  <c r="F36" i="8"/>
  <c r="G29" i="7" s="1"/>
  <c r="H29" i="7" s="1"/>
  <c r="H30" i="7" s="1"/>
  <c r="H31" i="7" s="1"/>
  <c r="F8" i="6" s="1"/>
  <c r="H22" i="5" s="1"/>
  <c r="I22" i="5" s="1"/>
  <c r="I2524" i="9"/>
  <c r="E2524" i="9"/>
  <c r="G106" i="5"/>
  <c r="E1922" i="9"/>
  <c r="K1037" i="9"/>
  <c r="K347" i="9"/>
  <c r="K1842" i="9"/>
  <c r="I98" i="7"/>
  <c r="K680" i="9"/>
  <c r="D255" i="9"/>
  <c r="F8" i="8"/>
  <c r="H16" i="5" s="1"/>
  <c r="I16" i="5" s="1"/>
  <c r="I120" i="9"/>
  <c r="E120" i="9"/>
  <c r="C2339" i="9"/>
  <c r="F2341" i="9"/>
  <c r="F2354" i="9" s="1"/>
  <c r="I787" i="9"/>
  <c r="E787" i="9"/>
  <c r="D205" i="9"/>
  <c r="F7" i="8"/>
  <c r="H15" i="5" s="1"/>
  <c r="I15" i="5" s="1"/>
  <c r="F31" i="8"/>
  <c r="G7" i="7" s="1"/>
  <c r="H7" i="7" s="1"/>
  <c r="H8" i="7" s="1"/>
  <c r="F4" i="6" s="1"/>
  <c r="H10" i="5" s="1"/>
  <c r="I10" i="5" s="1"/>
  <c r="D1805" i="9"/>
  <c r="F2155" i="9"/>
  <c r="H37" i="8"/>
  <c r="H36" i="8"/>
  <c r="K29" i="7" s="1"/>
  <c r="L29" i="7" s="1"/>
  <c r="L30" i="7" s="1"/>
  <c r="L31" i="7" s="1"/>
  <c r="H8" i="6" s="1"/>
  <c r="L22" i="5" s="1"/>
  <c r="M22" i="5" s="1"/>
  <c r="F2105" i="9"/>
  <c r="J53" i="5"/>
  <c r="I127" i="7"/>
  <c r="I807" i="9"/>
  <c r="E807" i="9"/>
  <c r="C807" i="9" s="1"/>
  <c r="I2421" i="9"/>
  <c r="E2421" i="9"/>
  <c r="E2005" i="9"/>
  <c r="C2054" i="9"/>
  <c r="G34" i="8"/>
  <c r="K1928" i="9" s="1"/>
  <c r="D905" i="9"/>
  <c r="F17" i="8"/>
  <c r="H42" i="5" s="1"/>
  <c r="I42" i="5" s="1"/>
  <c r="I41" i="5" s="1"/>
  <c r="K690" i="9"/>
  <c r="K930" i="9"/>
  <c r="K2546" i="9"/>
  <c r="K1047" i="9"/>
  <c r="K296" i="9"/>
  <c r="I817" i="9"/>
  <c r="E817" i="9"/>
  <c r="F2205" i="9"/>
  <c r="H38" i="8"/>
  <c r="H33" i="8"/>
  <c r="F1955" i="9"/>
  <c r="C2004" i="9"/>
  <c r="D1349" i="9"/>
  <c r="D1352" i="9" s="1"/>
  <c r="D1354" i="9" s="1"/>
  <c r="C2341" i="9"/>
  <c r="E2354" i="9"/>
  <c r="I847" i="9"/>
  <c r="E847" i="9"/>
  <c r="K1057" i="9"/>
  <c r="K941" i="9"/>
  <c r="K704" i="9"/>
  <c r="K70" i="9"/>
  <c r="K1266" i="9"/>
  <c r="K2279" i="9"/>
  <c r="D655" i="9"/>
  <c r="F15" i="8"/>
  <c r="I165" i="9"/>
  <c r="E165" i="9"/>
  <c r="I111" i="7"/>
  <c r="I123" i="7"/>
  <c r="K371" i="9"/>
  <c r="K322" i="9"/>
  <c r="K1852" i="9"/>
  <c r="K273" i="9"/>
  <c r="K225" i="9"/>
  <c r="B827" i="9"/>
  <c r="I1251" i="9"/>
  <c r="E1251" i="9"/>
  <c r="L65" i="7"/>
  <c r="H14" i="6" s="1"/>
  <c r="L28" i="5" s="1"/>
  <c r="M28" i="5" s="1"/>
  <c r="F64" i="7"/>
  <c r="D2505" i="9"/>
  <c r="F44" i="8"/>
  <c r="G138" i="7" s="1"/>
  <c r="H138" i="7" s="1"/>
  <c r="E99" i="7"/>
  <c r="J99" i="7"/>
  <c r="F99" i="7" s="1"/>
  <c r="I1389" i="9"/>
  <c r="E1389" i="9"/>
  <c r="I1486" i="9"/>
  <c r="E1486" i="9"/>
  <c r="I521" i="9"/>
  <c r="E521" i="9"/>
  <c r="D2555" i="9"/>
  <c r="F45" i="8"/>
  <c r="G150" i="7" s="1"/>
  <c r="C2604" i="9"/>
  <c r="E20" i="8"/>
  <c r="C1155" i="9"/>
  <c r="K1126" i="9"/>
  <c r="I107" i="7"/>
  <c r="I13" i="7"/>
  <c r="I119" i="7"/>
  <c r="I777" i="9"/>
  <c r="E777" i="9"/>
  <c r="M108" i="5" l="1"/>
  <c r="G108" i="5" s="1"/>
  <c r="F108" i="5"/>
  <c r="F23" i="8"/>
  <c r="H60" i="5" s="1"/>
  <c r="I60" i="5" s="1"/>
  <c r="E25" i="8"/>
  <c r="C1505" i="9"/>
  <c r="I1027" i="9"/>
  <c r="E1027" i="9"/>
  <c r="I696" i="9"/>
  <c r="E696" i="9"/>
  <c r="C696" i="9" s="1"/>
  <c r="I799" i="9"/>
  <c r="E799" i="9"/>
  <c r="C799" i="9" s="1"/>
  <c r="B799" i="9" s="1"/>
  <c r="E1489" i="9"/>
  <c r="C1486" i="9"/>
  <c r="C787" i="9"/>
  <c r="E791" i="9"/>
  <c r="C791" i="9" s="1"/>
  <c r="I2279" i="9"/>
  <c r="E2279" i="9"/>
  <c r="B787" i="9"/>
  <c r="J63" i="7"/>
  <c r="E63" i="7"/>
  <c r="B438" i="9"/>
  <c r="G26" i="6"/>
  <c r="J107" i="5" s="1"/>
  <c r="C847" i="9"/>
  <c r="B847" i="9" s="1"/>
  <c r="E851" i="9"/>
  <c r="C851" i="9" s="1"/>
  <c r="E2305" i="9"/>
  <c r="G40" i="8"/>
  <c r="C2354" i="9"/>
  <c r="J14" i="7"/>
  <c r="F14" i="7" s="1"/>
  <c r="E14" i="7"/>
  <c r="J111" i="7"/>
  <c r="F111" i="7" s="1"/>
  <c r="E111" i="7"/>
  <c r="F2305" i="9"/>
  <c r="H40" i="8"/>
  <c r="J78" i="7"/>
  <c r="E78" i="7"/>
  <c r="C26" i="9"/>
  <c r="B26" i="9" s="1"/>
  <c r="E30" i="9"/>
  <c r="I1842" i="9"/>
  <c r="E1842" i="9"/>
  <c r="C777" i="9"/>
  <c r="E781" i="9"/>
  <c r="C618" i="9"/>
  <c r="E623" i="9"/>
  <c r="I1037" i="9"/>
  <c r="E1037" i="9"/>
  <c r="B618" i="9"/>
  <c r="B807" i="9"/>
  <c r="I1396" i="9"/>
  <c r="E1396" i="9"/>
  <c r="C1955" i="9"/>
  <c r="E33" i="8"/>
  <c r="E127" i="7"/>
  <c r="J127" i="7"/>
  <c r="J107" i="7"/>
  <c r="E107" i="7"/>
  <c r="C2065" i="9"/>
  <c r="B2065" i="9" s="1"/>
  <c r="E2067" i="9"/>
  <c r="C2524" i="9"/>
  <c r="B2524" i="9" s="1"/>
  <c r="E2528" i="9"/>
  <c r="I371" i="9"/>
  <c r="E371" i="9"/>
  <c r="I2235" i="9"/>
  <c r="E2235" i="9"/>
  <c r="I2133" i="9"/>
  <c r="E2133" i="9"/>
  <c r="I296" i="9"/>
  <c r="E296" i="9"/>
  <c r="E811" i="9"/>
  <c r="C811" i="9" s="1"/>
  <c r="F1455" i="9"/>
  <c r="H24" i="8"/>
  <c r="L61" i="5" s="1"/>
  <c r="M61" i="5" s="1"/>
  <c r="G35" i="7"/>
  <c r="H35" i="7" s="1"/>
  <c r="H36" i="7" s="1"/>
  <c r="H37" i="7" s="1"/>
  <c r="F9" i="6" s="1"/>
  <c r="H23" i="5" s="1"/>
  <c r="I23" i="5" s="1"/>
  <c r="I21" i="5" s="1"/>
  <c r="I20" i="5" s="1"/>
  <c r="G41" i="7"/>
  <c r="H41" i="7" s="1"/>
  <c r="H42" i="7" s="1"/>
  <c r="H43" i="7" s="1"/>
  <c r="F10" i="6" s="1"/>
  <c r="H24" i="5" s="1"/>
  <c r="I24" i="5" s="1"/>
  <c r="F1305" i="9"/>
  <c r="H22" i="8"/>
  <c r="L59" i="5" s="1"/>
  <c r="M59" i="5" s="1"/>
  <c r="I1128" i="9"/>
  <c r="E1128" i="9"/>
  <c r="C1128" i="9" s="1"/>
  <c r="E45" i="8"/>
  <c r="C2555" i="9"/>
  <c r="C817" i="9"/>
  <c r="B817" i="9" s="1"/>
  <c r="E821" i="9"/>
  <c r="C821" i="9" s="1"/>
  <c r="C837" i="9"/>
  <c r="E841" i="9"/>
  <c r="C841" i="9" s="1"/>
  <c r="I690" i="9"/>
  <c r="E690" i="9"/>
  <c r="C690" i="9" s="1"/>
  <c r="B1389" i="9"/>
  <c r="I1938" i="9"/>
  <c r="E1938" i="9"/>
  <c r="C120" i="9"/>
  <c r="B120" i="9" s="1"/>
  <c r="E141" i="9"/>
  <c r="E71" i="7"/>
  <c r="J71" i="7"/>
  <c r="C919" i="9"/>
  <c r="B919" i="9" s="1"/>
  <c r="E923" i="9"/>
  <c r="E1924" i="9"/>
  <c r="I225" i="9"/>
  <c r="E225" i="9"/>
  <c r="J108" i="7"/>
  <c r="F108" i="7" s="1"/>
  <c r="E108" i="7"/>
  <c r="I1126" i="9"/>
  <c r="E1126" i="9"/>
  <c r="I1852" i="9"/>
  <c r="E1852" i="9"/>
  <c r="I1344" i="9"/>
  <c r="E1344" i="9"/>
  <c r="I322" i="9"/>
  <c r="E322" i="9"/>
  <c r="E20" i="7"/>
  <c r="H20" i="7"/>
  <c r="C521" i="9"/>
  <c r="B521" i="9" s="1"/>
  <c r="E523" i="9"/>
  <c r="I1047" i="9"/>
  <c r="E1047" i="9"/>
  <c r="C2381" i="9"/>
  <c r="B2381" i="9" s="1"/>
  <c r="E2385" i="9"/>
  <c r="G139" i="7"/>
  <c r="H139" i="7" s="1"/>
  <c r="H141" i="7" s="1"/>
  <c r="F24" i="6" s="1"/>
  <c r="H64" i="5" s="1"/>
  <c r="I64" i="5" s="1"/>
  <c r="I63" i="5" s="1"/>
  <c r="H39" i="5"/>
  <c r="I39" i="5" s="1"/>
  <c r="I37" i="5" s="1"/>
  <c r="I2546" i="9"/>
  <c r="E2546" i="9"/>
  <c r="C438" i="9"/>
  <c r="E442" i="9"/>
  <c r="B1486" i="9"/>
  <c r="I1266" i="9"/>
  <c r="E1266" i="9"/>
  <c r="D1305" i="9"/>
  <c r="F22" i="8"/>
  <c r="H59" i="5" s="1"/>
  <c r="I59" i="5" s="1"/>
  <c r="E26" i="8"/>
  <c r="C1555" i="9"/>
  <c r="J13" i="7"/>
  <c r="E13" i="7"/>
  <c r="E120" i="7"/>
  <c r="J120" i="7"/>
  <c r="F120" i="7" s="1"/>
  <c r="I273" i="9"/>
  <c r="E273" i="9"/>
  <c r="K53" i="5"/>
  <c r="G53" i="5" s="1"/>
  <c r="F53" i="5"/>
  <c r="M109" i="5"/>
  <c r="F109" i="5"/>
  <c r="E123" i="7"/>
  <c r="J123" i="7"/>
  <c r="F123" i="7" s="1"/>
  <c r="D305" i="9"/>
  <c r="F9" i="8"/>
  <c r="H17" i="5" s="1"/>
  <c r="I17" i="5" s="1"/>
  <c r="I14" i="5" s="1"/>
  <c r="I930" i="9"/>
  <c r="E930" i="9"/>
  <c r="E1392" i="9"/>
  <c r="C1389" i="9"/>
  <c r="I704" i="9"/>
  <c r="E704" i="9"/>
  <c r="C704" i="9" s="1"/>
  <c r="J98" i="7"/>
  <c r="E98" i="7"/>
  <c r="C2421" i="9"/>
  <c r="B2421" i="9" s="1"/>
  <c r="E2442" i="9"/>
  <c r="C1251" i="9"/>
  <c r="B1251" i="9" s="1"/>
  <c r="E1254" i="9"/>
  <c r="B777" i="9"/>
  <c r="D454" i="9"/>
  <c r="D456" i="9" s="1"/>
  <c r="C448" i="9"/>
  <c r="B448" i="9" s="1"/>
  <c r="E119" i="7"/>
  <c r="J119" i="7"/>
  <c r="F18" i="8"/>
  <c r="H44" i="5" s="1"/>
  <c r="I44" i="5" s="1"/>
  <c r="I43" i="5" s="1"/>
  <c r="D1005" i="9"/>
  <c r="L1922" i="9"/>
  <c r="K160" i="7"/>
  <c r="K46" i="7"/>
  <c r="L46" i="7" s="1"/>
  <c r="L47" i="7" s="1"/>
  <c r="H11" i="6" s="1"/>
  <c r="L25" i="5" s="1"/>
  <c r="M25" i="5" s="1"/>
  <c r="K51" i="7"/>
  <c r="L51" i="7" s="1"/>
  <c r="L52" i="7" s="1"/>
  <c r="L53" i="7" s="1"/>
  <c r="H12" i="6" s="1"/>
  <c r="L26" i="5" s="1"/>
  <c r="M26" i="5" s="1"/>
  <c r="I1493" i="9"/>
  <c r="E1493" i="9"/>
  <c r="K41" i="7"/>
  <c r="L41" i="7" s="1"/>
  <c r="L42" i="7" s="1"/>
  <c r="L43" i="7" s="1"/>
  <c r="H10" i="6" s="1"/>
  <c r="L24" i="5" s="1"/>
  <c r="M24" i="5" s="1"/>
  <c r="K35" i="7"/>
  <c r="L35" i="7" s="1"/>
  <c r="L36" i="7" s="1"/>
  <c r="L37" i="7" s="1"/>
  <c r="H9" i="6" s="1"/>
  <c r="L23" i="5" s="1"/>
  <c r="M23" i="5" s="1"/>
  <c r="M21" i="5" s="1"/>
  <c r="M20" i="5" s="1"/>
  <c r="H150" i="7"/>
  <c r="E150" i="7"/>
  <c r="B837" i="9"/>
  <c r="C165" i="9"/>
  <c r="B165" i="9" s="1"/>
  <c r="E169" i="9"/>
  <c r="F24" i="8"/>
  <c r="H61" i="5" s="1"/>
  <c r="I61" i="5" s="1"/>
  <c r="D1455" i="9"/>
  <c r="I941" i="9"/>
  <c r="E941" i="9"/>
  <c r="I1928" i="9"/>
  <c r="E1928" i="9"/>
  <c r="J161" i="7"/>
  <c r="E2473" i="9"/>
  <c r="C2469" i="9"/>
  <c r="B2469" i="9" s="1"/>
  <c r="C1337" i="9"/>
  <c r="B1337" i="9" s="1"/>
  <c r="E1340" i="9"/>
  <c r="D555" i="9"/>
  <c r="F13" i="8"/>
  <c r="H35" i="5" s="1"/>
  <c r="C604" i="9"/>
  <c r="I347" i="9"/>
  <c r="E347" i="9"/>
  <c r="I2183" i="9"/>
  <c r="E2183" i="9"/>
  <c r="G46" i="7"/>
  <c r="H46" i="7" s="1"/>
  <c r="H47" i="7" s="1"/>
  <c r="F11" i="6" s="1"/>
  <c r="H25" i="5" s="1"/>
  <c r="I25" i="5" s="1"/>
  <c r="G51" i="7"/>
  <c r="H51" i="7" s="1"/>
  <c r="H52" i="7" s="1"/>
  <c r="H53" i="7" s="1"/>
  <c r="F12" i="6" s="1"/>
  <c r="H26" i="5" s="1"/>
  <c r="I26" i="5" s="1"/>
  <c r="I70" i="9"/>
  <c r="E70" i="9"/>
  <c r="C70" i="9" s="1"/>
  <c r="L76" i="9" s="1"/>
  <c r="I1057" i="9"/>
  <c r="E1057" i="9"/>
  <c r="C2005" i="9"/>
  <c r="E34" i="8"/>
  <c r="I680" i="9"/>
  <c r="E680" i="9"/>
  <c r="E1726" i="9"/>
  <c r="C1722" i="9"/>
  <c r="B1722" i="9" s="1"/>
  <c r="B696" i="9" l="1"/>
  <c r="M55" i="5"/>
  <c r="C1027" i="9"/>
  <c r="B1027" i="9" s="1"/>
  <c r="E1031" i="9"/>
  <c r="C1031" i="9" s="1"/>
  <c r="F71" i="7"/>
  <c r="J72" i="7"/>
  <c r="J15" i="7"/>
  <c r="F13" i="7"/>
  <c r="C2235" i="9"/>
  <c r="B2235" i="9" s="1"/>
  <c r="E2239" i="9"/>
  <c r="C2528" i="9"/>
  <c r="C30" i="9"/>
  <c r="E80" i="9"/>
  <c r="C2279" i="9"/>
  <c r="E2283" i="9"/>
  <c r="C141" i="9"/>
  <c r="E154" i="9"/>
  <c r="B1396" i="9"/>
  <c r="C1037" i="9"/>
  <c r="B1037" i="9" s="1"/>
  <c r="E1041" i="9"/>
  <c r="B1938" i="9"/>
  <c r="B1344" i="9"/>
  <c r="B690" i="9"/>
  <c r="K107" i="5"/>
  <c r="C2183" i="9"/>
  <c r="E2187" i="9"/>
  <c r="C371" i="9"/>
  <c r="E375" i="9"/>
  <c r="C347" i="9"/>
  <c r="E349" i="9"/>
  <c r="C349" i="9" s="1"/>
  <c r="E1496" i="9"/>
  <c r="C1496" i="9" s="1"/>
  <c r="C1493" i="9"/>
  <c r="B1493" i="9" s="1"/>
  <c r="E1401" i="9"/>
  <c r="C1392" i="9"/>
  <c r="C442" i="9"/>
  <c r="B2279" i="9"/>
  <c r="C1254" i="9"/>
  <c r="E1271" i="9"/>
  <c r="C1271" i="9" s="1"/>
  <c r="C1938" i="9"/>
  <c r="E1940" i="9"/>
  <c r="C1940" i="9" s="1"/>
  <c r="C322" i="9"/>
  <c r="B322" i="9" s="1"/>
  <c r="E326" i="9"/>
  <c r="C623" i="9"/>
  <c r="E632" i="9"/>
  <c r="B70" i="9"/>
  <c r="F98" i="7"/>
  <c r="J100" i="7"/>
  <c r="C1266" i="9"/>
  <c r="AE1266" i="9" s="1"/>
  <c r="E1269" i="9"/>
  <c r="C1269" i="9" s="1"/>
  <c r="B347" i="9"/>
  <c r="E2104" i="9"/>
  <c r="C2067" i="9"/>
  <c r="E1754" i="9"/>
  <c r="C1726" i="9"/>
  <c r="C2473" i="9"/>
  <c r="E2485" i="9"/>
  <c r="C1928" i="9"/>
  <c r="B1928" i="9" s="1"/>
  <c r="E1930" i="9"/>
  <c r="C1930" i="9" s="1"/>
  <c r="C273" i="9"/>
  <c r="B273" i="9" s="1"/>
  <c r="E277" i="9"/>
  <c r="C941" i="9"/>
  <c r="B941" i="9" s="1"/>
  <c r="E945" i="9"/>
  <c r="C945" i="9" s="1"/>
  <c r="I110" i="7"/>
  <c r="I122" i="7"/>
  <c r="C1852" i="9"/>
  <c r="B1852" i="9" s="1"/>
  <c r="E1856" i="9"/>
  <c r="C1856" i="9" s="1"/>
  <c r="H152" i="7"/>
  <c r="F150" i="7"/>
  <c r="B2183" i="9"/>
  <c r="C555" i="9"/>
  <c r="E13" i="8"/>
  <c r="C225" i="9"/>
  <c r="B225" i="9" s="1"/>
  <c r="E229" i="9"/>
  <c r="F78" i="7"/>
  <c r="J79" i="7"/>
  <c r="E40" i="8"/>
  <c r="C2305" i="9"/>
  <c r="C2133" i="9"/>
  <c r="B2133" i="9" s="1"/>
  <c r="E2137" i="9"/>
  <c r="I55" i="5"/>
  <c r="I54" i="5" s="1"/>
  <c r="C930" i="9"/>
  <c r="B930" i="9" s="1"/>
  <c r="E934" i="9"/>
  <c r="C934" i="9" s="1"/>
  <c r="I35" i="5"/>
  <c r="F35" i="5"/>
  <c r="C2546" i="9"/>
  <c r="B2546" i="9" s="1"/>
  <c r="E2550" i="9"/>
  <c r="C2550" i="9" s="1"/>
  <c r="B1128" i="9"/>
  <c r="K122" i="7"/>
  <c r="L122" i="7" s="1"/>
  <c r="K110" i="7"/>
  <c r="L110" i="7" s="1"/>
  <c r="C680" i="9"/>
  <c r="B680" i="9" s="1"/>
  <c r="E708" i="9"/>
  <c r="F119" i="7"/>
  <c r="G28" i="6"/>
  <c r="C1396" i="9"/>
  <c r="E1399" i="9"/>
  <c r="C1399" i="9" s="1"/>
  <c r="C296" i="9"/>
  <c r="B296" i="9" s="1"/>
  <c r="E300" i="9"/>
  <c r="C300" i="9" s="1"/>
  <c r="F76" i="9"/>
  <c r="I76" i="9"/>
  <c r="E183" i="9"/>
  <c r="C169" i="9"/>
  <c r="C781" i="9"/>
  <c r="E866" i="9"/>
  <c r="L160" i="7"/>
  <c r="E160" i="7"/>
  <c r="F107" i="7"/>
  <c r="C1489" i="9"/>
  <c r="C2385" i="9"/>
  <c r="E2387" i="9"/>
  <c r="G109" i="5"/>
  <c r="M105" i="5"/>
  <c r="C1057" i="9"/>
  <c r="B1057" i="9" s="1"/>
  <c r="E1061" i="9"/>
  <c r="C1061" i="9" s="1"/>
  <c r="H21" i="7"/>
  <c r="F20" i="7"/>
  <c r="C1340" i="9"/>
  <c r="F1922" i="9"/>
  <c r="I1922" i="9"/>
  <c r="F127" i="7"/>
  <c r="J128" i="7"/>
  <c r="C1047" i="9"/>
  <c r="E1051" i="9"/>
  <c r="C1051" i="9" s="1"/>
  <c r="B1047" i="9"/>
  <c r="E541" i="9"/>
  <c r="C523" i="9"/>
  <c r="C2442" i="9"/>
  <c r="E2454" i="9"/>
  <c r="E1347" i="9"/>
  <c r="C1347" i="9" s="1"/>
  <c r="C1344" i="9"/>
  <c r="C1842" i="9"/>
  <c r="B1842" i="9" s="1"/>
  <c r="E1846" i="9"/>
  <c r="C1126" i="9"/>
  <c r="B1126" i="9" s="1"/>
  <c r="E1130" i="9"/>
  <c r="F63" i="7"/>
  <c r="J65" i="7"/>
  <c r="B704" i="9"/>
  <c r="B1266" i="9"/>
  <c r="B371" i="9"/>
  <c r="I36" i="5"/>
  <c r="C923" i="9"/>
  <c r="E956" i="9" l="1"/>
  <c r="E1349" i="9"/>
  <c r="E654" i="9"/>
  <c r="C632" i="9"/>
  <c r="C326" i="9"/>
  <c r="E351" i="9"/>
  <c r="J110" i="7"/>
  <c r="F110" i="7" s="1"/>
  <c r="E110" i="7"/>
  <c r="C1401" i="9"/>
  <c r="E1403" i="9"/>
  <c r="C956" i="9"/>
  <c r="E1004" i="9"/>
  <c r="F65" i="7"/>
  <c r="E14" i="6" s="1"/>
  <c r="G14" i="6"/>
  <c r="J28" i="5" s="1"/>
  <c r="C1349" i="9"/>
  <c r="E1352" i="9"/>
  <c r="E404" i="9"/>
  <c r="C375" i="9"/>
  <c r="E122" i="7"/>
  <c r="J122" i="7"/>
  <c r="F122" i="7" s="1"/>
  <c r="C1041" i="9"/>
  <c r="E1063" i="9"/>
  <c r="B1922" i="9"/>
  <c r="E2405" i="9"/>
  <c r="C2454" i="9"/>
  <c r="G42" i="8"/>
  <c r="I136" i="7" s="1"/>
  <c r="C708" i="9"/>
  <c r="E710" i="9"/>
  <c r="F15" i="7"/>
  <c r="E5" i="6" s="1"/>
  <c r="G5" i="6"/>
  <c r="J11" i="5" s="1"/>
  <c r="E204" i="9"/>
  <c r="C183" i="9"/>
  <c r="C2283" i="9"/>
  <c r="E2285" i="9"/>
  <c r="E2552" i="9"/>
  <c r="C2187" i="9"/>
  <c r="E2189" i="9"/>
  <c r="E302" i="9"/>
  <c r="C277" i="9"/>
  <c r="G16" i="6"/>
  <c r="J30" i="5" s="1"/>
  <c r="F79" i="7"/>
  <c r="E16" i="6" s="1"/>
  <c r="F6" i="6"/>
  <c r="H12" i="5" s="1"/>
  <c r="F21" i="7"/>
  <c r="E6" i="6" s="1"/>
  <c r="E2404" i="9"/>
  <c r="C2387" i="9"/>
  <c r="L161" i="7"/>
  <c r="F160" i="7"/>
  <c r="G22" i="6"/>
  <c r="J52" i="5" s="1"/>
  <c r="F128" i="7"/>
  <c r="E22" i="6" s="1"/>
  <c r="E105" i="9"/>
  <c r="C154" i="9"/>
  <c r="G5" i="8"/>
  <c r="J8" i="5" s="1"/>
  <c r="E104" i="9"/>
  <c r="E1705" i="9"/>
  <c r="C1754" i="9"/>
  <c r="G29" i="8"/>
  <c r="K450" i="9" s="1"/>
  <c r="C2104" i="9"/>
  <c r="E2055" i="9"/>
  <c r="G35" i="8"/>
  <c r="I24" i="7" s="1"/>
  <c r="E1498" i="9"/>
  <c r="F26" i="6"/>
  <c r="H107" i="5" s="1"/>
  <c r="F152" i="7"/>
  <c r="E26" i="6" s="1"/>
  <c r="F100" i="7"/>
  <c r="E19" i="6" s="1"/>
  <c r="G19" i="6"/>
  <c r="J46" i="5" s="1"/>
  <c r="K105" i="5"/>
  <c r="F72" i="7"/>
  <c r="E15" i="6" s="1"/>
  <c r="G15" i="6"/>
  <c r="J29" i="5" s="1"/>
  <c r="C866" i="9"/>
  <c r="E867" i="9"/>
  <c r="E1948" i="9"/>
  <c r="C2137" i="9"/>
  <c r="E2139" i="9"/>
  <c r="F1924" i="9"/>
  <c r="C1922" i="9"/>
  <c r="F78" i="9"/>
  <c r="C76" i="9"/>
  <c r="B76" i="9" s="1"/>
  <c r="C1130" i="9"/>
  <c r="E1138" i="9"/>
  <c r="C229" i="9"/>
  <c r="E241" i="9"/>
  <c r="C2239" i="9"/>
  <c r="E2241" i="9"/>
  <c r="I33" i="5"/>
  <c r="G35" i="5"/>
  <c r="C2485" i="9"/>
  <c r="E2504" i="9"/>
  <c r="C1846" i="9"/>
  <c r="E1858" i="9"/>
  <c r="I121" i="7"/>
  <c r="I109" i="7"/>
  <c r="C541" i="9"/>
  <c r="E554" i="9"/>
  <c r="E1954" i="9" l="1"/>
  <c r="C2405" i="9"/>
  <c r="E42" i="8"/>
  <c r="E1104" i="9"/>
  <c r="C1063" i="9"/>
  <c r="C1858" i="9"/>
  <c r="E1904" i="9"/>
  <c r="I107" i="5"/>
  <c r="F107" i="5"/>
  <c r="E1454" i="9"/>
  <c r="C1403" i="9"/>
  <c r="C2189" i="9"/>
  <c r="E2204" i="9"/>
  <c r="C1138" i="9"/>
  <c r="E1154" i="9"/>
  <c r="E29" i="8"/>
  <c r="C1705" i="9"/>
  <c r="E505" i="9"/>
  <c r="C554" i="9"/>
  <c r="G12" i="8"/>
  <c r="J34" i="5" s="1"/>
  <c r="K29" i="5"/>
  <c r="G29" i="5" s="1"/>
  <c r="F29" i="5"/>
  <c r="E2355" i="9"/>
  <c r="G41" i="8"/>
  <c r="I131" i="7" s="1"/>
  <c r="C2404" i="9"/>
  <c r="C2285" i="9"/>
  <c r="E2304" i="9"/>
  <c r="J136" i="7"/>
  <c r="F136" i="7" s="1"/>
  <c r="E136" i="7"/>
  <c r="H28" i="6"/>
  <c r="F161" i="7"/>
  <c r="E28" i="6" s="1"/>
  <c r="I12" i="5"/>
  <c r="F12" i="5"/>
  <c r="C404" i="9"/>
  <c r="E355" i="9"/>
  <c r="G10" i="8"/>
  <c r="J18" i="5" s="1"/>
  <c r="C1498" i="9"/>
  <c r="E1500" i="9"/>
  <c r="E2554" i="9"/>
  <c r="C2552" i="9"/>
  <c r="C204" i="9"/>
  <c r="E155" i="9"/>
  <c r="G6" i="8"/>
  <c r="J9" i="5" s="1"/>
  <c r="F52" i="5"/>
  <c r="K52" i="5"/>
  <c r="E2254" i="9"/>
  <c r="C2241" i="9"/>
  <c r="C241" i="9"/>
  <c r="E254" i="9"/>
  <c r="C2055" i="9"/>
  <c r="E35" i="8"/>
  <c r="C78" i="9"/>
  <c r="F80" i="9"/>
  <c r="C351" i="9"/>
  <c r="E354" i="9"/>
  <c r="J121" i="7"/>
  <c r="F46" i="5"/>
  <c r="K46" i="5"/>
  <c r="C1352" i="9"/>
  <c r="E1354" i="9"/>
  <c r="K28" i="5"/>
  <c r="G28" i="5" s="1"/>
  <c r="F28" i="5"/>
  <c r="E5" i="9"/>
  <c r="G4" i="8"/>
  <c r="K11" i="5"/>
  <c r="G11" i="5" s="1"/>
  <c r="F11" i="5"/>
  <c r="J109" i="7"/>
  <c r="K30" i="5"/>
  <c r="G30" i="5" s="1"/>
  <c r="F30" i="5"/>
  <c r="C1004" i="9"/>
  <c r="E905" i="9"/>
  <c r="G17" i="8"/>
  <c r="J42" i="5" s="1"/>
  <c r="K8" i="5"/>
  <c r="G8" i="5" s="1"/>
  <c r="F8" i="5"/>
  <c r="C710" i="9"/>
  <c r="E754" i="9"/>
  <c r="E904" i="9"/>
  <c r="C867" i="9"/>
  <c r="C2504" i="9"/>
  <c r="E2455" i="9"/>
  <c r="G43" i="8"/>
  <c r="I137" i="7" s="1"/>
  <c r="C302" i="9"/>
  <c r="E304" i="9"/>
  <c r="E24" i="7"/>
  <c r="J24" i="7"/>
  <c r="I450" i="9"/>
  <c r="E450" i="9"/>
  <c r="F1948" i="9"/>
  <c r="F1954" i="9" s="1"/>
  <c r="C1924" i="9"/>
  <c r="E2154" i="9"/>
  <c r="C2139" i="9"/>
  <c r="C105" i="9"/>
  <c r="E5" i="8"/>
  <c r="C654" i="9"/>
  <c r="E605" i="9"/>
  <c r="G14" i="8"/>
  <c r="J38" i="5" s="1"/>
  <c r="E2205" i="9" l="1"/>
  <c r="G38" i="8"/>
  <c r="C2254" i="9"/>
  <c r="C505" i="9"/>
  <c r="E12" i="8"/>
  <c r="C155" i="9"/>
  <c r="E6" i="8"/>
  <c r="G46" i="5"/>
  <c r="G45" i="5" s="1"/>
  <c r="K45" i="5"/>
  <c r="C2455" i="9"/>
  <c r="E43" i="8"/>
  <c r="C1904" i="9"/>
  <c r="E1805" i="9"/>
  <c r="G31" i="8"/>
  <c r="I7" i="7" s="1"/>
  <c r="K9" i="5"/>
  <c r="G9" i="5" s="1"/>
  <c r="F9" i="5"/>
  <c r="F24" i="7"/>
  <c r="J25" i="7"/>
  <c r="E1355" i="9"/>
  <c r="C1454" i="9"/>
  <c r="G23" i="8"/>
  <c r="J60" i="5" s="1"/>
  <c r="J124" i="7"/>
  <c r="K121" i="7"/>
  <c r="K109" i="7"/>
  <c r="K51" i="5"/>
  <c r="G52" i="5"/>
  <c r="G51" i="5" s="1"/>
  <c r="C2204" i="9"/>
  <c r="E2155" i="9"/>
  <c r="G37" i="8"/>
  <c r="F104" i="9"/>
  <c r="C80" i="9"/>
  <c r="C2154" i="9"/>
  <c r="E2105" i="9"/>
  <c r="G36" i="8"/>
  <c r="I29" i="7" s="1"/>
  <c r="I135" i="7"/>
  <c r="J7" i="5"/>
  <c r="E1504" i="9"/>
  <c r="C1500" i="9"/>
  <c r="E137" i="7"/>
  <c r="J137" i="7"/>
  <c r="F137" i="7" s="1"/>
  <c r="E305" i="9"/>
  <c r="C354" i="9"/>
  <c r="G9" i="8"/>
  <c r="J17" i="5" s="1"/>
  <c r="C1104" i="9"/>
  <c r="G18" i="8"/>
  <c r="J44" i="5" s="1"/>
  <c r="E1005" i="9"/>
  <c r="C450" i="9"/>
  <c r="B450" i="9" s="1"/>
  <c r="E454" i="9"/>
  <c r="E255" i="9"/>
  <c r="C304" i="9"/>
  <c r="G8" i="8"/>
  <c r="J16" i="5" s="1"/>
  <c r="G15" i="8"/>
  <c r="C754" i="9"/>
  <c r="E655" i="9"/>
  <c r="F42" i="5"/>
  <c r="K42" i="5"/>
  <c r="H32" i="8"/>
  <c r="K155" i="7" s="1"/>
  <c r="L155" i="7" s="1"/>
  <c r="L156" i="7" s="1"/>
  <c r="H27" i="6" s="1"/>
  <c r="K18" i="7" s="1"/>
  <c r="L18" i="7" s="1"/>
  <c r="L19" i="7" s="1"/>
  <c r="F1905" i="9"/>
  <c r="C1154" i="9"/>
  <c r="E1105" i="9"/>
  <c r="G19" i="8"/>
  <c r="J50" i="5" s="1"/>
  <c r="C904" i="9"/>
  <c r="G16" i="8"/>
  <c r="J40" i="5" s="1"/>
  <c r="E755" i="9"/>
  <c r="G39" i="8"/>
  <c r="I89" i="7" s="1"/>
  <c r="C2304" i="9"/>
  <c r="E2255" i="9"/>
  <c r="F34" i="5"/>
  <c r="K34" i="5"/>
  <c r="E1305" i="9"/>
  <c r="C1354" i="9"/>
  <c r="G22" i="8"/>
  <c r="J59" i="5" s="1"/>
  <c r="C355" i="9"/>
  <c r="E10" i="8"/>
  <c r="I105" i="5"/>
  <c r="G107" i="5"/>
  <c r="G105" i="5" s="1"/>
  <c r="F38" i="5"/>
  <c r="K38" i="5"/>
  <c r="C605" i="9"/>
  <c r="E14" i="8"/>
  <c r="C905" i="9"/>
  <c r="E17" i="8"/>
  <c r="C1954" i="9"/>
  <c r="E1905" i="9"/>
  <c r="G32" i="8"/>
  <c r="I155" i="7" s="1"/>
  <c r="J112" i="7"/>
  <c r="C2554" i="9"/>
  <c r="E2505" i="9"/>
  <c r="G44" i="8"/>
  <c r="I138" i="7" s="1"/>
  <c r="F18" i="5"/>
  <c r="K18" i="5"/>
  <c r="G18" i="5" s="1"/>
  <c r="G12" i="5"/>
  <c r="I6" i="5"/>
  <c r="I5" i="5" s="1"/>
  <c r="I205" i="5" s="1"/>
  <c r="E4" i="4" s="1"/>
  <c r="E205" i="9"/>
  <c r="G7" i="8"/>
  <c r="J15" i="5" s="1"/>
  <c r="C254" i="9"/>
  <c r="E41" i="8"/>
  <c r="C2355" i="9"/>
  <c r="J131" i="7"/>
  <c r="E131" i="7"/>
  <c r="C1948" i="9"/>
  <c r="L121" i="7" l="1"/>
  <c r="E121" i="7"/>
  <c r="G7" i="6"/>
  <c r="J13" i="5" s="1"/>
  <c r="F25" i="7"/>
  <c r="E7" i="6" s="1"/>
  <c r="D9" i="3"/>
  <c r="D5" i="4"/>
  <c r="D10" i="3" s="1"/>
  <c r="D12" i="4"/>
  <c r="D19" i="3" s="1"/>
  <c r="D13" i="4"/>
  <c r="D20" i="3" s="1"/>
  <c r="G24" i="8"/>
  <c r="J61" i="5" s="1"/>
  <c r="C1504" i="9"/>
  <c r="E1455" i="9"/>
  <c r="C1905" i="9"/>
  <c r="E32" i="8"/>
  <c r="F5" i="9"/>
  <c r="H4" i="8"/>
  <c r="C104" i="9"/>
  <c r="F60" i="5"/>
  <c r="K60" i="5"/>
  <c r="G60" i="5" s="1"/>
  <c r="C1355" i="9"/>
  <c r="E23" i="8"/>
  <c r="E39" i="8"/>
  <c r="C2255" i="9"/>
  <c r="C1105" i="9"/>
  <c r="E19" i="8"/>
  <c r="J132" i="7"/>
  <c r="F131" i="7"/>
  <c r="C655" i="9"/>
  <c r="E15" i="8"/>
  <c r="J138" i="7"/>
  <c r="F138" i="7" s="1"/>
  <c r="E138" i="7"/>
  <c r="C2505" i="9"/>
  <c r="E44" i="8"/>
  <c r="J39" i="5"/>
  <c r="I139" i="7"/>
  <c r="E7" i="7"/>
  <c r="J7" i="7"/>
  <c r="J135" i="7"/>
  <c r="C1805" i="9"/>
  <c r="E31" i="8"/>
  <c r="C2105" i="9"/>
  <c r="E36" i="8"/>
  <c r="F16" i="5"/>
  <c r="K16" i="5"/>
  <c r="G16" i="5" s="1"/>
  <c r="C2155" i="9"/>
  <c r="E37" i="8"/>
  <c r="G21" i="6"/>
  <c r="J49" i="5" s="1"/>
  <c r="K33" i="5"/>
  <c r="G34" i="5"/>
  <c r="G33" i="5" s="1"/>
  <c r="F17" i="5"/>
  <c r="K17" i="5"/>
  <c r="G17" i="5" s="1"/>
  <c r="E155" i="7"/>
  <c r="J155" i="7"/>
  <c r="C755" i="9"/>
  <c r="E16" i="8"/>
  <c r="J29" i="7"/>
  <c r="E29" i="7"/>
  <c r="G42" i="5"/>
  <c r="G41" i="5" s="1"/>
  <c r="K41" i="5"/>
  <c r="I41" i="7"/>
  <c r="I35" i="7"/>
  <c r="E7" i="8"/>
  <c r="C205" i="9"/>
  <c r="C255" i="9"/>
  <c r="E8" i="8"/>
  <c r="E38" i="8"/>
  <c r="C2205" i="9"/>
  <c r="K44" i="5"/>
  <c r="F44" i="5"/>
  <c r="C305" i="9"/>
  <c r="E9" i="8"/>
  <c r="G20" i="6"/>
  <c r="J48" i="5" s="1"/>
  <c r="K50" i="5"/>
  <c r="G50" i="5" s="1"/>
  <c r="F50" i="5"/>
  <c r="K7" i="5"/>
  <c r="G38" i="5"/>
  <c r="F59" i="5"/>
  <c r="K59" i="5"/>
  <c r="I46" i="7"/>
  <c r="I51" i="7"/>
  <c r="E18" i="8"/>
  <c r="C1005" i="9"/>
  <c r="E89" i="7"/>
  <c r="J89" i="7"/>
  <c r="F40" i="5"/>
  <c r="K40" i="5"/>
  <c r="G40" i="5" s="1"/>
  <c r="F15" i="5"/>
  <c r="K15" i="5"/>
  <c r="C1305" i="9"/>
  <c r="E22" i="8"/>
  <c r="C454" i="9"/>
  <c r="E456" i="9"/>
  <c r="C456" i="9" s="1"/>
  <c r="L109" i="7"/>
  <c r="E109" i="7"/>
  <c r="J30" i="7" l="1"/>
  <c r="F29" i="7"/>
  <c r="E41" i="7"/>
  <c r="J41" i="7"/>
  <c r="C1455" i="9"/>
  <c r="E24" i="8"/>
  <c r="F39" i="5"/>
  <c r="K39" i="5"/>
  <c r="D7" i="4"/>
  <c r="D14" i="3" s="1"/>
  <c r="K135" i="7"/>
  <c r="L7" i="5"/>
  <c r="F132" i="7"/>
  <c r="E23" i="6" s="1"/>
  <c r="G23" i="6"/>
  <c r="J62" i="5" s="1"/>
  <c r="D6" i="4"/>
  <c r="D13" i="3" s="1"/>
  <c r="F89" i="7"/>
  <c r="J90" i="7"/>
  <c r="E51" i="7"/>
  <c r="J51" i="7"/>
  <c r="J139" i="7"/>
  <c r="F139" i="7" s="1"/>
  <c r="E139" i="7"/>
  <c r="K61" i="5"/>
  <c r="G61" i="5" s="1"/>
  <c r="F61" i="5"/>
  <c r="K49" i="5"/>
  <c r="D11" i="3"/>
  <c r="E35" i="7"/>
  <c r="J35" i="7"/>
  <c r="F7" i="7"/>
  <c r="J8" i="7"/>
  <c r="F155" i="7"/>
  <c r="J156" i="7"/>
  <c r="F13" i="5"/>
  <c r="K13" i="5"/>
  <c r="G13" i="5" s="1"/>
  <c r="C5" i="9"/>
  <c r="E4" i="8"/>
  <c r="J46" i="7"/>
  <c r="E46" i="7"/>
  <c r="G59" i="5"/>
  <c r="L112" i="7"/>
  <c r="F109" i="7"/>
  <c r="K43" i="5"/>
  <c r="G44" i="5"/>
  <c r="G43" i="5" s="1"/>
  <c r="K48" i="5"/>
  <c r="G15" i="5"/>
  <c r="G14" i="5" s="1"/>
  <c r="K14" i="5"/>
  <c r="L124" i="7"/>
  <c r="F121" i="7"/>
  <c r="J141" i="7" l="1"/>
  <c r="J91" i="7"/>
  <c r="F90" i="7"/>
  <c r="L135" i="7"/>
  <c r="E135" i="7"/>
  <c r="F8" i="7"/>
  <c r="E4" i="6" s="1"/>
  <c r="G4" i="6"/>
  <c r="J10" i="5" s="1"/>
  <c r="F35" i="7"/>
  <c r="J36" i="7"/>
  <c r="F41" i="7"/>
  <c r="J42" i="7"/>
  <c r="K47" i="5"/>
  <c r="G27" i="6"/>
  <c r="I18" i="7" s="1"/>
  <c r="F156" i="7"/>
  <c r="E27" i="6" s="1"/>
  <c r="G39" i="5"/>
  <c r="G37" i="5" s="1"/>
  <c r="K37" i="5"/>
  <c r="K36" i="5" s="1"/>
  <c r="J47" i="7"/>
  <c r="F46" i="7"/>
  <c r="F30" i="7"/>
  <c r="J31" i="7"/>
  <c r="M7" i="5"/>
  <c r="F7" i="5"/>
  <c r="G24" i="6"/>
  <c r="J64" i="5" s="1"/>
  <c r="J52" i="7"/>
  <c r="F51" i="7"/>
  <c r="F62" i="5"/>
  <c r="K62" i="5"/>
  <c r="H21" i="6"/>
  <c r="L49" i="5" s="1"/>
  <c r="F124" i="7"/>
  <c r="E21" i="6" s="1"/>
  <c r="H20" i="6"/>
  <c r="L48" i="5" s="1"/>
  <c r="F112" i="7"/>
  <c r="E20" i="6" s="1"/>
  <c r="F47" i="7" l="1"/>
  <c r="E11" i="6" s="1"/>
  <c r="G11" i="6"/>
  <c r="J25" i="5" s="1"/>
  <c r="E18" i="7"/>
  <c r="J18" i="7"/>
  <c r="J43" i="7"/>
  <c r="F42" i="7"/>
  <c r="M49" i="5"/>
  <c r="G49" i="5" s="1"/>
  <c r="F49" i="5"/>
  <c r="M48" i="5"/>
  <c r="F48" i="5"/>
  <c r="J53" i="7"/>
  <c r="F52" i="7"/>
  <c r="L141" i="7"/>
  <c r="F135" i="7"/>
  <c r="J37" i="7"/>
  <c r="F36" i="7"/>
  <c r="K10" i="5"/>
  <c r="F10" i="5"/>
  <c r="K64" i="5"/>
  <c r="M6" i="5"/>
  <c r="M5" i="5" s="1"/>
  <c r="G7" i="5"/>
  <c r="G62" i="5"/>
  <c r="G55" i="5" s="1"/>
  <c r="K55" i="5"/>
  <c r="F31" i="7"/>
  <c r="E8" i="6" s="1"/>
  <c r="G8" i="6"/>
  <c r="J22" i="5" s="1"/>
  <c r="G18" i="6"/>
  <c r="J32" i="5" s="1"/>
  <c r="F91" i="7"/>
  <c r="E18" i="6" s="1"/>
  <c r="K63" i="5" l="1"/>
  <c r="G9" i="6"/>
  <c r="J23" i="5" s="1"/>
  <c r="F37" i="7"/>
  <c r="E9" i="6" s="1"/>
  <c r="G6" i="5"/>
  <c r="G5" i="5" s="1"/>
  <c r="G10" i="5"/>
  <c r="K6" i="5"/>
  <c r="K5" i="5" s="1"/>
  <c r="G10" i="6"/>
  <c r="J24" i="5" s="1"/>
  <c r="F43" i="7"/>
  <c r="E10" i="6" s="1"/>
  <c r="J19" i="7"/>
  <c r="F19" i="7" s="1"/>
  <c r="F18" i="7"/>
  <c r="H24" i="6"/>
  <c r="L64" i="5" s="1"/>
  <c r="F141" i="7"/>
  <c r="E24" i="6" s="1"/>
  <c r="K22" i="5"/>
  <c r="F22" i="5"/>
  <c r="M47" i="5"/>
  <c r="M36" i="5" s="1"/>
  <c r="G48" i="5"/>
  <c r="G47" i="5" s="1"/>
  <c r="G36" i="5" s="1"/>
  <c r="F32" i="5"/>
  <c r="K32" i="5"/>
  <c r="G32" i="5" s="1"/>
  <c r="F25" i="5"/>
  <c r="K25" i="5"/>
  <c r="G25" i="5" s="1"/>
  <c r="G12" i="6"/>
  <c r="J26" i="5" s="1"/>
  <c r="F53" i="7"/>
  <c r="E12" i="6" s="1"/>
  <c r="K54" i="5"/>
  <c r="K23" i="5" l="1"/>
  <c r="G23" i="5" s="1"/>
  <c r="F23" i="5"/>
  <c r="G22" i="5"/>
  <c r="K21" i="5"/>
  <c r="K20" i="5" s="1"/>
  <c r="K205" i="5" s="1"/>
  <c r="F4" i="4" s="1"/>
  <c r="M64" i="5"/>
  <c r="F64" i="5"/>
  <c r="F24" i="5"/>
  <c r="K24" i="5"/>
  <c r="G24" i="5" s="1"/>
  <c r="F26" i="5"/>
  <c r="K26" i="5"/>
  <c r="G26" i="5" s="1"/>
  <c r="D5" i="3" l="1"/>
  <c r="D9" i="4"/>
  <c r="D16" i="3" s="1"/>
  <c r="J8" i="4"/>
  <c r="D8" i="4"/>
  <c r="G21" i="5"/>
  <c r="G20" i="5" s="1"/>
  <c r="G205" i="5" s="1"/>
  <c r="D4" i="4" s="1"/>
  <c r="M63" i="5"/>
  <c r="M54" i="5" s="1"/>
  <c r="M205" i="5" s="1"/>
  <c r="G4" i="4" s="1"/>
  <c r="D12" i="3" s="1"/>
  <c r="G64" i="5"/>
  <c r="G63" i="5" s="1"/>
  <c r="G54" i="5" s="1"/>
  <c r="D11" i="4" l="1"/>
  <c r="D18" i="3" s="1"/>
  <c r="D10" i="4"/>
  <c r="D17" i="3" s="1"/>
  <c r="D15" i="3"/>
  <c r="E8" i="4"/>
  <c r="F15" i="3" s="1"/>
  <c r="D8" i="3"/>
  <c r="D15" i="4" l="1"/>
  <c r="D22" i="3"/>
  <c r="D16" i="4" l="1"/>
  <c r="D23" i="3" s="1"/>
  <c r="D17" i="4" l="1"/>
  <c r="J17" i="4" l="1"/>
  <c r="L17" i="4"/>
  <c r="J18" i="4" l="1"/>
  <c r="E18" i="4" s="1"/>
  <c r="J21" i="4" l="1"/>
  <c r="J22" i="4" l="1"/>
  <c r="J23" i="4" s="1"/>
  <c r="J26" i="4" s="1"/>
  <c r="L18" i="4" l="1"/>
  <c r="L21" i="4" s="1"/>
  <c r="L22" i="4" l="1"/>
  <c r="L23" i="4"/>
  <c r="L26" i="4" s="1"/>
  <c r="K18" i="4" s="1"/>
  <c r="D24" i="3" l="1"/>
  <c r="D21" i="4"/>
  <c r="D27" i="3" l="1"/>
  <c r="D22" i="4"/>
  <c r="D28" i="3" s="1"/>
  <c r="D23" i="4" l="1"/>
  <c r="D29" i="3"/>
  <c r="D26" i="4"/>
  <c r="D32" i="3" s="1"/>
  <c r="E27" i="3" s="1"/>
  <c r="E28" i="3" l="1"/>
  <c r="E25" i="3"/>
  <c r="E6" i="3"/>
  <c r="E7" i="3"/>
  <c r="E21" i="3"/>
  <c r="E26" i="3"/>
  <c r="E30" i="3"/>
  <c r="E31" i="3"/>
  <c r="E9" i="3"/>
  <c r="E20" i="3"/>
  <c r="E19" i="3"/>
  <c r="E10" i="3"/>
  <c r="E13" i="3"/>
  <c r="E11" i="3"/>
  <c r="E14" i="3"/>
  <c r="E12" i="3"/>
  <c r="E16" i="3"/>
  <c r="E5" i="3"/>
  <c r="E18" i="3"/>
  <c r="E8" i="3"/>
  <c r="E17" i="3"/>
  <c r="E15" i="3"/>
  <c r="E22" i="3"/>
  <c r="E23" i="3"/>
  <c r="E24" i="3"/>
  <c r="E2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" authorId="0" shapeId="0" xr:uid="{4F298BEC-6C69-4EDF-9FE6-14657400CDB3}">
      <text>
        <r>
          <rPr>
            <sz val="9"/>
            <color theme="1"/>
            <rFont val="굴림체"/>
            <family val="3"/>
            <charset val="129"/>
          </rPr>
          <t>해당 페이지 이동은 아래의 HyperLink(→) 셀을 클릭하세요!!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" authorId="0" shapeId="0" xr:uid="{E4594E29-B170-4818-8606-7357E973AFA6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B8" authorId="0" shapeId="0" xr:uid="{4F42BF6B-5FF2-4010-9DDD-3C4A5D1CC1A1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" authorId="0" shapeId="0" xr:uid="{65C09AF6-C684-4B9E-A854-C9630C3F0D26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3" authorId="0" shapeId="0" xr:uid="{3492750C-42D2-4CA4-A645-87867841FFDB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Q3" authorId="0" shapeId="0" xr:uid="{D5B7FD7C-E068-4D6B-B3A6-79DC331412E4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I18" authorId="0" shapeId="0" xr:uid="{B4277190-131C-4872-A101-C39A115B6586}">
      <text>
        <r>
          <rPr>
            <sz val="9"/>
            <color theme="1"/>
            <rFont val="굴림체"/>
            <family val="3"/>
            <charset val="129"/>
          </rPr>
          <t>이윤보정액 : 총공사비 금액이 다를경우 임의조정(±α) 하십시요</t>
        </r>
      </text>
    </comment>
    <comment ref="K18" authorId="0" shapeId="0" xr:uid="{39D4DAEB-F8D1-4F0D-B96D-6FBBF49E331F}">
      <text>
        <r>
          <rPr>
            <sz val="9"/>
            <color theme="1"/>
            <rFont val="굴림체"/>
            <family val="3"/>
            <charset val="129"/>
          </rPr>
          <t>I열의 이윤보정시
 1. K열의 계삭식 삭제
 2. I열의 값 조정(±α)</t>
        </r>
      </text>
    </comment>
    <comment ref="I22" authorId="0" shapeId="0" xr:uid="{310B06BF-AF0C-4108-9522-60F503018045}">
      <text>
        <r>
          <rPr>
            <sz val="9"/>
            <color theme="1"/>
            <rFont val="굴림체"/>
            <family val="3"/>
            <charset val="129"/>
          </rPr>
          <t>부가세보정 : 총공사비 금액에 1원 차이 발생할 경우 부가세 조정(+1) 하십시요</t>
        </r>
      </text>
    </comment>
    <comment ref="I24" authorId="0" shapeId="0" xr:uid="{FADE07F9-0833-41EB-A55B-5E96C5348AB8}">
      <text>
        <r>
          <rPr>
            <sz val="9"/>
            <color theme="1"/>
            <rFont val="굴림체"/>
            <family val="3"/>
            <charset val="129"/>
          </rPr>
          <t>관급자재대(도급자설치) : 원자재대 금액을 입력하세요.</t>
        </r>
      </text>
    </comment>
    <comment ref="I25" authorId="0" shapeId="0" xr:uid="{5674A5C7-BB72-4856-AE16-FE93E728EE08}">
      <text>
        <r>
          <rPr>
            <sz val="9"/>
            <color theme="1"/>
            <rFont val="굴림체"/>
            <family val="3"/>
            <charset val="129"/>
          </rPr>
          <t>관급자재대(관급자설치) : 원자재대 금액을 입력하세요.</t>
        </r>
      </text>
    </comment>
    <comment ref="D26" authorId="0" shapeId="0" xr:uid="{5F512BA9-4264-4ED9-8F9B-0331659C7A8E}">
      <text>
        <r>
          <rPr>
            <sz val="9"/>
            <color theme="1"/>
            <rFont val="굴림체"/>
            <family val="3"/>
            <charset val="129"/>
          </rPr>
          <t>총공사비 금액이 절사기준과 다를경우 회색으로 표기됩니다.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BCFCCDD0-0388-428D-A15B-1E513C29AA8B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AC4" authorId="0" shapeId="0" xr:uid="{D73732C5-A4DF-45AD-89BC-257010491F06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61741DD3-EF13-4E0C-930C-41C459A0DDAB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 xr:uid="{CDD8A91E-0457-4562-9963-1B090E89B1AA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4" authorId="0" shapeId="0" xr:uid="{B6219677-189A-480E-905F-BCC381D62C28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Z4" authorId="0" shapeId="0" xr:uid="{856EF9A9-A836-457D-8456-3EF9B5058BF6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13473BDB-B021-49C6-B516-E6C7A3F2D942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 xr:uid="{EAA17630-0D7C-4694-B20D-C24F60937764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4" authorId="0" shapeId="0" xr:uid="{50B2028A-C1B8-488F-8C6D-73FC3BA9AA1F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Y4" authorId="0" shapeId="0" xr:uid="{E063A9E4-7819-49B3-AF1B-05CD8CDF7B62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1" authorId="0" shapeId="0" xr:uid="{1850E3B4-B261-4B7B-9CBE-71187E9869FA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901214C3-BE2A-43AD-B57D-C694466E4742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 xr:uid="{BDCA2396-7069-48FD-A486-FC21B2F0F883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4" authorId="0" shapeId="0" xr:uid="{787E9DBE-AB80-4A23-916B-52D09F59C478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Z4" authorId="0" shapeId="0" xr:uid="{AE0ADABE-CE15-4BE4-9030-94AD5C79276E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9F873E55-7052-486E-A9C8-8FA0248C0EBE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 xr:uid="{B6A8D1BB-756F-436D-9646-7929352E49FA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4CB21ACE-BE97-4C91-A831-35645FAFE661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 xr:uid="{6C0B71BE-ED70-461C-9DBA-DEFBC40B7623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EDB7C08D-B1EB-4015-B965-BE1D1556FDF3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 xr:uid="{9CF3BB87-635D-40E1-BB45-68B8694D6C9E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3" authorId="0" shapeId="0" xr:uid="{7D4B6278-1EDC-4D9E-9389-7E81FCB873E2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 xr:uid="{FDBA096F-C58F-4186-8547-25231A2C87D8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4" authorId="0" shapeId="0" xr:uid="{44A3C759-DE4C-4A3F-A902-433530A3E177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S4" authorId="0" shapeId="0" xr:uid="{2B8D28F2-DFF6-4303-817B-E08939A73CAD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<sst xmlns="http://schemas.openxmlformats.org/spreadsheetml/2006/main" count="8944" uniqueCount="2644">
  <si>
    <t>일위대가 목록표</t>
  </si>
  <si>
    <t>공사명 : 모현읍 왕산리 799-37번지 배수관로 이설공사</t>
  </si>
  <si>
    <t>호표</t>
  </si>
  <si>
    <t>명      칭</t>
  </si>
  <si>
    <t>규      격</t>
  </si>
  <si>
    <t>단위</t>
  </si>
  <si>
    <t>합  계</t>
  </si>
  <si>
    <t>노 무 비</t>
  </si>
  <si>
    <t>재 료 비</t>
  </si>
  <si>
    <t>경    비</t>
  </si>
  <si>
    <t>비  고</t>
  </si>
  <si>
    <t>제   1호표</t>
  </si>
  <si>
    <t>보도블럭철거(점자블럭)B-TYPE</t>
  </si>
  <si>
    <t>차도인접, 주택가도로 차도인접, 주택가도로</t>
  </si>
  <si>
    <t>㎡</t>
  </si>
  <si>
    <t xml:space="preserve"> 제    2 호표  보차도경계석 철거(B-TYPE)  200×250×1000- 400m/일  /  M</t>
  </si>
  <si>
    <t>제   2호표</t>
  </si>
  <si>
    <t>보차도경계석 철거(B-TYPE)</t>
  </si>
  <si>
    <t>200×250×1000- 400m/일</t>
  </si>
  <si>
    <t>M</t>
  </si>
  <si>
    <t xml:space="preserve"> 제    3 호표  도로경계석 철거  150×150×1000, 화강석-설치품의50%적용  /  M</t>
  </si>
  <si>
    <t>제   3호표</t>
  </si>
  <si>
    <t>도로경계석 철거</t>
  </si>
  <si>
    <t>150×150×1000, 화강석-설치품의50%적용</t>
  </si>
  <si>
    <t xml:space="preserve"> 제    4 호표  조경석 헐기  (정원석 쌓기 및 놓기 30% 적용)  /  ton</t>
  </si>
  <si>
    <t>제   4호표</t>
  </si>
  <si>
    <t>조경석 헐기</t>
  </si>
  <si>
    <t>(정원석 쌓기 및 놓기 30% 적용)</t>
  </si>
  <si>
    <t>ton</t>
  </si>
  <si>
    <t xml:space="preserve"> 제    5 호표  주철관 접합 및 부설  (기계:D250㎜)  /  본</t>
  </si>
  <si>
    <t>제   5호표</t>
  </si>
  <si>
    <t>주철관 접합 및 부설</t>
  </si>
  <si>
    <t>(기계:D250㎜)</t>
  </si>
  <si>
    <t>본</t>
  </si>
  <si>
    <t xml:space="preserve"> 제    6 호표  주철이형관 접합 및 부설  (기계:D250㎜), 직관품 적용  /  개소</t>
  </si>
  <si>
    <t>제   6호표</t>
  </si>
  <si>
    <t>주철이형관 접합 및 부설</t>
  </si>
  <si>
    <t>(기계:D250㎜), 직관품 적용</t>
  </si>
  <si>
    <t>개소</t>
  </si>
  <si>
    <t xml:space="preserve"> 제    7 호표  주철 이형관 접합  (인력:D250㎜)  /  개소</t>
  </si>
  <si>
    <t>제   7호표</t>
  </si>
  <si>
    <t>주철 이형관 접합</t>
  </si>
  <si>
    <t>(인력:D250㎜)</t>
  </si>
  <si>
    <t xml:space="preserve"> 제    8 호표  이탈방지압륜 이형관 접합 및 부설   (D250mm), 직관품의 50% 할증 30%  /  개소</t>
  </si>
  <si>
    <t>제   8호표</t>
  </si>
  <si>
    <t>이탈방지압륜 이형관 접합 및 부설</t>
  </si>
  <si>
    <t xml:space="preserve"> (D250mm), 직관품의 50% 할증 30%</t>
  </si>
  <si>
    <t xml:space="preserve"> 제    9 호표  이탈방지압륜접합  (D250mm)이탈방지압륜 접합 및 부설품의 60% 적용  /  개소</t>
  </si>
  <si>
    <t>제   9호표</t>
  </si>
  <si>
    <t>이탈방지압륜접합</t>
  </si>
  <si>
    <t>(D250mm)이탈방지압륜 접합 및 부설품의 60% 적용</t>
  </si>
  <si>
    <t xml:space="preserve"> 제   10 호표  주철관절단  (D250㎜)  /  개소</t>
  </si>
  <si>
    <t>제  10호표</t>
  </si>
  <si>
    <t>주철관절단</t>
  </si>
  <si>
    <t>(D250㎜)</t>
  </si>
  <si>
    <t xml:space="preserve"> 제   11 호표  제수밸브부설및접합(게이트)  (D250㎜) 주철제  /  개소</t>
  </si>
  <si>
    <t>제  11호표</t>
  </si>
  <si>
    <t>제수밸브부설및접합(게이트)</t>
  </si>
  <si>
    <t>(D250㎜) 주철제</t>
  </si>
  <si>
    <t xml:space="preserve"> 제   12 호표  부단수할정자관부설및접합  D250,본관기준  /  개소</t>
  </si>
  <si>
    <t>제  12호표</t>
  </si>
  <si>
    <t>부단수할정자관부설및접합</t>
  </si>
  <si>
    <t>D250,본관기준</t>
  </si>
  <si>
    <t xml:space="preserve"> 제   13 호표  부단수천공분기점분기  D250,분기관(지관)기준  /  개소</t>
  </si>
  <si>
    <t>제  13호표</t>
  </si>
  <si>
    <t>부단수천공분기점분기</t>
  </si>
  <si>
    <t>D250,분기관(지관)기준</t>
  </si>
  <si>
    <t xml:space="preserve"> 제   14 호표  플랜지접합  (D250㎜)  /  개소</t>
  </si>
  <si>
    <t>제  14호표</t>
  </si>
  <si>
    <t>플랜지접합</t>
  </si>
  <si>
    <t xml:space="preserve"> 제   15 호표  주철관 철거   D250mm(기존관 철거)  /  본</t>
  </si>
  <si>
    <t>제  15호표</t>
  </si>
  <si>
    <t>주철관 철거</t>
  </si>
  <si>
    <t xml:space="preserve"> D250mm(기존관 철거)</t>
  </si>
  <si>
    <t xml:space="preserve"> 제   16 호표  보도블럭포장(점자블럭)B-TYPE  차도인접, 주택가도로 T=6cm, 점형(30x30X6)  /  ㎡</t>
  </si>
  <si>
    <t>제  16호표</t>
  </si>
  <si>
    <t>보도블럭포장(점자블럭)B-TYPE</t>
  </si>
  <si>
    <t>차도인접, 주택가도로 T=6cm, 점형(30x30X6)</t>
  </si>
  <si>
    <t xml:space="preserve"> 제   17 호표  L형측구 및 보차도경계석 재설치(B-TYPE)  화강석(200×250×1000)직선  /  M</t>
  </si>
  <si>
    <t>제  17호표</t>
  </si>
  <si>
    <t>L형측구 및 보차도경계석 재설치(B-TYPE)</t>
  </si>
  <si>
    <t>화강석(200×250×1000)직선</t>
  </si>
  <si>
    <t xml:space="preserve"> 제   18 호표  L형측구 및 보차도경계석 재설치(B-TYPE)  화강석(180×200×1000)낯춤석 경계석제외  /  M</t>
  </si>
  <si>
    <t>제  18호표</t>
  </si>
  <si>
    <t>화강석(180×200×1000)낯춤석 경계석제외</t>
  </si>
  <si>
    <t xml:space="preserve"> 제   19 호표  볼라드 철거  Φ100mm~150mm(설치비의50%)  /  개소</t>
  </si>
  <si>
    <t>제  19호표</t>
  </si>
  <si>
    <t>볼라드 철거</t>
  </si>
  <si>
    <t>Φ100mm~150mm(설치비의50%)</t>
  </si>
  <si>
    <t xml:space="preserve"> 제   20 호표  조경 유용석 쌓기 및 놓기  1ton  /  ton</t>
  </si>
  <si>
    <t>제  20호표</t>
  </si>
  <si>
    <t>조경 유용석 쌓기 및 놓기</t>
  </si>
  <si>
    <t>1ton</t>
  </si>
  <si>
    <t xml:space="preserve"> 제   21 호표  시험굴착  (2.0x1.0x1.5)  /  개소</t>
  </si>
  <si>
    <t>제  21호표</t>
  </si>
  <si>
    <t>시험굴착</t>
  </si>
  <si>
    <t>(2.0x1.0x1.5)</t>
  </si>
  <si>
    <t xml:space="preserve"> 제   22 호표  교통신호수  2인1조  /  일</t>
  </si>
  <si>
    <t>제  22호표</t>
  </si>
  <si>
    <t>교통신호수</t>
  </si>
  <si>
    <t>2인1조</t>
  </si>
  <si>
    <t>일</t>
  </si>
  <si>
    <t xml:space="preserve"> 제   23 호표  공사안내간판 및 플랜카드  공사안내간판(0.9*1.8m), 플랜카드(0.7*7.0m)  /  개</t>
  </si>
  <si>
    <t>제  23호표</t>
  </si>
  <si>
    <t>공사안내간판 및 플랜카드</t>
  </si>
  <si>
    <t>공사안내간판(0.9*1.8m), 플랜카드(0.7*7.0m)</t>
  </si>
  <si>
    <t>개</t>
  </si>
  <si>
    <t xml:space="preserve"> 제   24 호표  도로경계석 설치  150×150×1000  /  M</t>
  </si>
  <si>
    <t>제  24호표</t>
  </si>
  <si>
    <t>도로경계석 설치</t>
  </si>
  <si>
    <t>150×150×1000</t>
  </si>
  <si>
    <t xml:space="preserve"> 제   25 호표  레미콘타설(25-21-8)  (무근구조물)레미콘별산  /  ㎥</t>
  </si>
  <si>
    <t>제  25호표</t>
  </si>
  <si>
    <t>레미콘타설(25-21-8)</t>
  </si>
  <si>
    <t>(무근구조물)레미콘별산</t>
  </si>
  <si>
    <t>㎥</t>
  </si>
  <si>
    <t xml:space="preserve"> 제   26 호표  몰탈채움  (1:3)  /  ㎥</t>
  </si>
  <si>
    <t>제  26호표</t>
  </si>
  <si>
    <t>몰탈채움</t>
  </si>
  <si>
    <t>(1:3)</t>
  </si>
  <si>
    <t xml:space="preserve"> 제   27 호표  모르터  (1:3)  /  ㎥</t>
  </si>
  <si>
    <t>제  27호표</t>
  </si>
  <si>
    <t>모르터</t>
  </si>
  <si>
    <t>단 가 산 출 근 거</t>
  </si>
  <si>
    <t>STmate</t>
  </si>
  <si>
    <t>단가산출근거 목록표</t>
  </si>
  <si>
    <t>포장절단</t>
  </si>
  <si>
    <t>아스콘포장</t>
  </si>
  <si>
    <t>m</t>
  </si>
  <si>
    <t>아스팔트포장 깨기 (기계0.4㎥, 대형브레이카)  / ㎥</t>
  </si>
  <si>
    <t>아스팔트포장 깨기</t>
  </si>
  <si>
    <t>(기계0.4㎥, 대형브레이카)</t>
  </si>
  <si>
    <t>무근콘크리트깨기 (T=30cm미만,굴착기0.4㎥)  / ㎥</t>
  </si>
  <si>
    <t>무근콘크리트깨기</t>
  </si>
  <si>
    <t>(T=30cm미만,굴착기0.4㎥)</t>
  </si>
  <si>
    <t>터파기(배수관)0.4㎥ (굴착기0.4㎥ 기계90%+인력10%)  / ㎥</t>
  </si>
  <si>
    <t>터파기(배수관)0.4㎥</t>
  </si>
  <si>
    <t>(굴착기0.4㎥ 기계90%+인력10%)</t>
  </si>
  <si>
    <t>되메우기및다짐(배수관) 백호우0.4㎥(진돌롤러)  / ㎥</t>
  </si>
  <si>
    <t>되메우기및다짐(배수관)</t>
  </si>
  <si>
    <t>백호우0.4㎥(진돌롤러)</t>
  </si>
  <si>
    <t>모래부설(배수관) (굴착기0.4+플레이트콤펙터 1.5ton)  / ㎥</t>
  </si>
  <si>
    <t>모래부설(배수관)</t>
  </si>
  <si>
    <t>(굴착기0.4+플레이트콤펙터 1.5ton)</t>
  </si>
  <si>
    <t>폐기물적사 굴착기 0.4㎥  / ㎥</t>
  </si>
  <si>
    <t>폐기물적사</t>
  </si>
  <si>
    <t>굴착기 0.4㎥</t>
  </si>
  <si>
    <t>사토:토사[L=10.0km]. (굴착기0.4㎥+덤프15ton)  / ㎥</t>
  </si>
  <si>
    <t>사토:토사[L=10.0km].</t>
  </si>
  <si>
    <t>(굴착기0.4㎥+덤프15ton)</t>
  </si>
  <si>
    <t>제수변실 설치 1.2x1.2x1.5(개선품)  / 개소</t>
  </si>
  <si>
    <t>제수변실 설치</t>
  </si>
  <si>
    <t>1.2x1.2x1.5(개선품)</t>
  </si>
  <si>
    <t>맨홀뚜껑설치(자재비별도) (상수도용:φ648mm)DKC  / 조</t>
  </si>
  <si>
    <t>맨홀뚜껑설치(자재비별도)</t>
  </si>
  <si>
    <t>(상수도용:φ648mm)DKC</t>
  </si>
  <si>
    <t>조</t>
  </si>
  <si>
    <t>프라임코팅(RSC-3:75ℓ/a)   / ㎡</t>
  </si>
  <si>
    <t>프라임코팅(RSC-3:75ℓ/a)</t>
  </si>
  <si>
    <t>기층포설및다짐 인력식소규모포설(BB층)  / ㎡</t>
  </si>
  <si>
    <t>기층포설및다짐</t>
  </si>
  <si>
    <t>인력식소규모포설(BB층)</t>
  </si>
  <si>
    <t>절삭후아스팔트덧씌우기 t=5cm B=2.0m(B-TYPE)  / ㎡</t>
  </si>
  <si>
    <t>절삭후아스팔트덧씌우기</t>
  </si>
  <si>
    <t>t=5cm B=2.0m(B-TYPE)</t>
  </si>
  <si>
    <t>보조기층포설및다짐 인력식소규모장비(자재비별도)  / ㎥</t>
  </si>
  <si>
    <t>보조기층포설및다짐</t>
  </si>
  <si>
    <t>인력식소규모장비(자재비별도)</t>
  </si>
  <si>
    <t>투수콘포장(칼라) (7cm)보도용  / ㎡</t>
  </si>
  <si>
    <t>투수콘포장(칼라)</t>
  </si>
  <si>
    <t>(7cm)보도용</t>
  </si>
  <si>
    <t>도로경계석 설치(B-TYPE) 직선 차도인접, 주택가 110m/일 폭+높이300mm이하(150×150)  / m</t>
  </si>
  <si>
    <t>도로경계석 설치(B-TYPE)</t>
  </si>
  <si>
    <t>직선 차도인접, 주택가 110m/일 폭+높이300mm이하(150×150)</t>
  </si>
  <si>
    <t>볼라드 설치 (Φ100mm~150mm)  / 개소</t>
  </si>
  <si>
    <t>볼라드 설치</t>
  </si>
  <si>
    <t>(Φ100mm~150mm)</t>
  </si>
  <si>
    <t>중기 운반비 모현읍 왕산리  / 식</t>
  </si>
  <si>
    <t>중기 운반비</t>
  </si>
  <si>
    <t>모현읍 왕산리</t>
  </si>
  <si>
    <t>식</t>
  </si>
  <si>
    <t>차선도색(황색실선) (융착식)  / ㎡</t>
  </si>
  <si>
    <t>차선도색(황색실선)</t>
  </si>
  <si>
    <t>(융착식)</t>
  </si>
  <si>
    <t>차선도색(백색실선) (융착식)  / ㎡</t>
  </si>
  <si>
    <t>차선도색(백색실선)</t>
  </si>
  <si>
    <t>차선도색(횡단보도) (융착식,백색)  / ㎡</t>
  </si>
  <si>
    <t>차선도색(횡단보도)</t>
  </si>
  <si>
    <t>(융착식,백색)</t>
  </si>
  <si>
    <t>공사안내 표지판 구입 900x1800  / EA</t>
  </si>
  <si>
    <t>공사안내 표지판 구입</t>
  </si>
  <si>
    <t>900x1800</t>
  </si>
  <si>
    <t>EA</t>
  </si>
  <si>
    <t>공사안내 표지판 구입 600x900  / EA</t>
  </si>
  <si>
    <t>600x900</t>
  </si>
  <si>
    <t>공사안내 표지판 설치/철거 900x1800  / EA</t>
  </si>
  <si>
    <t>공사안내 표지판 설치/철거</t>
  </si>
  <si>
    <t>공사안내 표지판 설치/철거 600x900  / EA</t>
  </si>
  <si>
    <t>정지:토사 (B.D 19ton)  / ㎥</t>
  </si>
  <si>
    <t>정지:토사</t>
  </si>
  <si>
    <t>(B.D 19ton)</t>
  </si>
  <si>
    <t>몰탈 (1:3)   / ㎥</t>
  </si>
  <si>
    <t>몰탈 (1:3)</t>
  </si>
  <si>
    <t>보도블럭포장(B-TYPE) (유도, 점자블록 - 300*300)  / ㎡</t>
  </si>
  <si>
    <t>제  28호표</t>
  </si>
  <si>
    <t>보도블럭포장(B-TYPE)</t>
  </si>
  <si>
    <t>(유도, 점자블록 - 300*300)</t>
  </si>
  <si>
    <t>도로경계석 설치(B-TYPE) 직선구간(폭+높이 300mm이하(150×150)  / m</t>
  </si>
  <si>
    <t>제  29호표</t>
  </si>
  <si>
    <t>직선구간(폭+높이 300mm이하(150×150)</t>
  </si>
  <si>
    <t>레미콘타설(무근)인력 무근  / ㎥</t>
  </si>
  <si>
    <t>제  30호표</t>
  </si>
  <si>
    <t>레미콘타설(무근)인력</t>
  </si>
  <si>
    <t>무근</t>
  </si>
  <si>
    <t>합판거푸집 (6회)  / ㎡</t>
  </si>
  <si>
    <t>제  31호표</t>
  </si>
  <si>
    <t>합판거푸집</t>
  </si>
  <si>
    <t>(6회)</t>
  </si>
  <si>
    <t>조경 유용석 쌓기 놓기 조경 유용석 쌓기 놓기  / TON</t>
  </si>
  <si>
    <t>제  32호표</t>
  </si>
  <si>
    <t>조경 유용석 쌓기 놓기</t>
  </si>
  <si>
    <t>TON</t>
  </si>
  <si>
    <t>주철관 접합 및 부설 D250mm(양중장비)  / 본</t>
  </si>
  <si>
    <t>제  33호표</t>
  </si>
  <si>
    <t>D250mm(양중장비)</t>
  </si>
  <si>
    <t>주철 이형관 접합 및 부설(양중장비) D250mm 직관 접합 및 부설의 1/2적용  / 개소</t>
  </si>
  <si>
    <t>제  34호표</t>
  </si>
  <si>
    <t>주철 이형관 접합 및 부설(양중장비)</t>
  </si>
  <si>
    <t>D250mm 직관 접합 및 부설의 1/2적용</t>
  </si>
  <si>
    <t>이탈방지압륜 접합 및 부설(인력+장비사용) D250mm K.P 메커니컬 접합 품의 1/2 적용  / 개소</t>
  </si>
  <si>
    <t>제  35호표</t>
  </si>
  <si>
    <t>이탈방지압륜 접합 및 부설(인력+장비사용)</t>
  </si>
  <si>
    <t>D250mm K.P 메커니컬 접합 품의 1/2 적용</t>
  </si>
  <si>
    <t>주철관 철거 D250mm  / 본</t>
  </si>
  <si>
    <t>제  36호표</t>
  </si>
  <si>
    <t>D250mm</t>
  </si>
  <si>
    <t>유로폼 6회(바닥용) 벽체 간단 적용  / ㎡</t>
  </si>
  <si>
    <t>제  37호표</t>
  </si>
  <si>
    <t>유로폼</t>
  </si>
  <si>
    <t>6회(바닥용) 벽체 간단 적용</t>
  </si>
  <si>
    <t>조경유용석 쌓기 및 놓기   / ton</t>
  </si>
  <si>
    <t>제  38호표</t>
  </si>
  <si>
    <t>조경유용석 쌓기 및 놓기</t>
  </si>
  <si>
    <t>아스팔트포장 깨기 (기계0.6㎥, 대형브레이카)  / ㎥</t>
  </si>
  <si>
    <t>제  39호표</t>
  </si>
  <si>
    <t>(기계0.6㎥, 대형브레이카)</t>
  </si>
  <si>
    <t>터파기(보통토사) (굴착기0.6㎥,기계90%인력10%).  / ㎥</t>
  </si>
  <si>
    <t>제  40호표</t>
  </si>
  <si>
    <t>터파기(보통토사)</t>
  </si>
  <si>
    <t>(굴착기0.6㎥,기계90%인력10%).</t>
  </si>
  <si>
    <t>되메우기및다짐0.6㎥ 기계90%, 인력10%.  / ㎥</t>
  </si>
  <si>
    <t>제  41호표</t>
  </si>
  <si>
    <t>되메우기및다짐0.6㎥</t>
  </si>
  <si>
    <t>기계90%, 인력10%.</t>
  </si>
  <si>
    <t>공사안내 간판   / 식</t>
  </si>
  <si>
    <t>제  42호표</t>
  </si>
  <si>
    <t>공사안내 간판</t>
  </si>
  <si>
    <t>수량부분 값 수정은 아래의 연두색 부분에</t>
  </si>
  <si>
    <t>중기 목록표</t>
  </si>
  <si>
    <t>굴착기</t>
  </si>
  <si>
    <t>(0.6㎥)백호우+브레이카</t>
  </si>
  <si>
    <t>시간</t>
  </si>
  <si>
    <t>중기1</t>
  </si>
  <si>
    <t xml:space="preserve"> 제    2 호표  굴착기(무한궤도)  0.2㎥  /  시간</t>
  </si>
  <si>
    <t>굴착기(무한궤도)</t>
  </si>
  <si>
    <t>0.2㎥</t>
  </si>
  <si>
    <t>중기2</t>
  </si>
  <si>
    <t xml:space="preserve"> 제    3 호표  굴착기(무한궤도)  0.4㎥  /  시간</t>
  </si>
  <si>
    <t>0.4㎥</t>
  </si>
  <si>
    <t>중기3</t>
  </si>
  <si>
    <t xml:space="preserve"> 제    4 호표  굴착기(무한궤도)  0.4㎥+대형브레이카  /  시간</t>
  </si>
  <si>
    <t>0.4㎥+대형브레이카</t>
  </si>
  <si>
    <t>중기4</t>
  </si>
  <si>
    <t xml:space="preserve"> 제    5 호표  굴착기(무한궤도)  0.4㎥,(브레이커조합)  /  시간</t>
  </si>
  <si>
    <t>0.4㎥,(브레이커조합)</t>
  </si>
  <si>
    <t>중기5</t>
  </si>
  <si>
    <t xml:space="preserve"> 제    6 호표  굴착기(무한궤도)  0.6㎥  /  시간</t>
  </si>
  <si>
    <t>0.6㎥</t>
  </si>
  <si>
    <t>중기6</t>
  </si>
  <si>
    <t xml:space="preserve"> 제    7 호표  굴착기(타이어)  0.6㎥  /  시간</t>
  </si>
  <si>
    <t>굴착기(타이어)</t>
  </si>
  <si>
    <t>중기7</t>
  </si>
  <si>
    <t xml:space="preserve"> 제    8 호표  노면파쇄기  2.0ｍ  /  시간</t>
  </si>
  <si>
    <t>노면파쇄기</t>
  </si>
  <si>
    <t>2.0ｍ</t>
  </si>
  <si>
    <t>중기8</t>
  </si>
  <si>
    <t xml:space="preserve"> 제    9 호표  대형 브레이커  0.6㎥  /  시간</t>
  </si>
  <si>
    <t>대형 브레이커</t>
  </si>
  <si>
    <t>중기9</t>
  </si>
  <si>
    <t xml:space="preserve"> 제   10 호표  덤프트럭  15톤  /  시간</t>
  </si>
  <si>
    <t>덤프트럭</t>
  </si>
  <si>
    <t>15톤</t>
  </si>
  <si>
    <t>중기10</t>
  </si>
  <si>
    <t xml:space="preserve"> 제   11 호표  덤프트럭  2.5톤  /  시간</t>
  </si>
  <si>
    <t>2.5톤</t>
  </si>
  <si>
    <t>중기11</t>
  </si>
  <si>
    <t xml:space="preserve"> 제   12 호표  덤프트럭  4.5톤  /  시간</t>
  </si>
  <si>
    <t>4.5톤</t>
  </si>
  <si>
    <t>중기12</t>
  </si>
  <si>
    <t xml:space="preserve"> 제   13 호표  동력분무기  4.85㎾  /  시간</t>
  </si>
  <si>
    <t>동력분무기</t>
  </si>
  <si>
    <t>4.85㎾</t>
  </si>
  <si>
    <t>중기13</t>
  </si>
  <si>
    <t xml:space="preserve"> 제   14 호표  로더(타이어)  0.57㎥  /  시간</t>
  </si>
  <si>
    <t>로더(타이어)</t>
  </si>
  <si>
    <t>0.57㎥</t>
  </si>
  <si>
    <t>중기14</t>
  </si>
  <si>
    <t xml:space="preserve"> 제   15 호표  로더(타이어)+소형노면파쇄기  0.95㎥  /  시간</t>
  </si>
  <si>
    <t>로더(타이어)+소형노면파쇄기</t>
  </si>
  <si>
    <t>0.95㎥</t>
  </si>
  <si>
    <t>중기15</t>
  </si>
  <si>
    <t xml:space="preserve"> 제   16 호표  머캐덤 롤러(자주식)  10-12톤  /  시간</t>
  </si>
  <si>
    <t>머캐덤 롤러(자주식)</t>
  </si>
  <si>
    <t>10-12톤</t>
  </si>
  <si>
    <t>중기16</t>
  </si>
  <si>
    <t xml:space="preserve"> 제   17 호표  물탱크(살수차)  16000ℓ  /  시간</t>
  </si>
  <si>
    <t>물탱크(살수차)</t>
  </si>
  <si>
    <t>16000ℓ</t>
  </si>
  <si>
    <t>중기17</t>
  </si>
  <si>
    <t xml:space="preserve"> 제   18 호표  물탱크(살수차)  5500ℓ  /  시간</t>
  </si>
  <si>
    <t>5500ℓ</t>
  </si>
  <si>
    <t>중기18</t>
  </si>
  <si>
    <t xml:space="preserve"> 제   19 호표  불도저(무한궤도)  19톤  /  시간</t>
  </si>
  <si>
    <t>불도저(무한궤도)</t>
  </si>
  <si>
    <t>19톤</t>
  </si>
  <si>
    <t>중기19</t>
  </si>
  <si>
    <t xml:space="preserve"> 제   20 호표  소형노면파쇄기  0.95㎥  /  시간</t>
  </si>
  <si>
    <t>소형노면파쇄기</t>
  </si>
  <si>
    <t>중기20</t>
  </si>
  <si>
    <t xml:space="preserve"> 제   21 호표  아스팔트 디스트리뷰터  3,800ℓ  /  시간</t>
  </si>
  <si>
    <t>아스팔트 디스트리뷰터</t>
  </si>
  <si>
    <t>3,800ℓ</t>
  </si>
  <si>
    <t>중기21</t>
  </si>
  <si>
    <t xml:space="preserve"> 제   22 호표  아스팔트 스프레이어  400ℓ  /  시간</t>
  </si>
  <si>
    <t>아스팔트 스프레이어</t>
  </si>
  <si>
    <t>400ℓ</t>
  </si>
  <si>
    <t>중기22</t>
  </si>
  <si>
    <t xml:space="preserve"> 제   23 호표  아스팔트 피니셔  3m  /  시간</t>
  </si>
  <si>
    <t>아스팔트 피니셔</t>
  </si>
  <si>
    <t>3m</t>
  </si>
  <si>
    <t>중기23</t>
  </si>
  <si>
    <t xml:space="preserve"> 제   24 호표  진동롤러(핸드가이드식)  0.7톤  /  시간</t>
  </si>
  <si>
    <t>진동롤러(핸드가이드식)</t>
  </si>
  <si>
    <t>0.7톤</t>
  </si>
  <si>
    <t>중기24</t>
  </si>
  <si>
    <t xml:space="preserve"> 제   25 호표  커터(콘크리트 및 아스팔트용)  320-440mm  /  시간</t>
  </si>
  <si>
    <t>커터(콘크리트 및 아스팔트용)</t>
  </si>
  <si>
    <t>320-440mm</t>
  </si>
  <si>
    <t>중기25</t>
  </si>
  <si>
    <t xml:space="preserve"> 제   26 호표  크레인(타이어)  10톤  /  시간</t>
  </si>
  <si>
    <t>크레인(타이어)</t>
  </si>
  <si>
    <t>10톤</t>
  </si>
  <si>
    <t>중기26</t>
  </si>
  <si>
    <t xml:space="preserve"> 제   27 호표  크레인(타이어)  20톤  /  시간</t>
  </si>
  <si>
    <t>20톤</t>
  </si>
  <si>
    <t>중기27</t>
  </si>
  <si>
    <t xml:space="preserve"> 제   28 호표  타이어 롤러(자주식)  8-15톤  /  시간</t>
  </si>
  <si>
    <t>타이어 롤러(자주식)</t>
  </si>
  <si>
    <t>8-15톤</t>
  </si>
  <si>
    <t>중기28</t>
  </si>
  <si>
    <t xml:space="preserve"> 제   29 호표  탠덤롤러(자주식)  5-8톤  /  시간</t>
  </si>
  <si>
    <t>탠덤롤러(자주식)</t>
  </si>
  <si>
    <t>5-8톤</t>
  </si>
  <si>
    <t>중기29</t>
  </si>
  <si>
    <t xml:space="preserve"> 제   30 호표  트럭 트랙터 및 평판트레일러  20톤  /  시간</t>
  </si>
  <si>
    <t>트럭 트랙터 및 평판트레일러</t>
  </si>
  <si>
    <t>중기30</t>
  </si>
  <si>
    <t xml:space="preserve"> 제   31 호표  트럭탑재형 크레인  10톤  /  시간</t>
  </si>
  <si>
    <t>트럭탑재형 크레인</t>
  </si>
  <si>
    <t>중기31</t>
  </si>
  <si>
    <t xml:space="preserve"> 제   32 호표  트럭탑재형 크레인  5톤  /  시간</t>
  </si>
  <si>
    <t>5톤</t>
  </si>
  <si>
    <t>중기32</t>
  </si>
  <si>
    <t xml:space="preserve"> 제   33 호표  플레이트 콤팩터  1.5톤  /  시간</t>
  </si>
  <si>
    <t>플레이트 콤팩터</t>
  </si>
  <si>
    <t>1.5톤</t>
  </si>
  <si>
    <t>중기33</t>
  </si>
  <si>
    <t>=== 엑셀파일에 작성에 대한 안내문(반드시 읽어보세요) ===</t>
  </si>
  <si>
    <t>재료비 목록표</t>
  </si>
  <si>
    <t>단   가</t>
  </si>
  <si>
    <t xml:space="preserve">   1</t>
  </si>
  <si>
    <t>K.P 단관</t>
  </si>
  <si>
    <t>D250x2.0m</t>
  </si>
  <si>
    <t>_x0007_`COD|M07927_x0005_`QTY1|1_x0005_`BQC|_x0005_`EQC|_x0005_`JDC|_x0005_`WQC|_x0005_`EDT|_x0005_`</t>
  </si>
  <si>
    <t xml:space="preserve">   2</t>
  </si>
  <si>
    <t>K.P 접합부속(관급)</t>
  </si>
  <si>
    <t>D=250</t>
  </si>
  <si>
    <t>_x0007_`COD|M01077_x0005_`QTY1|1_x0005_`BQC| 22088481_x0005_`EQC|_x0005_`JDC|_x0005_`WQC|_x0005_`EDT|_x0005_`</t>
  </si>
  <si>
    <t xml:space="preserve">   3</t>
  </si>
  <si>
    <t>K.P 캡</t>
  </si>
  <si>
    <t>D250</t>
  </si>
  <si>
    <t>_x0007_`COD|M05608_x0005_`QTY1|1_x0005_`BQC|_x0005_`EQC|_x0005_`JDC|_x0005_`WQC|_x0005_`EDT|_x0005_`</t>
  </si>
  <si>
    <t xml:space="preserve">   4</t>
  </si>
  <si>
    <t>K.P소켓곡관(B)</t>
  </si>
  <si>
    <t>D250x11.25°</t>
  </si>
  <si>
    <t>_x0007_`COD|M06275_x0005_`QTY1|1_x0005_`BQC|_x0005_`EQC|_x0005_`JDC|_x0005_`WQC|_x0005_`EDT|_x0005_`</t>
  </si>
  <si>
    <t xml:space="preserve">   5</t>
  </si>
  <si>
    <t>D250x45°</t>
  </si>
  <si>
    <t>_x0007_`COD|M01279_x0005_`QTY1|1_x0005_`BQC|_x0005_`EQC|_x0005_`JDC|_x0005_`WQC|_x0005_`EDT|_x0005_`</t>
  </si>
  <si>
    <t xml:space="preserve">   6</t>
  </si>
  <si>
    <t>K.P이음관</t>
  </si>
  <si>
    <t>_x0007_`COD|M00485_x0005_`QTY1|1_x0005_`BQC|_x0005_`EQC|_x0005_`JDC|_x0005_`WQC|_x0005_`EDT|_x0005_`</t>
  </si>
  <si>
    <t xml:space="preserve">   7</t>
  </si>
  <si>
    <t>K.P플랜지 소켓</t>
  </si>
  <si>
    <t>_x0007_`COD|M06200_x0005_`QTY1|1_x0005_`BQC|_x0005_`EQC|_x0005_`JDC|_x0005_`WQC|_x0005_`EDT|_x0005_`</t>
  </si>
  <si>
    <t xml:space="preserve">   8</t>
  </si>
  <si>
    <t>각재</t>
  </si>
  <si>
    <t>각재, 외송</t>
  </si>
  <si>
    <t>_x0007_`COD|M05530_x0005_`QTY1|1_x0005_`BQC|건축분야_x0005_`EQC|_x0005_`JDC|3010369820141038_x0005_`WQC|_x0005_`EDT|_x0005_`</t>
  </si>
  <si>
    <t xml:space="preserve">   9</t>
  </si>
  <si>
    <t>건설용거푸집</t>
  </si>
  <si>
    <t>건설용거푸집, 강, 600×1200×63.5mm</t>
  </si>
  <si>
    <t>매</t>
  </si>
  <si>
    <t>_x0007_`COD|M05558_x0005_`QTY1|1_x0005_`BQC|건축분야_x0005_`EQC|_x0005_`JDC|3019999420140323_x0005_`WQC|_x0005_`EDT|_x0005_`</t>
  </si>
  <si>
    <t xml:space="preserve">  10</t>
  </si>
  <si>
    <t>경유</t>
  </si>
  <si>
    <t>저유황</t>
  </si>
  <si>
    <t>L</t>
  </si>
  <si>
    <t>_x0007_`COD|M00258_x0005_`QTY1|1_x0005_`BQC|_x0005_`EQC|_x0005_`JDC|1510150520282163_x0005_`WQC|_x0005_`EDT|2026.01.06_x0005_`</t>
  </si>
  <si>
    <t xml:space="preserve">  11</t>
  </si>
  <si>
    <t>고재처리</t>
  </si>
  <si>
    <t>중량A</t>
  </si>
  <si>
    <t>KG</t>
  </si>
  <si>
    <t>_x0007_`COD|M03282_x0005_`QTY1|1_x0005_`BQC|_x0005_`EQC|_x0005_`JDC|_x0005_`WQC|_x0005_`EDT|_x0005_`</t>
  </si>
  <si>
    <t xml:space="preserve">  12</t>
  </si>
  <si>
    <t>공사안내 표지판(대형)</t>
  </si>
  <si>
    <t>600*900</t>
  </si>
  <si>
    <t>_x0007_`COD|M07747_x0005_`QTY1|1_x0005_`BQC|_x0005_`EQC|_x0005_`JDC|_x0005_`WQC|_x0005_`EDT|_x0005_`</t>
  </si>
  <si>
    <t xml:space="preserve">  13</t>
  </si>
  <si>
    <t>900*1800</t>
  </si>
  <si>
    <t>_x0007_`COD|M05418_x0005_`QTY1|1_x0005_`BQC|_x0005_`EQC|_x0005_`JDC|_x0005_`WQC|_x0005_`EDT|_x0005_`</t>
  </si>
  <si>
    <t xml:space="preserve">  14</t>
  </si>
  <si>
    <t>공사안내간판</t>
  </si>
  <si>
    <t>90*2000(A형 입간판)</t>
  </si>
  <si>
    <t>_x0007_`COD|M06157_x0005_`QTY1|1_x0005_`BQC|_x0005_`EQC|_x0005_`JDC|_x0005_`WQC|_x0005_`EDT|_x0005_`</t>
  </si>
  <si>
    <t xml:space="preserve">  15</t>
  </si>
  <si>
    <t>관로 테이프</t>
  </si>
  <si>
    <t>D300mm 지하매설물 경고테이프</t>
  </si>
  <si>
    <t>_x0007_`COD|M06326_x0005_`QTY1|1_x0005_`BQC|_x0005_`EQC|_x0005_`JDC|_x0005_`WQC|_x0005_`EDT|_x0005_`</t>
  </si>
  <si>
    <t xml:space="preserve">  16</t>
  </si>
  <si>
    <t>닥타일주철관(관급)</t>
  </si>
  <si>
    <t>D=250x6m(에폭시분체도장 2종)</t>
  </si>
  <si>
    <t>_x0007_`COD|M00840_x0005_`QTY1|1_x0005_`BQC|  22839938_x0005_`EQC|_x0005_`JDC|_x0005_`WQC|_x0005_`EDT|_x0005_`</t>
  </si>
  <si>
    <t xml:space="preserve">  17</t>
  </si>
  <si>
    <t>단위조정</t>
  </si>
  <si>
    <t>_x0007_`COD|M04970_x0005_`QTY1|1_x0005_`BQC|_x0005_`EQC|_x0005_`JDC|_x0005_`WQC|_x0005_`EDT|_x0005_`</t>
  </si>
  <si>
    <t xml:space="preserve">  18</t>
  </si>
  <si>
    <t>도로경계블럭(직선)</t>
  </si>
  <si>
    <t>150x150x1000</t>
  </si>
  <si>
    <t>_x0007_`COD|M02742_x0005_`QTY1|1_x0005_`BQC|_x0005_`EQC|_x0005_`JDC|_x0005_`WQC|_x0005_`EDT|_x0005_`</t>
  </si>
  <si>
    <t xml:space="preserve">  19</t>
  </si>
  <si>
    <t>도로표지용도료</t>
  </si>
  <si>
    <t>KSM-6080 백색(융착식R3)</t>
  </si>
  <si>
    <t>㎏</t>
  </si>
  <si>
    <t>_x0007_`COD|M05535_x0005_`QTY1|1_x0005_`BQC|_x0005_`EQC|도로_x0005_`JDC|_x0005_`WQC|_x0005_`EDT|_x0005_`</t>
  </si>
  <si>
    <t xml:space="preserve">  20</t>
  </si>
  <si>
    <t>레미콘</t>
  </si>
  <si>
    <t>25-21-08</t>
  </si>
  <si>
    <t>_x0007_`COD|M00188_x0005_`QTY1|1_x0005_`BQC|_x0005_`EQC|_x0005_`JDC|_x0005_`WQC|_x0005_`EDT|_x0005_`</t>
  </si>
  <si>
    <t xml:space="preserve">  21</t>
  </si>
  <si>
    <t>25-21-08(별산)</t>
  </si>
  <si>
    <t>_x0007_`COD|M06177_x0005_`QTY1|1_x0005_`BQC|_x0005_`EQC|_x0005_`JDC|_x0005_`WQC|_x0005_`EDT|_x0005_`</t>
  </si>
  <si>
    <t xml:space="preserve">  22</t>
  </si>
  <si>
    <t>맨홀뚜껑(관급)</t>
  </si>
  <si>
    <t>상수도용φ648 DKC-648251</t>
  </si>
  <si>
    <t>_x0007_`COD|M04882_x0005_`QTY1|1_x0005_`BQC| 21774695_x0005_`EQC|상수도_x0005_`JDC|_x0005_`WQC|_x0005_`EDT|_x0005_`</t>
  </si>
  <si>
    <t xml:space="preserve">  23</t>
  </si>
  <si>
    <t>모래</t>
  </si>
  <si>
    <t>(도착도)</t>
  </si>
  <si>
    <t>_x0007_`COD|M03781_x0005_`QTY1|1_x0005_`BQC|_x0005_`EQC|_x0005_`JDC|_x0005_`WQC|_x0005_`EDT|_x0005_`</t>
  </si>
  <si>
    <t xml:space="preserve">  24</t>
  </si>
  <si>
    <t>(별산)</t>
  </si>
  <si>
    <t>_x0007_`COD|M00434_x0005_`QTY1|1_x0005_`BQC|_x0005_`EQC|_x0005_`JDC|_x0005_`WQC|_x0005_`EDT|_x0005_`</t>
  </si>
  <si>
    <t xml:space="preserve">  25</t>
  </si>
  <si>
    <t>보차도경계석(화강석)</t>
  </si>
  <si>
    <t>180*200*1000(낯춤석)</t>
  </si>
  <si>
    <t>_x0007_`COD|M07143_x0005_`QTY1|1_x0005_`BQC|_x0005_`EQC|_x0005_`JDC|_x0005_`WQC|_x0005_`EDT|_x0005_`</t>
  </si>
  <si>
    <t xml:space="preserve">  26</t>
  </si>
  <si>
    <t>200*250*1000(직선)</t>
  </si>
  <si>
    <t>_x0007_`COD|M00361_x0005_`QTY1|1_x0005_`BQC|_x0005_`EQC|_x0005_`JDC|_x0005_`WQC|_x0005_`EDT|_x0005_`</t>
  </si>
  <si>
    <t xml:space="preserve">  27</t>
  </si>
  <si>
    <t>부단수제수밸브</t>
  </si>
  <si>
    <t>D=250(현장설치도)탄력시트</t>
  </si>
  <si>
    <t>_x0007_`COD|M07928_x0005_`QTY1|1_x0005_`BQC|  24010799_x0005_`EQC|_x0005_`JDC|_x0005_`WQC|_x0005_`EDT|_x0005_`</t>
  </si>
  <si>
    <t xml:space="preserve">  28</t>
  </si>
  <si>
    <t>부단수할정자관</t>
  </si>
  <si>
    <t>D250*250</t>
  </si>
  <si>
    <t>_x0007_`COD|M06368_x0005_`QTY1|1_x0005_`BQC|_x0005_`EQC|상수도_x0005_`JDC|_x0005_`WQC|_x0005_`EDT|_x0005_`</t>
  </si>
  <si>
    <t xml:space="preserve">  29</t>
  </si>
  <si>
    <t>블레이드</t>
  </si>
  <si>
    <t>D=320-400㎜,t=3.2㎜</t>
  </si>
  <si>
    <t>_x0007_`COD|M00288_x0005_`QTY1|1_x0005_`BQC|_x0005_`EQC|_x0005_`JDC|_x0005_`WQC|_x0005_`EDT|_x0005_`</t>
  </si>
  <si>
    <t xml:space="preserve">  30</t>
  </si>
  <si>
    <t>사각맨홀</t>
  </si>
  <si>
    <t>1.5x1.5x2.0,도착도</t>
  </si>
  <si>
    <t>_x0007_`COD|M05624_x0005_`QTY1|1_x0005_`BQC|_x0005_`EQC|_x0005_`JDC|_x0005_`WQC|_x0005_`EDT|_x0005_`</t>
  </si>
  <si>
    <t xml:space="preserve">  31</t>
  </si>
  <si>
    <t>시멘트</t>
  </si>
  <si>
    <t>40kg(별산)</t>
  </si>
  <si>
    <t>kg</t>
  </si>
  <si>
    <t>_x0007_`COD|M03597_x0005_`QTY1|1_x0005_`BQC|_x0005_`EQC|_x0005_`JDC|_x0005_`WQC|_x0005_`EDT|_x0005_`</t>
  </si>
  <si>
    <t xml:space="preserve">  32</t>
  </si>
  <si>
    <t>40kg/대(수원)</t>
  </si>
  <si>
    <t>대</t>
  </si>
  <si>
    <t>_x0007_`COD|M00636_x0005_`QTY1|1_x0005_`BQC|_x0005_`EQC|도로_x0005_`JDC|_x0005_`WQC|_x0005_`EDT|_x0005_`</t>
  </si>
  <si>
    <t xml:space="preserve">  33</t>
  </si>
  <si>
    <t>아스콘</t>
  </si>
  <si>
    <t>기층용(#467)</t>
  </si>
  <si>
    <t>Ton</t>
  </si>
  <si>
    <t>_x0007_`COD|M00642_x0005_`QTY1|1_x0005_`BQC|_x0005_`EQC|도로_x0005_`JDC|_x0005_`WQC|_x0005_`EDT|_x0005_`</t>
  </si>
  <si>
    <t xml:space="preserve">  34</t>
  </si>
  <si>
    <t>표층용(#78)</t>
  </si>
  <si>
    <t>_x0007_`COD|M00641_x0005_`QTY1|1_x0005_`BQC|_x0005_`EQC|_x0005_`JDC|_x0005_`WQC|_x0005_`EDT|_x0005_`</t>
  </si>
  <si>
    <t xml:space="preserve">  35</t>
  </si>
  <si>
    <t>아스팔트 유제</t>
  </si>
  <si>
    <t>RSC-3,(현장도착도)</t>
  </si>
  <si>
    <t>D/M</t>
  </si>
  <si>
    <t>_x0007_`COD|M04117_x0005_`QTY1|1_x0005_`BQC|_x0005_`EQC|_x0005_`JDC|_x0005_`WQC|_x0005_`EDT|_x0005_`</t>
  </si>
  <si>
    <t xml:space="preserve">  36</t>
  </si>
  <si>
    <t>RSC-4,(현장도착도)</t>
  </si>
  <si>
    <t>_x0007_`COD|M04118_x0005_`QTY1|1_x0005_`BQC|_x0005_`EQC|_x0005_`JDC|_x0005_`WQC|_x0005_`EDT|_x0005_`</t>
  </si>
  <si>
    <t xml:space="preserve">  37</t>
  </si>
  <si>
    <t>액화석유가스</t>
  </si>
  <si>
    <t>액화석유가스, 건설용LPG</t>
  </si>
  <si>
    <t>_x0007_`COD|M03602_x0005_`QTY1|1_x0005_`BQC|_x0005_`EQC|_x0005_`JDC|_x0005_`WQC|_x0005_`EDT|_x0005_`</t>
  </si>
  <si>
    <t xml:space="preserve">  38</t>
  </si>
  <si>
    <t>유리알</t>
  </si>
  <si>
    <t>고휘도</t>
  </si>
  <si>
    <t>_x0007_`COD|M05567_x0005_`QTY1|1_x0005_`BQC|_x0005_`EQC|도로_x0005_`JDC|_x0005_`WQC|_x0005_`EDT|_x0005_`</t>
  </si>
  <si>
    <t xml:space="preserve">  39</t>
  </si>
  <si>
    <t>융착식 프라이머</t>
  </si>
  <si>
    <t>_x0007_`COD|M05555_x0005_`QTY1|1_x0005_`BQC|_x0005_`EQC|도로_x0005_`JDC|_x0005_`WQC|_x0005_`EDT|_x0005_`</t>
  </si>
  <si>
    <t xml:space="preserve">  40</t>
  </si>
  <si>
    <t>이탈방지압륜</t>
  </si>
  <si>
    <t>D250(동광) 삼중날</t>
  </si>
  <si>
    <t>_x0007_`COD|M05398_x0005_`QTY1|1_x0005_`BQC| 21110948_x0005_`EQC|_x0005_`JDC|_x0005_`WQC|_x0005_`EDT|_x0005_`</t>
  </si>
  <si>
    <t xml:space="preserve">  41</t>
  </si>
  <si>
    <t>잡품</t>
  </si>
  <si>
    <t>주연료의 %</t>
  </si>
  <si>
    <t>%</t>
  </si>
  <si>
    <t>_x0007_`COD|M00468_x0005_`QTY1|1_x0005_`UNT|M%_x0005_`BQC|_x0005_`EQC|_x0005_`JDC|_x0005_`WQC|_x0005_`EDT|_x0005_`</t>
  </si>
  <si>
    <t xml:space="preserve">  42</t>
  </si>
  <si>
    <t>점자블럭(선형)</t>
  </si>
  <si>
    <t>300x300x60 황색</t>
  </si>
  <si>
    <t>_x0007_`COD|M07040_x0005_`QTY1|1_x0005_`BQC|_x0005_`EQC|_x0005_`JDC|_x0005_`WQC|_x0005_`EDT|_x0005_`</t>
  </si>
  <si>
    <t xml:space="preserve">  43</t>
  </si>
  <si>
    <t>제수밸브(관급)</t>
  </si>
  <si>
    <t>일체형(D=250)</t>
  </si>
  <si>
    <t>_x0007_`COD|M00983_x0005_`QTY1|1_x0005_`BQC|  10062950_x0005_`EQC|_x0005_`JDC|_x0005_`WQC|_x0005_`EDT|_x0005_`</t>
  </si>
  <si>
    <t xml:space="preserve">  44</t>
  </si>
  <si>
    <t>치즐</t>
  </si>
  <si>
    <t>(0.4㎥용)</t>
  </si>
  <si>
    <t>_x0007_`COD|M04240_x0005_`QTY1|1_x0005_`BQC|_x0005_`EQC|_x0005_`JDC|_x0005_`WQC|_x0005_`EDT|_x0005_`</t>
  </si>
  <si>
    <t xml:space="preserve">  45</t>
  </si>
  <si>
    <t>_x0007_`COD|M01434_x0005_`QTY1|1_x0005_`BQC|_x0005_`EQC|_x0005_`JDC|_x0005_`WQC|_x0005_`EDT|_x0005_`</t>
  </si>
  <si>
    <t xml:space="preserve">  46</t>
  </si>
  <si>
    <t>(0.6㎥용)</t>
  </si>
  <si>
    <t>_x0007_`COD|M04878_x0005_`QTY1|1_x0005_`BQC|_x0005_`EQC|_x0005_`JDC|_x0005_`WQC|_x0005_`EDT|_x0005_`</t>
  </si>
  <si>
    <t xml:space="preserve">  47</t>
  </si>
  <si>
    <t>투수콘</t>
  </si>
  <si>
    <t>(적색, 회색)</t>
  </si>
  <si>
    <t>_x0007_`COD|M07759_x0005_`QTY1|1_x0005_`BQC|_x0005_`EQC|_x0005_`JDC|_x0005_`WQC|_x0005_`EDT|_x0005_`</t>
  </si>
  <si>
    <t xml:space="preserve">  48</t>
  </si>
  <si>
    <t>팁</t>
  </si>
  <si>
    <t>노면파쇄기팁날</t>
  </si>
  <si>
    <t>_x0007_`COD|M00262_x0005_`QTY1|1_x0005_`BQC|_x0005_`EQC|_x0005_`JDC|_x0005_`WQC|_x0005_`EDT|_x0005_`</t>
  </si>
  <si>
    <t xml:space="preserve">  49</t>
  </si>
  <si>
    <t>플랜지접합부속</t>
  </si>
  <si>
    <t>_x0007_`COD|M00563_x0005_`QTY1|1_x0005_`BQC|_x0005_`EQC|상수도_x0005_`JDC|_x0005_`WQC|_x0005_`EDT|_x0005_`</t>
  </si>
  <si>
    <t xml:space="preserve">  50</t>
  </si>
  <si>
    <t>플랜카드</t>
  </si>
  <si>
    <t>0.7*7.0m</t>
  </si>
  <si>
    <t>_x0007_`COD|M06158_x0005_`QTY1|1_x0005_`BQC|_x0005_`EQC|_x0005_`JDC|_x0005_`WQC|_x0005_`EDT|_x0005_`</t>
  </si>
  <si>
    <t xml:space="preserve">  51</t>
  </si>
  <si>
    <t>합판</t>
  </si>
  <si>
    <t>내수합판, 1급, 15×1220×2440mm</t>
  </si>
  <si>
    <t>_x0007_`COD|M05556_x0005_`QTY1|1_x0005_`BQC|건축분야_x0005_`EQC|_x0005_`JDC|1112200120142458_x0005_`WQC|_x0005_`EDT|_x0005_`</t>
  </si>
  <si>
    <t xml:space="preserve">  52</t>
  </si>
  <si>
    <t>혼합골재</t>
  </si>
  <si>
    <t>Φ40mm이하 (시내도착도)</t>
  </si>
  <si>
    <t>_x0007_`COD|M03931_x0005_`QTY1|1_x0005_`BQC|_x0005_`EQC|_x0005_`JDC|_x0005_`WQC|_x0005_`EDT|_x0005_`</t>
  </si>
  <si>
    <t xml:space="preserve">  53</t>
  </si>
  <si>
    <t>휘발유</t>
  </si>
  <si>
    <t>무연</t>
  </si>
  <si>
    <t>_x0007_`COD|M05236_x0005_`QTY1|1_x0005_`BQC|_x0005_`EQC|_x0005_`JDC|1510150620282203_x0005_`WQC|_x0005_`EDT|2026.01.06_x0005_`</t>
  </si>
  <si>
    <t>노무비 목록표</t>
  </si>
  <si>
    <t>건설기계운전사</t>
  </si>
  <si>
    <t>인</t>
  </si>
  <si>
    <t>_x0007_`COD|L00082_x0005_`QTY1|1_x0005_`BQC|01000000076_x0005_`EQC|01000001048_x0005_`JDC|L001010101000048_x0005_`WQC|_x0005_`EDT|2026.상_x0005_`</t>
  </si>
  <si>
    <t>교통정리원</t>
  </si>
  <si>
    <t>_x0007_`COD|L00284_x0005_`QTY1|1_x0005_`BQC|_x0005_`EQC|_x0005_`JDC|_x0005_`WQC|_x0005_`EDT|2026.상_x0005_`</t>
  </si>
  <si>
    <t>배관공</t>
  </si>
  <si>
    <t>_x0007_`COD|L00028_x0005_`QTY1|1_x0005_`BQC|01000000025_x0005_`EQC|01000001039_x0005_`JDC|L001010101000039_x0005_`WQC|_x0005_`EDT|2026.상_x0005_`</t>
  </si>
  <si>
    <t>배관공(수도)</t>
  </si>
  <si>
    <t>_x0007_`COD|L00027_x0005_`QTY1|1_x0005_`BQC|01000000026_x0005_`EQC|01000001040_x0005_`JDC|L001010101000040_x0005_`WQC|_x0005_`EDT|2026.상_x0005_`</t>
  </si>
  <si>
    <t>보통인부</t>
  </si>
  <si>
    <t>_x0007_`COD|L00001_x0005_`QTY1|1_x0005_`BQC|01000000075_x0005_`EQC|01000001002_x0005_`JDC|L001010101000002_x0005_`WQC|_x0005_`EDT|2026.상_x0005_`</t>
  </si>
  <si>
    <t>석공</t>
  </si>
  <si>
    <t>_x0007_`COD|L00012_x0005_`QTY1|1_x0005_`BQC|01000000011_x0005_`EQC|01000001033_x0005_`JDC|L001010101000033_x0005_`WQC|_x0005_`EDT|2026.상_x0005_`</t>
  </si>
  <si>
    <t>일반기계운전사</t>
  </si>
  <si>
    <t>_x0007_`COD|L00084_x0005_`QTY1|1_x0005_`BQC|01000000079_x0005_`EQC|01000001050_x0005_`JDC|L001010101000050_x0005_`WQC|_x0005_`EDT|2026.상_x0005_`</t>
  </si>
  <si>
    <t>조경공</t>
  </si>
  <si>
    <t>_x0007_`COD|L00049_x0005_`QTY1|1_x0005_`BQC|01000000044_x0005_`EQC|01000001038_x0005_`JDC|L001010101000038_x0005_`WQC|_x0005_`EDT|2026.상_x0005_`</t>
  </si>
  <si>
    <t>콘크리트공</t>
  </si>
  <si>
    <t>_x0007_`COD|L00024_x0005_`QTY1|1_x0005_`BQC|01000000023_x0005_`EQC|01000001013_x0005_`JDC|L001010101000013_x0005_`WQC|_x0005_`EDT|2026.상_x0005_`</t>
  </si>
  <si>
    <t>특별인부</t>
  </si>
  <si>
    <t>_x0007_`COD|L00079_x0005_`QTY1|1_x0005_`BQC|01000000074_x0005_`EQC|01000001003_x0005_`JDC|L001010101000003_x0005_`WQC|_x0005_`EDT|2026.상_x0005_`</t>
  </si>
  <si>
    <t>포설공</t>
  </si>
  <si>
    <t>_x0007_`COD|L00278_x0005_`QTY1|1_x0005_`BQC|01000000039_x0005_`EQC|01000001018_x0005_`JDC|L001010101000018_x0005_`WQC|_x0005_`EDT|2026.상_x0005_`</t>
  </si>
  <si>
    <t>포장공</t>
  </si>
  <si>
    <t>_x0007_`COD|L00040_x0005_`QTY1|1_x0005_`BQC|01000000038_x0005_`EQC|01000001019_x0005_`JDC|L001010101000019_x0005_`WQC|_x0005_`EDT|2026.상_x0005_`</t>
  </si>
  <si>
    <t>형틀목공</t>
  </si>
  <si>
    <t>_x0007_`COD|L00004_x0005_`QTY1|1_x0005_`BQC|01000000003_x0005_`EQC|01000001007_x0005_`JDC|L001010101000007_x0005_`WQC|_x0005_`EDT|2026.상_x0005_`</t>
  </si>
  <si>
    <t>화물차운전사</t>
  </si>
  <si>
    <t>_x0007_`COD|L00083_x0005_`QTY1|1_x0005_`BQC|01000000078_x0005_`EQC|01000001049_x0005_`JDC|L001010101000049_x0005_`WQC|_x0005_`EDT|2026.상_x0005_`</t>
  </si>
  <si>
    <t>경비 목록표</t>
  </si>
  <si>
    <t>공구손료</t>
  </si>
  <si>
    <t>노무비의 %</t>
  </si>
  <si>
    <t>_x0007_`COD|S00159_x0005_`QTY1|1_x0005_`UNT|L%_x0005_`BQC|_x0005_`EQC|_x0005_`JDC|_x0005_`WQC|_x0005_`EDT|_x0005_`</t>
  </si>
  <si>
    <t>천원</t>
  </si>
  <si>
    <t>_x0007_`COD|S00132_x0005_`QTY1|1_x0005_`BQC|_x0005_`EQC|02020100200_x0005_`JDC|0000020100200000_x0005_`WQC|_x0005_`EDT|2026_x0005_`</t>
  </si>
  <si>
    <t>_x0007_`COD|S00125_x0005_`QTY1|1_x0005_`BQC|_x0005_`EQC|02020100400_x0005_`JDC|0000020100400000_x0005_`WQC|_x0005_`EDT|2026_x0005_`</t>
  </si>
  <si>
    <t>_x0007_`COD|S00186_x0005_`QTY1|1_x0005_`BQC|_x0005_`EQC|02020100600_x0005_`JDC|0000020100600000_x0005_`WQC|_x0005_`EDT|2026_x0005_`</t>
  </si>
  <si>
    <t>_x0007_`COD|S00274_x0005_`QTY1|1_x0005_`BQC|_x0005_`EQC|02021100600_x0005_`JDC|0000021100600000_x0005_`WQC|_x0005_`EDT|2026_x0005_`</t>
  </si>
  <si>
    <t>기구손료</t>
  </si>
  <si>
    <t>공사금액 %</t>
  </si>
  <si>
    <t>_x0007_`COD|S00190_x0005_`QTY1|1_x0005_`UNT|T%_x0005_`BQC|_x0005_`EQC|_x0005_`JDC|_x0005_`WQC|_x0005_`EDT|_x0005_`</t>
  </si>
  <si>
    <t>_x0007_`COD|S00092_x0005_`QTY1|1_x0005_`UNT|L%_x0005_`BQC|_x0005_`EQC|_x0005_`JDC|_x0005_`WQC|_x0005_`EDT|_x0005_`</t>
  </si>
  <si>
    <t>_x0007_`COD|S00145_x0005_`QTY1|1_x0005_`BQC|_x0005_`EQC|02570100200_x0005_`JDC|0000570100200000_x0005_`WQC|_x0005_`EDT|2026_x0005_`</t>
  </si>
  <si>
    <t>원</t>
  </si>
  <si>
    <t>_x0007_`COD|S00322_x0005_`QTY1|1_x0005_`BQC|_x0005_`EQC|_x0005_`JDC|_x0005_`WQC|_x0005_`EDT|_x0005_`</t>
  </si>
  <si>
    <t>_x0007_`COD|S00127_x0005_`QTY1|1_x0005_`BQC|_x0005_`EQC|02023000040_x0005_`JDC|0000023000040000_x0005_`WQC|_x0005_`EDT|2026_x0005_`</t>
  </si>
  <si>
    <t>_x0007_`COD|S00323_x0005_`QTY1|1_x0005_`BQC|_x0005_`EQC|02023000060_x0005_`JDC|0000023000060000_x0005_`WQC|_x0005_`EDT|2026_x0005_`</t>
  </si>
  <si>
    <t>_x0007_`COD|S00011_x0005_`QTY1|1_x0005_`BQC|_x0005_`EQC|02060201500_x0005_`JDC|0000060201500000_x0005_`WQC|_x0005_`EDT|2026_x0005_`</t>
  </si>
  <si>
    <t>_x0007_`COD|S00144_x0005_`QTY1|1_x0005_`BQC|_x0005_`EQC|02060200250_x0005_`JDC|0000060200250000_x0005_`WQC|_x0005_`EDT|2026_x0005_`</t>
  </si>
  <si>
    <t>_x0007_`COD|S00148_x0005_`QTY1|1_x0005_`BQC|_x0005_`EQC|02060200450_x0005_`JDC|0000060200450000_x0005_`WQC|_x0005_`EDT|2026_x0005_`</t>
  </si>
  <si>
    <t>_x0007_`COD|S00377_x0005_`QTY1|1_x0005_`BQC|14상' 신규_x0005_`EQC|02721004850_x0005_`JDC|0000721004850000_x0005_`WQC|_x0005_`EDT|2026_x0005_`</t>
  </si>
  <si>
    <t>_x0007_`COD|S00185_x0005_`QTY1|1_x0005_`BQC|_x0005_`EQC|02030200570_x0005_`JDC|0000030200570000_x0005_`WQC|_x0005_`EDT|2026_x0005_`</t>
  </si>
  <si>
    <t>_x0007_`COD|S00436_x0005_`QTY1|1_x0005_`BQC|_x0005_`EQC|02030200950_x0005_`JDC|0000030200950000_x0005_`WQC|_x0005_`EDT|2026_x0005_`</t>
  </si>
  <si>
    <t>_x0007_`COD|S00018_x0005_`QTY1|1_x0005_`BQC|_x0005_`EQC|02110600120_x0005_`JDC|0000110600120000_x0005_`WQC|_x0005_`EDT|2026_x0005_`</t>
  </si>
  <si>
    <t>_x0007_`COD|S00183_x0005_`QTY1|1_x0005_`BQC|_x0005_`EQC|02720401600_x0005_`JDC|0000720401600000_x0005_`WQC|_x0005_`EDT|2026_x0005_`</t>
  </si>
  <si>
    <t>_x0007_`COD|S00049_x0005_`QTY1|1_x0005_`BQC|_x0005_`EQC|02720400550_x0005_`JDC|0000720400550000_x0005_`WQC|_x0005_`EDT|2026_x0005_`</t>
  </si>
  <si>
    <t>_x0007_`COD|S00066_x0005_`QTY1|1_x0005_`BQC|_x0005_`EQC|02010100190_x0005_`JDC|0000010100190000_x0005_`WQC|_x0005_`EDT|2026_x0005_`</t>
  </si>
  <si>
    <t>_x0007_`COD|S00432_x0005_`QTY1|1_x0005_`BQC|20상' 신규_x0005_`EQC|02570200950_x0005_`JDC|0000570200950000_x0005_`WQC|_x0005_`EDT|2026_x0005_`</t>
  </si>
  <si>
    <t>_x0007_`COD|S00036_x0005_`QTY1|1_x0005_`BQC|_x0005_`EQC|02330200380_x0005_`JDC|0000330200380000_x0005_`WQC|_x0005_`EDT|2026_x0005_`</t>
  </si>
  <si>
    <t>_x0007_`COD|S00126_x0005_`QTY1|1_x0005_`BQC|_x0005_`EQC|02343004000_x0005_`JDC|0000343004000000_x0005_`WQC|_x0005_`EDT|2026_x0005_`</t>
  </si>
  <si>
    <t>_x0007_`COD|S00035_x0005_`QTY1|1_x0005_`BQC|_x0005_`EQC|02320100030_x0005_`JDC|0000320100030000_x0005_`WQC|_x0005_`EDT|2026_x0005_`</t>
  </si>
  <si>
    <t>_x0007_`COD|S00142_x0005_`QTY1|1_x0005_`BQC|_x0005_`EQC|02130500070_x0005_`JDC|0000130500070000_x0005_`WQC|_x0005_`EDT|2026_x0005_`</t>
  </si>
  <si>
    <t>_x0007_`COD|S00037_x0005_`QTY1|1_x0005_`BQC|_x0005_`EQC|02443004000_x0005_`JDC|0000443004000000_x0005_`WQC|_x0005_`EDT|2026_x0005_`</t>
  </si>
  <si>
    <t>_x0007_`COD|S00029_x0005_`QTY1|1_x0005_`BQC|_x0005_`EQC|02210400100_x0005_`JDC|0000210400100000_x0005_`WQC|_x0005_`EDT|2026_x0005_`</t>
  </si>
  <si>
    <t>_x0007_`COD|S00031_x0005_`QTY1|1_x0005_`BQC|_x0005_`EQC|02210400200_x0005_`JDC|0000210400200000_x0005_`WQC|_x0005_`EDT|2026_x0005_`</t>
  </si>
  <si>
    <t>_x0007_`COD|S00022_x0005_`QTY1|1_x0005_`BQC|_x0005_`EQC|02140600150_x0005_`JDC|0000140600150000_x0005_`WQC|_x0005_`EDT|2026_x0005_`</t>
  </si>
  <si>
    <t>_x0007_`COD|S00182_x0005_`QTY1|1_x0005_`BQC|_x0005_`EQC|02120600080_x0005_`JDC|0000120600080000_x0005_`WQC|_x0005_`EDT|2026_x0005_`</t>
  </si>
  <si>
    <t>_x0007_`COD|S00034_x0005_`QTY1|1_x0005_`BQC|_x0005_`EQC|02270200200_x0005_`JDC|0000270200200000_x0005_`WQC|_x0005_`EDT|2026_x0005_`</t>
  </si>
  <si>
    <t>_x0007_`COD|S00222_x0005_`QTY1|1_x0005_`BQC|_x0005_`EQC|02210500100_x0005_`JDC|0000210500100000_x0005_`WQC|_x0005_`EDT|2026_x0005_`</t>
  </si>
  <si>
    <t>_x0007_`COD|S00157_x0005_`QTY1|1_x0005_`BQC|_x0005_`EQC|02210500050_x0005_`JDC|0000210500050000_x0005_`WQC|_x0005_`EDT|2026_x0005_`</t>
  </si>
  <si>
    <t>폐기물운반비</t>
  </si>
  <si>
    <t>폐아스콘</t>
  </si>
  <si>
    <t>_x0007_`COD|S00264_x0005_`QTY1|1_x0005_`BQC|_x0005_`EQC|_x0005_`JDC|_x0005_`WQC|_x0005_`EDT|_x0005_`</t>
  </si>
  <si>
    <t>폐콘크리트</t>
  </si>
  <si>
    <t>_x0007_`COD|S00227_x0005_`QTY1|1_x0005_`BQC|_x0005_`EQC|_x0005_`JDC|_x0005_`WQC|_x0005_`EDT|_x0005_`</t>
  </si>
  <si>
    <t>폐기물처리비</t>
  </si>
  <si>
    <t>_x0007_`COD|S00147_x0005_`QTY1|1_x0005_`BQC|_x0005_`EQC|_x0005_`JDC|_x0005_`WQC|_x0005_`EDT|_x0005_`</t>
  </si>
  <si>
    <t>_x0007_`COD|S00149_x0005_`QTY1|1_x0005_`BQC|_x0005_`EQC|_x0005_`JDC|_x0005_`WQC|_x0005_`EDT|_x0005_`</t>
  </si>
  <si>
    <t>_x0007_`COD|S00024_x0005_`QTY1|1_x0005_`BQC|_x0005_`EQC|02173000150_x0005_`JDC|0000173000150000_x0005_`WQC|_x0005_`EDT|2026_x0005_`</t>
  </si>
  <si>
    <t>일식/견적 목록표</t>
  </si>
  <si>
    <t>KP주철관 하차비(이형관)</t>
  </si>
  <si>
    <t>20TON이하,공장~용인시청(360m</t>
  </si>
  <si>
    <t>_x0007_`COD|W00244_x0005_`QTY1|1_x0005_`BQC|_x0005_`EQC|_x0005_`JDC|_x0005_`WQC|_x0005_`EDT|_x0005_`ATP|0_x0005_`</t>
  </si>
  <si>
    <t>KP주철관 하차비(직관)</t>
  </si>
  <si>
    <t>20톤이하, 생산공장~용인시청(360km</t>
  </si>
  <si>
    <t>_x0007_`COD|W00197_x0005_`QTY1|1_x0005_`BQC|_x0005_`EQC|_x0005_`JDC|_x0005_`WQC|_x0005_`EDT|_x0005_`ATP|0_x0005_`</t>
  </si>
  <si>
    <t>KP주철관운반비(직관)</t>
  </si>
  <si>
    <t>3톤, 생산공장~용인시청(380km)</t>
  </si>
  <si>
    <t>_x0007_`COD|W02698_x0005_`QTY1|1_x0005_`BQC|_x0005_`EQC|_x0005_`JDC|_x0005_`WQC|_x0005_`EDT|_x0005_`ATP|0_x0005_`</t>
  </si>
  <si>
    <t>1. 환  율</t>
  </si>
  <si>
    <t>100,000$ 미만</t>
  </si>
  <si>
    <t>100,000$ 이상</t>
  </si>
  <si>
    <t>유로화(€)</t>
  </si>
  <si>
    <t>엔화(100￥)</t>
  </si>
  <si>
    <t>2. 인 건 비</t>
  </si>
  <si>
    <t>*  1/8 * 16/12 * 25/20  =</t>
  </si>
  <si>
    <t>노무1</t>
  </si>
  <si>
    <t>노무14</t>
  </si>
  <si>
    <t>노무7</t>
  </si>
  <si>
    <t>3. 단가 및 재료비</t>
  </si>
  <si>
    <t>NO</t>
  </si>
  <si>
    <t>단 가 명</t>
  </si>
  <si>
    <t>규    격</t>
  </si>
  <si>
    <t>가  격</t>
  </si>
  <si>
    <t>1</t>
  </si>
  <si>
    <t>2</t>
  </si>
  <si>
    <t>3</t>
  </si>
  <si>
    <t>4</t>
  </si>
  <si>
    <t>자재10</t>
  </si>
  <si>
    <t>5</t>
  </si>
  <si>
    <t>자재53</t>
  </si>
  <si>
    <t>자재단가 대비표</t>
  </si>
  <si>
    <t>가격 정보</t>
  </si>
  <si>
    <t>페이지</t>
  </si>
  <si>
    <t>물가 자료</t>
  </si>
  <si>
    <t>물가 정보</t>
  </si>
  <si>
    <t>견적단가1</t>
  </si>
  <si>
    <t>거래,유통</t>
  </si>
  <si>
    <t>적용 단가</t>
  </si>
  <si>
    <t>이전단가</t>
  </si>
  <si>
    <t>최소단가</t>
  </si>
  <si>
    <t>위치</t>
  </si>
  <si>
    <t>물가지명</t>
  </si>
  <si>
    <t>별명</t>
  </si>
  <si>
    <t>가.정</t>
  </si>
  <si>
    <t>물.자</t>
  </si>
  <si>
    <t>물.정</t>
  </si>
  <si>
    <t>견적 1</t>
  </si>
  <si>
    <t>거래</t>
  </si>
  <si>
    <t>735(26.06)</t>
  </si>
  <si>
    <t>695(26.06)</t>
  </si>
  <si>
    <t xml:space="preserve"> 22088481</t>
  </si>
  <si>
    <t>26-788-거래</t>
  </si>
  <si>
    <t>696(26.06)</t>
  </si>
  <si>
    <t>736(26.06)</t>
  </si>
  <si>
    <t>건축분야</t>
  </si>
  <si>
    <t>2026.06</t>
  </si>
  <si>
    <t>98(26.06)</t>
  </si>
  <si>
    <t>85(26.06)</t>
  </si>
  <si>
    <t>147(26.06)거</t>
  </si>
  <si>
    <t>107(26.06)</t>
  </si>
  <si>
    <t>87(26.06)</t>
  </si>
  <si>
    <t>26-166-거래</t>
  </si>
  <si>
    <t>26-하-47</t>
  </si>
  <si>
    <t>84-2((26.06)</t>
  </si>
  <si>
    <t>26-1472-거</t>
  </si>
  <si>
    <t>26-246-거래</t>
  </si>
  <si>
    <t>747(26.06)</t>
  </si>
  <si>
    <t>772(26.06)</t>
  </si>
  <si>
    <t xml:space="preserve">  22839938</t>
  </si>
  <si>
    <t>140(26.06)</t>
  </si>
  <si>
    <t>188(26.060)</t>
  </si>
  <si>
    <t>597(26.06)</t>
  </si>
  <si>
    <t>227(26.06)</t>
  </si>
  <si>
    <t>26-244-거래</t>
  </si>
  <si>
    <t>71(26.06)</t>
  </si>
  <si>
    <t>56(26.06)</t>
  </si>
  <si>
    <t>26-109-거래</t>
  </si>
  <si>
    <t xml:space="preserve"> 21774695</t>
  </si>
  <si>
    <t>62(26.06)</t>
  </si>
  <si>
    <t>55(26.06)</t>
  </si>
  <si>
    <t>26-61-유통</t>
  </si>
  <si>
    <t>142(26.06)</t>
  </si>
  <si>
    <t>188(26.06)</t>
  </si>
  <si>
    <t>26-207-거래</t>
  </si>
  <si>
    <t xml:space="preserve">  24010799</t>
  </si>
  <si>
    <t>667(26.06)</t>
  </si>
  <si>
    <t>22-863-거래</t>
  </si>
  <si>
    <t>1414(26.06)</t>
  </si>
  <si>
    <t>1080(26.06)</t>
  </si>
  <si>
    <t>1338(2606)거</t>
  </si>
  <si>
    <t>65(26.06)</t>
  </si>
  <si>
    <t>58(26.06)</t>
  </si>
  <si>
    <t>103(26.06)거</t>
  </si>
  <si>
    <t>114(26.06)</t>
  </si>
  <si>
    <t>172(26.06)</t>
  </si>
  <si>
    <t>177(26.06)거</t>
  </si>
  <si>
    <t>177(26.03)거</t>
  </si>
  <si>
    <t>26-177-거래</t>
  </si>
  <si>
    <t>26-하-32</t>
  </si>
  <si>
    <t>1438(26.06)</t>
  </si>
  <si>
    <t>1451(2606)거</t>
  </si>
  <si>
    <t>232(26.06)</t>
  </si>
  <si>
    <t>231(26.06)</t>
  </si>
  <si>
    <t xml:space="preserve"> 21110948</t>
  </si>
  <si>
    <t>144(26.06)</t>
  </si>
  <si>
    <t>197(26.06)</t>
  </si>
  <si>
    <t xml:space="preserve">  10062950</t>
  </si>
  <si>
    <t>2025.04</t>
  </si>
  <si>
    <t>1035(23.09)</t>
  </si>
  <si>
    <t>품셈(2016)</t>
  </si>
  <si>
    <t>1036(26.03)</t>
  </si>
  <si>
    <t>1032(23.09)</t>
  </si>
  <si>
    <t>121(26.06)</t>
  </si>
  <si>
    <t>181(26.06)</t>
  </si>
  <si>
    <t>737(26.06)</t>
  </si>
  <si>
    <t>689(26.06)</t>
  </si>
  <si>
    <t>26-787-거래</t>
  </si>
  <si>
    <t>670(26.06)</t>
  </si>
  <si>
    <t>667(26.06)거</t>
  </si>
  <si>
    <t>26-101-거래</t>
  </si>
  <si>
    <t>설 계 내 역 서</t>
  </si>
  <si>
    <t>공   종</t>
  </si>
  <si>
    <t>수   량</t>
  </si>
  <si>
    <t>금    액</t>
  </si>
  <si>
    <t>직접공사비</t>
  </si>
  <si>
    <t>E10_1</t>
  </si>
  <si>
    <t>1.</t>
  </si>
  <si>
    <t>토공</t>
  </si>
  <si>
    <t>2.</t>
  </si>
  <si>
    <t>E3_1</t>
  </si>
  <si>
    <t>1.1</t>
  </si>
  <si>
    <t>기존구조물철거</t>
  </si>
  <si>
    <t>D01375_1</t>
  </si>
  <si>
    <t>E2_1</t>
  </si>
  <si>
    <t>_x0007_`COD|D01375_x0005_`QTY1|1_x0005_`EXI|0_x0005_`IPR|0_x0005_`BLA|F_x0005_`</t>
  </si>
  <si>
    <t>산근   1호표</t>
  </si>
  <si>
    <t>D00265_1</t>
  </si>
  <si>
    <t>_x0007_`COD|D00265_x0005_`QTY1|1_x0005_`EXI|0_x0005_`IPR|0_x0005_`BLA|F_x0005_`</t>
  </si>
  <si>
    <t>산근   2호표</t>
  </si>
  <si>
    <t>D02950_1</t>
  </si>
  <si>
    <t>_x0007_`COD|D02950_x0005_`QTY1|1_x0005_`EXI|0_x0005_`IPR|0_x0005_`BLA|F_x0005_`</t>
  </si>
  <si>
    <t>산근   3호표</t>
  </si>
  <si>
    <t>B02631_1</t>
  </si>
  <si>
    <t>_x0007_`COD|B02631_x0005_`QTY1|1_x0005_`EXI|0_x0005_`IPR|0_x0005_`BLA|F_x0005_`</t>
  </si>
  <si>
    <t>대가   1호표</t>
  </si>
  <si>
    <t>B04729_1</t>
  </si>
  <si>
    <t>_x0007_`COD|B04729_x0005_`QTY1|1_x0005_`EXI|0_x0005_`IPR|0_x0005_`BLA|F_x0005_`</t>
  </si>
  <si>
    <t>대가   2호표</t>
  </si>
  <si>
    <t>B04727_1</t>
  </si>
  <si>
    <t>_x0007_`COD|B04727_x0005_`QTY1|1_x0005_`EXI|0_x0005_`IPR|0_x0005_`BLA|F_x0005_`</t>
  </si>
  <si>
    <t>대가   3호표</t>
  </si>
  <si>
    <t>B06812_1</t>
  </si>
  <si>
    <t>_x0007_`COD|B06812_x0005_`QTY1|1_x0005_`EXI|0_x0005_`IPR|0_x0005_`BLA|F_x0005_`</t>
  </si>
  <si>
    <t>대가   4호표</t>
  </si>
  <si>
    <t>총 괄 내 역 서</t>
  </si>
  <si>
    <t>1.2</t>
  </si>
  <si>
    <t>관로토공</t>
  </si>
  <si>
    <t>D02305_1</t>
  </si>
  <si>
    <t>_x0007_`COD|D02305_x0005_`QTY1|1_x0005_`EXI|0_x0005_`IPR|0_x0005_`BLA|F_x0005_`</t>
  </si>
  <si>
    <t>산근   4호표</t>
  </si>
  <si>
    <t>D02638_1</t>
  </si>
  <si>
    <t>_x0007_`COD|D02638_x0005_`QTY1|1_x0005_`EXI|0_x0005_`IPR|0_x0005_`BLA|F_x0005_`</t>
  </si>
  <si>
    <t>산근   5호표</t>
  </si>
  <si>
    <t>D03713_1</t>
  </si>
  <si>
    <t>_x0007_`COD|D03713_x0005_`QTY1|1_x0005_`EXI|0_x0005_`IPR|0_x0005_`BLA|F_x0005_`</t>
  </si>
  <si>
    <t>산근   6호표</t>
  </si>
  <si>
    <t>D00785_1</t>
  </si>
  <si>
    <t>_x0007_`COD|D00785_x0005_`QTY1|1_x0005_`EXI|0_x0005_`IPR|0_x0005_`BLA|F_x0005_`</t>
  </si>
  <si>
    <t>산근   7호표</t>
  </si>
  <si>
    <t>D04064_1</t>
  </si>
  <si>
    <t>_x0007_`COD|D04064_x0005_`QTY1|1_x0005_`EXI|0_x0005_`IPR|0_x0005_`BLA|F_x0005_`</t>
  </si>
  <si>
    <t>산근   8호표</t>
  </si>
  <si>
    <t>상수도공</t>
  </si>
  <si>
    <t>구조물공</t>
  </si>
  <si>
    <t>3.</t>
  </si>
  <si>
    <t>2.1</t>
  </si>
  <si>
    <t>관로공)</t>
  </si>
  <si>
    <t>B00196_1</t>
  </si>
  <si>
    <t>E1_1</t>
  </si>
  <si>
    <t>_x0007_`COD|B00196_x0005_`QTY1|1_x0005_`EXI|0_x0005_`IPR|0_x0005_`BLA|F_x0005_`</t>
  </si>
  <si>
    <t>대가   5호표</t>
  </si>
  <si>
    <t>B06587_1</t>
  </si>
  <si>
    <t>_x0007_`COD|B06587_x0005_`QTY1|1_x0005_`EXI|0_x0005_`IPR|0_x0005_`BLA|F_x0005_`</t>
  </si>
  <si>
    <t>대가   6호표</t>
  </si>
  <si>
    <t>B02873_1</t>
  </si>
  <si>
    <t>_x0007_`COD|B02873_x0005_`QTY1|1_x0005_`EXI|0_x0005_`IPR|0_x0005_`BLA|F_x0005_`</t>
  </si>
  <si>
    <t>대가   7호표</t>
  </si>
  <si>
    <t>B01295_1</t>
  </si>
  <si>
    <t>_x0007_`COD|B01295_x0005_`QTY1|1_x0005_`EXI|0_x0005_`IPR|0_x0005_`BLA|F_x0005_`</t>
  </si>
  <si>
    <t>대가   8호표</t>
  </si>
  <si>
    <t>B02633_1</t>
  </si>
  <si>
    <t>_x0007_`COD|B02633_x0005_`QTY1|1_x0005_`EXI|0_x0005_`IPR|0_x0005_`BLA|F_x0005_`</t>
  </si>
  <si>
    <t>대가   9호표</t>
  </si>
  <si>
    <t>B00207_1</t>
  </si>
  <si>
    <t>_x0007_`COD|B00207_x0005_`QTY1|1_x0005_`EXI|0_x0005_`IPR|0_x0005_`BLA|F_x0005_`</t>
  </si>
  <si>
    <t>대가  10호표</t>
  </si>
  <si>
    <t>B00905_1</t>
  </si>
  <si>
    <t>_x0007_`COD|B00905_x0005_`QTY1|1_x0005_`EXI|0_x0005_`IPR|0_x0005_`BLA|F_x0005_`</t>
  </si>
  <si>
    <t>대가  11호표</t>
  </si>
  <si>
    <t>B03108_1</t>
  </si>
  <si>
    <t>_x0007_`COD|B03108_x0005_`QTY1|1_x0005_`EXI|0_x0005_`IPR|0_x0005_`BLA|F_x0005_`</t>
  </si>
  <si>
    <t>대가  12호표</t>
  </si>
  <si>
    <t>B03086_1</t>
  </si>
  <si>
    <t>_x0007_`COD|B03086_x0005_`QTY1|1_x0005_`EXI|0_x0005_`IPR|0_x0005_`BLA|F_x0005_`</t>
  </si>
  <si>
    <t>대가  13호표</t>
  </si>
  <si>
    <t>B00790_1</t>
  </si>
  <si>
    <t>_x0007_`COD|B00790_x0005_`QTY1|1_x0005_`EXI|0_x0005_`IPR|0_x0005_`BLA|F_x0005_`</t>
  </si>
  <si>
    <t>대가  14호표</t>
  </si>
  <si>
    <t>B05653_1</t>
  </si>
  <si>
    <t>_x0007_`COD|B05653_x0005_`QTY1|1_x0005_`EXI|0_x0005_`IPR|0_x0005_`BLA|F_x0005_`</t>
  </si>
  <si>
    <t>대가  15호표</t>
  </si>
  <si>
    <t>D03180_1</t>
  </si>
  <si>
    <t>_x0007_`COD|D03180_x0005_`QTY1|1_x0005_`EXI|0_x0005_`IPR|0_x0005_`BLA|F_x0005_`</t>
  </si>
  <si>
    <t>산근   9호표</t>
  </si>
  <si>
    <t>D02908_1</t>
  </si>
  <si>
    <t>_x0007_`COD|D02908_x0005_`QTY1|1_x0005_`EXI|0_x0005_`IPR|0_x0005_`BLA|F_x0005_`</t>
  </si>
  <si>
    <t>산근  10호표</t>
  </si>
  <si>
    <t>4.</t>
  </si>
  <si>
    <t>5.</t>
  </si>
  <si>
    <t>부대공</t>
  </si>
  <si>
    <t>4.1</t>
  </si>
  <si>
    <t>D01361_1</t>
  </si>
  <si>
    <t>_x0007_`COD|D01361_x0005_`QTY1|1_x0005_`EXI|0_x0005_`IPR|0_x0005_`BLA|F_x0005_`</t>
  </si>
  <si>
    <t>산근  11호표</t>
  </si>
  <si>
    <t>D01503_1</t>
  </si>
  <si>
    <t>_x0007_`COD|D01503_x0005_`QTY1|1_x0005_`EXI|0_x0005_`IPR|0_x0005_`BLA|F_x0005_`</t>
  </si>
  <si>
    <t>산근  12호표</t>
  </si>
  <si>
    <t>D03372_1</t>
  </si>
  <si>
    <t>_x0007_`COD|D03372_x0005_`QTY1|1_x0005_`EXI|0_x0005_`IPR|0_x0005_`BLA|F_x0005_`</t>
  </si>
  <si>
    <t>산근  13호표</t>
  </si>
  <si>
    <t>4.2</t>
  </si>
  <si>
    <t>보조기층 포장</t>
  </si>
  <si>
    <t>D01352_1</t>
  </si>
  <si>
    <t>_x0007_`COD|D01352_x0005_`QTY1|1_x0005_`EXI|0_x0005_`IPR|0_x0005_`BLA|F_x0005_`</t>
  </si>
  <si>
    <t>산근  14호표</t>
  </si>
  <si>
    <t>4.3</t>
  </si>
  <si>
    <t>투수콘포장</t>
  </si>
  <si>
    <t>D03304_1</t>
  </si>
  <si>
    <t>_x0007_`COD|D03304_x0005_`QTY1|1_x0005_`EXI|0_x0005_`IPR|0_x0005_`BLA|F_x0005_`</t>
  </si>
  <si>
    <t>산근  15호표</t>
  </si>
  <si>
    <t>4.4</t>
  </si>
  <si>
    <t>보도블록포장(점자블록)</t>
  </si>
  <si>
    <t>B03724_1</t>
  </si>
  <si>
    <t>_x0007_`COD|B03724_x0005_`QTY1|1_x0005_`EXI|0_x0005_`IPR|0_x0005_`BLA|F_x0005_`</t>
  </si>
  <si>
    <t>대가  16호표</t>
  </si>
  <si>
    <t>4.5</t>
  </si>
  <si>
    <t>보차도 및 경계석설치</t>
  </si>
  <si>
    <t>B06814_1</t>
  </si>
  <si>
    <t>_x0007_`COD|B06814_x0005_`QTY1|1_x0005_`EXI|0_x0005_`IPR|0_x0005_`BLA|F_x0005_`</t>
  </si>
  <si>
    <t>대가  17호표</t>
  </si>
  <si>
    <t>B06813_1</t>
  </si>
  <si>
    <t>_x0007_`COD|B06813_x0005_`QTY1|1_x0005_`EXI|0_x0005_`IPR|0_x0005_`BLA|F_x0005_`</t>
  </si>
  <si>
    <t>대가  18호표</t>
  </si>
  <si>
    <t>D04433_1</t>
  </si>
  <si>
    <t>_x0007_`COD|D04433_x0005_`QTY1|1_x0005_`EXI|0_x0005_`IPR|0_x0005_`BLA|F_x0005_`</t>
  </si>
  <si>
    <t>산근  16호표</t>
  </si>
  <si>
    <t>4.6</t>
  </si>
  <si>
    <t>볼라드 철거 및 설치</t>
  </si>
  <si>
    <t>B03895_1</t>
  </si>
  <si>
    <t>_x0007_`COD|B03895_x0005_`QTY1|1_x0005_`EXI|0_x0005_`IPR|0_x0005_`BLA|F_x0005_`</t>
  </si>
  <si>
    <t>대가  19호표</t>
  </si>
  <si>
    <t>D02768_1</t>
  </si>
  <si>
    <t>_x0007_`COD|D02768_x0005_`QTY1|1_x0005_`EXI|0_x0005_`IPR|0_x0005_`BLA|F_x0005_`</t>
  </si>
  <si>
    <t>산근  17호표</t>
  </si>
  <si>
    <t>6.</t>
  </si>
  <si>
    <t>사급자재비</t>
  </si>
  <si>
    <t>5.1</t>
  </si>
  <si>
    <t>운반</t>
  </si>
  <si>
    <t>D03917_1</t>
  </si>
  <si>
    <t>_x0007_`COD|D03917_x0005_`QTY1|1_x0005_`EXI|0_x0005_`IPR|0_x0005_`BLA|F_x0005_`</t>
  </si>
  <si>
    <t>산근  18호표</t>
  </si>
  <si>
    <t>W00197_1</t>
  </si>
  <si>
    <t>_x0007_`COD|W00197_x0005_`QTY1|1_x0005_`EXI|0_x0005_`IPR|0_x0005_`BLA|F_x0005_`</t>
  </si>
  <si>
    <t>기타2</t>
  </si>
  <si>
    <t>W00244_1</t>
  </si>
  <si>
    <t>_x0007_`COD|W00244_x0005_`QTY1|1_x0005_`EXI|0_x0005_`IPR|0_x0005_`BLA|F_x0005_`</t>
  </si>
  <si>
    <t>기타1</t>
  </si>
  <si>
    <t>D02956_1</t>
  </si>
  <si>
    <t>_x0007_`COD|D02956_x0005_`QTY1|1_x0005_`EXI|0_x0005_`IPR|0_x0005_`BLA|F_x0005_`</t>
  </si>
  <si>
    <t>산근  19호표</t>
  </si>
  <si>
    <t>D02954_1</t>
  </si>
  <si>
    <t>_x0007_`COD|D02954_x0005_`QTY1|1_x0005_`EXI|0_x0005_`IPR|0_x0005_`BLA|F_x0005_`</t>
  </si>
  <si>
    <t>산근  20호표</t>
  </si>
  <si>
    <t>D03552_1</t>
  </si>
  <si>
    <t>_x0007_`COD|D03552_x0005_`QTY1|1_x0005_`EXI|0_x0005_`IPR|0_x0005_`BLA|F_x0005_`</t>
  </si>
  <si>
    <t>산근  21호표</t>
  </si>
  <si>
    <t>B03637_1</t>
  </si>
  <si>
    <t>_x0007_`COD|B03637_x0005_`QTY1|1_x0005_`EXI|0_x0005_`IPR|0_x0005_`BLA|F_x0005_`</t>
  </si>
  <si>
    <t>대가  20호표</t>
  </si>
  <si>
    <t>5.2</t>
  </si>
  <si>
    <t>확인굴착</t>
  </si>
  <si>
    <t>B01892_1</t>
  </si>
  <si>
    <t>_x0007_`COD|B01892_x0005_`QTY1|1_x0005_`EXI|0_x0005_`IPR|0_x0005_`BLA|F_x0005_`</t>
  </si>
  <si>
    <t>대가  21호표</t>
  </si>
  <si>
    <t>M00188_1</t>
  </si>
  <si>
    <t>_x0007_`COD|M00188_x0005_`QTY1|1_x0005_`EXI|0_x0005_`IPR|0_x0005_`KWN|0_x0005_`BLA|F_x0005_`</t>
  </si>
  <si>
    <t>자재20</t>
  </si>
  <si>
    <t>M00641_1</t>
  </si>
  <si>
    <t>_x0007_`COD|M00641_x0005_`QTY1|1_x0005_`EXI|0_x0005_`IPR|0_x0005_`KWN|0_x0005_`BLA|F_x0005_`</t>
  </si>
  <si>
    <t>자재34</t>
  </si>
  <si>
    <t>M00642_1</t>
  </si>
  <si>
    <t>_x0007_`COD|M00642_x0005_`QTY1|1_x0005_`EXI|0_x0005_`IPR|0_x0005_`KWN|0_x0005_`BLA|F_x0005_`</t>
  </si>
  <si>
    <t>자재33</t>
  </si>
  <si>
    <t>M04118_1</t>
  </si>
  <si>
    <t>_x0007_`COD|M04118_x0005_`QTY1|1_x0005_`EXI|0_x0005_`IPR|0_x0005_`KWN|0_x0005_`BLA|F_x0005_`</t>
  </si>
  <si>
    <t>자재36</t>
  </si>
  <si>
    <t>M04117_1</t>
  </si>
  <si>
    <t>_x0007_`COD|M04117_x0005_`QTY1|1_x0005_`EXI|0_x0005_`IPR|0_x0005_`KWN|0_x0005_`BLA|F_x0005_`</t>
  </si>
  <si>
    <t>자재35</t>
  </si>
  <si>
    <t>M03931_1</t>
  </si>
  <si>
    <t>_x0007_`COD|M03931_x0005_`QTY1|1_x0005_`EXI|0_x0005_`IPR|0_x0005_`KWN|0_x0005_`BLA|F_x0005_`</t>
  </si>
  <si>
    <t>자재52</t>
  </si>
  <si>
    <t>M03781_1</t>
  </si>
  <si>
    <t>_x0007_`COD|M03781_x0005_`QTY1|1_x0005_`EXI|0_x0005_`IPR|0_x0005_`KWN|0_x0005_`BLA|F_x0005_`</t>
  </si>
  <si>
    <t>자재23</t>
  </si>
  <si>
    <t>M00636_1</t>
  </si>
  <si>
    <t>_x0007_`COD|M00636_x0005_`QTY1|1_x0005_`EXI|0_x0005_`IPR|0_x0005_`KWN|0_x0005_`BLA|F_x0005_`</t>
  </si>
  <si>
    <t>자재32</t>
  </si>
  <si>
    <t>M05624_1</t>
  </si>
  <si>
    <t>_x0007_`COD|M05624_x0005_`QTY1|1_x0005_`EXI|0_x0005_`IPR|0_x0005_`KWN|0_x0005_`BLA|F_x0005_`</t>
  </si>
  <si>
    <t>자재30</t>
  </si>
  <si>
    <t>M00361_1</t>
  </si>
  <si>
    <t>_x0007_`COD|M00361_x0005_`QTY1|1_x0005_`EXI|0_x0005_`IPR|0_x0005_`KWN|0_x0005_`BLA|F_x0005_`</t>
  </si>
  <si>
    <t>자재26</t>
  </si>
  <si>
    <t>M07143_1</t>
  </si>
  <si>
    <t>_x0007_`COD|M07143_x0005_`QTY1|1_x0005_`EXI|0_x0005_`IPR|0_x0005_`KWN|0_x0005_`BLA|F_x0005_`</t>
  </si>
  <si>
    <t>자재25</t>
  </si>
  <si>
    <t>M02742_1</t>
  </si>
  <si>
    <t>_x0007_`COD|M02742_x0005_`QTY1|1_x0005_`EXI|0_x0005_`IPR|0_x0005_`KWN|0_x0005_`BLA|F_x0005_`</t>
  </si>
  <si>
    <t>자재18</t>
  </si>
  <si>
    <t>M07040_1</t>
  </si>
  <si>
    <t>_x0007_`COD|M07040_x0005_`QTY1|1_x0005_`EXI|0_x0005_`IPR|0_x0005_`KWN|0_x0005_`BLA|F_x0005_`</t>
  </si>
  <si>
    <t>자재42</t>
  </si>
  <si>
    <t>M07759_1</t>
  </si>
  <si>
    <t>_x0007_`COD|M07759_x0005_`QTY1|1_x0005_`EXI|0_x0005_`IPR|0_x0005_`KWN|0_x0005_`BLA|F_x0005_`</t>
  </si>
  <si>
    <t>자재47</t>
  </si>
  <si>
    <t>M06368_1</t>
  </si>
  <si>
    <t>_x0007_`COD|M06368_x0005_`QTY1|1_x0005_`EXI|0_x0005_`IPR|0_x0005_`KWN|0_x0005_`BLA|F_x0005_`</t>
  </si>
  <si>
    <t>자재28</t>
  </si>
  <si>
    <t>M06200_1</t>
  </si>
  <si>
    <t>_x0007_`COD|M06200_x0005_`QTY1|1_x0005_`EXI|0_x0005_`IPR|0_x0005_`KWN|0_x0005_`BLA|F_x0005_`</t>
  </si>
  <si>
    <t>자재7</t>
  </si>
  <si>
    <t>M00485_1</t>
  </si>
  <si>
    <t>_x0007_`COD|M00485_x0005_`QTY1|1_x0005_`EXI|0_x0005_`IPR|0_x0005_`KWN|0_x0005_`BLA|F_x0005_`</t>
  </si>
  <si>
    <t>자재6</t>
  </si>
  <si>
    <t>M01279_1</t>
  </si>
  <si>
    <t>_x0007_`COD|M01279_x0005_`QTY1|1_x0005_`EXI|0_x0005_`IPR|0_x0005_`KWN|0_x0005_`BLA|F_x0005_`</t>
  </si>
  <si>
    <t>자재5</t>
  </si>
  <si>
    <t>M06275_1</t>
  </si>
  <si>
    <t>_x0007_`COD|M06275_x0005_`QTY1|1_x0005_`EXI|0_x0005_`IPR|0_x0005_`KWN|0_x0005_`BLA|F_x0005_`</t>
  </si>
  <si>
    <t>자재4</t>
  </si>
  <si>
    <t>M05608_1</t>
  </si>
  <si>
    <t>_x0007_`COD|M05608_x0005_`QTY1|1_x0005_`EXI|0_x0005_`IPR|0_x0005_`KWN|0_x0005_`BLA|F_x0005_`</t>
  </si>
  <si>
    <t>자재3</t>
  </si>
  <si>
    <t>M07927_1</t>
  </si>
  <si>
    <t>_x0007_`COD|M07927_x0005_`QTY1|1_x0005_`EXI|0_x0005_`IPR|0_x0005_`KWN|0_x0005_`BLA|F_x0005_`</t>
  </si>
  <si>
    <t>자재1</t>
  </si>
  <si>
    <t>M06326_1</t>
  </si>
  <si>
    <t>_x0007_`COD|M06326_x0005_`QTY1|1_x0005_`EXI|0_x0005_`IPR|0_x0005_`KWN|0_x0005_`BLA|F_x0005_`PSKP|1_x0005_`</t>
  </si>
  <si>
    <t>자재15</t>
  </si>
  <si>
    <t>7.</t>
  </si>
  <si>
    <t>안전관리비</t>
  </si>
  <si>
    <t>(제외금액)</t>
  </si>
  <si>
    <t>B02657_1</t>
  </si>
  <si>
    <t>_x0007_`COD|B02657_x0005_`QTY1|1_x0005_`EXI|0_x0005_`IPR|0_x0005_`BLA|F_x0005_`</t>
  </si>
  <si>
    <t>대가  22호표</t>
  </si>
  <si>
    <t>B04012_1</t>
  </si>
  <si>
    <t>_x0007_`COD|B04012_x0005_`QTY1|1_x0005_`EXI|0_x0005_`IPR|0_x0005_`BLA|F_x0005_`</t>
  </si>
  <si>
    <t>대가  23호표</t>
  </si>
  <si>
    <t>D04342_1</t>
  </si>
  <si>
    <t>_x0007_`COD|D04342_x0005_`QTY1|1_x0005_`EXI|0_x0005_`IPR|0_x0005_`BLA|F_x0005_`</t>
  </si>
  <si>
    <t>산근  22호표</t>
  </si>
  <si>
    <t>D04343_1</t>
  </si>
  <si>
    <t>_x0007_`COD|D04343_x0005_`QTY1|1_x0005_`EXI|0_x0005_`IPR|0_x0005_`BLA|F_x0005_`</t>
  </si>
  <si>
    <t>산근  23호표</t>
  </si>
  <si>
    <t>D04344_1</t>
  </si>
  <si>
    <t>_x0007_`COD|D04344_x0005_`QTY1|1_x0005_`EXI|0_x0005_`IPR|0_x0005_`BLA|F_x0005_`</t>
  </si>
  <si>
    <t>산근  24호표</t>
  </si>
  <si>
    <t>D04345_1</t>
  </si>
  <si>
    <t>_x0007_`COD|D04345_x0005_`QTY1|1_x0005_`EXI|0_x0005_`IPR|0_x0005_`BLA|F_x0005_`PSKP|1_x0005_`</t>
  </si>
  <si>
    <t>산근  25호표</t>
  </si>
  <si>
    <t>C3_1</t>
  </si>
  <si>
    <t>8.</t>
  </si>
  <si>
    <t>관급자재비(도급자설치비)</t>
  </si>
  <si>
    <t>S00322_1</t>
  </si>
  <si>
    <t>_x0007_`COD|S00322_x0005_`QTY1|1_x0005_`EXI|0_x0005_`IPR|0_x0005_`BLA|F_x0005_`PSKP|1_x0005_`</t>
  </si>
  <si>
    <t>8.1</t>
  </si>
  <si>
    <t>맨홀뚜껑</t>
  </si>
  <si>
    <t>1_2_01</t>
  </si>
  <si>
    <t>M04882_1</t>
  </si>
  <si>
    <t>_x0007_`COD|M04882_x0005_`QTY1|1_x0005_`EXI|0_x0005_`IPR|1_x0005_`KWN|0_x0005_`BLA|F_x0005_`</t>
  </si>
  <si>
    <t>자재22</t>
  </si>
  <si>
    <t>PR_1</t>
  </si>
  <si>
    <t>_x0007_`COD|PR_x0005_`QTY1|1_x0005_`EXI|1_x0005_`IPR|1_x0005_`EQC|A01_x0005_`PRI|4_x0005_`PRO|3_x0005_`UNI|식1_x0005_`RCU|0_x0005_`BLA|F_x0005_`</t>
  </si>
  <si>
    <t>조달수수료</t>
  </si>
  <si>
    <t>금액의 %</t>
  </si>
  <si>
    <t>8.2</t>
  </si>
  <si>
    <t>상수도관</t>
  </si>
  <si>
    <t>1_2_02</t>
  </si>
  <si>
    <t>M00840_1</t>
  </si>
  <si>
    <t>_x0007_`COD|M00840_x0005_`QTY1|1_x0005_`EXI|0_x0005_`IPR|2_x0005_`KWN|0_x0005_`BLA|F_x0005_`</t>
  </si>
  <si>
    <t>자재16</t>
  </si>
  <si>
    <t>M01077_1</t>
  </si>
  <si>
    <t>_x0007_`COD|M01077_x0005_`QTY1|1_x0005_`EXI|0_x0005_`IPR|2_x0005_`KWN|0_x0005_`BLA|F_x0005_`</t>
  </si>
  <si>
    <t>자재2</t>
  </si>
  <si>
    <t>W02698_1</t>
  </si>
  <si>
    <t>_x0007_`COD|W02698_x0005_`QTY1|1_x0005_`EXI|0_x0005_`IPR|2_x0005_`BLA|F_x0005_`</t>
  </si>
  <si>
    <t>기타3</t>
  </si>
  <si>
    <t>_x0007_`COD|PR_x0005_`QTY1|1_x0005_`EXI|1_x0005_`IPR|0_x0005_`EQC|A02_x0005_`PRI|4_x0005_`PRO|3_x0005_`UNI|식1_x0005_`RCU|0_x0005_`BLA|F_x0005_`</t>
  </si>
  <si>
    <t>8.3</t>
  </si>
  <si>
    <t>1_2_03</t>
  </si>
  <si>
    <t>M05398_1</t>
  </si>
  <si>
    <t>_x0007_`COD|M05398_x0005_`QTY1|1_x0005_`EXI|0_x0005_`IPR|3_x0005_`KWN|0_x0005_`BLA|F_x0005_`</t>
  </si>
  <si>
    <t>자재40</t>
  </si>
  <si>
    <t>_x0007_`COD|PR_x0005_`QTY1|1_x0005_`EXI|1_x0005_`IPR|0_x0005_`EQC|A03_x0005_`PRI|4_x0005_`PRO|3_x0005_`UNI|식1_x0005_`RCU|0_x0005_`BLA|F_x0005_`</t>
  </si>
  <si>
    <t>8.4</t>
  </si>
  <si>
    <t>제수변</t>
  </si>
  <si>
    <t>1_2_04</t>
  </si>
  <si>
    <t>M00983_1</t>
  </si>
  <si>
    <t>_x0007_`COD|M00983_x0005_`QTY1|1_x0005_`EXI|0_x0005_`IPR|4_x0005_`KWN|0_x0005_`BLA|F_x0005_`</t>
  </si>
  <si>
    <t>자재43</t>
  </si>
  <si>
    <t>_x0007_`COD|PR_x0005_`QTY1|1_x0005_`EXI|1_x0005_`IPR|0_x0005_`EQC|A04_x0005_`PRI|4_x0005_`PRO|3_x0005_`UNI|식1_x0005_`RCU|0_x0005_`BLA|F_x0005_`</t>
  </si>
  <si>
    <t>경비9</t>
  </si>
  <si>
    <t>9.</t>
  </si>
  <si>
    <t>관급자대(관급자)</t>
  </si>
  <si>
    <t>1_3_06</t>
  </si>
  <si>
    <t>M07928_1</t>
  </si>
  <si>
    <t>_x0007_`COD|M07928_x0005_`QTY1|1_x0005_`EXI|0_x0005_`IPR|6_x0005_`KWN|0_x0005_`BLA|F_x0005_`</t>
  </si>
  <si>
    <t>자재27</t>
  </si>
  <si>
    <t>_x0007_`COD|PR_x0005_`QTY1|1_x0005_`EXI|1_x0005_`IPR|0_x0005_`EQC|A06_x0005_`PRI|4_x0005_`PRO|3_x0005_`UNI|식1_x0005_`RCU|0_x0005_`BLA|F_x0005_`</t>
  </si>
  <si>
    <t>M04970_1</t>
  </si>
  <si>
    <t>_x0007_`COD|M04970_x0005_`QTY1|1_x0005_`EXI|0_x0005_`IPR|0_x0005_`KWN|0_x0005_`BLA|F_x0005_`PSKP|1_x0005_`</t>
  </si>
  <si>
    <t>자재17</t>
  </si>
  <si>
    <t>10.</t>
  </si>
  <si>
    <t>폐기물처리비 및 운반비</t>
  </si>
  <si>
    <t>11.</t>
  </si>
  <si>
    <t>M03282_1</t>
  </si>
  <si>
    <t>10.1</t>
  </si>
  <si>
    <t>S00147_1</t>
  </si>
  <si>
    <t>_x0007_`COD|S00147_x0005_`QTY1|1_x0005_`EXI|0_x0005_`IPR|0_x0005_`BLA|F_x0005_`</t>
  </si>
  <si>
    <t>경비37</t>
  </si>
  <si>
    <t>S00149_1</t>
  </si>
  <si>
    <t>_x0007_`COD|S00149_x0005_`QTY1|1_x0005_`EXI|0_x0005_`IPR|0_x0005_`BLA|F_x0005_`</t>
  </si>
  <si>
    <t>경비38</t>
  </si>
  <si>
    <t>10.2</t>
  </si>
  <si>
    <t>S00264_1</t>
  </si>
  <si>
    <t>_x0007_`COD|S00264_x0005_`QTY1|1_x0005_`EXI|0_x0005_`IPR|0_x0005_`BLA|F_x0005_`</t>
  </si>
  <si>
    <t>경비35</t>
  </si>
  <si>
    <t>S00227_1</t>
  </si>
  <si>
    <t>_x0007_`COD|S00227_x0005_`QTY1|1_x0005_`EXI|0_x0005_`IPR|0_x0005_`BLA|F_x0005_`</t>
  </si>
  <si>
    <t>경비36</t>
  </si>
  <si>
    <t>_x0007_`COD|M03282_x0005_`QTY1|1_x0005_`EXI|0_x0005_`IPR|0_x0005_`KWN|0_x0005_`BLA|F_x0005_`</t>
  </si>
  <si>
    <t>자재11</t>
  </si>
  <si>
    <t>_x0007_`COD|S00322_x0005_`QTY1|1_x0005_`EXI|0_x0005_`IPR|0_x0005_`BLA|F_x0005_`</t>
  </si>
  <si>
    <t>_x0007_`JTYP|0_x0005_`ACTL|F_x0005_`</t>
  </si>
  <si>
    <t xml:space="preserve">    가.</t>
  </si>
  <si>
    <t>순공사비계</t>
  </si>
  <si>
    <t xml:space="preserve"> 1. 간접노무비</t>
  </si>
  <si>
    <t>_x0007_`DTP|201_x0005_`QTY1|1_x0005_`BDC|_x0005_`SRE|LA_x0005_`</t>
  </si>
  <si>
    <t xml:space="preserve"> 2. 산재보험료</t>
  </si>
  <si>
    <t>_x0007_`DTP|301_x0005_`QTY1|1_x0005_`BDC|_x0005_`SRE|SA_x0005_`</t>
  </si>
  <si>
    <t xml:space="preserve"> 3. 고용보험료</t>
  </si>
  <si>
    <t>_x0007_`DTP|302_x0005_`QTY1|1_x0005_`BDC|_x0005_`SRE|SA_x0005_`</t>
  </si>
  <si>
    <t xml:space="preserve"> 4. 산업안전보건관리비</t>
  </si>
  <si>
    <t>_x0007_`DTP|306_x0005_`QTY1|1_x0005_`BDC|_x0005_`SRE|SA_x0005_`</t>
  </si>
  <si>
    <t>수정은 아래의 연두색 부분에</t>
  </si>
  <si>
    <t xml:space="preserve"> 5. 기타경비</t>
  </si>
  <si>
    <t>_x0007_`DTP|321_x0005_`QTY1|1_x0005_`BDC|_x0005_`SRE|SA_x0005_`</t>
  </si>
  <si>
    <t xml:space="preserve"> 6. 환경보전비</t>
  </si>
  <si>
    <t>_x0007_`DTP|309_x0005_`QTY1|1_x0005_`BDC|_x0005_`SRE|SA_x0005_`</t>
  </si>
  <si>
    <t xml:space="preserve"> 7. 건설기계대여금지급보증서수수료</t>
  </si>
  <si>
    <t>_x0007_`DTP|311_x0005_`QTY1|1_x0005_`BDC|_x0005_`SRE|SA_x0005_`</t>
  </si>
  <si>
    <t xml:space="preserve"> 8. 석면피해구제분담금</t>
  </si>
  <si>
    <t>_x0007_`DTP|322_x0005_`QTY1|1_x0005_`BDC|_x0005_`SRE|SA_x0005_`</t>
  </si>
  <si>
    <t xml:space="preserve"> 9. 임금채권부담금</t>
  </si>
  <si>
    <t>_x0007_`DTP|323_x0005_`QTY1|1_x0005_`BDC|_x0005_`SRE|SA_x0005_`</t>
  </si>
  <si>
    <t>10. 안전관리비</t>
  </si>
  <si>
    <t>_x0007_`DTP|361_x0005_`QTY1|1_x0005_`BDC|A101_x0005_`SRE|SA_x0005_`ADN|안전관리비_x0005_`ADB|_x0005_`</t>
  </si>
  <si>
    <t xml:space="preserve">    나.</t>
  </si>
  <si>
    <t xml:space="preserve">    소   계</t>
  </si>
  <si>
    <t>_x0007_`DTP|400_x0005_`QTY1|1_x0005_`BDC|_x0005_`SRE|TA-F_x0005_`</t>
  </si>
  <si>
    <t>11. 일반관리비</t>
  </si>
  <si>
    <t>_x0007_`DTP|401_x0005_`QTY1|1_x0005_`BDC|_x0005_`SRE|TA_x0005_`</t>
  </si>
  <si>
    <t xml:space="preserve">    다.</t>
  </si>
  <si>
    <t>_x0007_`DTP|410_x0005_`QTY1|1_x0005_`BDC|_x0005_`SRE|TA-F_x0005_`</t>
  </si>
  <si>
    <t>12. 이   윤</t>
  </si>
  <si>
    <t>_x0007_`DTP|402_x0005_`QTY1|1_x0005_`BDC|_x0005_`SRE|TA_x0005_`</t>
  </si>
  <si>
    <t>13. 폐기물처리비및운반비</t>
  </si>
  <si>
    <t>_x0007_`DTP|461_x0005_`QTY1|1_x0005_`BDC|A201_x0005_`SRE|_x0005_`ADN|폐기물처리비및운반비_x0005_`ADB|_x0005_`</t>
  </si>
  <si>
    <t>14. 고재처리</t>
  </si>
  <si>
    <t>_x0007_`DTP|462_x0005_`QTY1|1_x0005_`BDC|A202_x0005_`SRE|_x0005_`ADN|고재처리_x0005_`ADB|_x0005_`</t>
  </si>
  <si>
    <t xml:space="preserve">    라.</t>
  </si>
  <si>
    <t xml:space="preserve">    공급가액</t>
  </si>
  <si>
    <t>_x0007_`DTP|500_x0005_`QTY1|1_x0005_`BDC|_x0005_`SRE|TA-F_x0005_`</t>
  </si>
  <si>
    <t>15. 부가가치세</t>
  </si>
  <si>
    <t>_x0007_`DTP|502_x0005_`QTY1|1_x0005_`BDC|_x0005_`SRE|TA_x0005_`</t>
  </si>
  <si>
    <t xml:space="preserve">    마.</t>
  </si>
  <si>
    <t xml:space="preserve">    도급공사비</t>
  </si>
  <si>
    <t>_x0007_`DTP|600_x0005_`QTY1|1_x0005_`BDC|_x0005_`SRE|TA-F_x0005_`</t>
  </si>
  <si>
    <t>16. 관급자재대(도급자설치)</t>
  </si>
  <si>
    <t>_x0007_`DTP|653_x0005_`QTY1|1_x0005_`BDC|_x0005_`SRE|TA-3_x0005_`</t>
  </si>
  <si>
    <t>17. 관급자재대(관급자설치)</t>
  </si>
  <si>
    <t>_x0007_`DTP|654_x0005_`QTY1|1_x0005_`BDC|_x0005_`SRE|TA-3_x0005_`</t>
  </si>
  <si>
    <t xml:space="preserve">    바.</t>
  </si>
  <si>
    <t xml:space="preserve">    총공사비</t>
  </si>
  <si>
    <t>_x0007_`DTP|700_x0005_`QTY1|1_x0005_`BDC|_x0005_`SRE|TA-F_x0005_`</t>
  </si>
  <si>
    <t>공 사 원 가 계 산 서</t>
  </si>
  <si>
    <t>공사기간: 2026년00월 ~ 2026년00월</t>
  </si>
  <si>
    <t xml:space="preserve">    비    목</t>
  </si>
  <si>
    <t xml:space="preserve">구    분    </t>
  </si>
  <si>
    <t>구 성 비</t>
  </si>
  <si>
    <t>비    고</t>
  </si>
  <si>
    <t>직  접  재  료  비</t>
  </si>
  <si>
    <t>간  접  재  료  비</t>
  </si>
  <si>
    <t>작업설,부산물등(△)</t>
  </si>
  <si>
    <t>소              계</t>
  </si>
  <si>
    <t>직  접  노  무  비</t>
  </si>
  <si>
    <t>간  접  노  무  비</t>
  </si>
  <si>
    <t>산   출    경   비</t>
  </si>
  <si>
    <t>산  재  보  험  료</t>
  </si>
  <si>
    <t>고  용  보  험  료</t>
  </si>
  <si>
    <t>산업안전보건관리비</t>
  </si>
  <si>
    <t>기   타    경   비</t>
  </si>
  <si>
    <t>환  경  보  전  비</t>
  </si>
  <si>
    <t>건설기계대여금지급보증서수수료</t>
  </si>
  <si>
    <t>석면피해구제분담금</t>
  </si>
  <si>
    <t>임 금 채 권 부 담 금</t>
  </si>
  <si>
    <t>일   반   관   리   비</t>
  </si>
  <si>
    <t>이                  윤</t>
  </si>
  <si>
    <t>총        원        가</t>
  </si>
  <si>
    <t>부   가   가   치   세</t>
  </si>
  <si>
    <t>도   급   공   사   비</t>
  </si>
  <si>
    <t>관급자재대(도급자설치)</t>
  </si>
  <si>
    <t>관급자재대(관급자설치)</t>
  </si>
  <si>
    <t>총     공     사     비</t>
  </si>
  <si>
    <t>순 공 사 원 가</t>
  </si>
  <si>
    <t>일 위 대 가 표</t>
  </si>
  <si>
    <t xml:space="preserve"> 제    1 호표  보도블럭철거(점자블럭)B-TYPE  차도인접, 주택가도로 차도인접, 주택가도로  /  ㎡</t>
  </si>
  <si>
    <t>대가1</t>
  </si>
  <si>
    <t>B02631</t>
  </si>
  <si>
    <t>_x0007_`COD|D03666_x0005_`EXI|0_x0005_`DVD|F_x0005_`BMK| _x0005_`IPR|0_x0005_`BLA|F_x0005_`</t>
  </si>
  <si>
    <t>D03666_1</t>
  </si>
  <si>
    <t>T7_1</t>
  </si>
  <si>
    <t>산근  28호표</t>
  </si>
  <si>
    <t>대가2</t>
  </si>
  <si>
    <t>B04729</t>
  </si>
  <si>
    <t>_x0007_`COD|L00079_x0005_`EXI|0_x0005_`DVD|F_x0005_`BMK| _x0005_`IPR|1_x0005_`BLA|F_x0005_`</t>
  </si>
  <si>
    <t>1_01</t>
  </si>
  <si>
    <t>L00079_1</t>
  </si>
  <si>
    <t>대가3</t>
  </si>
  <si>
    <t xml:space="preserve">노무10 </t>
  </si>
  <si>
    <t>_x0007_`COD|L00001_x0005_`EXI|0_x0005_`DVD|F_x0005_`BMK| _x0005_`IPR|1_x0005_`BLA|F_x0005_`</t>
  </si>
  <si>
    <t>L00001_1</t>
  </si>
  <si>
    <t xml:space="preserve">노무5 </t>
  </si>
  <si>
    <t>_x0007_`COD|X00113_x0005_`EXI|0_x0005_`DVD|F_x0005_`BMK| _x0005_`IPR|1_x0005_`BLA|F_x0005_`</t>
  </si>
  <si>
    <t>X00113_1</t>
  </si>
  <si>
    <t xml:space="preserve">중기2 </t>
  </si>
  <si>
    <t>_x0007_`COD|X00120_x0005_`EXI|0_x0005_`DVD|F_x0005_`BMK| _x0005_`IPR|1_x0005_`BLA|F_x0005_`</t>
  </si>
  <si>
    <t>X00120_1</t>
  </si>
  <si>
    <t xml:space="preserve">중기11 </t>
  </si>
  <si>
    <t>B04727</t>
  </si>
  <si>
    <t>_x0007_`COD|B00401_x0005_`EXI|0_x0005_`DVD|F_x0005_`BMK| _x0005_`IPR|1_x0005_`BLA|F_x0005_`</t>
  </si>
  <si>
    <t>B00401_1</t>
  </si>
  <si>
    <t>C1_1</t>
  </si>
  <si>
    <t>대가  24호표</t>
  </si>
  <si>
    <t>소계(제외금액)</t>
  </si>
  <si>
    <t>_x0007_`COD|C1_x0005_`EXI|0_x0005_`TPR|0_x0005_`</t>
  </si>
  <si>
    <t>철거(노무비의50%적용)</t>
  </si>
  <si>
    <t>_x0007_`COD|PR_x0005_`EXI|1_x0005_`DVD|F_x0005_`BMK| _x0005_`IPR|0_x0005_`EQC|A01_x0005_`PRI|2_x0005_`PRO|2_x0005_`UNI|%_x0005_`BLA|F_x0005_`</t>
  </si>
  <si>
    <t>PRA01_1</t>
  </si>
  <si>
    <t>대가4</t>
  </si>
  <si>
    <t>B06812</t>
  </si>
  <si>
    <t>_x0007_`COD|D04424_x0005_`EXI|0_x0005_`DVD|F_x0005_`BMK| _x0005_`IPR|0_x0005_`BLA|F_x0005_`</t>
  </si>
  <si>
    <t>D04424_1</t>
  </si>
  <si>
    <t>대가5</t>
  </si>
  <si>
    <t>산근  32호표</t>
  </si>
  <si>
    <t>B00196</t>
  </si>
  <si>
    <t>1. 주철관 접합 및 부설</t>
  </si>
  <si>
    <t>_x0007_`COD|_x0005_`EXI|1_x0005_`</t>
  </si>
  <si>
    <t>_1</t>
  </si>
  <si>
    <t xml:space="preserve">       </t>
  </si>
  <si>
    <t>_x0007_`COD|D00589_x0005_`EXI|0_x0005_`DVD|F_x0005_`BMK| _x0005_`IPR|0_x0005_`BLA|F_x0005_`</t>
  </si>
  <si>
    <t>D00589_1</t>
  </si>
  <si>
    <t>산근  33호표</t>
  </si>
  <si>
    <t>계</t>
  </si>
  <si>
    <t>_x0007_`COD|T2_x0005_`EXI|0_x0005_`TPR|0_x0005_`</t>
  </si>
  <si>
    <t>T2_1</t>
  </si>
  <si>
    <t>대가6</t>
  </si>
  <si>
    <t>B06587</t>
  </si>
  <si>
    <t>품의1/2적용</t>
  </si>
  <si>
    <t>_x0007_`COD|D00591_x0005_`EXI|0_x0005_`DVD|F_x0005_`BMK| _x0005_`IPR|0_x0005_`BLA|F_x0005_`</t>
  </si>
  <si>
    <t>D00591_1</t>
  </si>
  <si>
    <t>산근  34호표</t>
  </si>
  <si>
    <t>소계</t>
  </si>
  <si>
    <t>_x0007_`COD|T1_x0005_`EXI|0_x0005_`TPR|0_x0005_`</t>
  </si>
  <si>
    <t>T1_1</t>
  </si>
  <si>
    <t>대가7</t>
  </si>
  <si>
    <t>B02873</t>
  </si>
  <si>
    <t>1.주철 이형관 접합</t>
  </si>
  <si>
    <t>주철 이형관 접합 및 부설품의 60% 적용</t>
  </si>
  <si>
    <t>대가8</t>
  </si>
  <si>
    <t>B01295</t>
  </si>
  <si>
    <t>_x0007_`COD|D04252_x0005_`EXI|0_x0005_`DVD|F_x0005_`BMK| _x0005_`IPR|0_x0005_`BLA|F_x0005_`</t>
  </si>
  <si>
    <t>D04252_1</t>
  </si>
  <si>
    <t>산근  35호표</t>
  </si>
  <si>
    <t>대가9</t>
  </si>
  <si>
    <t>B02633</t>
  </si>
  <si>
    <t>1.이탈방지 압륜 접합</t>
  </si>
  <si>
    <t>이탈방지압륜 접합 및 부설품의 60% 적용</t>
  </si>
  <si>
    <t>대가10</t>
  </si>
  <si>
    <t>B00207</t>
  </si>
  <si>
    <t>_x0007_`COD|L00027_x0005_`EXI|0_x0005_`DVD|F_x0005_`BMK| _x0005_`IPR|1_x0005_`BLA|F_x0005_`</t>
  </si>
  <si>
    <t>L00027_1</t>
  </si>
  <si>
    <t xml:space="preserve">노무4 </t>
  </si>
  <si>
    <t>공구손료및기계경비</t>
  </si>
  <si>
    <t>_x0007_`COD|PR_x0005_`EXI|1_x0005_`DVD|F_x0005_`BMK| _x0005_`IPR|0_x0005_`EQC|A01_x0005_`PRI|2_x0005_`PRO|3_x0005_`UNI|%_x0005_`BLA|F_x0005_`</t>
  </si>
  <si>
    <t>대가11</t>
  </si>
  <si>
    <t>B00905</t>
  </si>
  <si>
    <t>_x0007_`COD|X00124_x0005_`EXI|0_x0005_`DVD|F_x0005_`BMK| _x0005_`IPR|1_x0005_`BLA|F_x0005_`</t>
  </si>
  <si>
    <t>X00124_1</t>
  </si>
  <si>
    <t xml:space="preserve">중기32 </t>
  </si>
  <si>
    <t>공구손료및잡재료비</t>
  </si>
  <si>
    <t>대가12</t>
  </si>
  <si>
    <t>B03108</t>
  </si>
  <si>
    <t>_x0007_`COD|X00124_x0005_`EXI|0_x0005_`DVD|F_x0005_`BMK| _x0005_`IPR|0_x0005_`BLA|F_x0005_`</t>
  </si>
  <si>
    <t>대가13</t>
  </si>
  <si>
    <t>B03086</t>
  </si>
  <si>
    <t>공구손료 및 기계경비</t>
  </si>
  <si>
    <t>_x0007_`COD|PR_x0005_`EXI|1_x0005_`DVD|F_x0005_`BMK| _x0005_`IPR|1_x0005_`EQC|A01_x0005_`PRI|2_x0005_`PRO|3_x0005_`UNI|%_x0005_`BLA|F_x0005_`</t>
  </si>
  <si>
    <t>대가14</t>
  </si>
  <si>
    <t>B00790</t>
  </si>
  <si>
    <t>_x0007_`COD|M00563_x0005_`EXI|0_x0005_`DVD|F_x0005_`BMK| _x0005_`IPR|1_x0005_`KWN|0_x0005_`BLA|F_x0005_`</t>
  </si>
  <si>
    <t>M00563_1</t>
  </si>
  <si>
    <t xml:space="preserve">자재49 </t>
  </si>
  <si>
    <t>대가15</t>
  </si>
  <si>
    <t>B05653</t>
  </si>
  <si>
    <t>_x0007_`COD|D03799_x0005_`EXI|0_x0005_`DVD|F_x0005_`BMK| _x0005_`IPR|0_x0005_`BLA|F_x0005_`</t>
  </si>
  <si>
    <t>D03799_1</t>
  </si>
  <si>
    <t>산근  36호표</t>
  </si>
  <si>
    <t>대가16</t>
  </si>
  <si>
    <t>B03724</t>
  </si>
  <si>
    <t>_x0007_`COD|L00040_x0005_`EXI|0_x0005_`DVD|F_x0005_`BMK| _x0005_`IPR|1_x0005_`BLA|F_x0005_`</t>
  </si>
  <si>
    <t>L00040_1</t>
  </si>
  <si>
    <t xml:space="preserve">노무12 </t>
  </si>
  <si>
    <t>공구손료 및 잡재료비</t>
  </si>
  <si>
    <t>_x0007_`COD|X00026_x0005_`EXI|0_x0005_`DVD|F_x0005_`BMK| _x0005_`IPR|0_x0005_`BLA|F_x0005_`</t>
  </si>
  <si>
    <t>X00026_1</t>
  </si>
  <si>
    <t xml:space="preserve">중기33 </t>
  </si>
  <si>
    <t>_x0007_`COD|X00179_x0005_`EXI|0_x0005_`DVD|F_x0005_`BMK| _x0005_`IPR|0_x0005_`BLA|F_x0005_`</t>
  </si>
  <si>
    <t>X00179_1</t>
  </si>
  <si>
    <t xml:space="preserve">중기7 </t>
  </si>
  <si>
    <t>대가17</t>
  </si>
  <si>
    <t>B06814</t>
  </si>
  <si>
    <t>품셈 유지관리 2-1-33 적용</t>
  </si>
  <si>
    <t>_x0007_`COD|X00113_x0005_`EXI|0_x0005_`DVD|F_x0005_`BMK| _x0005_`IPR|0_x0005_`BLA|F_x0005_`</t>
  </si>
  <si>
    <t>_x0007_`COD|X00120_x0005_`EXI|0_x0005_`DVD|F_x0005_`BMK| _x0005_`IPR|0_x0005_`BLA|F_x0005_`</t>
  </si>
  <si>
    <t>_x0007_`COD|B04067_x0005_`EXI|0_x0005_`DVD|F_x0005_`BMK| _x0005_`IPR|0_x0005_`BLA|F_x0005_`</t>
  </si>
  <si>
    <t>B04067_1</t>
  </si>
  <si>
    <t>대가  25호표</t>
  </si>
  <si>
    <t>_x0007_`COD|D04373_x0005_`EXI|0_x0005_`DVD|F_x0005_`BMK| _x0005_`IPR|0_x0005_`BLA|F_x0005_`</t>
  </si>
  <si>
    <t>D04373_1</t>
  </si>
  <si>
    <t>산근  37호표</t>
  </si>
  <si>
    <t>_x0007_`COD|B00235_x0005_`EXI|0_x0005_`DVD|F_x0005_`BMK| _x0005_`IPR|0_x0005_`BLA|F_x0005_`</t>
  </si>
  <si>
    <t>B00235_1</t>
  </si>
  <si>
    <t>대가  26호표</t>
  </si>
  <si>
    <t>대가18</t>
  </si>
  <si>
    <t>B06813</t>
  </si>
  <si>
    <t>대가19</t>
  </si>
  <si>
    <t>B03895</t>
  </si>
  <si>
    <t>_x0007_`COD|D02768_x0005_`EXI|0_x0005_`DVD|F_x0005_`BMK| _x0005_`IPR|0_x0005_`BLA|F_x0005_`</t>
  </si>
  <si>
    <t>대가20</t>
  </si>
  <si>
    <t>B03637</t>
  </si>
  <si>
    <t>_x0007_`COD|D03924_x0005_`EXI|0_x0005_`DVD|F_x0005_`BMK| _x0005_`IPR|0_x0005_`BLA|F_x0005_`</t>
  </si>
  <si>
    <t>D03924_1</t>
  </si>
  <si>
    <t>산근  38호표</t>
  </si>
  <si>
    <t>대가21</t>
  </si>
  <si>
    <t>B01892</t>
  </si>
  <si>
    <t>_x0007_`COD|D01375_x0005_`EXI|0_x0005_`DVD|F_x0005_`BMK| _x0005_`IPR|0_x0005_`BLA|F_x0005_`</t>
  </si>
  <si>
    <t>_x0007_`COD|D02702_x0005_`EXI|0_x0005_`DVD|F_x0005_`BMK| _x0005_`IPR|0_x0005_`BLA|F_x0005_`</t>
  </si>
  <si>
    <t>D02702_1</t>
  </si>
  <si>
    <t>산근  39호표</t>
  </si>
  <si>
    <t>_x0007_`COD|D03839_x0005_`EXI|0_x0005_`DVD|F_x0005_`BMK| _x0005_`IPR|0_x0005_`BLA|F_x0005_`</t>
  </si>
  <si>
    <t>D03839_1</t>
  </si>
  <si>
    <t>산근  40호표</t>
  </si>
  <si>
    <t>_x0007_`COD|D03840_x0005_`EXI|0_x0005_`DVD|F_x0005_`BMK| _x0005_`IPR|0_x0005_`BLA|F_x0005_`</t>
  </si>
  <si>
    <t>D03840_1</t>
  </si>
  <si>
    <t>산근  41호표</t>
  </si>
  <si>
    <t>_x0007_`COD|D01503_x0005_`EXI|0_x0005_`DVD|F_x0005_`BMK| _x0005_`IPR|0_x0005_`BLA|F_x0005_`</t>
  </si>
  <si>
    <t>_x0007_`COD|M00642_x0005_`EXI|0_x0005_`DVD|F_x0005_`BMK| _x0005_`IPR|0_x0005_`KWN|0_x0005_`BLA|F_x0005_`</t>
  </si>
  <si>
    <t xml:space="preserve">자재33 </t>
  </si>
  <si>
    <t>대가22</t>
  </si>
  <si>
    <t>B02657</t>
  </si>
  <si>
    <t>_x0007_`COD|L00284_x0005_`EXI|0_x0005_`DVD|F_x0005_`BMK| _x0005_`IPR|1_x0005_`BLA|F_x0005_`</t>
  </si>
  <si>
    <t>L00284_1</t>
  </si>
  <si>
    <t xml:space="preserve">노무2 </t>
  </si>
  <si>
    <t>경 비</t>
  </si>
  <si>
    <t>대가23</t>
  </si>
  <si>
    <t>B04012</t>
  </si>
  <si>
    <t>_x0007_`COD|D03940_x0005_`EXI|0_x0005_`DVD|F_x0005_`BMK| _x0005_`IPR|0_x0005_`BLA|F_x0005_`</t>
  </si>
  <si>
    <t>D03940_1</t>
  </si>
  <si>
    <t>산근  42호표</t>
  </si>
  <si>
    <t>_x0007_`COD|M06158_x0005_`EXI|0_x0005_`DVD|F_x0005_`BMK| _x0005_`IPR|0_x0005_`KWN|0_x0005_`BLA|F_x0005_`</t>
  </si>
  <si>
    <t>M06158_1</t>
  </si>
  <si>
    <t xml:space="preserve">자재50 </t>
  </si>
  <si>
    <t>대가24</t>
  </si>
  <si>
    <t>B00401</t>
  </si>
  <si>
    <t>_x0007_`COD|D01383_x0005_`EXI|0_x0005_`DVD|F_x0005_`BMK| _x0005_`IPR|0_x0005_`BLA|F_x0005_`</t>
  </si>
  <si>
    <t>D01383_1</t>
  </si>
  <si>
    <t>산근  29호표</t>
  </si>
  <si>
    <t>대가25</t>
  </si>
  <si>
    <t>B04067</t>
  </si>
  <si>
    <t>_x0007_`COD|M06177_x0005_`EXI|0_x0005_`DVD|F_x0005_`BMK| _x0005_`IPR|0_x0005_`KWN|0_x0005_`BLA|F_x0005_`</t>
  </si>
  <si>
    <t>M06177_1</t>
  </si>
  <si>
    <t xml:space="preserve">별산자재21 </t>
  </si>
  <si>
    <t>_x0007_`COD|D00368_x0005_`EXI|0_x0005_`DVD|F_x0005_`BMK| _x0005_`IPR|0_x0005_`BLA|F_x0005_`</t>
  </si>
  <si>
    <t>D00368_1</t>
  </si>
  <si>
    <t>산근  30호표</t>
  </si>
  <si>
    <t>대가26</t>
  </si>
  <si>
    <t>B00235</t>
  </si>
  <si>
    <t>_x0007_`COD|B00025_x0005_`EXI|0_x0005_`DVD|F_x0005_`BMK| _x0005_`IPR|0_x0005_`BLA|F_x0005_`</t>
  </si>
  <si>
    <t>B00025_1</t>
  </si>
  <si>
    <t>대가  27호표</t>
  </si>
  <si>
    <t>_x0007_`COD|L00001_x0005_`EXI|0_x0005_`DVD|F_x0005_`BMK| _x0005_`IPR|0_x0005_`BLA|F_x0005_`</t>
  </si>
  <si>
    <t>대가27</t>
  </si>
  <si>
    <t>B00025</t>
  </si>
  <si>
    <t>_x0007_`COD|M03597_x0005_`EXI|0_x0005_`DVD|F_x0005_`BMK| _x0005_`IPR|0_x0005_`KWN|0_x0005_`BLA|F_x0005_`</t>
  </si>
  <si>
    <t>M03597_1</t>
  </si>
  <si>
    <t xml:space="preserve">별산자재31 </t>
  </si>
  <si>
    <t>_x0007_`COD|M00434_x0005_`EXI|0_x0005_`DVD|F_x0005_`BMK| _x0005_`IPR|0_x0005_`KWN|0_x0005_`BLA|F_x0005_`</t>
  </si>
  <si>
    <t>M00434_1</t>
  </si>
  <si>
    <t xml:space="preserve">별산자재24 </t>
  </si>
  <si>
    <t>공  종</t>
  </si>
  <si>
    <t>산  출  내  역</t>
  </si>
  <si>
    <t>QTY</t>
  </si>
  <si>
    <t>T</t>
  </si>
  <si>
    <t>S</t>
  </si>
  <si>
    <t>포장절단 아스콘포장  / m</t>
  </si>
  <si>
    <t>D01375</t>
  </si>
  <si>
    <t>_x0007_</t>
  </si>
  <si>
    <t>_x0007_  '토목품셈 유지관리 2-1-2'</t>
  </si>
  <si>
    <t xml:space="preserve">   토목품셈 유지관리 2-1-2 </t>
  </si>
  <si>
    <t>_x0007_ Q1 = 500'm/일'='m/일'</t>
  </si>
  <si>
    <t>_x0007_ Q2 = 500'm/일'='m/일'</t>
  </si>
  <si>
    <t>=</t>
  </si>
  <si>
    <t>_x0007_ Q = 500'm/일'/8'hr/일'='m/hr'</t>
  </si>
  <si>
    <t>_x0007_'1. 노  무  비'</t>
  </si>
  <si>
    <t>/</t>
  </si>
  <si>
    <t xml:space="preserve"> 1. 노  무  비 </t>
  </si>
  <si>
    <t>_x0007_'특별인부 :'&amp;L00079&amp; / Q1 :=A01</t>
  </si>
  <si>
    <t>노무10</t>
  </si>
  <si>
    <t>1/</t>
  </si>
  <si>
    <t>_x0007_'보통인부:'&amp;L00001&amp; / Q2 :=A01</t>
  </si>
  <si>
    <t>노무5</t>
  </si>
  <si>
    <t>_x0007_ (=)</t>
  </si>
  <si>
    <t>_x0007_'2. 기계손료(콘크리트캇타300∼400)'</t>
  </si>
  <si>
    <t xml:space="preserve"> 2. 기계손료(콘크리트캇타300∼400) </t>
  </si>
  <si>
    <t>_x0007_ '노무비:'&amp;X00039L&amp; / Q =</t>
  </si>
  <si>
    <t>중기25L</t>
  </si>
  <si>
    <t>X00039_1</t>
  </si>
  <si>
    <t>_x0007_ '재료비:'&amp;X00039M&amp; / Q =</t>
  </si>
  <si>
    <t>중기25M</t>
  </si>
  <si>
    <t>_x0007_ '경  비:'&amp;X00039S&amp; / Q =</t>
  </si>
  <si>
    <t>중기25S</t>
  </si>
  <si>
    <t>_x0007_(=)</t>
  </si>
  <si>
    <t>_x0007_'3. 동력분무기(4.85kw)'</t>
  </si>
  <si>
    <t xml:space="preserve"> 3. 동력분무기(4.85kw) </t>
  </si>
  <si>
    <t>_x0007_ '노 무 비 : '&amp;X00216L&amp; / Q * 0.5'대'=</t>
  </si>
  <si>
    <t>중기13L</t>
  </si>
  <si>
    <t>X00216_1</t>
  </si>
  <si>
    <t>*</t>
  </si>
  <si>
    <t>_x0007_ '재 료 비 : '&amp;X00216M&amp; / Q  * 0.5'대'=</t>
  </si>
  <si>
    <t>중기13M</t>
  </si>
  <si>
    <t>_x0007_ '경    비 : '&amp;X00216S&amp; / Q  * 0.5'대'=</t>
  </si>
  <si>
    <t>중기13S</t>
  </si>
  <si>
    <t>_x0007_'4. 블레이드(d=320-400mm  t=3.2mm)'</t>
  </si>
  <si>
    <t xml:space="preserve"> 4. 블레이드(d=320-400mm  t=3.2mm) </t>
  </si>
  <si>
    <t>_x0007_  '블레이드:' &amp;M00288&amp;*0.27/100 =</t>
  </si>
  <si>
    <t>자재29</t>
  </si>
  <si>
    <t>M00288_1</t>
  </si>
  <si>
    <t>1*</t>
  </si>
  <si>
    <t>_x0007_'5.물 운 반 비(100m당2000ℓ소요)'</t>
  </si>
  <si>
    <t xml:space="preserve"> 5.물 운 반 비(100m당2000ℓ소요) </t>
  </si>
  <si>
    <t>_x0007_'토목품샘 제9편 [9-37-2, 물탱크(살수차)참조'</t>
  </si>
  <si>
    <t xml:space="preserve"> 토목품샘 제9편 [9-37-2, 물탱크(살수차)참조 </t>
  </si>
  <si>
    <t>_x0007_ D = 1.0,  V = 20,  E = 0.9</t>
  </si>
  <si>
    <t>_x0007_ '작업시간(분)'</t>
  </si>
  <si>
    <t>,</t>
  </si>
  <si>
    <t xml:space="preserve">  작업시간(분) </t>
  </si>
  <si>
    <t>_x0007_  t1'(흡입준비)'=5.0, t2'(운반비)'=(D/V)*2*60 =</t>
  </si>
  <si>
    <t>_x0007_  t3'(흡입) '= 10.0, t4'(살수대기)' = 5.0</t>
  </si>
  <si>
    <t>(</t>
  </si>
  <si>
    <t>)*</t>
  </si>
  <si>
    <t>_x0007_  t5'(살수)' = 20.0</t>
  </si>
  <si>
    <t>_x0007_  cm = t1 + t2 + t3 + t4 + t5 =</t>
  </si>
  <si>
    <t>_x0007_  To = (cm - t3) / cm =   'L/Hr'</t>
  </si>
  <si>
    <t>+</t>
  </si>
  <si>
    <t>_x0007_  Q=60*5500*E/(cm*20) =</t>
  </si>
  <si>
    <t>-</t>
  </si>
  <si>
    <t>)/</t>
  </si>
  <si>
    <t>_x0007_   '노 무 비 : '&amp;X00051L&amp; / Q :=A01-&gt;</t>
  </si>
  <si>
    <t>/(</t>
  </si>
  <si>
    <t>)</t>
  </si>
  <si>
    <t>중기18:제외</t>
  </si>
  <si>
    <t>X00051_1</t>
  </si>
  <si>
    <t>_x0007_ '운반비(경비) :'&amp;PA01:S&amp; * 100'%' =</t>
  </si>
  <si>
    <t>_x0007_   '재 료 비 : '&amp;X00051M&amp; / Q *To:=A01-&gt;</t>
  </si>
  <si>
    <t>_x0007_   '경    비 : '&amp;X00051S&amp; / Q :=A01-&gt;</t>
  </si>
  <si>
    <t>_x0007_(-=)</t>
  </si>
  <si>
    <t>C1_1:C</t>
  </si>
  <si>
    <t>_x0007_(==)</t>
  </si>
  <si>
    <t>총        계</t>
  </si>
  <si>
    <t>D00265</t>
  </si>
  <si>
    <t>_x0007_       '품셈 9-19'</t>
  </si>
  <si>
    <t xml:space="preserve">        품셈 9-19 </t>
  </si>
  <si>
    <t>_x0007_'1.기계사용료(대형브레이카+백호0.4㎥)'</t>
  </si>
  <si>
    <t xml:space="preserve"> 1.기계사용료(대형브레이카+백호0.4㎥) </t>
  </si>
  <si>
    <t>_x0007_    Q= 6.9'㎥/hr'</t>
  </si>
  <si>
    <t>_x0007_'   노무비:'&amp;X00160L&amp;/Q =</t>
  </si>
  <si>
    <t>중기4L</t>
  </si>
  <si>
    <t>X00160_1</t>
  </si>
  <si>
    <t>_x0007_'   재료비:'&amp;X00160M&amp;/Q =</t>
  </si>
  <si>
    <t>중기4M</t>
  </si>
  <si>
    <t>_x0007_'   경  비:'&amp;X00160S&amp;/Q =</t>
  </si>
  <si>
    <t>중기4S</t>
  </si>
  <si>
    <t>_x0007_'2.작업보조원'</t>
  </si>
  <si>
    <t xml:space="preserve"> 2.작업보조원 </t>
  </si>
  <si>
    <t>_x0007_  '보통인부:'</t>
  </si>
  <si>
    <t xml:space="preserve">   보통인부: </t>
  </si>
  <si>
    <t>_x0007_     1'인'*&amp;L00001L&amp;/(8*Q)=</t>
  </si>
  <si>
    <t>노무5L</t>
  </si>
  <si>
    <t>*1/(</t>
  </si>
  <si>
    <t>_x0007_'3.치즐 (0.4㎥용)'</t>
  </si>
  <si>
    <t xml:space="preserve"> 3.치즐 (0.4㎥용) </t>
  </si>
  <si>
    <t>_x0007_    (0.008'본/hr'*&amp;M01434M&amp;)/Q=</t>
  </si>
  <si>
    <t>자재45M</t>
  </si>
  <si>
    <t>M01434_1</t>
  </si>
  <si>
    <t>*1)/</t>
  </si>
  <si>
    <t>D02950</t>
  </si>
  <si>
    <t>_x0007_'※ 품셈(일반공통) 8-2-3, 8-2-13)'</t>
  </si>
  <si>
    <t xml:space="preserve"> ※ 품셈(일반공통) 8-2-3, 8-2-13) </t>
  </si>
  <si>
    <t>_x0007_'1.기계깨기(굴착기 0.4㎥+대형브레이커)'</t>
  </si>
  <si>
    <t xml:space="preserve"> 1.기계깨기(굴착기 0.4㎥+대형브레이커) </t>
  </si>
  <si>
    <t>_x0007_  '무근구조물의 평균두께 30cm미만의 하한치 적용)'</t>
  </si>
  <si>
    <t xml:space="preserve">   무근구조물의 평균두께 30cm미만의 하한치 적용) </t>
  </si>
  <si>
    <t>_x0007_  Q = 3.3'㎥/Hr'</t>
  </si>
  <si>
    <t xml:space="preserve">_x0007_ </t>
  </si>
  <si>
    <t>_x0007_ '재료비:'&amp;X00238M&amp; / Q =</t>
  </si>
  <si>
    <t>중기5M</t>
  </si>
  <si>
    <t>X00238_1</t>
  </si>
  <si>
    <t>_x0007_ '노무비:'&amp;X00238L&amp; / Q =</t>
  </si>
  <si>
    <t>중기5L</t>
  </si>
  <si>
    <t>_x0007_ '경  비:'&amp;X00238S&amp; / Q =</t>
  </si>
  <si>
    <t>중기5S</t>
  </si>
  <si>
    <t>_x0007_'2.치즐소모비'</t>
  </si>
  <si>
    <t xml:space="preserve"> 2.치즐소모비 </t>
  </si>
  <si>
    <t>_x0007_  &amp;M04240&amp; * 0.008'EA'/ Q =</t>
  </si>
  <si>
    <t>자재44</t>
  </si>
  <si>
    <t>M04240_1</t>
  </si>
  <si>
    <t xml:space="preserve">_x0007_  </t>
  </si>
  <si>
    <t>_x0007_  (=)</t>
  </si>
  <si>
    <t>_x0007_'3.작업보조원'</t>
  </si>
  <si>
    <t xml:space="preserve"> 3.작업보조원 </t>
  </si>
  <si>
    <t>_x0007_ '보통인부 :'&amp;L00001&amp; * 1'인'/(Q*8) =</t>
  </si>
  <si>
    <t>_x0007_ (==)</t>
  </si>
  <si>
    <t>D02305</t>
  </si>
  <si>
    <t>_x0007_'※ 품셈(일반공통) 8-2-3, 3-2-1'</t>
  </si>
  <si>
    <t xml:space="preserve"> ※ 품셈(일반공통) 8-2-3, 3-2-1 </t>
  </si>
  <si>
    <t>_x0007_'◎ 기계90% + 인력10% '</t>
  </si>
  <si>
    <t xml:space="preserve"> ◎ 기계90% + 인력10%  </t>
  </si>
  <si>
    <t>_x0007_'1.기계 (백호우0.4㎥:90%) '</t>
  </si>
  <si>
    <t xml:space="preserve"> 1.기계 (백호우0.4㎥:90%)  </t>
  </si>
  <si>
    <t>_x0007_   q=0.4'㎥',  K=0.9</t>
  </si>
  <si>
    <t>_x0007_   f=1/1.25=,  E=0.6'{((모래(보통0.7)+(흙(보통)0.60))/2 - 0.05}'=</t>
  </si>
  <si>
    <t>_x0007_   Cm=15'Sec(90도선회)'</t>
  </si>
  <si>
    <t>_x0007_   Q=3600*q*K*f*E/Cm ='㎥/hr'</t>
  </si>
  <si>
    <t>_x0007_  '노무비:'&amp;X00108L&amp;/Q*0.9 * 1.875 =</t>
  </si>
  <si>
    <t>중기3L</t>
  </si>
  <si>
    <t>X00108_1</t>
  </si>
  <si>
    <t>_x0007_  '재료비:'&amp;X00108M&amp;/Q*0.9=</t>
  </si>
  <si>
    <t>중기3M</t>
  </si>
  <si>
    <t>_x0007_  '경  비:'&amp;X00108S&amp;/Q*0.9=</t>
  </si>
  <si>
    <t>중기3S</t>
  </si>
  <si>
    <t>_x0007_'2.인력터파기(10%)'</t>
  </si>
  <si>
    <t xml:space="preserve"> 2.인력터파기(10%) </t>
  </si>
  <si>
    <t>_x0007_'  - 인력터파기(10%) :(보통토사 +경질토사) 평균'</t>
  </si>
  <si>
    <t xml:space="preserve">   - 인력터파기(10%) :(보통토사 +경질토사) 평균 </t>
  </si>
  <si>
    <t>_x0007_  N = (3.6'일/㎥'+ 2.7'일/㎥')/ 2 = '㎥/hr'</t>
  </si>
  <si>
    <t>_x0007_ '특별인부 :'&amp;L00079&amp; * 1'인' /  [N]'인'* 0.1 *1.875 =</t>
  </si>
  <si>
    <t>D02638</t>
  </si>
  <si>
    <t>_x0007_'※ 품셈(일반공통) 8-2-3, 2019년 3-3-1, 8-2-9'</t>
  </si>
  <si>
    <t xml:space="preserve"> ※ 품셈(일반공통) 8-2-3, 2019년 3-3-1, 8-2-9 </t>
  </si>
  <si>
    <t>_x0007_'1.기계 (백호우0.4㎥:90%)'</t>
  </si>
  <si>
    <t xml:space="preserve"> 1.기계 (백호우0.4㎥:90%) </t>
  </si>
  <si>
    <t>_x0007_   q= 0.4,  f= 1.0/1.25=,</t>
  </si>
  <si>
    <t>_x0007_   E=0.70'{((모래(보통0.75)+(자갈섞인 흙(보통)0.65))/2}'=</t>
  </si>
  <si>
    <t>_x0007_   K= 0.9 , Cm= 15'sec (90˚)'</t>
  </si>
  <si>
    <t>_x0007_   Q = 3600*q*K*f*E/Cm ='m3/hr'</t>
  </si>
  <si>
    <t>_x0007_  '노무비:'&amp;X00108L&amp; / Q * 0.9 =</t>
  </si>
  <si>
    <t>_x0007_  '재료비:'&amp;X00108M&amp; / Q * 0.9 =</t>
  </si>
  <si>
    <t>_x0007_  '경  비:'&amp;X00108S&amp; / Q * 0.9 =</t>
  </si>
  <si>
    <t>_x0007_'2.인 력 (10%)'</t>
  </si>
  <si>
    <t xml:space="preserve"> 2.인 력 (10%) </t>
  </si>
  <si>
    <t>_x0007_'  인    부:'0.10'인'*&amp;L00001&amp; *0.1=</t>
  </si>
  <si>
    <t>*1*</t>
  </si>
  <si>
    <t>_x0007_'3.다  짐 (진동로울러 핸드가이식 0.7ton)'</t>
  </si>
  <si>
    <t xml:space="preserve"> 3.다  짐 (진동로울러 핸드가이식 0.7ton) </t>
  </si>
  <si>
    <t>_x0007_     V=1.0,    W=0.45,    E=0.6</t>
  </si>
  <si>
    <t>_x0007_     D=0.1'M', f=1.0,    N=3'회'</t>
  </si>
  <si>
    <t>_x0007_     Q=1000*V*W*E*D*f/N='㎥/Hr'</t>
  </si>
  <si>
    <t>_x0007_   ' 노무비 :'&amp;X00091L&amp;/Q=</t>
  </si>
  <si>
    <t>중기24L</t>
  </si>
  <si>
    <t>X00091_1</t>
  </si>
  <si>
    <t>_x0007_   ' 재료비 :'&amp;X00091M&amp;/Q=</t>
  </si>
  <si>
    <t>중기24M</t>
  </si>
  <si>
    <t>_x0007_   ' 경  비 :'&amp;X00091S&amp;/Q=</t>
  </si>
  <si>
    <t>중기24S</t>
  </si>
  <si>
    <t>D03713</t>
  </si>
  <si>
    <t>_x0007_ '※ 품셈일반공통 8-2-3, 3-1-2, 8-2-10'</t>
  </si>
  <si>
    <t xml:space="preserve">  ※ 품셈일반공통 8-2-3, 3-1-2, 8-2-10 </t>
  </si>
  <si>
    <t>_x0007_'1.모래부설 (B.H 0.4㎥  90%)'</t>
  </si>
  <si>
    <t xml:space="preserve"> 1.모래부설 (B.H 0.4㎥  90%) </t>
  </si>
  <si>
    <t>_x0007_   q= 0.4,  f= 1/1.15=,</t>
  </si>
  <si>
    <t>_x0007_   E=0.9</t>
  </si>
  <si>
    <t>_x0007_   K= 1.1 , Cm= 15'sec (90˚)'</t>
  </si>
  <si>
    <t>_x0007_'노무비:'&amp;X00108L&amp; / Q*0.9=</t>
  </si>
  <si>
    <t>_x0007_'재료비:'&amp;X00108M&amp; / Q*0.9=</t>
  </si>
  <si>
    <t>_x0007_'경  비:'&amp;X00108S&amp; / Q*0.9=</t>
  </si>
  <si>
    <t>_x0007_'2.고 르 기 (인력 10%)'</t>
  </si>
  <si>
    <t xml:space="preserve"> 2.고 르 기 (인력 10%) </t>
  </si>
  <si>
    <t>_x0007_'  인    부:'0.015'인'*&amp;L00001&amp;*0.1=</t>
  </si>
  <si>
    <t>_x0007_'3.다  짐 (프레이트콤팩터1.5ton)'</t>
  </si>
  <si>
    <t xml:space="preserve"> 3.다  짐 (프레이트콤팩터1.5ton) </t>
  </si>
  <si>
    <t>_x0007_     D=0.2'M', f=1.0,    N=6'회'</t>
  </si>
  <si>
    <t>_x0007_   ' 경  비 :'&amp;X00026S&amp;/Q=</t>
  </si>
  <si>
    <t>중기33S</t>
  </si>
  <si>
    <t>_x0007_   ' 노무비 :'&amp;X00026L&amp;/Q=</t>
  </si>
  <si>
    <t>중기33L</t>
  </si>
  <si>
    <t>_x0007_   ' 재료비 :'&amp;X00026M&amp;/Q=</t>
  </si>
  <si>
    <t>중기33M</t>
  </si>
  <si>
    <t>D00785</t>
  </si>
  <si>
    <t>_x0007_'1 적 사 (백호우 0.4㎥)'</t>
  </si>
  <si>
    <t xml:space="preserve"> 1 적 사 (백호우 0.4㎥) </t>
  </si>
  <si>
    <t>_x0007_   qo=0.40,         K=0.55</t>
  </si>
  <si>
    <t>_x0007_   f=1/1.5= ,      Eo = 0.45</t>
  </si>
  <si>
    <t>_x0007_   Cm = 15 'sec(90°)'</t>
  </si>
  <si>
    <t>_x0007_   Q=3600*qo*K*Eo*f/Cm  = '㎥/hr'</t>
  </si>
  <si>
    <t>_x0007_  '노무비:'&amp;X00108L&amp;/Q =</t>
  </si>
  <si>
    <t>_x0007_  '재료비:'&amp;X00108M&amp;/Q =</t>
  </si>
  <si>
    <t>_x0007_  '경  비:'&amp;X00108S&amp;/Q =</t>
  </si>
  <si>
    <t>D04064</t>
  </si>
  <si>
    <t>_x0007_'(굴삭기 터파기상차+덤프운반+도자정지30％)'</t>
  </si>
  <si>
    <t xml:space="preserve"> (굴삭기 터파기상차+덤프운반+도자정지30％) </t>
  </si>
  <si>
    <t>_x0007_'1.상차 (굴삭기 0.4㎥)  '</t>
  </si>
  <si>
    <t xml:space="preserve"> 1.상차 (굴삭기 0.4㎥)   </t>
  </si>
  <si>
    <t>_x0007_' ※ 터파기 에서 적용'</t>
  </si>
  <si>
    <t xml:space="preserve">  ※ 터파기 에서 적용 </t>
  </si>
  <si>
    <t>_x0007_'2.운반 (덤프 15ton):L=10.0㎞'</t>
  </si>
  <si>
    <t xml:space="preserve"> 2.운반 (덤프 15ton):L=10.0㎞ </t>
  </si>
  <si>
    <t>_x0007_    K=0.9,     Es=0.70, L=10.0'Km'</t>
  </si>
  <si>
    <t>_x0007_   Cms=15 '(90°회전)',</t>
  </si>
  <si>
    <t>_x0007_   E=0.9,     f=1/1.25=</t>
  </si>
  <si>
    <t>_x0007_   q1=15.0/1.6*1.25=</t>
  </si>
  <si>
    <t>_x0007_   n=q1/(0.4*K)='회'</t>
  </si>
  <si>
    <t>_x0007_  t1=Cms*n/(60*Es)='min'</t>
  </si>
  <si>
    <t>_x0007_   t2=((L/35)+(L/35))*60 ='mim'</t>
  </si>
  <si>
    <t>_x0007_   t3=0.80,   t4=0.42,  t5=0.5</t>
  </si>
  <si>
    <t>((</t>
  </si>
  <si>
    <t>)+(</t>
  </si>
  <si>
    <t>))*</t>
  </si>
  <si>
    <t>_x0007_   Cm=t1+t2+t3+t4+t5=</t>
  </si>
  <si>
    <t>_x0007_   Q=60*q1*f*E/Cm='㎥/hr'</t>
  </si>
  <si>
    <t>_x0007_'  노무비:'&amp;X00010L&amp;/Q =</t>
  </si>
  <si>
    <t>중기10L</t>
  </si>
  <si>
    <t>X00010_1</t>
  </si>
  <si>
    <t>_x0007_'  재료비:'&amp;X00010M&amp;/Q =</t>
  </si>
  <si>
    <t>중기10M</t>
  </si>
  <si>
    <t>_x0007_'  경  비:'&amp;X00010S&amp;/Q =</t>
  </si>
  <si>
    <t>중기10S</t>
  </si>
  <si>
    <t>_x0007_'3.사토장정리(DOZER 19ton)'</t>
  </si>
  <si>
    <t xml:space="preserve"> 3.사토장정리(DOZER 19ton) </t>
  </si>
  <si>
    <t>_x0007_'(산근 D0022 정지 참조:30%만계상)'</t>
  </si>
  <si>
    <t xml:space="preserve"> (산근 D0022 정지 참조:30%만계상) </t>
  </si>
  <si>
    <t>_x0007_  '노무비:'&amp;D00022L&amp;*0.3   =</t>
  </si>
  <si>
    <t>산근  26호표L</t>
  </si>
  <si>
    <t>D00022_1</t>
  </si>
  <si>
    <t>_x0007_  '재료비:'&amp;D00022M&amp;*0.3   =</t>
  </si>
  <si>
    <t>산근  26호표M</t>
  </si>
  <si>
    <t>_x0007_  '경  비:'&amp;D00022S&amp;*0.3   =</t>
  </si>
  <si>
    <t>산근  26호표S</t>
  </si>
  <si>
    <t>_x0007_(-==)</t>
  </si>
  <si>
    <t>계(제외금액)</t>
  </si>
  <si>
    <t>C2_1</t>
  </si>
  <si>
    <t>_x0007_&amp;S00190&amp; * 1 =</t>
  </si>
  <si>
    <t>경비6</t>
  </si>
  <si>
    <t>S00190_1</t>
  </si>
  <si>
    <t>D03180</t>
  </si>
  <si>
    <t>_x0007_'1. 접합및부설(서울시 개선품셈 적용) 4.7ton/EA'</t>
  </si>
  <si>
    <t xml:space="preserve"> 1. 접합및부설(서울시 개선품셈 적용) 4.7ton/EA </t>
  </si>
  <si>
    <t>_x0007_   '기계부설(크레인20 TON)'</t>
  </si>
  <si>
    <t xml:space="preserve">    기계부설(크레인20 TON) </t>
  </si>
  <si>
    <t>_x0007_   '경  비'1.20'hr'*&amp;X00033S&amp;=</t>
  </si>
  <si>
    <t>중기27S</t>
  </si>
  <si>
    <t>X00033_1</t>
  </si>
  <si>
    <t>*1</t>
  </si>
  <si>
    <t>_x0007_   '노무비'1.20'hr'*&amp;X00033L&amp;=</t>
  </si>
  <si>
    <t>중기27L</t>
  </si>
  <si>
    <t>_x0007_   '재료비'1.20'hr'*&amp;X00033M&amp;=</t>
  </si>
  <si>
    <t>중기27M</t>
  </si>
  <si>
    <t>_x0007_'2. 인건비'</t>
  </si>
  <si>
    <t xml:space="preserve"> 2. 인건비 </t>
  </si>
  <si>
    <t>_x0007_   '특별인부' 0.22'인'*&amp;L00079&amp;=</t>
  </si>
  <si>
    <t>_x0007_   '인  부' 0.76'인'*&amp;L00001&amp;=</t>
  </si>
  <si>
    <t>_x0007_'  공구손료(노무비의 2%)'</t>
  </si>
  <si>
    <t xml:space="preserve">   공구손료(노무비의 2%) </t>
  </si>
  <si>
    <t>_x0007_   &amp;S00092&amp;  *  2'%'=</t>
  </si>
  <si>
    <t>경비7</t>
  </si>
  <si>
    <t>S00092_1</t>
  </si>
  <si>
    <t>D02908</t>
  </si>
  <si>
    <t>_x0007_'1. 뚜껑(재료비별산)'</t>
  </si>
  <si>
    <t xml:space="preserve"> 1. 뚜껑(재료비별산) </t>
  </si>
  <si>
    <t>_x0007_  '맨홀뚜껑(관급) :'&amp;M04882&amp; * 1'조' :=A01-&gt;</t>
  </si>
  <si>
    <t>자재22:제외</t>
  </si>
  <si>
    <t>T1_1:C</t>
  </si>
  <si>
    <t>_x0007_'2. 설치비(재료비의5%)'</t>
  </si>
  <si>
    <t xml:space="preserve"> 2. 설치비(재료비의5%) </t>
  </si>
  <si>
    <t>_x0007_  '손료계산 :'&amp;PA01M:L&amp; * 5'%' =</t>
  </si>
  <si>
    <t>D01361</t>
  </si>
  <si>
    <t>_x0007_ Q1 = 2.0'인'/8'hr/일'='hr/일'</t>
  </si>
  <si>
    <t>_x0007_ Q = 8000'㎡/일'/8'hr/일'='㎡/hr'</t>
  </si>
  <si>
    <t>_x0007_'1. 아스팔트살포(스프레이어400ℓ)'</t>
  </si>
  <si>
    <t xml:space="preserve"> 1. 아스팔트살포(스프레이어400ℓ) </t>
  </si>
  <si>
    <t>_x0007_'노무비:'&amp;X00109L&amp; / Q =</t>
  </si>
  <si>
    <t>중기22L</t>
  </si>
  <si>
    <t>X00109_1</t>
  </si>
  <si>
    <t>_x0007_'재료비:'&amp;X00109M&amp; / Q =</t>
  </si>
  <si>
    <t>중기22M</t>
  </si>
  <si>
    <t>_x0007_'경  비:'&amp;X00109S&amp; / Q =</t>
  </si>
  <si>
    <t>중기22S</t>
  </si>
  <si>
    <t>_x0007_'2. 노 무 비'</t>
  </si>
  <si>
    <t xml:space="preserve"> 2. 노 무 비 </t>
  </si>
  <si>
    <t>_x0007_'보통인부:' &amp;L00001&amp; * Q1 / Q=</t>
  </si>
  <si>
    <t>D01503</t>
  </si>
  <si>
    <t>_x0007_     '토목공사 1-5-2 '</t>
  </si>
  <si>
    <t xml:space="preserve">      토목공사 1-5-2  </t>
  </si>
  <si>
    <t xml:space="preserve">_x0007_     </t>
  </si>
  <si>
    <t>_x0007_ Q2 = 1.0'인'/8'hr/일'='hr/일'</t>
  </si>
  <si>
    <t>_x0007_ Q = 320'㎡/일'/8'hr/일'='㎡/hr'</t>
  </si>
  <si>
    <t>_x0007_'1.노 무 비  '</t>
  </si>
  <si>
    <t xml:space="preserve"> 1.노 무 비   </t>
  </si>
  <si>
    <t>_x0007_ '포장공 :'&amp;L00040&amp; * Q1 / Q =</t>
  </si>
  <si>
    <t>노무12</t>
  </si>
  <si>
    <t>_x0007_' 인  부 :'&amp;L00001&amp; * Q2 / Q=</t>
  </si>
  <si>
    <t>_x0007_'2.기계사용료 '</t>
  </si>
  <si>
    <t xml:space="preserve"> 2.기계사용료  </t>
  </si>
  <si>
    <t>_x0007_ '1)플래이트콤팩트 ( 1.5TON)'</t>
  </si>
  <si>
    <t xml:space="preserve">  1)플래이트콤팩트 ( 1.5TON) </t>
  </si>
  <si>
    <t>_x0007_  '노무비:'&amp;X00026L&amp; / Q =</t>
  </si>
  <si>
    <t>_x0007_  '재료비:'&amp;X00026M&amp; / Q =</t>
  </si>
  <si>
    <t>_x0007_  '경  비:'&amp;X00026S&amp; / Q =</t>
  </si>
  <si>
    <t>_x0007_ '2)진동로울러(핸드가이드식  0.7ton)'</t>
  </si>
  <si>
    <t xml:space="preserve">  2)진동로울러(핸드가이드식  0.7ton) </t>
  </si>
  <si>
    <t>_x0007_  '경  비:'&amp;X00091S&amp; / Q =</t>
  </si>
  <si>
    <t>_x0007_  '노무비:'&amp;X00091L&amp; / Q =</t>
  </si>
  <si>
    <t>_x0007_  '재료비:'&amp;X00091M&amp; / Q =</t>
  </si>
  <si>
    <t>_x0007_ '3) 로우더(타이어0.57㎥)'</t>
  </si>
  <si>
    <t xml:space="preserve">  3) 로우더(타이어0.57㎥) </t>
  </si>
  <si>
    <t>_x0007_  '노무비:'&amp;X00138L&amp; / Q =</t>
  </si>
  <si>
    <t>중기14L</t>
  </si>
  <si>
    <t>X00138_1</t>
  </si>
  <si>
    <t>_x0007_  '재료비:'&amp;X00138M&amp; / Q =</t>
  </si>
  <si>
    <t>중기14M</t>
  </si>
  <si>
    <t>_x0007_  '경  비:'&amp;X00138S&amp; / Q =</t>
  </si>
  <si>
    <t>중기14S</t>
  </si>
  <si>
    <t>_x0007_ '4)물탱크(5500ℓ)'</t>
  </si>
  <si>
    <t xml:space="preserve">  4)물탱크(5500ℓ) </t>
  </si>
  <si>
    <t>_x0007_  '노무비:'&amp;X00051L&amp; / Q * 0.5'대' =</t>
  </si>
  <si>
    <t>중기18L</t>
  </si>
  <si>
    <t>_x0007_  '재료비:'&amp;X00051M&amp; / Q * 0.5'대'=</t>
  </si>
  <si>
    <t>중기18M</t>
  </si>
  <si>
    <t>_x0007_  '경  비:'&amp;X00051S&amp; / Q * 0.5'대'=</t>
  </si>
  <si>
    <t>중기18S</t>
  </si>
  <si>
    <t>D03372</t>
  </si>
  <si>
    <t>_x0007_   '토목공사 2-1-3'</t>
  </si>
  <si>
    <t xml:space="preserve">    토목공사 2-1-3 </t>
  </si>
  <si>
    <t>_x0007_ Q1 = 4.0'인'/8'hr/일'='hr/일'</t>
  </si>
  <si>
    <t>_x0007_ Q2 = 2.0'인'/8'hr/일'='hr/일'</t>
  </si>
  <si>
    <t>_x0007_ Q = 3400'㎡/일'/8'hr/일'='㎡/hr'</t>
  </si>
  <si>
    <t>_x0007_'1. 포 설(인건비)'</t>
  </si>
  <si>
    <t xml:space="preserve"> 1. 포 설(인건비) </t>
  </si>
  <si>
    <t>_x0007_'포장공:'&amp;L00040&amp; * Q1 / Q=</t>
  </si>
  <si>
    <t>_x0007_'인 부 :'&amp;L00001&amp; * Q2 / Q =</t>
  </si>
  <si>
    <t>_x0007_'2. 노면파쇄( 노면파쇄기(b=2.0m) '</t>
  </si>
  <si>
    <t xml:space="preserve"> 2. 노면파쇄( 노면파쇄기(b=2.0m)  </t>
  </si>
  <si>
    <t>_x0007_'노무비:'&amp;X00121L&amp; * 2 / Q =</t>
  </si>
  <si>
    <t>중기8L</t>
  </si>
  <si>
    <t>X00121_1</t>
  </si>
  <si>
    <t>_x0007_'재료비:'&amp;X00121M&amp; * 2 / Q =</t>
  </si>
  <si>
    <t>중기8M</t>
  </si>
  <si>
    <t>_x0007_'경  비:'&amp;X00121S&amp; * 2 / Q =</t>
  </si>
  <si>
    <t>중기8S</t>
  </si>
  <si>
    <t>_x0007_'3. 포 설(기계 아스팔트페이버(휘니사 3m) '</t>
  </si>
  <si>
    <t xml:space="preserve"> 3. 포 설(기계 아스팔트페이버(휘니사 3m)  </t>
  </si>
  <si>
    <t>_x0007_'노무비:'&amp;X00037L&amp; / Q =</t>
  </si>
  <si>
    <t>중기23L</t>
  </si>
  <si>
    <t>X00037_1</t>
  </si>
  <si>
    <t>_x0007_'재료비:'&amp;X00037M&amp; / Q =</t>
  </si>
  <si>
    <t>중기23M</t>
  </si>
  <si>
    <t>_x0007_'경  비:'&amp;X00037S&amp; / Q =</t>
  </si>
  <si>
    <t>중기23S</t>
  </si>
  <si>
    <t>_x0007_'4. 다 짐'</t>
  </si>
  <si>
    <t xml:space="preserve"> 4. 다 짐 </t>
  </si>
  <si>
    <t>_x0007_'1) 로우더(타이어 0.57㎥)'</t>
  </si>
  <si>
    <t xml:space="preserve"> 1) 로우더(타이어 0.57㎥) </t>
  </si>
  <si>
    <t>_x0007_'노무비:'&amp;X00138L&amp; * 2 / Q =</t>
  </si>
  <si>
    <t>_x0007_'재료비:'&amp;X00138M&amp; * 2 / Q =</t>
  </si>
  <si>
    <t>_x0007_'경  비:'&amp;X00138S&amp; * 2 / Q =</t>
  </si>
  <si>
    <t>_x0007_'2) 머케덤로울러 (10-12ton)'</t>
  </si>
  <si>
    <t xml:space="preserve"> 2) 머케덤로울러 (10-12ton) </t>
  </si>
  <si>
    <t>_x0007_'노무비:'&amp;X00020L&amp; / Q =</t>
  </si>
  <si>
    <t>중기16L</t>
  </si>
  <si>
    <t>X00020_1</t>
  </si>
  <si>
    <t>_x0007_'재료비:'&amp;X00020M&amp; / Q =</t>
  </si>
  <si>
    <t>중기16M</t>
  </si>
  <si>
    <t>_x0007_'경  비:'&amp;X00020S&amp; / Q =</t>
  </si>
  <si>
    <t>중기16S</t>
  </si>
  <si>
    <t>_x0007_'3) 타이어로라 (8-15ton)'</t>
  </si>
  <si>
    <t xml:space="preserve"> 3) 타이어로라 (8-15ton) </t>
  </si>
  <si>
    <t>_x0007_'노무비:'&amp;X00024L&amp; / Q =</t>
  </si>
  <si>
    <t>중기28L</t>
  </si>
  <si>
    <t>X00024_1</t>
  </si>
  <si>
    <t>_x0007_'재료비:'&amp;X00024M&amp; / Q =</t>
  </si>
  <si>
    <t>중기28M</t>
  </si>
  <si>
    <t>_x0007_'경  비:'&amp;X00024S&amp; / Q =</t>
  </si>
  <si>
    <t>중기28S</t>
  </si>
  <si>
    <t>_x0007_'4) 탄뎀로라  (5 - 8ton)'</t>
  </si>
  <si>
    <t xml:space="preserve"> 4) 탄뎀로라  (5 - 8ton) </t>
  </si>
  <si>
    <t>_x0007_'노무비:'&amp;X00134L&amp; / Q =</t>
  </si>
  <si>
    <t>중기29L</t>
  </si>
  <si>
    <t>X00134_1</t>
  </si>
  <si>
    <t>_x0007_'재료비:'&amp;X00134M&amp; / Q =</t>
  </si>
  <si>
    <t>중기29M</t>
  </si>
  <si>
    <t>_x0007_'경  비:'&amp;X00134S&amp; / Q =</t>
  </si>
  <si>
    <t>중기29S</t>
  </si>
  <si>
    <t>_x0007_'5. 살수(물탱크16000ℓ)'</t>
  </si>
  <si>
    <t xml:space="preserve"> 5. 살수(물탱크16000ℓ) </t>
  </si>
  <si>
    <t>_x0007_'노무비:'&amp;X00135L&amp; / Q =</t>
  </si>
  <si>
    <t>중기17L</t>
  </si>
  <si>
    <t>X00135_1</t>
  </si>
  <si>
    <t>_x0007_'재료비:'&amp;X00135M&amp; / Q =</t>
  </si>
  <si>
    <t>중기17M</t>
  </si>
  <si>
    <t>_x0007_'경  비:'&amp;X00135S&amp; / Q =</t>
  </si>
  <si>
    <t>중기17S</t>
  </si>
  <si>
    <t>_x0007_'6. 로더타이어(0.95㎥)+소형노면파쇄기'</t>
  </si>
  <si>
    <t xml:space="preserve"> 6. 로더타이어(0.95㎥)+소형노면파쇄기 </t>
  </si>
  <si>
    <t>_x0007_'노 무 비 : '&amp;X00289L&amp; / Q =</t>
  </si>
  <si>
    <t>중기15L</t>
  </si>
  <si>
    <t>X00289_1</t>
  </si>
  <si>
    <t>_x0007_'재 료 비 : '&amp;X00289M&amp; / Q =</t>
  </si>
  <si>
    <t>중기15M</t>
  </si>
  <si>
    <t>_x0007_'경    비 : '&amp;X00289S&amp; / Q =</t>
  </si>
  <si>
    <t>중기15S</t>
  </si>
  <si>
    <t>_x0007_'7. 아스팔트디트리뷰터(3800L)'</t>
  </si>
  <si>
    <t xml:space="preserve"> 7. 아스팔트디트리뷰터(3800L) </t>
  </si>
  <si>
    <t>_x0007_'노 무 비 : '&amp;X00038L&amp; / Q =</t>
  </si>
  <si>
    <t>중기21L</t>
  </si>
  <si>
    <t>X00038_1</t>
  </si>
  <si>
    <t>_x0007_'재 료 비 : '&amp;X00038M&amp; / Q =</t>
  </si>
  <si>
    <t>중기21M</t>
  </si>
  <si>
    <t>_x0007_'경    비 : '&amp;X00038S&amp; / Q =</t>
  </si>
  <si>
    <t>중기21S</t>
  </si>
  <si>
    <t>_x0007_'8. 재 료 비'</t>
  </si>
  <si>
    <t xml:space="preserve"> 8. 재 료 비 </t>
  </si>
  <si>
    <t>_x0007_  '팁(날) :'&amp;M00262&amp; * 0.0345'개' =</t>
  </si>
  <si>
    <t>자재48</t>
  </si>
  <si>
    <t>M00262_1</t>
  </si>
  <si>
    <t>_x0007_(===)</t>
  </si>
  <si>
    <t>합계</t>
  </si>
  <si>
    <t>T3_1</t>
  </si>
  <si>
    <t>D01352</t>
  </si>
  <si>
    <t>_x0007_'※ 토목품셈 1-3-3 '</t>
  </si>
  <si>
    <t xml:space="preserve"> ※ 토목품셈 1-3-3  </t>
  </si>
  <si>
    <t>_x0007_ Q = 150'인'/8'hr/일'='㎥/hr'</t>
  </si>
  <si>
    <t>_x0007_'1.포  설 (유압식백호우 0.6㎥)'</t>
  </si>
  <si>
    <t xml:space="preserve"> 1.포  설 (유압식백호우 0.6㎥) </t>
  </si>
  <si>
    <t>_x0007_'노무비:'&amp;X00139L&amp; / Q =</t>
  </si>
  <si>
    <t>중기6L</t>
  </si>
  <si>
    <t>X00139_1</t>
  </si>
  <si>
    <t>_x0007_'재료비:'&amp;X00139M&amp; / Q =</t>
  </si>
  <si>
    <t>중기6M</t>
  </si>
  <si>
    <t>_x0007_'경  비:'&amp;X00139S&amp; / Q =</t>
  </si>
  <si>
    <t>중기6S</t>
  </si>
  <si>
    <t>_x0007_'2. 진동로울러(핸드가이드식0.7㎥)  '</t>
  </si>
  <si>
    <t xml:space="preserve"> 2. 진동로울러(핸드가이드식0.7㎥)   </t>
  </si>
  <si>
    <t>_x0007_'노무비:'&amp;X00091L&amp; / Q =</t>
  </si>
  <si>
    <t>_x0007_'재료비:'&amp;X00091M&amp; / Q =</t>
  </si>
  <si>
    <t>_x0007_'경  비:'&amp;X00091S&amp; / Q =</t>
  </si>
  <si>
    <t>_x0007_'3. 물탱크(5,500L)'</t>
  </si>
  <si>
    <t xml:space="preserve"> 3. 물탱크(5,500L) </t>
  </si>
  <si>
    <t>_x0007_'노무비:'&amp;X00051L&amp; / Q * 0.5'대'=</t>
  </si>
  <si>
    <t>_x0007_'재료비:'&amp;X00051M&amp; / Q * 0.5'대'=</t>
  </si>
  <si>
    <t>_x0007_'경  비:'&amp;X00051S&amp; / Q * 0.5'대'=</t>
  </si>
  <si>
    <t>_x0007_'4. 노 무 비 '</t>
  </si>
  <si>
    <t xml:space="preserve"> 4. 노 무 비  </t>
  </si>
  <si>
    <t>_x0007_'포 설 공:'&amp;L00278&amp; * Q1 / Q =</t>
  </si>
  <si>
    <t>노무11</t>
  </si>
  <si>
    <t>L00278_1</t>
  </si>
  <si>
    <t>_x0007_'보통인부:'&amp;L00001&amp; * Q2 / Q =</t>
  </si>
  <si>
    <t>D03304</t>
  </si>
  <si>
    <t>_x0007_  '품셈 1-7-2 투수아스팔트 표층 소규모포설 적용'</t>
  </si>
  <si>
    <t xml:space="preserve">   품셈 1-7-2 투수아스팔트 표층 소규모포설 적용 </t>
  </si>
  <si>
    <t>_x0007_ Q1 = 250'㎡/일/1인'</t>
  </si>
  <si>
    <t>_x0007_ Q2 = 250'㎡/일/3인'</t>
  </si>
  <si>
    <t>_x0007_ Q = 250'㎡/일'/8'hr/일'='㎡/hr'</t>
  </si>
  <si>
    <t>_x0007_'1. 노 무 비'</t>
  </si>
  <si>
    <t xml:space="preserve"> 1. 노 무 비 </t>
  </si>
  <si>
    <t>_x0007_'포 장 공:'&amp;L00040&amp; / Q1 * 2'인' =</t>
  </si>
  <si>
    <t>_x0007_'보통인부:'&amp;L00001&amp; / Q2 * 1'인'=</t>
  </si>
  <si>
    <t>_x0007_'2. 기계사용'</t>
  </si>
  <si>
    <t xml:space="preserve"> 2. 기계사용 </t>
  </si>
  <si>
    <t>_x0007_'1) 로더(타이어0.57㎥)'</t>
  </si>
  <si>
    <t xml:space="preserve"> 1) 로더(타이어0.57㎥) </t>
  </si>
  <si>
    <t>_x0007_'노무비:'&amp;X00138L&amp;  / Q =</t>
  </si>
  <si>
    <t>_x0007_'재료비:'&amp;X00138M&amp;  / Q =</t>
  </si>
  <si>
    <t>_x0007_'경  비:'&amp;X00138S&amp;  / Q =</t>
  </si>
  <si>
    <t>_x0007_'2) 플레이트 콤팩터(1.5ton)'</t>
  </si>
  <si>
    <t xml:space="preserve"> 2) 플레이트 콤팩터(1.5ton) </t>
  </si>
  <si>
    <t>_x0007_'노무비:'&amp;X00026L&amp; / Q =</t>
  </si>
  <si>
    <t>_x0007_'재료비:'&amp;X00026M&amp;  / Q =</t>
  </si>
  <si>
    <t>_x0007_'경  비:'&amp;X00026S&amp;  / Q =</t>
  </si>
  <si>
    <t>_x0007_ '3) 진동로울러(핸드가이드식0.7ton)'</t>
  </si>
  <si>
    <t xml:space="preserve">  3) 진동로울러(핸드가이드식0.7ton) </t>
  </si>
  <si>
    <t>_x0007_'4) 살수차(5500ℓ)'</t>
  </si>
  <si>
    <t xml:space="preserve"> 4) 살수차(5500ℓ) </t>
  </si>
  <si>
    <t>_x0007_'노 무 비 : '&amp;X00051L&amp; / Q *0.5=</t>
  </si>
  <si>
    <t>_x0007_'재 료 비 : '&amp;X00051M&amp; / Q *0.5=</t>
  </si>
  <si>
    <t>_x0007_'경    비 : '&amp;X00051S&amp; / Q *0.5=</t>
  </si>
  <si>
    <t>D04433</t>
  </si>
  <si>
    <t>_x0007_ '품셈 유지관리 2-1-33 적용'</t>
  </si>
  <si>
    <t xml:space="preserve">  품셈 유지관리 2-1-33 적용 </t>
  </si>
  <si>
    <t>_x0007_ Q1 = 3.0'인'/8'hr/일'='hr/일'</t>
  </si>
  <si>
    <t>_x0007_ Q = 110'm/일'/8'hr/일'='m/hr'</t>
  </si>
  <si>
    <t>_x0007_'1. 도로경계석(150*150*1000) 1.0 M'</t>
  </si>
  <si>
    <t xml:space="preserve"> 1. 도로경계석(150*150*1000) 1.0 M </t>
  </si>
  <si>
    <t>_x0007_'1) 경계블럭:(별산)'</t>
  </si>
  <si>
    <t xml:space="preserve"> 1) 경계블럭:(별산) </t>
  </si>
  <si>
    <t>_x0007_'2. 설치비'</t>
  </si>
  <si>
    <t xml:space="preserve"> 2. 설치비 </t>
  </si>
  <si>
    <t>_x0007_'1)특별인부:'3'인'*&amp;L00079&amp;*Q1/Q=</t>
  </si>
  <si>
    <t>_x0007_'2)보통인부:'1'인'*&amp;L00001&amp;*Q2/Q=</t>
  </si>
  <si>
    <t>_x0007_'3) 굴착기(0.2㎥):'&amp;X00113&amp;/Q =</t>
  </si>
  <si>
    <t>_x0007_'4) 트럭(2.5ton):' &amp;X00120&amp;/Q =</t>
  </si>
  <si>
    <t>_x0007_'3.몰탈(1:3)'</t>
  </si>
  <si>
    <t xml:space="preserve"> 3.몰탈(1:3) </t>
  </si>
  <si>
    <t>_x0007_   0.00023'㎥'* &amp;D00492&amp; =</t>
  </si>
  <si>
    <t>산근  27호표</t>
  </si>
  <si>
    <t>D00492_1</t>
  </si>
  <si>
    <t>D02768</t>
  </si>
  <si>
    <t>_x0007_ Q = 13'개소/일'/8'hr/일'='㎡/hr'</t>
  </si>
  <si>
    <t>_x0007_  '(종합일당시공량 13개소 적용)'</t>
  </si>
  <si>
    <t xml:space="preserve">   (종합일당시공량 13개소 적용) </t>
  </si>
  <si>
    <t>_x0007_'1. 노무비'</t>
  </si>
  <si>
    <t xml:space="preserve"> 1. 노무비 </t>
  </si>
  <si>
    <t>_x0007_ '특별인부'&amp;L00079&amp;*Q1/Q =</t>
  </si>
  <si>
    <t>_x0007_ '인    부'&amp;L00001&amp;*Q2/Q =</t>
  </si>
  <si>
    <t>_x0007_'2. 공구손료(노무비의5%)'</t>
  </si>
  <si>
    <t xml:space="preserve"> 2. 공구손료(노무비의5%) </t>
  </si>
  <si>
    <t>_x0007_'공구손료 :'&amp;S00159&amp; * 5'%' =</t>
  </si>
  <si>
    <t>경비1</t>
  </si>
  <si>
    <t>S00159_1</t>
  </si>
  <si>
    <t xml:space="preserve">_x0007_   </t>
  </si>
  <si>
    <t>D03917</t>
  </si>
  <si>
    <t>_x0007_'1. 트레일러 운반(20TON)'  L=18.0'㎞'</t>
  </si>
  <si>
    <t>_x0007_   '백호우 0.4㎥------------&gt;  1  대'</t>
  </si>
  <si>
    <t xml:space="preserve">    백호우 0.4㎥------------&gt;  1  대 </t>
  </si>
  <si>
    <t>_x0007_   '타이어로울러1.0TON------&gt;  1  대'</t>
  </si>
  <si>
    <t xml:space="preserve">    타이어로울러1.0TON------&gt;  1  대 </t>
  </si>
  <si>
    <t>_x0007_   '진동로울러0.7TON--------&gt;  1  대'</t>
  </si>
  <si>
    <t xml:space="preserve">    진동로울러0.7TON--------&gt;  1  대 </t>
  </si>
  <si>
    <t>_x0007_   '발전기(100KW)   --------&gt;  0  대'</t>
  </si>
  <si>
    <t xml:space="preserve">    발전기(100KW)   --------&gt;  0  대 </t>
  </si>
  <si>
    <t>_x0007_   '기      타 -------------&gt;  0  대'</t>
  </si>
  <si>
    <t xml:space="preserve">    기      타 -------------&gt;  0  대 </t>
  </si>
  <si>
    <t>_x0007_   '-------------------------------'</t>
  </si>
  <si>
    <t xml:space="preserve">    ------------------------------- </t>
  </si>
  <si>
    <t>_x0007_            Q1 = 2 '대'</t>
  </si>
  <si>
    <t>_x0007_ '1) 운반비(트레일러 20TON)'</t>
  </si>
  <si>
    <t xml:space="preserve">  1) 운반비(트레일러 20TON) </t>
  </si>
  <si>
    <t>_x0007_    t1 = 20/60 'hr'</t>
  </si>
  <si>
    <t>_x0007_    t2 = L / 40 * 2 = 'hr'</t>
  </si>
  <si>
    <t>_x0007_    t3 = 20/60 'hr'</t>
  </si>
  <si>
    <t>_x0007_    Cm = t1 + t2 + t3 ='hr'</t>
  </si>
  <si>
    <t>_x0007_ '경  비:'&amp;X00036S&amp;*Cm*2'회'*Q1 =</t>
  </si>
  <si>
    <t>중기30S</t>
  </si>
  <si>
    <t>X00036_1</t>
  </si>
  <si>
    <t>_x0007_ '노무비:'&amp;X00036L&amp;*Cm*2'회'*Q1 =</t>
  </si>
  <si>
    <t>중기30L</t>
  </si>
  <si>
    <t>_x0007_ '재료비:'&amp;X00036M&amp;*Cm*2'회'*Q1 =</t>
  </si>
  <si>
    <t>중기30M</t>
  </si>
  <si>
    <t>_x0007_'2. 트럭크레인(10TON)'</t>
  </si>
  <si>
    <t xml:space="preserve"> 2. 트럭크레인(10TON) </t>
  </si>
  <si>
    <t>_x0007_ t2 = (L /30) * 2 * 60 =' 분'</t>
  </si>
  <si>
    <t>_x0007_ Q =(60 * 0.9)/ t2 = '회/시간'</t>
  </si>
  <si>
    <t>_x0007_ C = &amp;X00031&amp; / Q =</t>
  </si>
  <si>
    <t>X00031_1</t>
  </si>
  <si>
    <t>D02956</t>
  </si>
  <si>
    <t>_x0007_'※ 토목품셈 1-8-9-4'</t>
  </si>
  <si>
    <t xml:space="preserve"> ※ 토목품셈 1-8-9-4 </t>
  </si>
  <si>
    <t>_x0007_' - 실선 : 시공량 100% 700 적용'</t>
  </si>
  <si>
    <t xml:space="preserve">  - 실선 : 시공량 100% 700 적용 </t>
  </si>
  <si>
    <t>_x0007_ Q  = 700 * 1.0 ='㎡/일'   //일당시공량</t>
  </si>
  <si>
    <t>_x0007_ Q1 = Q / 8'hr/일'= '㎡/Hr' //시간당시공량</t>
  </si>
  <si>
    <t>_x0007_'1.재료비'</t>
  </si>
  <si>
    <t xml:space="preserve"> 1.재료비 </t>
  </si>
  <si>
    <t>_x0007_  '융착식도료(황색) :'&amp;M05535&amp; * 4.53'㎏' :=A01</t>
  </si>
  <si>
    <t>자재19</t>
  </si>
  <si>
    <t>M05535_1</t>
  </si>
  <si>
    <t>_x0007_  '유 리 알 :'&amp;M05567&amp; * 0.31'㎏' :=A01</t>
  </si>
  <si>
    <t>자재38</t>
  </si>
  <si>
    <t>M05567_1</t>
  </si>
  <si>
    <t>_x0007_  '프라이머 :'&amp;M05555&amp; * 0.2'kg' :=A01</t>
  </si>
  <si>
    <t>자재39</t>
  </si>
  <si>
    <t>M05555_1</t>
  </si>
  <si>
    <t>_x0007_  '프로판가스 :'&amp;M03602&amp; * 0.2'kg' :=A01</t>
  </si>
  <si>
    <t>자재37</t>
  </si>
  <si>
    <t>M03602_1</t>
  </si>
  <si>
    <t>_x0007_  '잡재료비(인력품의 1%) :'&amp;PA01:M&amp; * 1'%':=A01</t>
  </si>
  <si>
    <t>_x0007_  (==)</t>
  </si>
  <si>
    <t>_x0007_'2.노무비'</t>
  </si>
  <si>
    <t xml:space="preserve"> 2.노무비 </t>
  </si>
  <si>
    <t>_x0007_  '보통인부 :'&amp;L00001&amp; * 2'인'/ Q :=A02</t>
  </si>
  <si>
    <t>1_02</t>
  </si>
  <si>
    <t>_x0007_  '특별인부 :'&amp;L00079&amp; * 2'인'/ Q :=A02</t>
  </si>
  <si>
    <t>_x0007_   '공구손료(인력품의 10%) :'&amp;PA02:S&amp; * 10'%':=A02</t>
  </si>
  <si>
    <t>_x0007_'3.기계사용료'</t>
  </si>
  <si>
    <t xml:space="preserve"> 3.기계사용료 </t>
  </si>
  <si>
    <t>_x0007_' 가.트럭(4.5ton)'</t>
  </si>
  <si>
    <t xml:space="preserve">  가.트럭(4.5ton) </t>
  </si>
  <si>
    <t>_x0007_   '재료비:'&amp;X00001M&amp; / Q1 =</t>
  </si>
  <si>
    <t>중기12M</t>
  </si>
  <si>
    <t>X00001_1</t>
  </si>
  <si>
    <t>_x0007_   '노무비:'&amp;X00001L&amp; / Q1 =</t>
  </si>
  <si>
    <t>중기12L</t>
  </si>
  <si>
    <t>_x0007_   '경  비:'&amp;X00001S&amp; / Q1 =</t>
  </si>
  <si>
    <t>중기12S</t>
  </si>
  <si>
    <t>_x0007_   (=)</t>
  </si>
  <si>
    <t>_x0007_' 나.트럭(2.5ton)'</t>
  </si>
  <si>
    <t xml:space="preserve">  나.트럭(2.5ton) </t>
  </si>
  <si>
    <t>_x0007_   '재료비:'&amp;X00120M&amp; / Q1 =</t>
  </si>
  <si>
    <t>중기11M</t>
  </si>
  <si>
    <t>_x0007_   '노무비:'&amp;X00120L&amp; / Q1 =</t>
  </si>
  <si>
    <t>중기11L</t>
  </si>
  <si>
    <t>_x0007_   '경  비:'&amp;X00120S&amp; / Q1 =</t>
  </si>
  <si>
    <t>중기11S</t>
  </si>
  <si>
    <t>D02954</t>
  </si>
  <si>
    <t>_x0007_' - 실선 : 시공량 100% 적용'</t>
  </si>
  <si>
    <t xml:space="preserve">  - 실선 : 시공량 100% 적용 </t>
  </si>
  <si>
    <t>_x0007_ Q  = 700 * 1.00 ='㎡/일'   //일당시공량</t>
  </si>
  <si>
    <t>_x0007_  '융착식도료(백색) :'&amp;M05535&amp; * 4.53'㎏' :=A01</t>
  </si>
  <si>
    <t>_x0007_  '공구손료(인력품의10%) :'&amp;PA02:S&amp; * 10'%':=A02</t>
  </si>
  <si>
    <t>_x0007_ ' 나.트럭(2.5ton)'</t>
  </si>
  <si>
    <t xml:space="preserve">   나.트럭(2.5ton) </t>
  </si>
  <si>
    <t>D03552</t>
  </si>
  <si>
    <t>_x0007_' - 횡단보도,주차장 : 시공량 266 적용'</t>
  </si>
  <si>
    <t xml:space="preserve">  - 횡단보도,주차장 : 시공량 266 적용 </t>
  </si>
  <si>
    <t>_x0007_ Q  = 266 * 1 ='㎡/일'   //일당시공량</t>
  </si>
  <si>
    <t>_x0007_  '공구손료(인력품의 10%) :'&amp;PA02:S&amp; * 10'%':=A02</t>
  </si>
  <si>
    <t>D04342</t>
  </si>
  <si>
    <t>_x0007_'1.공사안내 표지판 구입(손율 33%) '</t>
  </si>
  <si>
    <t xml:space="preserve"> 1.공사안내 표지판 구입(손율 33%)  </t>
  </si>
  <si>
    <t>_x0007_  ' 2-2-3,3/ P100&gt; 6개월'</t>
  </si>
  <si>
    <t xml:space="preserve">    2-2-3,3/ P100&gt; 6개월 </t>
  </si>
  <si>
    <t>_x0007_'※ 2025년도 건설공사 표준품셈&lt;건설연구사&gt;제1편공통공사제2장 가설공사'</t>
  </si>
  <si>
    <t xml:space="preserve"> ※ 2025년도 건설공사 표준품셈&lt;건설연구사&gt;제1편공통공사제2장 가설공사 </t>
  </si>
  <si>
    <t>_x0007_ '1). 안내  간판(900x1800)'</t>
  </si>
  <si>
    <t xml:space="preserve">  1). 안내  간판(900x1800) </t>
  </si>
  <si>
    <t>_x0007_    '공사안내 간판 :'&amp;M05418&amp; * 1'EA' * 0.33 :=A01-&gt;</t>
  </si>
  <si>
    <t>자재13:제외</t>
  </si>
  <si>
    <t>M05418_1</t>
  </si>
  <si>
    <t>T2_1:C</t>
  </si>
  <si>
    <t>_x0007_    '공사안내 간판 :'&amp;PA01:S&amp; * 100'%' =</t>
  </si>
  <si>
    <t>D04343</t>
  </si>
  <si>
    <t>_x0007_'1.공사안내 표지판 구입(손율 29%) '</t>
  </si>
  <si>
    <t xml:space="preserve"> 1.공사안내 표지판 구입(손율 29%)  </t>
  </si>
  <si>
    <t>_x0007_  ' 2-2-3,3/ P100&gt; 3개월'</t>
  </si>
  <si>
    <t xml:space="preserve">    2-2-3,3/ P100&gt; 3개월 </t>
  </si>
  <si>
    <t>_x0007_    '공사안내 간판 :'&amp;M07747&amp; * 1'EA' * 0.29 :=A01-&gt;</t>
  </si>
  <si>
    <t>자재12:제외</t>
  </si>
  <si>
    <t>M07747_1</t>
  </si>
  <si>
    <t>D04344</t>
  </si>
  <si>
    <t>_x0007_    '공사안내판 간 :'&amp;PA01:S&amp; * 100'%' =</t>
  </si>
  <si>
    <t>_x0007_'※ 2025년도 건설공사 표준품셈&lt;건설연구사&gt;제1편 일반공통/제1장 적용기준'</t>
  </si>
  <si>
    <t xml:space="preserve"> ※ 2025년도 건설공사 표준품셈&lt;건설연구사&gt;제1편 일반공통/제1장 적용기준 </t>
  </si>
  <si>
    <t>_x0007_        '품셈 1-5-5  P83'</t>
  </si>
  <si>
    <t xml:space="preserve">         품셈 1-5-5  P83 </t>
  </si>
  <si>
    <t>_x0007_ '1) 설치 및 철거'</t>
  </si>
  <si>
    <t xml:space="preserve">  1) 설치 및 철거 </t>
  </si>
  <si>
    <t>_x0007_    '보통인부 :'&amp;L00001&amp; * 0.05'인/EA' :=A01-&gt;</t>
  </si>
  <si>
    <t>노무5:제외</t>
  </si>
  <si>
    <t>D04345</t>
  </si>
  <si>
    <t>_x0007_    '설치 및 철거 :'&amp;PA01:S&amp; * 100'%' =</t>
  </si>
  <si>
    <t>D00022</t>
  </si>
  <si>
    <t>_x0007_'※ 토목품셈 9-1'</t>
  </si>
  <si>
    <t xml:space="preserve"> ※ 토목품셈 9-1 </t>
  </si>
  <si>
    <t>_x0007_'1.정지(불도저 19TON)'</t>
  </si>
  <si>
    <t xml:space="preserve"> 1.정지(불도저 19TON) </t>
  </si>
  <si>
    <t>_x0007_  L = 20'm', E = 0.7, V1 = 75, V2 = 98</t>
  </si>
  <si>
    <t>_x0007_  f = 1/1.25 =, q = 3.2*0.96 =</t>
  </si>
  <si>
    <t>_x0007_  Cm = L/V1+L/V2+0.25 =</t>
  </si>
  <si>
    <t>_x0007_  Q = 60*q*f*E/Cm  = '㎥/hr'</t>
  </si>
  <si>
    <t>_x0007_ '재료비:'&amp;X00006M&amp; / Q =</t>
  </si>
  <si>
    <t>중기19M</t>
  </si>
  <si>
    <t>X00006_1</t>
  </si>
  <si>
    <t>_x0007_ '노무비:'&amp;X00006L&amp; / Q =</t>
  </si>
  <si>
    <t>중기19L</t>
  </si>
  <si>
    <t>_x0007_ '경  비:'&amp;X00006S&amp; / Q =</t>
  </si>
  <si>
    <t>중기19S</t>
  </si>
  <si>
    <t>D00492</t>
  </si>
  <si>
    <t>_x0007_'1. 시멘트 (별도)'</t>
  </si>
  <si>
    <t xml:space="preserve"> 1. 시멘트 (별도) </t>
  </si>
  <si>
    <t xml:space="preserve">_x0007_   '510 ㎏'                               </t>
  </si>
  <si>
    <t xml:space="preserve">    510 ㎏                                </t>
  </si>
  <si>
    <t>_x0007_'2.모 래 (별도)'</t>
  </si>
  <si>
    <t xml:space="preserve"> 2.모 래 (별도) </t>
  </si>
  <si>
    <t xml:space="preserve">_x0007_   '1.10 ㎥'                </t>
  </si>
  <si>
    <t xml:space="preserve">    1.10 ㎥                 </t>
  </si>
  <si>
    <t>_x0007_'3. 노무비'</t>
  </si>
  <si>
    <t xml:space="preserve"> 3. 노무비 </t>
  </si>
  <si>
    <t>_x0007_  '보통인부'0.43'인'*&amp;L00001&amp; =</t>
  </si>
  <si>
    <t>D03666</t>
  </si>
  <si>
    <t>_x0007_ '토목품셈 1-7-1 적용'</t>
  </si>
  <si>
    <t xml:space="preserve">  토목품셈 1-7-1 적용 </t>
  </si>
  <si>
    <t>_x0007_ Q3 = 1.0'인'/8'hr/일'='hr/일'</t>
  </si>
  <si>
    <t>_x0007_ Q = 171'㎡/일'/8'hr/일'='㎡/hr'</t>
  </si>
  <si>
    <t>_x0007_  '(시공량 190에10%감 = 171)'</t>
  </si>
  <si>
    <t xml:space="preserve">   (시공량 190에10%감 = 171) </t>
  </si>
  <si>
    <t>_x0007_'1. 재 료 비'</t>
  </si>
  <si>
    <t xml:space="preserve"> 1. 재 료 비 </t>
  </si>
  <si>
    <t>_x0007_'보도블럭(별  산)'</t>
  </si>
  <si>
    <t xml:space="preserve"> 보도블럭(별  산) </t>
  </si>
  <si>
    <t>_x0007_'모   래(별  산)'</t>
  </si>
  <si>
    <t xml:space="preserve"> 모   래(별  산) </t>
  </si>
  <si>
    <t>_x0007_'2. 설 치 비'</t>
  </si>
  <si>
    <t xml:space="preserve"> 2. 설 치 비 </t>
  </si>
  <si>
    <t>_x0007_'1)포장공 :'&amp;L00040&amp; *Q1/Q:=A01</t>
  </si>
  <si>
    <t>_x0007_'2)특별인부:'&amp;L00079&amp;*Q2/Q:=A01</t>
  </si>
  <si>
    <t>_x0007_'3)보통인부:'&amp;L00001&amp;*Q3/Q:=A01</t>
  </si>
  <si>
    <t>_x0007_'공구손료 및 잡재료비 :'&amp;PA01L:S&amp; * 5'%' =</t>
  </si>
  <si>
    <t>_x0007_'3. 플래이트콤펙타(1.5TON)'</t>
  </si>
  <si>
    <t xml:space="preserve"> 3. 플래이트콤펙타(1.5TON) </t>
  </si>
  <si>
    <t>_x0007_'재료비:'&amp;X00026M&amp; / Q =</t>
  </si>
  <si>
    <t>_x0007_'경  비:'&amp;X00026S&amp; / Q =</t>
  </si>
  <si>
    <t>_x0007_'4. 유압식백호우(0.4㎥)'</t>
  </si>
  <si>
    <t xml:space="preserve"> 4. 유압식백호우(0.4㎥) </t>
  </si>
  <si>
    <t>_x0007_'노무비:'&amp;X00108L&amp; / Q =</t>
  </si>
  <si>
    <t>_x0007_'재료비:'&amp;X00108M&amp; / Q =</t>
  </si>
  <si>
    <t>_x0007_'경  비:'&amp;X00108S&amp; / Q =</t>
  </si>
  <si>
    <t>D01383</t>
  </si>
  <si>
    <t>_x0007_  '품셈1-9-2 적용'</t>
  </si>
  <si>
    <t xml:space="preserve">   품셈1-9-2 적용 </t>
  </si>
  <si>
    <t>_x0007_ Q = 140'm/일'/8'hr/일'='m/hr'</t>
  </si>
  <si>
    <t>_x0007_'  경계블럭:(별산)'</t>
  </si>
  <si>
    <t xml:space="preserve">   경계블럭:(별산) </t>
  </si>
  <si>
    <t>_x0007_'2. 레미콘타설(측구)'</t>
  </si>
  <si>
    <t xml:space="preserve"> 2. 레미콘타설(측구) </t>
  </si>
  <si>
    <t>_x0007_     0.030'㎥' * &amp;D00368&amp; =</t>
  </si>
  <si>
    <t>_x0007_'3. 거푸집(합판6회)'</t>
  </si>
  <si>
    <t xml:space="preserve"> 3. 거푸집(합판6회) </t>
  </si>
  <si>
    <t>_x0007_   0.30'㎡' * &amp;D00362&amp; =</t>
  </si>
  <si>
    <t>산근  31호표</t>
  </si>
  <si>
    <t>D00362_1</t>
  </si>
  <si>
    <t>_x0007_'4. 설치비'</t>
  </si>
  <si>
    <t xml:space="preserve"> 4. 설치비 </t>
  </si>
  <si>
    <t>_x0007_'3) 탑재형크레인(5TON):'&amp;X00124&amp;/Q =</t>
  </si>
  <si>
    <t>_x0007_'5.  몰탈(1:3)'</t>
  </si>
  <si>
    <t xml:space="preserve"> 5.  몰탈(1:3) </t>
  </si>
  <si>
    <t>D00368</t>
  </si>
  <si>
    <t>_x0007_  '레미콘 타설 (철근)'</t>
  </si>
  <si>
    <t xml:space="preserve">   레미콘 타설 (철근) </t>
  </si>
  <si>
    <t>_x0007_  '건설표준품셈(공통)6-1-1'</t>
  </si>
  <si>
    <t xml:space="preserve">   건설표준품셈(공통)6-1-1 </t>
  </si>
  <si>
    <t>_x0007_ Q2 = 3.0'인'/8'hr/일'='hr/일'</t>
  </si>
  <si>
    <t>_x0007_ Q = 23'㎥/일'/8'hr/일'='㎥/hr'</t>
  </si>
  <si>
    <t>_x0007_'1.노  무  비'</t>
  </si>
  <si>
    <t xml:space="preserve"> 1.노  무  비 </t>
  </si>
  <si>
    <t>_x0007_'콘크리트공 :'&amp;L00024&amp; * Q1 / Q :=A01</t>
  </si>
  <si>
    <t>노무9</t>
  </si>
  <si>
    <t>L00024_1</t>
  </si>
  <si>
    <t>_x0007_'보 통 인 부 :'&amp;L00001&amp; * Q2 / Q :=A01</t>
  </si>
  <si>
    <t>_x0007_'2. 공구손료 :'&amp;PA01L:S&amp; * 2'%' =</t>
  </si>
  <si>
    <t>D00362</t>
  </si>
  <si>
    <t>_x0007_'※ 토목품셈 6-3-2'</t>
  </si>
  <si>
    <t xml:space="preserve"> ※ 토목품셈 6-3-2 </t>
  </si>
  <si>
    <t>_x0007_  ' 간단(50㎡)'</t>
  </si>
  <si>
    <t xml:space="preserve">    간단(50㎡) </t>
  </si>
  <si>
    <t>_x0007_ Q1 = 5.0'인'/8'hr/일'='hr/일'</t>
  </si>
  <si>
    <t>_x0007_ Q = 50'㎥/일'/8'hr/일'='㎥/hr'</t>
  </si>
  <si>
    <t>_x0007_'1.재료비(주자재비의 32.7%)'</t>
  </si>
  <si>
    <t xml:space="preserve"> 1.재료비(주자재비의 32.7%) </t>
  </si>
  <si>
    <t>_x0007_  '합판(내수1급,12m/m) :'&amp;M05556&amp; * 1.03'㎡' *0.327:=A01</t>
  </si>
  <si>
    <t>자재51</t>
  </si>
  <si>
    <t>M05556_1</t>
  </si>
  <si>
    <t>_x0007_  '각재(외송) :'&amp;M05530&amp; * 0.038'㎥' *0.327:=A01</t>
  </si>
  <si>
    <t>자재8</t>
  </si>
  <si>
    <t>M05530_1</t>
  </si>
  <si>
    <t>_x0007_'2. 소모자재(철선, 못, 박리제) 주자비의11%'</t>
  </si>
  <si>
    <t xml:space="preserve"> 2. 소모자재(철선, 못, 박리제) 주자비의11% </t>
  </si>
  <si>
    <t>_x0007_   '손료계산 :'&amp;PA01M:M&amp; * 11'%' =</t>
  </si>
  <si>
    <t>_x0007_  '형틀목공 :'&amp;L00004&amp; * Q1 / Q '인' := A01</t>
  </si>
  <si>
    <t>노무13</t>
  </si>
  <si>
    <t>L00004_1</t>
  </si>
  <si>
    <t>_x0007_  '보통인부 :'&amp;L00001&amp; * Q2 / Q '인' := A01</t>
  </si>
  <si>
    <t>_x0007_  '공구손료 :'&amp;PA01L:S&amp; * 1'%' =</t>
  </si>
  <si>
    <t>D04424</t>
  </si>
  <si>
    <t>_x0007_ ' 표준 품셈 일반공통 4-4-2 적용'</t>
  </si>
  <si>
    <t xml:space="preserve">   표준 품셈 일반공통 4-4-2 적용 </t>
  </si>
  <si>
    <t>_x0007_'1. 자연석 헐기(조경 유용석 쌓기 적용)'</t>
  </si>
  <si>
    <t xml:space="preserve"> 1. 자연석 헐기(조경 유용석 쌓기 적용) </t>
  </si>
  <si>
    <t>_x0007_'조경공 :'&amp;L00049&amp; * 1'인' / 13'(1/ton)' =</t>
  </si>
  <si>
    <t>노무8</t>
  </si>
  <si>
    <t>L00049_1</t>
  </si>
  <si>
    <t>_x0007_'석  공:'&amp;L00012&amp; * 3'인'/ 13'(1일/ton)' =</t>
  </si>
  <si>
    <t>노무6</t>
  </si>
  <si>
    <t>L00012_1</t>
  </si>
  <si>
    <t>_x0007_'굴삭기:'&amp;X00139&amp; * 1'인' / 13'(1일/ton)' 'hr' =</t>
  </si>
  <si>
    <t>D00589</t>
  </si>
  <si>
    <t>_x0007_ '품셈(토목공사) 6-2-2'</t>
  </si>
  <si>
    <t xml:space="preserve">  품셈(토목공사) 6-2-2 </t>
  </si>
  <si>
    <t>_x0007_   '일당 시공량' Q = 10.0'본/일'</t>
  </si>
  <si>
    <t>_x0007_   '시간당 시공량:'  Q1 = Q / 8 =   '본/Hr'</t>
  </si>
  <si>
    <t>_x0007_'1. 접합 및 부설(인력) '</t>
  </si>
  <si>
    <t xml:space="preserve"> 1. 접합 및 부설(인력)  </t>
  </si>
  <si>
    <t>_x0007_    '배관공(수도) :'&amp;L00027&amp; * 2'인'/ Q'인':=A01</t>
  </si>
  <si>
    <t>노무4</t>
  </si>
  <si>
    <t>_x0007_    '보통인부 :'&amp;L00001&amp; * 1'인'/ Q'인':=A01</t>
  </si>
  <si>
    <t>_x0007_   '공구손료 및 경장비(임팩트렌치, 발전기 등) :'&amp;PA01L:S&amp; * 4'%' =</t>
  </si>
  <si>
    <t>_x0007_ '2. 기 계(양중장비, 트럭탑재형크레인 10ton) '</t>
  </si>
  <si>
    <t xml:space="preserve">  2. 기 계(양중장비, 트럭탑재형크레인 10ton)  </t>
  </si>
  <si>
    <t>_x0007_ '④ 양중장비 규격은 작업여건(시공높이, 위치 등) 및 안전율을(적정하중'</t>
  </si>
  <si>
    <t xml:space="preserve">  ④ 양중장비 규격은 작업여건(시공높이, 위치 등) 및 안전율을(적정하중 </t>
  </si>
  <si>
    <t>_x0007_    '작업반경 등) 고려하여 적합한 규격을 적용한다'</t>
  </si>
  <si>
    <t xml:space="preserve">     작업반경 등) 고려하여 적합한 규격을 적용한다 </t>
  </si>
  <si>
    <t>_x0007_ '노 무 비 : '&amp;X00167L&amp; / Q1 :=A01</t>
  </si>
  <si>
    <t>중기31L</t>
  </si>
  <si>
    <t>X00167_1</t>
  </si>
  <si>
    <t>_x0007_ '재 료 비 : '&amp;X00167M&amp; / Q1 :=A01</t>
  </si>
  <si>
    <t>중기31M</t>
  </si>
  <si>
    <t>_x0007_ '경    비 : '&amp;X00167S&amp; / Q1 :=A01</t>
  </si>
  <si>
    <t>중기31S</t>
  </si>
  <si>
    <t>D00591</t>
  </si>
  <si>
    <t>_x0007_    '배관공(수도) :'&amp;L00027&amp; * 2'인'/ Q'인' * (1/2):=A01</t>
  </si>
  <si>
    <t>*(</t>
  </si>
  <si>
    <t>_x0007_    '보통인부 :'&amp;L00001&amp; * 1'인'/ Q'인'* (1/2):=A01</t>
  </si>
  <si>
    <t>_x0007_ '노 무 비 : '&amp;X00167L&amp; / Q1 * (1/2):=A01</t>
  </si>
  <si>
    <t>_x0007_ '재 료 비 : '&amp;X00167M&amp; / Q1 * (1/2):=A01</t>
  </si>
  <si>
    <t>_x0007_ '경    비 : '&amp;X00167S&amp; / Q1 * (1/2):=A01</t>
  </si>
  <si>
    <t>D04252</t>
  </si>
  <si>
    <t>_x0007_ '④  이탈방지압륜을 사용하여 접합할 경우 본 품을 30% 까지 증하여 '</t>
  </si>
  <si>
    <t xml:space="preserve">  ④  이탈방지압륜을 사용하여 접합할 경우 본 품을 30% 까지 증하여  </t>
  </si>
  <si>
    <t>_x0007_     '적용할 수 있다'</t>
  </si>
  <si>
    <t xml:space="preserve">      적용할 수 있다 </t>
  </si>
  <si>
    <t>_x0007_  '배관공(수도) :'&amp;L00027&amp; * 2'인'/ Q'인'*(1/2)*1.3'(30%증)':=A01</t>
  </si>
  <si>
    <t>_x0007_  '보 통 인 부  :'&amp;L00001&amp; * 1'인'/ Q'인'*(1/2)*1.3'(30%증)':=A01</t>
  </si>
  <si>
    <t>_x0007_  '공구손료 및 경장비(임팩트렌치, 발전기 등) :'&amp;PA01L:S&amp; * 4'%' =</t>
  </si>
  <si>
    <t>_x0007_ '노 무 비 : '&amp;X00167L&amp; / Q1 *(1/2)*1.3'(30%증)':=A01</t>
  </si>
  <si>
    <t>_x0007_ '재 료 비 : '&amp;X00167M&amp; / Q1 *(1/2)*1.3'(30%증)':=A01</t>
  </si>
  <si>
    <t>_x0007_ '경    비 : '&amp;X00167S&amp; / Q1 *(1/2)*1.3'(30%증)':=A01</t>
  </si>
  <si>
    <t>D03799</t>
  </si>
  <si>
    <t>_x0007_  '품셈(유지관리)2-4-10적용'</t>
  </si>
  <si>
    <t xml:space="preserve">   품셈(유지관리)2-4-10적용 </t>
  </si>
  <si>
    <t>_x0007_ Q = 30'본/일'/8'hr/일'='㎡/hr'</t>
  </si>
  <si>
    <t>_x0007_   '(일당시공량(30본 적)'</t>
  </si>
  <si>
    <t xml:space="preserve">    (일당시공량(30본 적) </t>
  </si>
  <si>
    <t>_x0007_ '배 관 공'&amp;L00028&amp;*Q1/Q :=A01</t>
  </si>
  <si>
    <t>노무3</t>
  </si>
  <si>
    <t>L00028_1</t>
  </si>
  <si>
    <t>_x0007_ '인    부'&amp;L00001&amp; *Q2/Q:=A01</t>
  </si>
  <si>
    <t>_x0007_' 2. 기 계(크레인 10TON)'</t>
  </si>
  <si>
    <t xml:space="preserve">  2. 기 계(크레인 10TON) </t>
  </si>
  <si>
    <t>_x0007_'노 무 비 : '&amp;X00031L&amp; / Q =</t>
  </si>
  <si>
    <t>중기26L</t>
  </si>
  <si>
    <t>_x0007_'재 료 비 : '&amp;X00031M&amp; / Q =</t>
  </si>
  <si>
    <t>중기26M</t>
  </si>
  <si>
    <t>_x0007_'경    비 : '&amp;X00031S&amp; / Q =</t>
  </si>
  <si>
    <t>중기26S</t>
  </si>
  <si>
    <t>D04373</t>
  </si>
  <si>
    <t>_x0007_'※ 토목품셈 6-3-3'</t>
  </si>
  <si>
    <t xml:space="preserve"> ※ 토목품셈 6-3-3 </t>
  </si>
  <si>
    <t>_x0007_  ' 시공량 간단(40㎡)'</t>
  </si>
  <si>
    <t xml:space="preserve">    시공량 간단(40㎡) </t>
  </si>
  <si>
    <t>_x0007_ Q = 40'㎡/일'/8'hr/일'='㎡/hr'</t>
  </si>
  <si>
    <t>_x0007_  '패널(600×1200mm) :'&amp;M05558&amp; * 0.095'매' :=A01</t>
  </si>
  <si>
    <t>자재9</t>
  </si>
  <si>
    <t>M05558_1</t>
  </si>
  <si>
    <t>_x0007_'-.부자재비(주재료비의 24%) :'&amp;PA01:M&amp; * 29'%' =</t>
  </si>
  <si>
    <t>_x0007_'-.소모자비(주재료비 5%) :'&amp;PA01:M&amp; * 5'%' =</t>
  </si>
  <si>
    <t>_x0007_  '형틀목공 :'&amp;L00004&amp; * Q1 / Q '인' :=A02</t>
  </si>
  <si>
    <t>_x0007_  '보통인부 :'&amp;L00001&amp; * Q2 / Q '인' :=A02</t>
  </si>
  <si>
    <t>_x0007_'-.공구손료(인력품의 3%) :'&amp;PA02:S&amp; * 3'%' =</t>
  </si>
  <si>
    <t>D03924</t>
  </si>
  <si>
    <t>_x0007_    '공통부분 품셈 4-4-2'</t>
  </si>
  <si>
    <t xml:space="preserve">     공통부분 품셈 4-4-2 </t>
  </si>
  <si>
    <t>_x0007_ '쌓기 및 놓기(일당 13ton)'</t>
  </si>
  <si>
    <t xml:space="preserve">  쌓기 및 놓기(일당 13ton) </t>
  </si>
  <si>
    <t>_x0007_ Q1 = 1.0'인'/8'hr/일'='hr/일'</t>
  </si>
  <si>
    <t>_x0007_ Q = 13'ton/일'/8'hr/일'='ton/hr'</t>
  </si>
  <si>
    <t>_x0007_ '조 경 공 :'&amp;L00049&amp; * Q1 / Q =</t>
  </si>
  <si>
    <t>_x0007_ '석    공 :'&amp;L00012&amp; * Q1 / Q  =</t>
  </si>
  <si>
    <t>_x0007_'2. 기계사용료  굴삭기(0.6㎥)'</t>
  </si>
  <si>
    <t xml:space="preserve"> 2. 기계사용료  굴삭기(0.6㎥) </t>
  </si>
  <si>
    <t>_x0007_'노 무 비 : '&amp;X00139L&amp; / Q =</t>
  </si>
  <si>
    <t>_x0007_'재 료 비 : '&amp;X00139M&amp; / Q =</t>
  </si>
  <si>
    <t>_x0007_'경    비 : '&amp;X00139S&amp; / Q =</t>
  </si>
  <si>
    <t>D02702</t>
  </si>
  <si>
    <t>_x0007_  '품셈 일반공통 8-2-15 '</t>
  </si>
  <si>
    <t xml:space="preserve">   품셈 일반공통 8-2-15  </t>
  </si>
  <si>
    <t>_x0007_'1.기계사용료(대형브레이카+백호0.6㎥)'</t>
  </si>
  <si>
    <t xml:space="preserve"> 1.기계사용료(대형브레이카+백호0.6㎥) </t>
  </si>
  <si>
    <t>_x0007_    Q= 16'㎥/hr'</t>
  </si>
  <si>
    <t>_x0007_'   노무비:'&amp;X00156L&amp;/Q =</t>
  </si>
  <si>
    <t>중기1L</t>
  </si>
  <si>
    <t>X00156_1</t>
  </si>
  <si>
    <t>_x0007_'   재료비:'&amp;X00156M&amp;/Q =</t>
  </si>
  <si>
    <t>중기1M</t>
  </si>
  <si>
    <t>_x0007_'   경  비:'&amp;X00156S&amp;/Q =</t>
  </si>
  <si>
    <t>중기1S</t>
  </si>
  <si>
    <t>_x0007_'3.치즐 (0.6㎥용)'</t>
  </si>
  <si>
    <t xml:space="preserve"> 3.치즐 (0.6㎥용) </t>
  </si>
  <si>
    <t>_x0007_    (0.008'본/hr'*&amp;M04878M&amp;)/Q=</t>
  </si>
  <si>
    <t>자재46M</t>
  </si>
  <si>
    <t>M04878_1</t>
  </si>
  <si>
    <t>D03839</t>
  </si>
  <si>
    <t>_x0007_'※ 품셈(일반공통) 8-3-2, 3-2-1'</t>
  </si>
  <si>
    <t xml:space="preserve"> ※ 품셈(일반공통) 8-3-2, 3-2-1 </t>
  </si>
  <si>
    <t>_x0007_'1.기계터파기(굴삭기0.6㎥,90%)'</t>
  </si>
  <si>
    <t xml:space="preserve"> 1.기계터파기(굴삭기0.6㎥,90%) </t>
  </si>
  <si>
    <t>_x0007_  q = 0.6, k = 0.9, f = 1/1.30 =</t>
  </si>
  <si>
    <t>_x0007_ E = 0.60-0.05 =, Cm = 18'sec(90˚)'</t>
  </si>
  <si>
    <t>_x0007_  Q = 3600*q*k*f*E/Cm = '㎥/hr'</t>
  </si>
  <si>
    <t>_x0007_  '재료비:'&amp;X00139M&amp; / Q * 0.9 =</t>
  </si>
  <si>
    <t>_x0007_  '노무비:'&amp;X00139L&amp; / Q * 0.9 =</t>
  </si>
  <si>
    <t>_x0007_  '경  비:'&amp;X00139S&amp; / Q * 0.9 =</t>
  </si>
  <si>
    <t>_x0007_'2.인력터파기(10%) 보통토사'</t>
  </si>
  <si>
    <t xml:space="preserve"> 2.인력터파기(10%) 보통토사 </t>
  </si>
  <si>
    <t>_x0007_   N = 3.6 'hr/㎥'</t>
  </si>
  <si>
    <t>_x0007_ '특별인부 :'&amp;L00079&amp; * 1'인' / [N]'인'* 0.1 =</t>
  </si>
  <si>
    <t>D03840</t>
  </si>
  <si>
    <t>_x0007_ '건설표준품셈(공통) 8-2-3, 8-2-9'</t>
  </si>
  <si>
    <t xml:space="preserve">  건설표준품셈(공통) 8-2-3, 8-2-9 </t>
  </si>
  <si>
    <t>_x0007_'1.기계 (굴삭기 백호우0.6㎥:90%)'</t>
  </si>
  <si>
    <t xml:space="preserve"> 1.기계 (굴삭기 백호우0.6㎥:90%) </t>
  </si>
  <si>
    <t>_x0007_   q= 0.6,  f= 1.0/1.25=,</t>
  </si>
  <si>
    <t>_x0007_   E=0.70</t>
  </si>
  <si>
    <t>_x0007_   K= 1.1 , Cm= 18'sec (90˚)'</t>
  </si>
  <si>
    <t>_x0007_'노무비:'&amp;X00139L&amp; / Q * 0.9 =</t>
  </si>
  <si>
    <t>_x0007_'재료비:'&amp;X00139M&amp; / Q * 0.9 =</t>
  </si>
  <si>
    <t>_x0007_'경  비:'&amp;X00139S&amp; / Q * 0.9 =</t>
  </si>
  <si>
    <t>_x0007_'3.다  짐 (진동 로울러 0.7ton)'</t>
  </si>
  <si>
    <t xml:space="preserve"> 3.다  짐 (진동 로울러 0.7ton) </t>
  </si>
  <si>
    <t>_x0007_   V=1.0,    W=0.7,    E=0.6</t>
  </si>
  <si>
    <t>_x0007_   D=0.3'M', f=1.0,    N=6'회'</t>
  </si>
  <si>
    <t>_x0007_   Q=1000*V*W*E*D*f/N='㎥/Hr'</t>
  </si>
  <si>
    <t>D03940</t>
  </si>
  <si>
    <t>_x0007_'◈ 공사안내 간판'</t>
  </si>
  <si>
    <t xml:space="preserve"> ◈ 공사안내 간판 </t>
  </si>
  <si>
    <t>_x0007_   '공사기간(1개월 손율(재사용) : 0.3'</t>
  </si>
  <si>
    <t xml:space="preserve">    공사기간(1개월 손율(재사용) : 0.3 </t>
  </si>
  <si>
    <t>_x0007_    '공사안내 간판 :'&amp;M06157&amp; * 1'EA' * 0.3 =</t>
  </si>
  <si>
    <t>자재14</t>
  </si>
  <si>
    <t>M06157_1</t>
  </si>
  <si>
    <t>_x0007_ '손료계산 :'&amp;PS_M:L&amp; * 5'%' =</t>
  </si>
  <si>
    <t>PRS_(2)_1</t>
  </si>
  <si>
    <t>중 기 사 용 료</t>
  </si>
  <si>
    <t xml:space="preserve"> 제    1 호표  굴착기  (0.6㎥)백호우+브레이카  /  시간</t>
  </si>
  <si>
    <t>X00156</t>
  </si>
  <si>
    <t>_x0007_`COD|S00186_x0005_`EXI|0_x0005_`DVD|F_x0005_`BMK| _x0005_`IPR|0_x0005_`BLA|F_x0005_`</t>
  </si>
  <si>
    <t>S00186_1</t>
  </si>
  <si>
    <t xml:space="preserve">경비4 </t>
  </si>
  <si>
    <t>_x0007_`COD|L00082_x0005_`EXI|0_x0005_`DVD|F_x0005_`BMK| _x0005_`IPR|0_x0005_`BLA|F_x0005_`</t>
  </si>
  <si>
    <t>L00082_1</t>
  </si>
  <si>
    <t xml:space="preserve">노무1 </t>
  </si>
  <si>
    <t>_x0007_`COD|M00258_x0005_`EXI|0_x0005_`DVD|F_x0005_`BMK| _x0005_`IPR|0_x0005_`KWN|0_x0005_`BLA|F_x0005_`</t>
  </si>
  <si>
    <t>M00258_1</t>
  </si>
  <si>
    <t xml:space="preserve">자재10 </t>
  </si>
  <si>
    <t>_x0007_`COD|X00232_x0005_`EXI|0_x0005_`DVD|F_x0005_`BMK| _x0005_`IPR|0_x0005_`BLA|F_x0005_`</t>
  </si>
  <si>
    <t>X00232_1</t>
  </si>
  <si>
    <t xml:space="preserve">중기9 </t>
  </si>
  <si>
    <t>_x0007_`COD|M00468_x0005_`EXI|0_x0005_`DVD|F_x0005_`BMK| _x0005_`IPR|0_x0005_`KWN|0_x0005_`BLA|F_x0005_`</t>
  </si>
  <si>
    <t>M00468_1</t>
  </si>
  <si>
    <t xml:space="preserve">별산자재41 </t>
  </si>
  <si>
    <t>X00113</t>
  </si>
  <si>
    <t>_x0007_`COD|S00132_x0005_`EXI|0_x0005_`DVD|F_x0005_`BMK| _x0005_`IPR|0_x0005_`BLA|F_x0005_`</t>
  </si>
  <si>
    <t>S00132_1</t>
  </si>
  <si>
    <t xml:space="preserve">경비2 </t>
  </si>
  <si>
    <t>_x0007_`COD|M00258_x0005_`EXI|0_x0005_`DVD|F_x0005_`BMK| _x0005_`IPR|1_x0005_`KWN|0_x0005_`BLA|F_x0005_`</t>
  </si>
  <si>
    <t>주연료의%</t>
  </si>
  <si>
    <t>_x0007_`COD|PR_x0005_`EXI|1_x0005_`DVD|F_x0005_`BMK| _x0005_`IPR|0_x0005_`EQC|A01_x0005_`PRI|1_x0005_`PRO|1_x0005_`UNI|%_x0005_`BLA|F_x0005_`</t>
  </si>
  <si>
    <t>X00108</t>
  </si>
  <si>
    <t>_x0007_`COD|S00125_x0005_`EXI|0_x0005_`DVD|F_x0005_`BMK| _x0005_`IPR|0_x0005_`BLA|F_x0005_`</t>
  </si>
  <si>
    <t>S00125_1</t>
  </si>
  <si>
    <t xml:space="preserve">경비3 </t>
  </si>
  <si>
    <t>X00160</t>
  </si>
  <si>
    <t xml:space="preserve">자재41 </t>
  </si>
  <si>
    <t>_x0007_`COD|S00127_x0005_`EXI|0_x0005_`DVD|F_x0005_`BMK| _x0005_`IPR|0_x0005_`BLA|F_x0005_`</t>
  </si>
  <si>
    <t>S00127_1</t>
  </si>
  <si>
    <t xml:space="preserve">경비10 </t>
  </si>
  <si>
    <t>X00238</t>
  </si>
  <si>
    <t>X00139</t>
  </si>
  <si>
    <t>X00179</t>
  </si>
  <si>
    <t>_x0007_`COD|S00274_x0005_`EXI|0_x0005_`DVD|F_x0005_`BMK| _x0005_`IPR|0_x0005_`BLA|F_x0005_`</t>
  </si>
  <si>
    <t>S00274_1</t>
  </si>
  <si>
    <t xml:space="preserve">경비5 </t>
  </si>
  <si>
    <t>X00121</t>
  </si>
  <si>
    <t>_x0007_`COD|S00145_x0005_`EXI|0_x0005_`DVD|F_x0005_`BMK| _x0005_`IPR|0_x0005_`BLA|F_x0005_`</t>
  </si>
  <si>
    <t>S00145_1</t>
  </si>
  <si>
    <t xml:space="preserve">경비8 </t>
  </si>
  <si>
    <t>X00232</t>
  </si>
  <si>
    <t>_x0007_`COD|S00323_x0005_`EXI|0_x0005_`DVD|F_x0005_`BMK| _x0005_`IPR|0_x0005_`BLA|F_x0005_`</t>
  </si>
  <si>
    <t>S00323_1</t>
  </si>
  <si>
    <t xml:space="preserve">경비11 </t>
  </si>
  <si>
    <t>X00010</t>
  </si>
  <si>
    <t>_x0007_`COD|S00011_x0005_`EXI|0_x0005_`DVD|F_x0005_`BMK| _x0005_`IPR|0_x0005_`BLA|F_x0005_`</t>
  </si>
  <si>
    <t>S00011_1</t>
  </si>
  <si>
    <t xml:space="preserve">경비12 </t>
  </si>
  <si>
    <t>X00120</t>
  </si>
  <si>
    <t>_x0007_`COD|S00144_x0005_`EXI|0_x0005_`DVD|F_x0005_`BMK| _x0005_`IPR|0_x0005_`BLA|F_x0005_`</t>
  </si>
  <si>
    <t>S00144_1</t>
  </si>
  <si>
    <t xml:space="preserve">경비13 </t>
  </si>
  <si>
    <t>_x0007_`COD|L00083_x0005_`EXI|0_x0005_`DVD|F_x0005_`BMK| _x0005_`IPR|0_x0005_`BLA|F_x0005_`</t>
  </si>
  <si>
    <t>L00083_1</t>
  </si>
  <si>
    <t xml:space="preserve">노무14 </t>
  </si>
  <si>
    <t>X00001</t>
  </si>
  <si>
    <t>_x0007_`COD|S00148_x0005_`EXI|0_x0005_`DVD|F_x0005_`BMK| _x0005_`IPR|0_x0005_`BLA|F_x0005_`</t>
  </si>
  <si>
    <t>S00148_1</t>
  </si>
  <si>
    <t xml:space="preserve">경비14 </t>
  </si>
  <si>
    <t>X00216</t>
  </si>
  <si>
    <t>_x0007_`COD|S00377_x0005_`EXI|0_x0005_`DVD|F_x0005_`BMK| _x0005_`IPR|0_x0005_`BLA|F_x0005_`</t>
  </si>
  <si>
    <t>S00377_1</t>
  </si>
  <si>
    <t xml:space="preserve">경비15 </t>
  </si>
  <si>
    <t>_x0007_`COD|M05236_x0005_`EXI|0_x0005_`DVD|F_x0005_`BMK| _x0005_`IPR|1_x0005_`KWN|0_x0005_`BLA|F_x0005_`</t>
  </si>
  <si>
    <t>M05236_1</t>
  </si>
  <si>
    <t xml:space="preserve">자재53 </t>
  </si>
  <si>
    <t>잡재료</t>
  </si>
  <si>
    <t>X00138</t>
  </si>
  <si>
    <t>_x0007_`COD|S00185_x0005_`EXI|0_x0005_`DVD|F_x0005_`BMK| _x0005_`IPR|0_x0005_`BLA|F_x0005_`</t>
  </si>
  <si>
    <t>S00185_1</t>
  </si>
  <si>
    <t xml:space="preserve">경비16 </t>
  </si>
  <si>
    <t>X00289</t>
  </si>
  <si>
    <t>_x0007_`COD|S00436_x0005_`EXI|0_x0005_`DVD|F_x0005_`BMK| _x0005_`IPR|0_x0005_`BLA|F_x0005_`</t>
  </si>
  <si>
    <t>S00436_1</t>
  </si>
  <si>
    <t xml:space="preserve">경비17 </t>
  </si>
  <si>
    <t>_x0007_`COD|X00287_x0005_`EXI|0_x0005_`DVD|F_x0005_`BMK| _x0005_`IPR|0_x0005_`BLA|F_x0005_`</t>
  </si>
  <si>
    <t>X00287_1</t>
  </si>
  <si>
    <t xml:space="preserve">중기20 </t>
  </si>
  <si>
    <t>X00020</t>
  </si>
  <si>
    <t>_x0007_`COD|S00018_x0005_`EXI|0_x0005_`DVD|F_x0005_`BMK| _x0005_`IPR|0_x0005_`BLA|F_x0005_`</t>
  </si>
  <si>
    <t>S00018_1</t>
  </si>
  <si>
    <t xml:space="preserve">경비18 </t>
  </si>
  <si>
    <t>X00135</t>
  </si>
  <si>
    <t>_x0007_`COD|S00183_x0005_`EXI|0_x0005_`DVD|F_x0005_`BMK| _x0005_`IPR|0_x0005_`BLA|F_x0005_`</t>
  </si>
  <si>
    <t>S00183_1</t>
  </si>
  <si>
    <t xml:space="preserve">경비19 </t>
  </si>
  <si>
    <t>X00051</t>
  </si>
  <si>
    <t>_x0007_`COD|S00049_x0005_`EXI|0_x0005_`DVD|F_x0005_`BMK| _x0005_`IPR|0_x0005_`BLA|F_x0005_`</t>
  </si>
  <si>
    <t>S00049_1</t>
  </si>
  <si>
    <t xml:space="preserve">경비20 </t>
  </si>
  <si>
    <t>X00006</t>
  </si>
  <si>
    <t>_x0007_`COD|S00066_x0005_`EXI|0_x0005_`DVD|F_x0005_`BMK| _x0005_`IPR|0_x0005_`BLA|F_x0005_`</t>
  </si>
  <si>
    <t>S00066_1</t>
  </si>
  <si>
    <t xml:space="preserve">경비21 </t>
  </si>
  <si>
    <t>X00287</t>
  </si>
  <si>
    <t>_x0007_`COD|S00432_x0005_`EXI|0_x0005_`DVD|F_x0005_`BMK| _x0005_`IPR|0_x0005_`BLA|F_x0005_`</t>
  </si>
  <si>
    <t>S00432_1</t>
  </si>
  <si>
    <t xml:space="preserve">경비22 </t>
  </si>
  <si>
    <t>X00038</t>
  </si>
  <si>
    <t>_x0007_`COD|S00036_x0005_`EXI|0_x0005_`DVD|F_x0005_`BMK| _x0005_`IPR|0_x0005_`BLA|F_x0005_`</t>
  </si>
  <si>
    <t>S00036_1</t>
  </si>
  <si>
    <t xml:space="preserve">경비23 </t>
  </si>
  <si>
    <t>X00109</t>
  </si>
  <si>
    <t>_x0007_`COD|S00126_x0005_`EXI|0_x0005_`DVD|F_x0005_`BMK| _x0005_`IPR|0_x0005_`BLA|F_x0005_`</t>
  </si>
  <si>
    <t>S00126_1</t>
  </si>
  <si>
    <t xml:space="preserve">경비24 </t>
  </si>
  <si>
    <t>_x0007_`COD|L00084_x0005_`EXI|0_x0005_`DVD|F_x0005_`BMK| _x0005_`IPR|0_x0005_`BLA|F_x0005_`</t>
  </si>
  <si>
    <t>L00084_1</t>
  </si>
  <si>
    <t xml:space="preserve">노무7 </t>
  </si>
  <si>
    <t>X00037</t>
  </si>
  <si>
    <t>_x0007_`COD|S00035_x0005_`EXI|0_x0005_`DVD|F_x0005_`BMK| _x0005_`IPR|0_x0005_`BLA|F_x0005_`</t>
  </si>
  <si>
    <t>S00035_1</t>
  </si>
  <si>
    <t xml:space="preserve">경비25 </t>
  </si>
  <si>
    <t>X00091</t>
  </si>
  <si>
    <t>_x0007_`COD|S00142_x0005_`EXI|0_x0005_`DVD|F_x0005_`BMK| _x0005_`IPR|0_x0005_`BLA|F_x0005_`</t>
  </si>
  <si>
    <t>S00142_1</t>
  </si>
  <si>
    <t xml:space="preserve">경비26 </t>
  </si>
  <si>
    <t>X00039</t>
  </si>
  <si>
    <t>_x0007_`COD|S00037_x0005_`EXI|0_x0005_`DVD|F_x0005_`BMK| _x0005_`IPR|0_x0005_`BLA|F_x0005_`</t>
  </si>
  <si>
    <t>S00037_1</t>
  </si>
  <si>
    <t xml:space="preserve">경비27 </t>
  </si>
  <si>
    <t>X00031</t>
  </si>
  <si>
    <t>_x0007_`COD|S00029_x0005_`EXI|0_x0005_`DVD|F_x0005_`BMK| _x0005_`IPR|0_x0005_`BLA|F_x0005_`</t>
  </si>
  <si>
    <t>S00029_1</t>
  </si>
  <si>
    <t xml:space="preserve">경비28 </t>
  </si>
  <si>
    <t>X00033</t>
  </si>
  <si>
    <t>_x0007_`COD|S00031_x0005_`EXI|0_x0005_`DVD|F_x0005_`BMK| _x0005_`IPR|0_x0005_`BLA|F_x0005_`</t>
  </si>
  <si>
    <t>S00031_1</t>
  </si>
  <si>
    <t xml:space="preserve">경비29 </t>
  </si>
  <si>
    <t>X00024</t>
  </si>
  <si>
    <t>_x0007_`COD|S00022_x0005_`EXI|0_x0005_`DVD|F_x0005_`BMK| _x0005_`IPR|0_x0005_`BLA|F_x0005_`</t>
  </si>
  <si>
    <t>S00022_1</t>
  </si>
  <si>
    <t xml:space="preserve">경비30 </t>
  </si>
  <si>
    <t>X00134</t>
  </si>
  <si>
    <t>_x0007_`COD|S00182_x0005_`EXI|0_x0005_`DVD|F_x0005_`BMK| _x0005_`IPR|0_x0005_`BLA|F_x0005_`</t>
  </si>
  <si>
    <t>S00182_1</t>
  </si>
  <si>
    <t xml:space="preserve">경비31 </t>
  </si>
  <si>
    <t>X00036</t>
  </si>
  <si>
    <t>_x0007_`COD|S00034_x0005_`EXI|0_x0005_`DVD|F_x0005_`BMK| _x0005_`IPR|0_x0005_`BLA|F_x0005_`</t>
  </si>
  <si>
    <t>S00034_1</t>
  </si>
  <si>
    <t xml:space="preserve">경비32 </t>
  </si>
  <si>
    <t>X00167</t>
  </si>
  <si>
    <t>_x0007_`COD|S00222_x0005_`EXI|0_x0005_`DVD|F_x0005_`BMK| _x0005_`IPR|0_x0005_`BLA|F_x0005_`</t>
  </si>
  <si>
    <t>S00222_1</t>
  </si>
  <si>
    <t xml:space="preserve">경비33 </t>
  </si>
  <si>
    <t>X00124</t>
  </si>
  <si>
    <t>_x0007_`COD|S00157_x0005_`EXI|0_x0005_`DVD|F_x0005_`BMK| _x0005_`IPR|0_x0005_`BLA|F_x0005_`</t>
  </si>
  <si>
    <t>S00157_1</t>
  </si>
  <si>
    <t xml:space="preserve">경비34 </t>
  </si>
  <si>
    <t>X00026</t>
  </si>
  <si>
    <t>_x0007_`COD|S00024_x0005_`EXI|0_x0005_`DVD|F_x0005_`BMK| _x0005_`IPR|0_x0005_`BLA|F_x0005_`</t>
  </si>
  <si>
    <t>S00024_1</t>
  </si>
  <si>
    <t xml:space="preserve">경비39 </t>
  </si>
  <si>
    <t>엑셀파일 수정후 계산식 반영이 안될경우 :【 Ctrl+Alt(+Shift)+F9 】</t>
  </si>
  <si>
    <t>◈ 엑셀파일내의 산식은 기초단가, 복합단가, 내역서 및 총괄내역서까지 연결됩니다.</t>
  </si>
  <si>
    <t xml:space="preserve">    (모든산식은 단가만을 불러오며, 명칭, 규격, 단위, 비고.. 등은 TEXT로 입력됩니다)</t>
  </si>
  <si>
    <t>◈ 각 Sheet우측에는 해당 항목을 찾아가는 위치이동(→) 링크가 있으며, 클릭하면 이동됩니다.</t>
  </si>
  <si>
    <t xml:space="preserve">    (Alt + ← 키를 이용하여 찾아갔던 항목을 되돌아 올 수 있습니다.)</t>
  </si>
  <si>
    <t>◈ 자재단가 대비표의 적용단가는 수식이 적용되지 않았으나, 우측에 최소단가 수식을 입력하였습니다.</t>
  </si>
  <si>
    <t>◈ 일위대가표 및 중기사용료 및 총괄내역서의 양식은 일반양식을 적용합니다.</t>
  </si>
  <si>
    <t>◈ [목차] 및 [안내] Sheet의 이름을 변경하지 마시고, Sheet이름을 변경할때 공백문자 및 특수문자를 사용하지 마십시요.</t>
  </si>
  <si>
    <t>※※※     아래의 내용(안내 및 오류)을 확인/검토 하세요     ※※※</t>
  </si>
  <si>
    <t>【총괄내역서】18번째줄의 I열 이윤보정액은 총공사비 금액이 다를경우 임의조정(±α) 하십시요.</t>
  </si>
  <si>
    <t>【총괄내역서】26번째줄의 D열에 계산된 총공사비 금액을 확인하십시요.</t>
  </si>
  <si>
    <t>【단가산출근거】458번째줄 에서 사용된【S00190】코드의 %단위(T%) 는 산식을 입력할 수 없으니 손료계산 형식으로 변경하십시요.</t>
  </si>
  <si>
    <t>【단가산출근거】537번째줄 에서 사용된【S00092】코드의 %단위(L%) 는 산식을 입력할 수 없으니 손료계산 형식으로 변경하십시요.</t>
  </si>
  <si>
    <t>【단가산출근거】1178번째줄 에서 사용된【S00159】코드의 %단위(L%) 는 산식을 입력할 수 없으니 손료계산 형식으로 변경하십시요.</t>
  </si>
  <si>
    <t>【단가산출근거】1273번째줄 에서 사용된【S00190】코드의 %단위(T%) 는 산식을 입력할 수 없으니 손료계산 형식으로 변경하십시요.</t>
  </si>
  <si>
    <t>목    차</t>
  </si>
  <si>
    <t>1. ※※안내※※</t>
  </si>
  <si>
    <t>2. 공사원가계산서</t>
  </si>
  <si>
    <t>3. 총괄내역서</t>
  </si>
  <si>
    <t>4. 설계내역서</t>
  </si>
  <si>
    <t>5. 일위대가목록표</t>
  </si>
  <si>
    <t>6. 일위대가표</t>
  </si>
  <si>
    <t>7. 단가산출근거목록표</t>
  </si>
  <si>
    <t>8. 단가산출근거</t>
  </si>
  <si>
    <t>9. 환율및기초자료</t>
  </si>
  <si>
    <t>10. 중기목록표</t>
  </si>
  <si>
    <t>11. 중기사용료</t>
  </si>
  <si>
    <t>12. 재료비목록표</t>
  </si>
  <si>
    <t>13. 노무비목록표</t>
  </si>
  <si>
    <t>14. 경비목록표</t>
  </si>
  <si>
    <t>15. 일식견적목록표</t>
  </si>
  <si>
    <t>16. 자재단가대비표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</si>
  <si>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</si>
  <si>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</si>
  <si>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</si>
  <si>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</si>
  <si>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</si>
  <si>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</si>
  <si>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</si>
  <si>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</si>
  <si>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</si>
  <si>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</si>
  <si>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</si>
  <si>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</si>
  <si>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</si>
  <si>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</si>
  <si>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</si>
  <si>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</si>
  <si>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</si>
  <si>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</si>
  <si>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</si>
  <si>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</si>
  <si>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</si>
  <si>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</si>
  <si>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</si>
  <si>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</si>
  <si>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</si>
  <si>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</si>
  <si>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</si>
  <si>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</si>
  <si>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</si>
  <si>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</si>
  <si>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</si>
  <si>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</si>
  <si>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</si>
  <si>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</si>
  <si>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</si>
  <si>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</si>
  <si>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</si>
  <si>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</si>
  <si>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</si>
  <si>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</si>
  <si>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</si>
  <si>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</si>
  <si>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</si>
  <si>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M_DVER</t>
  </si>
  <si>
    <t>26.05</t>
  </si>
  <si>
    <t>PNAME</t>
  </si>
  <si>
    <t>모현읍 왕산리 799-37번지 배수관로 이설공사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</si>
  <si>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</si>
  <si>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</si>
  <si>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</si>
  <si>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</si>
  <si>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</si>
  <si>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</si>
  <si>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</si>
  <si>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</si>
  <si>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</si>
  <si>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</si>
  <si>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</si>
  <si>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RXNM_</t>
  </si>
  <si>
    <t>EXRNM</t>
  </si>
  <si>
    <t>1/8 * 16/12 * 25/20</t>
  </si>
  <si>
    <t>1/8*16/12*25/20*12/10</t>
  </si>
  <si>
    <t>COND_</t>
  </si>
  <si>
    <t>L00082L00084L00085L00083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</si>
  <si>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</si>
  <si>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</si>
  <si>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</si>
  <si>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</si>
  <si>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</si>
  <si>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</si>
  <si>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</si>
  <si>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</si>
  <si>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</si>
  <si>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</si>
  <si>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False</t>
  </si>
  <si>
    <t>OPTNM</t>
  </si>
  <si>
    <t>SML</t>
  </si>
  <si>
    <t>S_JDA</t>
  </si>
  <si>
    <t>SUBNM</t>
  </si>
  <si>
    <t>[인쇄정보]</t>
  </si>
  <si>
    <t>BMSTR</t>
  </si>
  <si>
    <t>BMKNM</t>
  </si>
  <si>
    <t>TLMS</t>
  </si>
  <si>
    <t>JEMNM</t>
  </si>
  <si>
    <t>123456</t>
  </si>
  <si>
    <t>JMKN1</t>
  </si>
  <si>
    <t>JMKN2</t>
  </si>
  <si>
    <t>JMKN3</t>
  </si>
  <si>
    <t>JMKN4</t>
  </si>
  <si>
    <t>JMKN5</t>
  </si>
  <si>
    <t>JMKN6</t>
  </si>
  <si>
    <t>CAP_CODE</t>
  </si>
  <si>
    <t>코드번호</t>
  </si>
  <si>
    <t>CAP_NO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</si>
  <si>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</si>
  <si>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</si>
  <si>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</si>
  <si>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</si>
  <si>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</si>
  <si>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</si>
  <si>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</si>
  <si>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</si>
  <si>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</si>
  <si>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</si>
  <si>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</si>
  <si>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</si>
  <si>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</si>
  <si>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[PREPARE]</t>
  </si>
  <si>
    <t>PREP_VER</t>
  </si>
  <si>
    <t>w26.05</t>
  </si>
  <si>
    <t>PREP_COP</t>
  </si>
  <si>
    <t>장 학 봉</t>
  </si>
  <si>
    <t>PREP_DATE</t>
  </si>
  <si>
    <t>2026-06-24 08:36</t>
  </si>
  <si>
    <t>[.끝.]</t>
  </si>
  <si>
    <t>※ 본 엑셀자료는 【STmate w26.05】버전 이상에서 STmate 자료로 다시 등록할 수 있습니다.</t>
  </si>
  <si>
    <t xml:space="preserve">   단, 임의로 수정한 내용(Sheet삭제, 산근내용변경, 기타계산식변경..)은 반영되지 않을 수 있습니다.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</si>
</sst>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76" formatCode="#,###"/>
    <numFmt numFmtId="177" formatCode="#,##0.#######;\-#,##0.#######;#"/>
    <numFmt numFmtId="178" formatCode="#,##0.00#"/>
    <numFmt numFmtId="179" formatCode="#,##0.00\ &quot;(원/$)&quot;"/>
    <numFmt numFmtId="180" formatCode="#,##0.00\ &quot;(원/€)&quot;"/>
    <numFmt numFmtId="181" formatCode="#,##0.00\ &quot;(원/100￥)&quot;"/>
    <numFmt numFmtId="182" formatCode="#,##0.00#\ "/>
    <numFmt numFmtId="183" formatCode="#,##0;\-#,##0;#"/>
    <numFmt numFmtId="184" formatCode="#,##0.00#;\-#,##0.00#;#"/>
    <numFmt numFmtId="185" formatCode="#,##0.#######"/>
    <numFmt numFmtId="186" formatCode="#,##0.####;\-#,##0.####;#"/>
    <numFmt numFmtId="187" formatCode="#,##0.###;\-#,##0.###;#"/>
    <numFmt numFmtId="188" formatCode="#,##0.######;\-#,##0.######;#"/>
    <numFmt numFmtId="189" formatCode="0.000\ &quot;%&quot;;;#"/>
    <numFmt numFmtId="190" formatCode="0.#######;\-0.#######;#"/>
    <numFmt numFmtId="191" formatCode="#,##0.#;\-#,##0.#;#"/>
    <numFmt numFmtId="192" formatCode="0.######;\-0.######;#"/>
    <numFmt numFmtId="193" formatCode="#,##0.0#;\-#,##0.0#;#"/>
  </numFmts>
  <fonts count="27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굴림체"/>
      <family val="3"/>
      <charset val="129"/>
    </font>
    <font>
      <sz val="11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sz val="9"/>
      <color indexed="22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indexed="17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9"/>
      <name val="굴림체"/>
      <family val="3"/>
      <charset val="129"/>
    </font>
    <font>
      <b/>
      <sz val="10"/>
      <color indexed="10"/>
      <name val="굴림체"/>
      <family val="3"/>
      <charset val="129"/>
    </font>
    <font>
      <b/>
      <sz val="9"/>
      <color indexed="12"/>
      <name val="굴림체"/>
      <family val="3"/>
      <charset val="129"/>
    </font>
    <font>
      <sz val="20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9"/>
      <color indexed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5" xfId="0" applyNumberFormat="1" applyFont="1" applyBorder="1" applyAlignment="1">
      <alignment horizontal="right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177" fontId="3" fillId="0" borderId="0" xfId="0" applyNumberFormat="1" applyFont="1" applyAlignment="1">
      <alignment horizontal="left" vertical="center" shrinkToFit="1"/>
    </xf>
    <xf numFmtId="178" fontId="2" fillId="0" borderId="2" xfId="0" applyNumberFormat="1" applyFont="1" applyBorder="1" applyAlignment="1">
      <alignment horizontal="righ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shrinkToFit="1"/>
    </xf>
    <xf numFmtId="179" fontId="2" fillId="0" borderId="7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182" fontId="2" fillId="0" borderId="5" xfId="0" applyNumberFormat="1" applyFont="1" applyBorder="1" applyAlignment="1">
      <alignment horizontal="right" vertical="center" shrinkToFit="1"/>
    </xf>
    <xf numFmtId="182" fontId="2" fillId="0" borderId="7" xfId="0" applyNumberFormat="1" applyFont="1" applyBorder="1" applyAlignment="1">
      <alignment horizontal="right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184" fontId="2" fillId="0" borderId="2" xfId="0" applyNumberFormat="1" applyFont="1" applyBorder="1" applyAlignment="1">
      <alignment horizontal="right" vertical="center" shrinkToFit="1"/>
    </xf>
    <xf numFmtId="185" fontId="2" fillId="0" borderId="2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176" fontId="2" fillId="0" borderId="0" xfId="0" applyNumberFormat="1" applyFont="1" applyAlignment="1">
      <alignment horizontal="right" vertical="center" shrinkToFit="1"/>
    </xf>
    <xf numFmtId="183" fontId="2" fillId="0" borderId="0" xfId="0" applyNumberFormat="1" applyFont="1" applyAlignment="1">
      <alignment horizontal="center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 applyAlignment="1">
      <alignment horizontal="center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186" fontId="2" fillId="0" borderId="5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188" fontId="2" fillId="0" borderId="5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3" fontId="2" fillId="0" borderId="4" xfId="0" applyNumberFormat="1" applyFont="1" applyBorder="1" applyAlignment="1">
      <alignment horizontal="right" vertical="center" shrinkToFit="1"/>
    </xf>
    <xf numFmtId="183" fontId="2" fillId="0" borderId="3" xfId="0" applyNumberFormat="1" applyFont="1" applyBorder="1" applyAlignment="1">
      <alignment horizontal="right" vertical="center" shrinkToFit="1"/>
    </xf>
    <xf numFmtId="183" fontId="2" fillId="0" borderId="0" xfId="0" applyNumberFormat="1" applyFont="1" applyAlignment="1">
      <alignment horizontal="right" vertical="center" shrinkToFit="1"/>
    </xf>
    <xf numFmtId="188" fontId="2" fillId="0" borderId="4" xfId="0" applyNumberFormat="1" applyFont="1" applyBorder="1" applyAlignment="1">
      <alignment horizontal="right" vertical="center" shrinkToFit="1"/>
    </xf>
    <xf numFmtId="187" fontId="2" fillId="0" borderId="5" xfId="0" applyNumberFormat="1" applyFont="1" applyBorder="1" applyAlignment="1">
      <alignment horizontal="right" vertical="center" shrinkToFit="1"/>
    </xf>
    <xf numFmtId="188" fontId="2" fillId="0" borderId="3" xfId="0" applyNumberFormat="1" applyFont="1" applyBorder="1" applyAlignment="1">
      <alignment horizontal="right" vertical="center" shrinkToFit="1"/>
    </xf>
    <xf numFmtId="183" fontId="2" fillId="0" borderId="2" xfId="0" applyNumberFormat="1" applyFont="1" applyBorder="1" applyAlignment="1">
      <alignment horizontal="right" vertical="center" shrinkToFit="1"/>
    </xf>
    <xf numFmtId="188" fontId="2" fillId="0" borderId="2" xfId="0" applyNumberFormat="1" applyFont="1" applyBorder="1" applyAlignment="1">
      <alignment horizontal="right" vertical="center" shrinkToFit="1"/>
    </xf>
    <xf numFmtId="187" fontId="2" fillId="0" borderId="2" xfId="0" applyNumberFormat="1" applyFont="1" applyBorder="1" applyAlignment="1">
      <alignment horizontal="right" vertical="center" shrinkToFit="1"/>
    </xf>
    <xf numFmtId="183" fontId="2" fillId="0" borderId="5" xfId="0" applyNumberFormat="1" applyFont="1" applyBorder="1" applyAlignment="1">
      <alignment horizontal="right" vertical="center" shrinkToFit="1"/>
    </xf>
    <xf numFmtId="183" fontId="2" fillId="3" borderId="0" xfId="0" applyNumberFormat="1" applyFont="1" applyFill="1" applyAlignment="1">
      <alignment horizontal="right" vertical="center" shrinkToFit="1"/>
    </xf>
    <xf numFmtId="176" fontId="2" fillId="3" borderId="0" xfId="0" applyNumberFormat="1" applyFont="1" applyFill="1" applyAlignment="1">
      <alignment horizontal="right" vertical="center" shrinkToFit="1"/>
    </xf>
    <xf numFmtId="185" fontId="2" fillId="3" borderId="0" xfId="0" applyNumberFormat="1" applyFont="1" applyFill="1" applyAlignment="1">
      <alignment horizontal="right" vertical="center" shrinkToFit="1"/>
    </xf>
    <xf numFmtId="49" fontId="2" fillId="0" borderId="10" xfId="0" applyNumberFormat="1" applyFont="1" applyBorder="1" applyAlignment="1">
      <alignment horizontal="center" vertical="center" shrinkToFit="1"/>
    </xf>
    <xf numFmtId="49" fontId="2" fillId="0" borderId="9" xfId="0" applyNumberFormat="1" applyFont="1" applyBorder="1" applyAlignment="1">
      <alignment horizontal="center" vertical="center" shrinkToFit="1"/>
    </xf>
    <xf numFmtId="183" fontId="2" fillId="0" borderId="10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83" fontId="2" fillId="0" borderId="6" xfId="0" applyNumberFormat="1" applyFont="1" applyBorder="1" applyAlignment="1">
      <alignment horizontal="right" vertical="center" shrinkToFit="1"/>
    </xf>
    <xf numFmtId="189" fontId="2" fillId="0" borderId="10" xfId="0" applyNumberFormat="1" applyFont="1" applyBorder="1" applyAlignment="1">
      <alignment horizontal="right" vertical="center" shrinkToFit="1"/>
    </xf>
    <xf numFmtId="189" fontId="2" fillId="0" borderId="6" xfId="0" applyNumberFormat="1" applyFont="1" applyBorder="1" applyAlignment="1">
      <alignment horizontal="right" vertical="center" shrinkToFit="1"/>
    </xf>
    <xf numFmtId="189" fontId="2" fillId="0" borderId="5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right" vertical="center" shrinkToFit="1"/>
    </xf>
    <xf numFmtId="49" fontId="2" fillId="0" borderId="10" xfId="0" applyNumberFormat="1" applyFont="1" applyBorder="1" applyAlignment="1">
      <alignment horizontal="left" vertical="center" shrinkToFit="1"/>
    </xf>
    <xf numFmtId="0" fontId="0" fillId="0" borderId="10" xfId="0" applyBorder="1" applyAlignment="1">
      <alignment shrinkToFit="1"/>
    </xf>
    <xf numFmtId="49" fontId="2" fillId="0" borderId="6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left" vertical="center" shrinkToFit="1"/>
    </xf>
    <xf numFmtId="177" fontId="2" fillId="0" borderId="3" xfId="0" applyNumberFormat="1" applyFont="1" applyBorder="1" applyAlignment="1">
      <alignment horizontal="left" vertical="center" shrinkToFit="1"/>
    </xf>
    <xf numFmtId="0" fontId="11" fillId="0" borderId="3" xfId="0" applyFont="1" applyBorder="1" applyAlignment="1">
      <alignment shrinkToFit="1"/>
    </xf>
    <xf numFmtId="0" fontId="0" fillId="0" borderId="3" xfId="0" applyBorder="1" applyAlignment="1">
      <alignment shrinkToFit="1"/>
    </xf>
    <xf numFmtId="190" fontId="2" fillId="0" borderId="3" xfId="0" applyNumberFormat="1" applyFont="1" applyBorder="1" applyAlignment="1">
      <alignment horizontal="right" vertical="center" shrinkToFit="1"/>
    </xf>
    <xf numFmtId="191" fontId="2" fillId="0" borderId="2" xfId="0" applyNumberFormat="1" applyFont="1" applyBorder="1" applyAlignment="1">
      <alignment horizontal="right" vertical="center" shrinkToFit="1"/>
    </xf>
    <xf numFmtId="191" fontId="2" fillId="0" borderId="3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91" fontId="2" fillId="0" borderId="5" xfId="0" applyNumberFormat="1" applyFont="1" applyBorder="1" applyAlignment="1">
      <alignment horizontal="right" vertical="center" shrinkToFit="1"/>
    </xf>
    <xf numFmtId="191" fontId="2" fillId="0" borderId="4" xfId="0" applyNumberFormat="1" applyFont="1" applyBorder="1" applyAlignment="1">
      <alignment horizontal="right" vertical="center" shrinkToFit="1"/>
    </xf>
    <xf numFmtId="177" fontId="2" fillId="0" borderId="2" xfId="0" applyNumberFormat="1" applyFont="1" applyBorder="1" applyAlignment="1">
      <alignment horizontal="right" vertical="center" shrinkToFit="1"/>
    </xf>
    <xf numFmtId="0" fontId="12" fillId="0" borderId="0" xfId="0" applyFont="1" applyAlignment="1">
      <alignment shrinkToFit="1"/>
    </xf>
    <xf numFmtId="0" fontId="3" fillId="0" borderId="0" xfId="0" applyFont="1" applyAlignment="1">
      <alignment horizontal="left" vertical="center" shrinkToFit="1"/>
    </xf>
    <xf numFmtId="49" fontId="13" fillId="0" borderId="0" xfId="0" applyNumberFormat="1" applyFont="1" applyAlignment="1">
      <alignment horizontal="left" vertical="center"/>
    </xf>
    <xf numFmtId="49" fontId="14" fillId="0" borderId="10" xfId="0" applyNumberFormat="1" applyFont="1" applyBorder="1" applyAlignment="1">
      <alignment horizontal="center" vertical="center" shrinkToFit="1"/>
    </xf>
    <xf numFmtId="0" fontId="11" fillId="0" borderId="10" xfId="0" applyFont="1" applyBorder="1" applyAlignment="1">
      <alignment shrinkToFit="1"/>
    </xf>
    <xf numFmtId="49" fontId="14" fillId="0" borderId="10" xfId="0" applyNumberFormat="1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0" fillId="0" borderId="9" xfId="0" applyBorder="1" applyAlignment="1">
      <alignment shrinkToFit="1"/>
    </xf>
    <xf numFmtId="193" fontId="2" fillId="0" borderId="10" xfId="0" applyNumberFormat="1" applyFont="1" applyBorder="1" applyAlignment="1">
      <alignment horizontal="right" vertical="center" shrinkToFit="1"/>
    </xf>
    <xf numFmtId="193" fontId="2" fillId="0" borderId="3" xfId="0" applyNumberFormat="1" applyFont="1" applyBorder="1" applyAlignment="1">
      <alignment horizontal="right" vertical="center" shrinkToFit="1"/>
    </xf>
    <xf numFmtId="193" fontId="2" fillId="0" borderId="11" xfId="0" applyNumberFormat="1" applyFont="1" applyBorder="1" applyAlignment="1">
      <alignment horizontal="right" vertical="center" shrinkToFit="1"/>
    </xf>
    <xf numFmtId="0" fontId="0" fillId="0" borderId="12" xfId="0" applyBorder="1" applyAlignment="1">
      <alignment shrinkToFit="1"/>
    </xf>
    <xf numFmtId="0" fontId="0" fillId="0" borderId="6" xfId="0" applyBorder="1" applyAlignment="1">
      <alignment shrinkToFit="1"/>
    </xf>
    <xf numFmtId="193" fontId="2" fillId="0" borderId="6" xfId="0" applyNumberFormat="1" applyFont="1" applyBorder="1" applyAlignment="1">
      <alignment horizontal="right" vertical="center" shrinkToFit="1"/>
    </xf>
    <xf numFmtId="192" fontId="2" fillId="0" borderId="0" xfId="0" applyNumberFormat="1" applyFont="1" applyAlignment="1">
      <alignment horizontal="right" vertical="center" shrinkToFit="1"/>
    </xf>
    <xf numFmtId="193" fontId="2" fillId="0" borderId="0" xfId="0" applyNumberFormat="1" applyFont="1" applyAlignment="1">
      <alignment horizontal="right" vertical="center" shrinkToFit="1"/>
    </xf>
    <xf numFmtId="185" fontId="2" fillId="0" borderId="0" xfId="0" applyNumberFormat="1" applyFont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0" fontId="0" fillId="0" borderId="0" xfId="0" applyAlignment="1">
      <alignment horizontal="center" shrinkToFit="1"/>
    </xf>
    <xf numFmtId="176" fontId="15" fillId="3" borderId="0" xfId="0" applyNumberFormat="1" applyFont="1" applyFill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85" fontId="15" fillId="3" borderId="0" xfId="0" applyNumberFormat="1" applyFont="1" applyFill="1" applyAlignment="1">
      <alignment horizontal="center" vertical="center" shrinkToFit="1"/>
    </xf>
    <xf numFmtId="49" fontId="2" fillId="4" borderId="0" xfId="0" applyNumberFormat="1" applyFont="1" applyFill="1" applyAlignment="1">
      <alignment horizontal="center" vertical="center" shrinkToFit="1"/>
    </xf>
    <xf numFmtId="49" fontId="16" fillId="0" borderId="0" xfId="0" applyNumberFormat="1" applyFont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left" vertical="center"/>
    </xf>
    <xf numFmtId="49" fontId="20" fillId="0" borderId="0" xfId="0" applyNumberFormat="1" applyFont="1" applyAlignment="1">
      <alignment horizontal="left" vertical="center"/>
    </xf>
    <xf numFmtId="49" fontId="21" fillId="0" borderId="0" xfId="0" applyNumberFormat="1" applyFont="1" applyAlignment="1">
      <alignment horizontal="left" vertical="center"/>
    </xf>
    <xf numFmtId="49" fontId="22" fillId="0" borderId="0" xfId="0" applyNumberFormat="1" applyFont="1" applyAlignment="1">
      <alignment horizontal="left" vertical="center"/>
    </xf>
    <xf numFmtId="0" fontId="0" fillId="0" borderId="0" xfId="0" applyAlignment="1" applyProtection="1">
      <alignment shrinkToFit="1"/>
      <protection hidden="1"/>
    </xf>
    <xf numFmtId="49" fontId="2" fillId="6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0" fontId="16" fillId="0" borderId="0" xfId="0" applyFont="1" applyAlignment="1">
      <alignment horizontal="left" vertical="center"/>
    </xf>
    <xf numFmtId="49" fontId="24" fillId="0" borderId="0" xfId="0" applyNumberFormat="1" applyFont="1" applyAlignment="1">
      <alignment horizontal="left" vertical="center"/>
    </xf>
    <xf numFmtId="183" fontId="0" fillId="0" borderId="0" xfId="0" applyNumberFormat="1" applyAlignment="1">
      <alignment shrinkToFit="1"/>
    </xf>
    <xf numFmtId="0" fontId="19" fillId="5" borderId="0" xfId="0" applyFont="1" applyFill="1" applyAlignment="1">
      <alignment horizontal="left" vertical="center"/>
    </xf>
    <xf numFmtId="0" fontId="0" fillId="0" borderId="0" xfId="0"/>
    <xf numFmtId="49" fontId="2" fillId="0" borderId="2" xfId="0" applyNumberFormat="1" applyFont="1" applyBorder="1" applyAlignment="1">
      <alignment horizontal="distributed" vertical="center" indent="2" shrinkToFit="1"/>
    </xf>
    <xf numFmtId="0" fontId="0" fillId="0" borderId="5" xfId="0" applyBorder="1" applyAlignment="1">
      <alignment horizontal="distributed" indent="2"/>
    </xf>
    <xf numFmtId="49" fontId="10" fillId="0" borderId="2" xfId="0" applyNumberFormat="1" applyFont="1" applyBorder="1" applyAlignment="1">
      <alignment horizontal="distributed" vertical="center" indent="2" shrinkToFit="1"/>
    </xf>
    <xf numFmtId="49" fontId="1" fillId="0" borderId="0" xfId="0" applyNumberFormat="1" applyFont="1" applyAlignment="1">
      <alignment horizontal="center" vertical="center" shrinkToFit="1"/>
    </xf>
    <xf numFmtId="49" fontId="2" fillId="0" borderId="9" xfId="0" applyNumberFormat="1" applyFont="1" applyBorder="1" applyAlignment="1">
      <alignment horizontal="right" vertical="center" shrinkToFit="1"/>
    </xf>
    <xf numFmtId="0" fontId="0" fillId="0" borderId="9" xfId="0" applyBorder="1"/>
    <xf numFmtId="49" fontId="2" fillId="0" borderId="6" xfId="0" applyNumberFormat="1" applyFont="1" applyBorder="1" applyAlignment="1">
      <alignment horizontal="center" vertical="center" shrinkToFit="1"/>
    </xf>
    <xf numFmtId="0" fontId="0" fillId="0" borderId="6" xfId="0" applyBorder="1"/>
    <xf numFmtId="49" fontId="2" fillId="0" borderId="3" xfId="0" applyNumberFormat="1" applyFont="1" applyBorder="1" applyAlignment="1">
      <alignment horizontal="left" vertical="center" shrinkToFit="1"/>
    </xf>
    <xf numFmtId="0" fontId="0" fillId="0" borderId="3" xfId="0" applyBorder="1"/>
    <xf numFmtId="49" fontId="2" fillId="0" borderId="10" xfId="0" applyNumberFormat="1" applyFont="1" applyBorder="1" applyAlignment="1">
      <alignment horizontal="center" vertical="center" textRotation="255" shrinkToFit="1"/>
    </xf>
    <xf numFmtId="0" fontId="0" fillId="0" borderId="10" xfId="0" applyBorder="1"/>
    <xf numFmtId="49" fontId="2" fillId="0" borderId="3" xfId="0" applyNumberFormat="1" applyFont="1" applyBorder="1" applyAlignment="1">
      <alignment horizontal="distributed" vertical="center" indent="2" shrinkToFit="1"/>
    </xf>
    <xf numFmtId="0" fontId="0" fillId="0" borderId="3" xfId="0" applyBorder="1" applyAlignment="1">
      <alignment horizontal="distributed" indent="2"/>
    </xf>
    <xf numFmtId="0" fontId="0" fillId="0" borderId="1" xfId="0" applyBorder="1" applyAlignment="1">
      <alignment horizontal="distributed" indent="2"/>
    </xf>
    <xf numFmtId="49" fontId="2" fillId="0" borderId="5" xfId="0" applyNumberFormat="1" applyFont="1" applyBorder="1" applyAlignment="1">
      <alignment horizontal="left" vertical="center" shrinkToFit="1"/>
    </xf>
    <xf numFmtId="0" fontId="0" fillId="0" borderId="5" xfId="0" applyBorder="1"/>
    <xf numFmtId="0" fontId="0" fillId="0" borderId="4" xfId="0" applyBorder="1"/>
    <xf numFmtId="177" fontId="2" fillId="0" borderId="5" xfId="0" applyNumberFormat="1" applyFont="1" applyBorder="1" applyAlignment="1">
      <alignment horizontal="left" vertical="center" shrinkToFit="1"/>
    </xf>
    <xf numFmtId="49" fontId="9" fillId="2" borderId="0" xfId="0" applyNumberFormat="1" applyFont="1" applyFill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0" fontId="0" fillId="0" borderId="2" xfId="0" applyBorder="1"/>
    <xf numFmtId="49" fontId="2" fillId="0" borderId="2" xfId="0" applyNumberFormat="1" applyFont="1" applyBorder="1" applyAlignment="1">
      <alignment horizontal="center" vertical="center" shrinkToFit="1"/>
    </xf>
    <xf numFmtId="183" fontId="2" fillId="0" borderId="10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7" xfId="0" applyBorder="1"/>
    <xf numFmtId="49" fontId="8" fillId="0" borderId="0" xfId="0" applyNumberFormat="1" applyFont="1" applyAlignment="1">
      <alignment horizontal="left" vertical="center" shrinkToFit="1"/>
    </xf>
    <xf numFmtId="180" fontId="2" fillId="0" borderId="7" xfId="0" applyNumberFormat="1" applyFont="1" applyBorder="1" applyAlignment="1">
      <alignment horizontal="center" vertical="center" shrinkToFit="1"/>
    </xf>
    <xf numFmtId="181" fontId="2" fillId="0" borderId="7" xfId="0" applyNumberFormat="1" applyFont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23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8">
    <dxf>
      <fill>
        <patternFill>
          <bgColor rgb="FF808000"/>
        </patternFill>
      </fill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fill>
        <patternFill>
          <bgColor rgb="FFC0C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8F3D265B-7353-6B99-A69F-A75EE819B266}"/>
            </a:ext>
          </a:extLst>
        </xdr:cNvPr>
        <xdr:cNvCxnSpPr/>
      </xdr:nvCxnSpPr>
      <xdr:spPr>
        <a:xfrm>
          <a:off x="0" y="647700"/>
          <a:ext cx="2514600" cy="666750"/>
        </a:xfrm>
        <a:prstGeom prst="line">
          <a:avLst/>
        </a:prstGeom>
        <a:ln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7.xml"/><Relationship Id="rId4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8.xml"/><Relationship Id="rId4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9.xml"/><Relationship Id="rId4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0.xml"/><Relationship Id="rId4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1.xml"/><Relationship Id="rId4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2.xml"/><Relationship Id="rId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3.xml"/><Relationship Id="rId4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5.xml"/><Relationship Id="rId4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6.xml"/><Relationship Id="rId4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7.xml"/><Relationship Id="rId4" Type="http://schemas.openxmlformats.org/officeDocument/2006/relationships/vmlDrawing" Target="../drawings/vmlDrawing1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8D627-9ABC-4256-A87E-5882BBFF1C47}">
  <sheetPr>
    <tabColor rgb="FF0000FF"/>
  </sheetPr>
  <dimension ref="B1:D19"/>
  <sheetViews>
    <sheetView workbookViewId="0"/>
  </sheetViews>
  <sheetFormatPr defaultRowHeight="16.5" x14ac:dyDescent="0.3"/>
  <cols>
    <col min="2" max="2" width="23.625" customWidth="1"/>
    <col min="4" max="4" width="21.625" customWidth="1"/>
  </cols>
  <sheetData>
    <row r="1" spans="2:4" ht="24.95" customHeight="1" x14ac:dyDescent="0.3">
      <c r="D1" s="122" t="str">
        <f ca="1">IF('〓 INITIAL 〓'!C4,"※※ 기본정보의 일부가 삭제되어 Stmate로 변환할 수 없습니다 ※※","")</f>
        <v/>
      </c>
    </row>
    <row r="2" spans="2:4" ht="23.85" customHeight="1" x14ac:dyDescent="0.3">
      <c r="B2" s="111" t="s">
        <v>2510</v>
      </c>
      <c r="D2" s="123" t="s">
        <v>2642</v>
      </c>
    </row>
    <row r="3" spans="2:4" ht="23.85" customHeight="1" x14ac:dyDescent="0.3">
      <c r="D3" s="123" t="s">
        <v>2643</v>
      </c>
    </row>
    <row r="4" spans="2:4" ht="23.85" customHeight="1" x14ac:dyDescent="0.3">
      <c r="B4" s="24" t="s">
        <v>2511</v>
      </c>
      <c r="D4" s="3" t="str">
        <f>HYPERLINK("#'※※안내※※'!A1","※※안내※※ →")</f>
        <v>※※안내※※ →</v>
      </c>
    </row>
    <row r="5" spans="2:4" ht="23.85" customHeight="1" x14ac:dyDescent="0.3">
      <c r="B5" s="24" t="s">
        <v>2512</v>
      </c>
      <c r="D5" s="3" t="str">
        <f ca="1">HYPERLINK("#"&amp;공사원가계산서!G2&amp;"!A1","공사원가계산서 →")</f>
        <v>공사원가계산서 →</v>
      </c>
    </row>
    <row r="6" spans="2:4" ht="23.85" customHeight="1" x14ac:dyDescent="0.3">
      <c r="B6" s="24" t="s">
        <v>2513</v>
      </c>
      <c r="D6" s="3" t="str">
        <f ca="1">HYPERLINK("#"&amp;총괄내역서!H2&amp;"!A1","총괄내역서 →")</f>
        <v>총괄내역서 →</v>
      </c>
    </row>
    <row r="7" spans="2:4" ht="23.85" customHeight="1" x14ac:dyDescent="0.3">
      <c r="B7" s="24" t="s">
        <v>2514</v>
      </c>
      <c r="D7" s="3" t="str">
        <f ca="1">HYPERLINK("#"&amp;설계내역서!O2&amp;"!A1","설계내역서 →")</f>
        <v>설계내역서 →</v>
      </c>
    </row>
    <row r="8" spans="2:4" ht="23.85" customHeight="1" x14ac:dyDescent="0.3">
      <c r="B8" s="24" t="s">
        <v>2515</v>
      </c>
      <c r="D8" s="3" t="str">
        <f ca="1">HYPERLINK("#"&amp;일위대가목록표!J2&amp;"!A1","일위대가목록표 →")</f>
        <v>일위대가목록표 →</v>
      </c>
    </row>
    <row r="9" spans="2:4" ht="23.85" customHeight="1" x14ac:dyDescent="0.3">
      <c r="B9" s="24" t="s">
        <v>2516</v>
      </c>
      <c r="D9" s="3" t="str">
        <f ca="1">HYPERLINK("#"&amp;일위대가표!N2&amp;"!A1","일위대가표 →")</f>
        <v>일위대가표 →</v>
      </c>
    </row>
    <row r="10" spans="2:4" ht="23.85" customHeight="1" x14ac:dyDescent="0.3">
      <c r="B10" s="24" t="s">
        <v>2517</v>
      </c>
      <c r="D10" s="3" t="str">
        <f ca="1">HYPERLINK("#"&amp;단가산출근거목록표!J2&amp;"!A1","단가산출근거목록표 →")</f>
        <v>단가산출근거목록표 →</v>
      </c>
    </row>
    <row r="11" spans="2:4" ht="23.85" customHeight="1" x14ac:dyDescent="0.3">
      <c r="B11" s="24" t="s">
        <v>2518</v>
      </c>
      <c r="D11" s="3" t="str">
        <f ca="1">HYPERLINK("#"&amp;단가산출근거!G2&amp;"!A1","단가산출근거 →")</f>
        <v>단가산출근거 →</v>
      </c>
    </row>
    <row r="12" spans="2:4" ht="23.85" customHeight="1" x14ac:dyDescent="0.3">
      <c r="B12" s="24" t="s">
        <v>2519</v>
      </c>
      <c r="D12" s="3" t="str">
        <f ca="1">HYPERLINK("#"&amp;환율및기초자료!I2&amp;"!A1","환율및기초자료 →")</f>
        <v>환율및기초자료 →</v>
      </c>
    </row>
    <row r="13" spans="2:4" ht="23.85" customHeight="1" x14ac:dyDescent="0.3">
      <c r="B13" s="24" t="s">
        <v>2520</v>
      </c>
      <c r="D13" s="3" t="str">
        <f ca="1">HYPERLINK("#"&amp;중기목록표!J2&amp;"!A1","중기목록표 →")</f>
        <v>중기목록표 →</v>
      </c>
    </row>
    <row r="14" spans="2:4" ht="23.85" customHeight="1" x14ac:dyDescent="0.3">
      <c r="B14" s="24" t="s">
        <v>2521</v>
      </c>
      <c r="D14" s="3" t="str">
        <f ca="1">HYPERLINK("#"&amp;중기사용료!N2&amp;"!A1","중기사용료 →")</f>
        <v>중기사용료 →</v>
      </c>
    </row>
    <row r="15" spans="2:4" ht="23.85" customHeight="1" x14ac:dyDescent="0.3">
      <c r="B15" s="24" t="s">
        <v>2522</v>
      </c>
      <c r="D15" s="3" t="str">
        <f ca="1">HYPERLINK("#"&amp;재료비목록표!G2&amp;"!A1","재료비목록표 →")</f>
        <v>재료비목록표 →</v>
      </c>
    </row>
    <row r="16" spans="2:4" ht="23.85" customHeight="1" x14ac:dyDescent="0.3">
      <c r="B16" s="24" t="s">
        <v>2523</v>
      </c>
      <c r="D16" s="3" t="str">
        <f ca="1">HYPERLINK("#"&amp;노무비목록표!G2&amp;"!A1","노무비목록표 →")</f>
        <v>노무비목록표 →</v>
      </c>
    </row>
    <row r="17" spans="2:4" ht="23.85" customHeight="1" x14ac:dyDescent="0.3">
      <c r="B17" s="24" t="s">
        <v>2524</v>
      </c>
      <c r="D17" s="3" t="str">
        <f ca="1">HYPERLINK("#"&amp;경비목록표!G2&amp;"!A1","경비목록표 →")</f>
        <v>경비목록표 →</v>
      </c>
    </row>
    <row r="18" spans="2:4" ht="23.85" customHeight="1" x14ac:dyDescent="0.3">
      <c r="B18" s="24" t="s">
        <v>2525</v>
      </c>
      <c r="D18" s="3" t="str">
        <f ca="1">HYPERLINK("#"&amp;일식견적목록표!J2&amp;"!A1","일식견적목록표 →")</f>
        <v>일식견적목록표 →</v>
      </c>
    </row>
    <row r="19" spans="2:4" ht="23.85" customHeight="1" x14ac:dyDescent="0.3">
      <c r="B19" s="24" t="s">
        <v>2526</v>
      </c>
      <c r="D19" s="3" t="str">
        <f ca="1">HYPERLINK("#"&amp;자재단가대비표!R2&amp;"!A1","자재단가대비표 →")</f>
        <v>자재단가대비표 →</v>
      </c>
    </row>
  </sheetData>
  <phoneticPr fontId="25" type="noConversion"/>
  <printOptions horizontalCentered="1"/>
  <pageMargins left="0.39370078740157483" right="0.78740157480314954" top="0.78740157480314965" bottom="0.82677165354330706" header="0" footer="0.62992125984251968"/>
  <pageSetup paperSize="9" fitToWidth="0" fitToHeight="0" orientation="portrait" r:id="rId1"/>
  <headerFooter alignWithMargins="0">
    <oddFooter xml:space="preserve">&amp;C&amp;"굴림체,"&amp;9 - &amp;P -&amp;R&amp;"굴림체,"&amp;9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D4E40-925E-4FA7-BF8A-C22B2673A626}">
  <sheetPr>
    <tabColor rgb="FFFF0000"/>
  </sheetPr>
  <dimension ref="A2:I21"/>
  <sheetViews>
    <sheetView workbookViewId="0"/>
  </sheetViews>
  <sheetFormatPr defaultRowHeight="16.5" x14ac:dyDescent="0.3"/>
  <cols>
    <col min="1" max="1" width="9.125" style="4" customWidth="1"/>
    <col min="2" max="2" width="4.75" customWidth="1"/>
  </cols>
  <sheetData>
    <row r="2" spans="1:9" x14ac:dyDescent="0.3">
      <c r="A2" s="3" t="str">
        <f>HYPERLINK("#'〓 목 차 〓'!B2","목차 →")</f>
        <v>목차 →</v>
      </c>
      <c r="B2" s="106" t="s">
        <v>377</v>
      </c>
    </row>
    <row r="4" spans="1:9" ht="18.75" x14ac:dyDescent="0.3">
      <c r="B4" s="107" t="s">
        <v>2495</v>
      </c>
    </row>
    <row r="6" spans="1:9" x14ac:dyDescent="0.3">
      <c r="B6" s="85" t="s">
        <v>2496</v>
      </c>
    </row>
    <row r="7" spans="1:9" x14ac:dyDescent="0.3">
      <c r="B7" s="85" t="s">
        <v>2497</v>
      </c>
    </row>
    <row r="8" spans="1:9" x14ac:dyDescent="0.3">
      <c r="B8" s="108" t="s">
        <v>2498</v>
      </c>
    </row>
    <row r="9" spans="1:9" x14ac:dyDescent="0.3">
      <c r="B9" s="85" t="s">
        <v>2499</v>
      </c>
    </row>
    <row r="10" spans="1:9" x14ac:dyDescent="0.3">
      <c r="B10" s="85" t="s">
        <v>2500</v>
      </c>
    </row>
    <row r="11" spans="1:9" x14ac:dyDescent="0.3">
      <c r="B11" s="85" t="s">
        <v>2501</v>
      </c>
    </row>
    <row r="12" spans="1:9" x14ac:dyDescent="0.3">
      <c r="B12" s="125" t="str">
        <f ca="1">HYPERLINK("#"&amp;단가산출근거!G2&amp;"!Y3","◈ 단가산출근거의 수량부분은 산출근거 우측 연두색 부분에서 수정합니다. →")</f>
        <v>◈ 단가산출근거의 수량부분은 산출근거 우측 연두색 부분에서 수정합니다. →</v>
      </c>
      <c r="C12" s="126"/>
      <c r="D12" s="126"/>
      <c r="E12" s="126"/>
      <c r="F12" s="126"/>
      <c r="G12" s="126"/>
      <c r="H12" s="126"/>
      <c r="I12" s="126"/>
    </row>
    <row r="13" spans="1:9" x14ac:dyDescent="0.3">
      <c r="B13" s="85" t="s">
        <v>2502</v>
      </c>
    </row>
    <row r="15" spans="1:9" x14ac:dyDescent="0.3">
      <c r="B15" s="109" t="s">
        <v>2503</v>
      </c>
    </row>
    <row r="16" spans="1:9" x14ac:dyDescent="0.3">
      <c r="B16" s="2" t="str">
        <f ca="1">HYPERLINK("#"&amp;총괄내역서!H2&amp;"!I"&amp;ROW(총괄내역서!I18)," → ")</f>
        <v xml:space="preserve"> → </v>
      </c>
      <c r="C16" s="110" t="s">
        <v>2504</v>
      </c>
    </row>
    <row r="17" spans="2:3" x14ac:dyDescent="0.3">
      <c r="B17" s="2" t="str">
        <f ca="1">HYPERLINK("#"&amp;총괄내역서!H2&amp;"!D"&amp;ROW(총괄내역서!D26)," → ")</f>
        <v xml:space="preserve"> → </v>
      </c>
      <c r="C17" s="1" t="s">
        <v>2505</v>
      </c>
    </row>
    <row r="18" spans="2:3" x14ac:dyDescent="0.3">
      <c r="B18" s="2" t="str">
        <f ca="1">HYPERLINK("#"&amp;단가산출근거!G2&amp;"!B"&amp;ROW(단가산출근거!B458)," → ")</f>
        <v xml:space="preserve"> → </v>
      </c>
      <c r="C18" s="1" t="s">
        <v>2506</v>
      </c>
    </row>
    <row r="19" spans="2:3" x14ac:dyDescent="0.3">
      <c r="B19" s="2" t="str">
        <f ca="1">HYPERLINK("#"&amp;단가산출근거!G2&amp;"!B"&amp;ROW(단가산출근거!B537)," → ")</f>
        <v xml:space="preserve"> → </v>
      </c>
      <c r="C19" s="1" t="s">
        <v>2507</v>
      </c>
    </row>
    <row r="20" spans="2:3" x14ac:dyDescent="0.3">
      <c r="B20" s="2" t="str">
        <f ca="1">HYPERLINK("#"&amp;단가산출근거!G2&amp;"!B"&amp;ROW(단가산출근거!B1178)," → ")</f>
        <v xml:space="preserve"> → </v>
      </c>
      <c r="C20" s="1" t="s">
        <v>2508</v>
      </c>
    </row>
    <row r="21" spans="2:3" x14ac:dyDescent="0.3">
      <c r="B21" s="2" t="str">
        <f ca="1">HYPERLINK("#"&amp;단가산출근거!G2&amp;"!B"&amp;ROW(단가산출근거!B1273)," → ")</f>
        <v xml:space="preserve"> → </v>
      </c>
      <c r="C21" s="1" t="s">
        <v>2509</v>
      </c>
    </row>
  </sheetData>
  <mergeCells count="1">
    <mergeCell ref="B12:I12"/>
  </mergeCells>
  <phoneticPr fontId="25" type="noConversion"/>
  <printOptions horizontalCentered="1"/>
  <pageMargins left="0.39370078740157483" right="0.78740157480314954" top="0.78740157480314965" bottom="1" header="0" footer="0.5"/>
  <pageSetup paperSize="9" fitToWidth="0" fitToHeight="0" orientation="portrait"/>
  <headerFooter alignWithMargins="0">
    <oddFooter xml:space="preserve">&amp;C&amp;"굴림체,"&amp;9 - &amp;P -&amp;R&amp;"굴림체,"&amp;9 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5529B-A52F-4183-9ED3-6FBD6333617B}">
  <dimension ref="A1:H33"/>
  <sheetViews>
    <sheetView workbookViewId="0">
      <pane ySplit="4" topLeftCell="A11" activePane="bottomLeft" state="frozenSplit"/>
      <selection pane="bottomLeft" activeCell="D25" sqref="D25"/>
    </sheetView>
  </sheetViews>
  <sheetFormatPr defaultColWidth="9.125" defaultRowHeight="16.5" x14ac:dyDescent="0.3"/>
  <cols>
    <col min="1" max="2" width="4.75" style="6" customWidth="1"/>
    <col min="3" max="3" width="23.5" style="6" customWidth="1"/>
    <col min="4" max="4" width="11.5" style="6" customWidth="1"/>
    <col min="5" max="5" width="8.5" style="6" customWidth="1"/>
    <col min="6" max="6" width="49.75" style="6" customWidth="1"/>
    <col min="7" max="7" width="9.125" style="6" hidden="1" customWidth="1"/>
    <col min="8" max="8" width="9.125" style="18" customWidth="1"/>
    <col min="9" max="16384" width="9.125" style="6"/>
  </cols>
  <sheetData>
    <row r="1" spans="1:8" ht="24.95" customHeight="1" x14ac:dyDescent="0.3">
      <c r="A1" s="130" t="s">
        <v>1173</v>
      </c>
      <c r="B1" s="126"/>
      <c r="C1" s="126"/>
      <c r="D1" s="126"/>
      <c r="E1" s="126"/>
      <c r="F1" s="126"/>
      <c r="G1" s="5" t="s">
        <v>124</v>
      </c>
      <c r="H1" s="19" t="s">
        <v>124</v>
      </c>
    </row>
    <row r="2" spans="1:8" ht="26.45" customHeight="1" x14ac:dyDescent="0.3">
      <c r="A2" s="1" t="s">
        <v>1</v>
      </c>
      <c r="F2" s="67" t="s">
        <v>1174</v>
      </c>
      <c r="G2" s="20" t="str">
        <f ca="1">MID(CELL("filename",$A$1),FIND("]",CELL("filename",$A$1))+1,LEN(CELL("filename",$A$1)))</f>
        <v>공사원가계산서</v>
      </c>
    </row>
    <row r="3" spans="1:8" ht="26.45" customHeight="1" x14ac:dyDescent="0.3">
      <c r="A3" s="131" t="s">
        <v>1176</v>
      </c>
      <c r="B3" s="132"/>
      <c r="C3" s="132"/>
      <c r="D3" s="133" t="s">
        <v>790</v>
      </c>
      <c r="E3" s="133" t="s">
        <v>1177</v>
      </c>
      <c r="F3" s="133" t="s">
        <v>1178</v>
      </c>
    </row>
    <row r="4" spans="1:8" ht="26.45" customHeight="1" x14ac:dyDescent="0.3">
      <c r="A4" s="135" t="s">
        <v>1175</v>
      </c>
      <c r="B4" s="136"/>
      <c r="C4" s="136"/>
      <c r="D4" s="134"/>
      <c r="E4" s="134"/>
      <c r="F4" s="134"/>
      <c r="H4" s="3" t="str">
        <f>HYPERLINK("#'〓 목 차 〓'!B2","목차 →")</f>
        <v>목차 →</v>
      </c>
    </row>
    <row r="5" spans="1:8" ht="26.45" customHeight="1" x14ac:dyDescent="0.3">
      <c r="A5" s="137" t="s">
        <v>1202</v>
      </c>
      <c r="B5" s="137" t="s">
        <v>8</v>
      </c>
      <c r="C5" s="59" t="s">
        <v>1179</v>
      </c>
      <c r="D5" s="61">
        <f>총괄내역서!F4-D6+D7</f>
        <v>16591866</v>
      </c>
      <c r="E5" s="64">
        <f>D5/D32*100</f>
        <v>22.760073583151968</v>
      </c>
      <c r="F5" s="68"/>
      <c r="H5" s="3" t="str">
        <f ca="1">HYPERLINK("#"&amp;총괄내역서!H2&amp;"!F"&amp;ROW(총괄내역서!F4),"총괄표 →")</f>
        <v>총괄표 →</v>
      </c>
    </row>
    <row r="6" spans="1:8" ht="26.45" customHeight="1" x14ac:dyDescent="0.3">
      <c r="A6" s="138"/>
      <c r="B6" s="138"/>
      <c r="C6" s="59" t="s">
        <v>1180</v>
      </c>
      <c r="D6" s="62">
        <v>0</v>
      </c>
      <c r="E6" s="64">
        <f>D6/D32*100</f>
        <v>0</v>
      </c>
      <c r="F6" s="69"/>
    </row>
    <row r="7" spans="1:8" ht="26.45" customHeight="1" x14ac:dyDescent="0.3">
      <c r="A7" s="138"/>
      <c r="B7" s="138"/>
      <c r="C7" s="59" t="s">
        <v>1181</v>
      </c>
      <c r="D7" s="62">
        <v>0</v>
      </c>
      <c r="E7" s="64">
        <f>D7/D32*100</f>
        <v>0</v>
      </c>
      <c r="F7" s="69"/>
    </row>
    <row r="8" spans="1:8" ht="26.45" customHeight="1" x14ac:dyDescent="0.3">
      <c r="A8" s="138"/>
      <c r="B8" s="136"/>
      <c r="C8" s="14" t="s">
        <v>1182</v>
      </c>
      <c r="D8" s="63">
        <f>+D5+D6-D7</f>
        <v>16591866</v>
      </c>
      <c r="E8" s="65">
        <f>D8/D32*100</f>
        <v>22.760073583151968</v>
      </c>
      <c r="F8" s="70"/>
    </row>
    <row r="9" spans="1:8" ht="26.45" customHeight="1" x14ac:dyDescent="0.3">
      <c r="A9" s="138"/>
      <c r="B9" s="137" t="s">
        <v>7</v>
      </c>
      <c r="C9" s="59" t="s">
        <v>1183</v>
      </c>
      <c r="D9" s="61">
        <f>총괄내역서!E4</f>
        <v>10038067</v>
      </c>
      <c r="E9" s="64">
        <f>D9/D32*100</f>
        <v>13.769828152699009</v>
      </c>
      <c r="F9" s="68"/>
      <c r="H9" s="3" t="str">
        <f ca="1">HYPERLINK("#"&amp;총괄내역서!H2&amp;"!E"&amp;ROW(총괄내역서!E4),"총괄표 →")</f>
        <v>총괄표 →</v>
      </c>
    </row>
    <row r="10" spans="1:8" ht="26.45" customHeight="1" x14ac:dyDescent="0.3">
      <c r="A10" s="138"/>
      <c r="B10" s="138"/>
      <c r="C10" s="59" t="s">
        <v>1184</v>
      </c>
      <c r="D10" s="61">
        <f>총괄내역서!D5</f>
        <v>1917270</v>
      </c>
      <c r="E10" s="64">
        <f>D10/D32*100</f>
        <v>2.6300360838720476</v>
      </c>
      <c r="F10" s="71" t="str">
        <f>총괄내역서!E5</f>
        <v>직접노무비 x 19.1%</v>
      </c>
      <c r="H10" s="3" t="str">
        <f ca="1">HYPERLINK("#"&amp;총괄내역서!H2&amp;"!D"&amp;ROW(총괄내역서!D5),"총괄표 →")</f>
        <v>총괄표 →</v>
      </c>
    </row>
    <row r="11" spans="1:8" ht="26.45" customHeight="1" x14ac:dyDescent="0.3">
      <c r="A11" s="138"/>
      <c r="B11" s="136"/>
      <c r="C11" s="14" t="s">
        <v>1182</v>
      </c>
      <c r="D11" s="63">
        <f>+D9+D10</f>
        <v>11955337</v>
      </c>
      <c r="E11" s="65">
        <f>D11/D32*100</f>
        <v>16.399864236571059</v>
      </c>
      <c r="F11" s="70"/>
    </row>
    <row r="12" spans="1:8" ht="26.45" customHeight="1" x14ac:dyDescent="0.3">
      <c r="A12" s="138"/>
      <c r="B12" s="137" t="s">
        <v>9</v>
      </c>
      <c r="C12" s="59" t="s">
        <v>1185</v>
      </c>
      <c r="D12" s="61">
        <f>총괄내역서!G4</f>
        <v>3183822</v>
      </c>
      <c r="E12" s="64">
        <f>D12/D32*100</f>
        <v>4.3674426369920099</v>
      </c>
      <c r="F12" s="68"/>
      <c r="H12" s="3" t="str">
        <f ca="1">HYPERLINK("#"&amp;총괄내역서!H2&amp;"!G"&amp;ROW(총괄내역서!G4),"총괄표 →")</f>
        <v>총괄표 →</v>
      </c>
    </row>
    <row r="13" spans="1:8" ht="26.45" customHeight="1" x14ac:dyDescent="0.3">
      <c r="A13" s="138"/>
      <c r="B13" s="138"/>
      <c r="C13" s="59" t="s">
        <v>1186</v>
      </c>
      <c r="D13" s="61">
        <f>총괄내역서!D6</f>
        <v>425609</v>
      </c>
      <c r="E13" s="64">
        <f>D13/D32*100</f>
        <v>0.58383379890192733</v>
      </c>
      <c r="F13" s="71" t="str">
        <f>총괄내역서!E6</f>
        <v>(직접노무비+간접노무비) x 3.56%</v>
      </c>
      <c r="H13" s="3" t="str">
        <f ca="1">HYPERLINK("#"&amp;총괄내역서!H2&amp;"!D"&amp;ROW(총괄내역서!D6),"총괄표 →")</f>
        <v>총괄표 →</v>
      </c>
    </row>
    <row r="14" spans="1:8" ht="26.45" customHeight="1" x14ac:dyDescent="0.3">
      <c r="A14" s="138"/>
      <c r="B14" s="138"/>
      <c r="C14" s="59" t="s">
        <v>1187</v>
      </c>
      <c r="D14" s="61">
        <f>총괄내역서!D7</f>
        <v>120748</v>
      </c>
      <c r="E14" s="64">
        <f>D14/D32*100</f>
        <v>0.1656373891290126</v>
      </c>
      <c r="F14" s="71" t="str">
        <f>총괄내역서!E7</f>
        <v>(직접노무비+간접노무비) x 1.01%</v>
      </c>
      <c r="H14" s="3" t="str">
        <f ca="1">HYPERLINK("#"&amp;총괄내역서!H2&amp;"!D"&amp;ROW(총괄내역서!D7),"총괄표 →")</f>
        <v>총괄표 →</v>
      </c>
    </row>
    <row r="15" spans="1:8" ht="26.45" customHeight="1" x14ac:dyDescent="0.3">
      <c r="A15" s="138"/>
      <c r="B15" s="138"/>
      <c r="C15" s="59" t="s">
        <v>1188</v>
      </c>
      <c r="D15" s="61">
        <f>총괄내역서!D8</f>
        <v>838842</v>
      </c>
      <c r="E15" s="64">
        <f>D15/D32*100</f>
        <v>1.1506906844979559</v>
      </c>
      <c r="F15" s="71" t="str">
        <f>총괄내역서!E8</f>
        <v>(직노+직재+간재) x 3.15% = 838,842</v>
      </c>
      <c r="H15" s="3" t="str">
        <f ca="1">HYPERLINK("#"&amp;총괄내역서!H2&amp;"!D"&amp;ROW(총괄내역서!D8),"총괄표 →")</f>
        <v>총괄표 →</v>
      </c>
    </row>
    <row r="16" spans="1:8" ht="26.45" customHeight="1" x14ac:dyDescent="0.3">
      <c r="A16" s="138"/>
      <c r="B16" s="138"/>
      <c r="C16" s="59" t="s">
        <v>1189</v>
      </c>
      <c r="D16" s="61">
        <f>총괄내역서!D9</f>
        <v>1570096</v>
      </c>
      <c r="E16" s="64">
        <f>D16/D32*100</f>
        <v>2.1537963537442124</v>
      </c>
      <c r="F16" s="71" t="str">
        <f>총괄내역서!E9</f>
        <v>(직접노무비+간접노무비+재료비) x 5.5%</v>
      </c>
      <c r="H16" s="3" t="str">
        <f ca="1">HYPERLINK("#"&amp;총괄내역서!H2&amp;"!D"&amp;ROW(총괄내역서!D9),"총괄표 →")</f>
        <v>총괄표 →</v>
      </c>
    </row>
    <row r="17" spans="1:8" ht="26.45" customHeight="1" x14ac:dyDescent="0.3">
      <c r="A17" s="138"/>
      <c r="B17" s="138"/>
      <c r="C17" s="59" t="s">
        <v>1190</v>
      </c>
      <c r="D17" s="61">
        <f>총괄내역서!D10</f>
        <v>149068</v>
      </c>
      <c r="E17" s="64">
        <f>D17/D32*100</f>
        <v>0.20448565874949193</v>
      </c>
      <c r="F17" s="71" t="str">
        <f>총괄내역서!E10</f>
        <v>(재료비 + 직접노무비 + 산출경비) x 0.5%</v>
      </c>
      <c r="H17" s="3" t="str">
        <f ca="1">HYPERLINK("#"&amp;총괄내역서!H2&amp;"!D"&amp;ROW(총괄내역서!D10),"총괄표 →")</f>
        <v>총괄표 →</v>
      </c>
    </row>
    <row r="18" spans="1:8" ht="26.45" customHeight="1" x14ac:dyDescent="0.3">
      <c r="A18" s="138"/>
      <c r="B18" s="138"/>
      <c r="C18" s="59" t="s">
        <v>1191</v>
      </c>
      <c r="D18" s="61">
        <f>총괄내역서!D11</f>
        <v>152050</v>
      </c>
      <c r="E18" s="64">
        <f>D18/D32*100</f>
        <v>0.20857624985147882</v>
      </c>
      <c r="F18" s="71" t="str">
        <f>총괄내역서!E11</f>
        <v>(재료비 + 직접노무비 + 산출경비) x 0.51%</v>
      </c>
      <c r="H18" s="3" t="str">
        <f ca="1">HYPERLINK("#"&amp;총괄내역서!H2&amp;"!D"&amp;ROW(총괄내역서!D11),"총괄표 →")</f>
        <v>총괄표 →</v>
      </c>
    </row>
    <row r="19" spans="1:8" ht="26.45" customHeight="1" x14ac:dyDescent="0.3">
      <c r="A19" s="138"/>
      <c r="B19" s="138"/>
      <c r="C19" s="59" t="s">
        <v>1192</v>
      </c>
      <c r="D19" s="61">
        <f>총괄내역서!D12</f>
        <v>717</v>
      </c>
      <c r="E19" s="64">
        <f>D19/D32*100</f>
        <v>9.835525889083218E-4</v>
      </c>
      <c r="F19" s="71" t="str">
        <f>총괄내역서!E12</f>
        <v>(직접노무비+간접노무비) x 0.006%</v>
      </c>
      <c r="H19" s="3" t="str">
        <f ca="1">HYPERLINK("#"&amp;총괄내역서!H2&amp;"!D"&amp;ROW(총괄내역서!D12),"총괄표 →")</f>
        <v>총괄표 →</v>
      </c>
    </row>
    <row r="20" spans="1:8" ht="26.45" customHeight="1" x14ac:dyDescent="0.3">
      <c r="A20" s="138"/>
      <c r="B20" s="138"/>
      <c r="C20" s="59" t="s">
        <v>1193</v>
      </c>
      <c r="D20" s="61">
        <f>총괄내역서!D13</f>
        <v>10759</v>
      </c>
      <c r="E20" s="64">
        <f>D20/D32*100</f>
        <v>1.4758775877356533E-2</v>
      </c>
      <c r="F20" s="71" t="str">
        <f>총괄내역서!E13</f>
        <v>(직접노무비+간접노무비) x 0.09%</v>
      </c>
      <c r="H20" s="3" t="str">
        <f ca="1">HYPERLINK("#"&amp;총괄내역서!H2&amp;"!D"&amp;ROW(총괄내역서!D13),"총괄표 →")</f>
        <v>총괄표 →</v>
      </c>
    </row>
    <row r="21" spans="1:8" ht="26.45" customHeight="1" x14ac:dyDescent="0.3">
      <c r="A21" s="138"/>
      <c r="B21" s="138"/>
      <c r="C21" s="59" t="s">
        <v>1028</v>
      </c>
      <c r="D21" s="61">
        <f>총괄내역서!D14</f>
        <v>1856940</v>
      </c>
      <c r="E21" s="64">
        <f>D21/D32*100</f>
        <v>2.5472777467885899</v>
      </c>
      <c r="F21" s="68"/>
      <c r="H21" s="3" t="str">
        <f ca="1">HYPERLINK("#"&amp;총괄내역서!H2&amp;"!D"&amp;ROW(총괄내역서!D14),"총괄표 →")</f>
        <v>총괄표 →</v>
      </c>
    </row>
    <row r="22" spans="1:8" ht="26.45" customHeight="1" x14ac:dyDescent="0.3">
      <c r="A22" s="136"/>
      <c r="B22" s="136"/>
      <c r="C22" s="60" t="s">
        <v>1182</v>
      </c>
      <c r="D22" s="63">
        <f>+D12+D13+D14+D15+D16+D17+D18+D19+D20+D21</f>
        <v>8308651</v>
      </c>
      <c r="E22" s="65">
        <f>D22/D32*100</f>
        <v>11.397482847120944</v>
      </c>
      <c r="F22" s="70"/>
    </row>
    <row r="23" spans="1:8" ht="26.45" customHeight="1" x14ac:dyDescent="0.3">
      <c r="A23" s="139" t="s">
        <v>1194</v>
      </c>
      <c r="B23" s="140"/>
      <c r="C23" s="141"/>
      <c r="D23" s="47">
        <f>총괄내역서!D16</f>
        <v>2948468</v>
      </c>
      <c r="E23" s="66">
        <f>D23/D32*100</f>
        <v>4.0445932143840198</v>
      </c>
      <c r="F23" s="72" t="str">
        <f>"순공사원가 x "&amp;ROUND(총괄내역서!M16,5)&amp;"%"</f>
        <v>순공사원가 x 8%</v>
      </c>
      <c r="H23" s="3" t="str">
        <f ca="1">HYPERLINK("#"&amp;총괄내역서!H2&amp;"!D"&amp;ROW(총괄내역서!D16),"총괄표 →")</f>
        <v>총괄표 →</v>
      </c>
    </row>
    <row r="24" spans="1:8" ht="26.45" customHeight="1" x14ac:dyDescent="0.3">
      <c r="A24" s="127" t="s">
        <v>1195</v>
      </c>
      <c r="B24" s="128"/>
      <c r="C24" s="128"/>
      <c r="D24" s="47">
        <f>총괄내역서!D18</f>
        <v>3417132.8181818184</v>
      </c>
      <c r="E24" s="66">
        <f>D24/D32*100</f>
        <v>4.6874893026029527</v>
      </c>
      <c r="F24" s="72" t="str">
        <f>"(노무비+경비+일반관리비) x "&amp;ROUND(총괄내역서!M18,5)&amp;"%"</f>
        <v>(노무비+경비+일반관리비) x 14.72121%</v>
      </c>
      <c r="H24" s="3" t="str">
        <f ca="1">HYPERLINK("#"&amp;총괄내역서!H2&amp;"!D"&amp;ROW(총괄내역서!D18),"총괄표 →")</f>
        <v>총괄표 →</v>
      </c>
    </row>
    <row r="25" spans="1:8" ht="26.45" customHeight="1" x14ac:dyDescent="0.3">
      <c r="A25" s="127" t="s">
        <v>1101</v>
      </c>
      <c r="B25" s="128"/>
      <c r="C25" s="128"/>
      <c r="D25" s="47">
        <f>총괄내역서!D19</f>
        <v>620000</v>
      </c>
      <c r="E25" s="66">
        <f>D25/D32*100</f>
        <v>0.85049177841444845</v>
      </c>
      <c r="F25" s="40"/>
      <c r="H25" s="3" t="str">
        <f ca="1">HYPERLINK("#"&amp;총괄내역서!H2&amp;"!D"&amp;ROW(총괄내역서!D19),"총괄표 →")</f>
        <v>총괄표 →</v>
      </c>
    </row>
    <row r="26" spans="1:8" ht="26.45" customHeight="1" x14ac:dyDescent="0.3">
      <c r="A26" s="127" t="s">
        <v>420</v>
      </c>
      <c r="B26" s="128"/>
      <c r="C26" s="128"/>
      <c r="D26" s="47">
        <f>총괄내역서!D20</f>
        <v>-406000</v>
      </c>
      <c r="E26" s="66">
        <f>D26/D32*100</f>
        <v>-0.55693493876817113</v>
      </c>
      <c r="F26" s="40"/>
      <c r="H26" s="3" t="str">
        <f ca="1">HYPERLINK("#"&amp;총괄내역서!H2&amp;"!D"&amp;ROW(총괄내역서!D20),"총괄표 →")</f>
        <v>총괄표 →</v>
      </c>
    </row>
    <row r="27" spans="1:8" ht="26.45" customHeight="1" x14ac:dyDescent="0.3">
      <c r="A27" s="129" t="s">
        <v>1196</v>
      </c>
      <c r="B27" s="128"/>
      <c r="C27" s="128"/>
      <c r="D27" s="47">
        <f>총괄내역서!D21</f>
        <v>43435454.81818182</v>
      </c>
      <c r="E27" s="66">
        <f>D27/D32*100</f>
        <v>59.583060023477216</v>
      </c>
      <c r="F27" s="40"/>
      <c r="H27" s="3" t="str">
        <f ca="1">HYPERLINK("#"&amp;총괄내역서!H2&amp;"!D"&amp;ROW(총괄내역서!D21),"총괄표 →")</f>
        <v>총괄표 →</v>
      </c>
    </row>
    <row r="28" spans="1:8" ht="26.45" customHeight="1" x14ac:dyDescent="0.3">
      <c r="A28" s="127" t="s">
        <v>1197</v>
      </c>
      <c r="B28" s="128"/>
      <c r="C28" s="128"/>
      <c r="D28" s="47">
        <f>총괄내역서!D22</f>
        <v>4343545</v>
      </c>
      <c r="E28" s="66">
        <f>D28/D32*100</f>
        <v>5.9583053414083631</v>
      </c>
      <c r="F28" s="72" t="str">
        <f>"총 원 가 x "&amp;ROUND(총괄내역서!M22,5)&amp;"%"</f>
        <v>총 원 가 x 10%</v>
      </c>
      <c r="H28" s="3" t="str">
        <f ca="1">HYPERLINK("#"&amp;총괄내역서!H2&amp;"!D"&amp;ROW(총괄내역서!D22),"총괄표 →")</f>
        <v>총괄표 →</v>
      </c>
    </row>
    <row r="29" spans="1:8" ht="26.45" customHeight="1" x14ac:dyDescent="0.3">
      <c r="A29" s="129" t="s">
        <v>1198</v>
      </c>
      <c r="B29" s="128"/>
      <c r="C29" s="128"/>
      <c r="D29" s="47">
        <f>총괄내역서!D23</f>
        <v>47778999.81818182</v>
      </c>
      <c r="E29" s="66">
        <f>D29/D32*100</f>
        <v>65.541365364885579</v>
      </c>
      <c r="F29" s="40"/>
      <c r="H29" s="3" t="str">
        <f ca="1">HYPERLINK("#"&amp;총괄내역서!H2&amp;"!D"&amp;ROW(총괄내역서!D23),"총괄표 →")</f>
        <v>총괄표 →</v>
      </c>
    </row>
    <row r="30" spans="1:8" ht="26.45" customHeight="1" x14ac:dyDescent="0.3">
      <c r="A30" s="127" t="s">
        <v>1199</v>
      </c>
      <c r="B30" s="128"/>
      <c r="C30" s="128"/>
      <c r="D30" s="47">
        <f>총괄내역서!D24</f>
        <v>10452000</v>
      </c>
      <c r="E30" s="66">
        <f>D30/D32*100</f>
        <v>14.337645270948087</v>
      </c>
      <c r="F30" s="40"/>
      <c r="H30" s="3" t="str">
        <f ca="1">HYPERLINK("#"&amp;총괄내역서!H2&amp;"!D"&amp;ROW(총괄내역서!D24),"총괄표 →")</f>
        <v>총괄표 →</v>
      </c>
    </row>
    <row r="31" spans="1:8" ht="26.45" customHeight="1" x14ac:dyDescent="0.3">
      <c r="A31" s="127" t="s">
        <v>1200</v>
      </c>
      <c r="B31" s="128"/>
      <c r="C31" s="128"/>
      <c r="D31" s="47">
        <f>총괄내역서!D25</f>
        <v>14668000</v>
      </c>
      <c r="E31" s="66">
        <f>D31/D32*100</f>
        <v>20.120989364166338</v>
      </c>
      <c r="F31" s="40"/>
      <c r="H31" s="3" t="str">
        <f ca="1">HYPERLINK("#"&amp;총괄내역서!H2&amp;"!D"&amp;ROW(총괄내역서!D25),"총괄표 →")</f>
        <v>총괄표 →</v>
      </c>
    </row>
    <row r="32" spans="1:8" ht="26.45" customHeight="1" x14ac:dyDescent="0.3">
      <c r="A32" s="129" t="s">
        <v>1201</v>
      </c>
      <c r="B32" s="128"/>
      <c r="C32" s="128"/>
      <c r="D32" s="47">
        <f>총괄내역서!D26</f>
        <v>72898999.818181813</v>
      </c>
      <c r="E32" s="66">
        <v>100</v>
      </c>
      <c r="F32" s="40"/>
      <c r="H32" s="3" t="str">
        <f ca="1">HYPERLINK("#"&amp;총괄내역서!H2&amp;"!D"&amp;ROW(총괄내역서!D26),"총괄표 →")</f>
        <v>총괄표 →</v>
      </c>
    </row>
    <row r="33" spans="4:4" x14ac:dyDescent="0.3">
      <c r="D33" s="124">
        <f>D30+D31</f>
        <v>25120000</v>
      </c>
    </row>
  </sheetData>
  <mergeCells count="20">
    <mergeCell ref="A24:C24"/>
    <mergeCell ref="A1:F1"/>
    <mergeCell ref="A3:C3"/>
    <mergeCell ref="D3:D4"/>
    <mergeCell ref="E3:E4"/>
    <mergeCell ref="F3:F4"/>
    <mergeCell ref="A4:C4"/>
    <mergeCell ref="A5:A22"/>
    <mergeCell ref="B5:B8"/>
    <mergeCell ref="B9:B11"/>
    <mergeCell ref="B12:B22"/>
    <mergeCell ref="A23:C23"/>
    <mergeCell ref="A31:C31"/>
    <mergeCell ref="A32:C32"/>
    <mergeCell ref="A25:C25"/>
    <mergeCell ref="A26:C26"/>
    <mergeCell ref="A27:C27"/>
    <mergeCell ref="A28:C28"/>
    <mergeCell ref="A29:C29"/>
    <mergeCell ref="A30:C30"/>
  </mergeCells>
  <phoneticPr fontId="25" type="noConversion"/>
  <hyperlinks>
    <hyperlink ref="H1" r:id="rId1" tooltip="설계예산시스템(STmate w26.05)으로 작성 하였으며,_x000a_엑셀 인쇄품질 600 dpi에 최적화 되어 있습니다._x000a_경영정보(주) http://www.stma.co.kr_x000a_Tel) 070-4350-0040_x000a_Fax) 0505-300-3948" xr:uid="{828AE246-D7F2-4EB4-8E7B-40CB648C7250}"/>
    <hyperlink ref="G1" r:id="rId2" tooltip="설계예산시스템(STmate w26.05)으로 작성 하였으며,_x000a_엑셀 인쇄품질 600 dpi에 최적화 되어 있습니다._x000a_경영정보(주) http://www.stma.co.kr_x000a_Tel) 070-4350-0040_x000a_Fax) 0505-300-3948" xr:uid="{33EDF6D9-2328-420F-856D-6CB88457AA71}"/>
  </hyperlinks>
  <printOptions horizontalCentered="1"/>
  <pageMargins left="0.39370078740157483" right="0.78740157480314954" top="0.78740157480314965" bottom="0.74803149606299202" header="0" footer="0.55118110236220463"/>
  <pageSetup paperSize="9" scale="80" fitToWidth="0" fitToHeight="0" orientation="portrait" r:id="rId3"/>
  <headerFooter alignWithMargins="0">
    <oddFooter xml:space="preserve">&amp;R&amp;"굴림체,"&amp;9 </oddFooter>
  </headerFooter>
  <drawing r:id="rId4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A6F5C-D852-41F7-88D4-88370CBC4DA9}">
  <dimension ref="A1:Q26"/>
  <sheetViews>
    <sheetView tabSelected="1" zoomScaleNormal="100" workbookViewId="0">
      <pane ySplit="3" topLeftCell="A8" activePane="bottomLeft" state="frozenSplit"/>
      <selection pane="bottomLeft" activeCell="D19" sqref="D19"/>
    </sheetView>
  </sheetViews>
  <sheetFormatPr defaultColWidth="9.125" defaultRowHeight="16.5" x14ac:dyDescent="0.3"/>
  <cols>
    <col min="1" max="1" width="10" style="6" customWidth="1"/>
    <col min="2" max="2" width="26.5" style="6" customWidth="1"/>
    <col min="3" max="3" width="22.75" style="6" customWidth="1"/>
    <col min="4" max="7" width="17.5" style="6" customWidth="1"/>
    <col min="8" max="8" width="9.125" style="16" hidden="1" customWidth="1"/>
    <col min="9" max="12" width="2.125" style="6" customWidth="1"/>
    <col min="13" max="16" width="4" style="6" customWidth="1"/>
    <col min="17" max="17" width="9.125" style="18" customWidth="1"/>
    <col min="18" max="16384" width="9.125" style="6"/>
  </cols>
  <sheetData>
    <row r="1" spans="1:17" ht="24.95" customHeight="1" x14ac:dyDescent="0.3">
      <c r="A1" s="130" t="s">
        <v>821</v>
      </c>
      <c r="B1" s="126"/>
      <c r="C1" s="126"/>
      <c r="D1" s="126"/>
      <c r="E1" s="126"/>
      <c r="F1" s="126"/>
      <c r="G1" s="126"/>
      <c r="H1" s="19" t="s">
        <v>124</v>
      </c>
      <c r="Q1" s="19" t="s">
        <v>124</v>
      </c>
    </row>
    <row r="2" spans="1:17" ht="24" customHeight="1" x14ac:dyDescent="0.3">
      <c r="A2" s="1" t="s">
        <v>1</v>
      </c>
      <c r="H2" s="20" t="str">
        <f ca="1">MID(CELL("filename",$A$1),FIND("]",CELL("filename",$A$1))+1,LEN(CELL("filename",$A$1)))</f>
        <v>총괄내역서</v>
      </c>
    </row>
    <row r="3" spans="1:17" ht="24" customHeight="1" x14ac:dyDescent="0.3">
      <c r="A3" s="8" t="s">
        <v>788</v>
      </c>
      <c r="B3" s="8" t="s">
        <v>3</v>
      </c>
      <c r="C3" s="8" t="s">
        <v>4</v>
      </c>
      <c r="D3" s="8" t="s">
        <v>6</v>
      </c>
      <c r="E3" s="8" t="s">
        <v>7</v>
      </c>
      <c r="F3" s="8" t="s">
        <v>8</v>
      </c>
      <c r="G3" s="14" t="s">
        <v>9</v>
      </c>
      <c r="H3" s="17" t="s">
        <v>1121</v>
      </c>
      <c r="I3" s="146" t="s">
        <v>1132</v>
      </c>
      <c r="J3" s="126"/>
      <c r="K3" s="126"/>
      <c r="L3" s="126"/>
      <c r="M3" s="126"/>
      <c r="N3" s="126"/>
      <c r="O3" s="126"/>
      <c r="P3" s="126"/>
      <c r="Q3" s="3" t="str">
        <f>HYPERLINK("#'〓 목 차 〓'!B2","목차 →")</f>
        <v>목차 →</v>
      </c>
    </row>
    <row r="4" spans="1:17" ht="24" customHeight="1" x14ac:dyDescent="0.3">
      <c r="A4" s="10" t="s">
        <v>1122</v>
      </c>
      <c r="B4" s="10" t="s">
        <v>1123</v>
      </c>
      <c r="C4" s="10"/>
      <c r="D4" s="47">
        <f>설계내역서!G205</f>
        <v>29813755</v>
      </c>
      <c r="E4" s="46">
        <f>설계내역서!I205</f>
        <v>10038067</v>
      </c>
      <c r="F4" s="55">
        <f>설계내역서!K205</f>
        <v>16591866</v>
      </c>
      <c r="G4" s="47">
        <f>설계내역서!M205</f>
        <v>3183822</v>
      </c>
      <c r="Q4" s="3" t="str">
        <f ca="1">HYPERLINK("#"&amp;설계내역서!O2&amp;"!A"&amp;ROW(설계내역서!A205),"내역 →")</f>
        <v>내역 →</v>
      </c>
    </row>
    <row r="5" spans="1:17" ht="24" customHeight="1" x14ac:dyDescent="0.3">
      <c r="A5" s="10"/>
      <c r="B5" s="10" t="s">
        <v>1124</v>
      </c>
      <c r="C5" s="10"/>
      <c r="D5" s="47">
        <f>ROUNDDOWN(E4*M5/100,0)</f>
        <v>1917270</v>
      </c>
      <c r="E5" s="145" t="str">
        <f>"직접노무비 x "&amp;ROUND(M5,5)&amp;"%"</f>
        <v>직접노무비 x 19.1%</v>
      </c>
      <c r="F5" s="143"/>
      <c r="G5" s="144"/>
      <c r="H5" s="17" t="s">
        <v>1125</v>
      </c>
      <c r="I5" s="36">
        <v>0</v>
      </c>
      <c r="M5" s="58">
        <v>19.100000000000001</v>
      </c>
      <c r="N5" s="36">
        <v>0</v>
      </c>
      <c r="O5" s="36">
        <v>0</v>
      </c>
      <c r="P5" s="36">
        <v>0</v>
      </c>
    </row>
    <row r="6" spans="1:17" ht="24" customHeight="1" x14ac:dyDescent="0.3">
      <c r="A6" s="10"/>
      <c r="B6" s="10" t="s">
        <v>1126</v>
      </c>
      <c r="C6" s="10"/>
      <c r="D6" s="47">
        <f>ROUNDDOWN(((E4+D5))*M6/100,0)</f>
        <v>425609</v>
      </c>
      <c r="E6" s="145" t="str">
        <f>"(직접노무비+간접노무비) x "&amp;ROUND(M6,5)&amp;"%"</f>
        <v>(직접노무비+간접노무비) x 3.56%</v>
      </c>
      <c r="F6" s="143"/>
      <c r="G6" s="144"/>
      <c r="H6" s="17" t="s">
        <v>1127</v>
      </c>
      <c r="I6" s="36">
        <v>0</v>
      </c>
      <c r="M6" s="58">
        <v>3.56</v>
      </c>
      <c r="N6" s="36">
        <v>0</v>
      </c>
      <c r="O6" s="36">
        <v>0</v>
      </c>
      <c r="P6" s="36">
        <v>0</v>
      </c>
    </row>
    <row r="7" spans="1:17" ht="24" customHeight="1" x14ac:dyDescent="0.3">
      <c r="A7" s="10"/>
      <c r="B7" s="10" t="s">
        <v>1128</v>
      </c>
      <c r="C7" s="10"/>
      <c r="D7" s="47">
        <f>ROUNDDOWN(((E4+D5))*M7/100,0)</f>
        <v>120748</v>
      </c>
      <c r="E7" s="145" t="str">
        <f>"(직접노무비+간접노무비) x "&amp;ROUND(M7,5)&amp;"%"</f>
        <v>(직접노무비+간접노무비) x 1.01%</v>
      </c>
      <c r="F7" s="143"/>
      <c r="G7" s="144"/>
      <c r="H7" s="17" t="s">
        <v>1129</v>
      </c>
      <c r="I7" s="36">
        <v>0</v>
      </c>
      <c r="M7" s="58">
        <v>1.01</v>
      </c>
      <c r="N7" s="36">
        <v>0</v>
      </c>
      <c r="O7" s="36">
        <v>0</v>
      </c>
      <c r="P7" s="36">
        <v>0</v>
      </c>
    </row>
    <row r="8" spans="1:17" ht="24" customHeight="1" x14ac:dyDescent="0.3">
      <c r="A8" s="10"/>
      <c r="B8" s="10" t="s">
        <v>1130</v>
      </c>
      <c r="C8" s="10"/>
      <c r="D8" s="47">
        <f>ROUNDDOWN(((E4+(F4)))*M8/100,0)</f>
        <v>838842</v>
      </c>
      <c r="E8" s="145" t="str">
        <f>"(직노+직재+간재) x "&amp;ROUND(M8,5)&amp;"% = "&amp;TEXT(D8,"#,0")&amp;""</f>
        <v>(직노+직재+간재) x 3.15% = 838,842</v>
      </c>
      <c r="F8" s="143"/>
      <c r="G8" s="144"/>
      <c r="H8" s="17" t="s">
        <v>1131</v>
      </c>
      <c r="I8" s="36">
        <v>0</v>
      </c>
      <c r="J8" s="48">
        <f>((E4+(F4))+(I24)/1.1)</f>
        <v>36131751.18181818</v>
      </c>
      <c r="M8" s="58">
        <v>3.15</v>
      </c>
      <c r="N8" s="36">
        <v>0</v>
      </c>
      <c r="O8" s="36">
        <v>0</v>
      </c>
      <c r="P8" s="36">
        <v>0</v>
      </c>
    </row>
    <row r="9" spans="1:17" ht="24" customHeight="1" x14ac:dyDescent="0.3">
      <c r="A9" s="10"/>
      <c r="B9" s="10" t="s">
        <v>1133</v>
      </c>
      <c r="C9" s="10"/>
      <c r="D9" s="47">
        <f>ROUNDDOWN(((((E4+D5)+(F4))))*M9/100,0)</f>
        <v>1570096</v>
      </c>
      <c r="E9" s="145" t="str">
        <f>"(직접노무비+간접노무비+재료비) x "&amp;ROUND(M9,5)&amp;"%"</f>
        <v>(직접노무비+간접노무비+재료비) x 5.5%</v>
      </c>
      <c r="F9" s="143"/>
      <c r="G9" s="144"/>
      <c r="H9" s="17" t="s">
        <v>1134</v>
      </c>
      <c r="I9" s="36">
        <v>0</v>
      </c>
      <c r="M9" s="58">
        <v>5.5</v>
      </c>
      <c r="N9" s="36">
        <v>0</v>
      </c>
      <c r="O9" s="36">
        <v>0</v>
      </c>
      <c r="P9" s="36">
        <v>0</v>
      </c>
    </row>
    <row r="10" spans="1:17" ht="24" customHeight="1" x14ac:dyDescent="0.3">
      <c r="A10" s="10"/>
      <c r="B10" s="10" t="s">
        <v>1135</v>
      </c>
      <c r="C10" s="10"/>
      <c r="D10" s="47">
        <f>ROUNDDOWN((D4)*M10/100,0)</f>
        <v>149068</v>
      </c>
      <c r="E10" s="145" t="str">
        <f>"(재료비 + 직접노무비 + 산출경비) x "&amp;ROUND(M10,5)&amp;"%"</f>
        <v>(재료비 + 직접노무비 + 산출경비) x 0.5%</v>
      </c>
      <c r="F10" s="143"/>
      <c r="G10" s="144"/>
      <c r="H10" s="17" t="s">
        <v>1136</v>
      </c>
      <c r="I10" s="36">
        <v>0</v>
      </c>
      <c r="M10" s="58">
        <v>0.5</v>
      </c>
      <c r="N10" s="36">
        <v>0</v>
      </c>
      <c r="O10" s="36">
        <v>0</v>
      </c>
      <c r="P10" s="36">
        <v>0</v>
      </c>
    </row>
    <row r="11" spans="1:17" ht="24" customHeight="1" x14ac:dyDescent="0.3">
      <c r="A11" s="10"/>
      <c r="B11" s="10" t="s">
        <v>1137</v>
      </c>
      <c r="C11" s="10"/>
      <c r="D11" s="47">
        <f>ROUNDDOWN((D4)*M11/100,0)</f>
        <v>152050</v>
      </c>
      <c r="E11" s="145" t="str">
        <f>"(재료비 + 직접노무비 + 산출경비) x "&amp;ROUND(M11,5)&amp;"%"</f>
        <v>(재료비 + 직접노무비 + 산출경비) x 0.51%</v>
      </c>
      <c r="F11" s="143"/>
      <c r="G11" s="144"/>
      <c r="H11" s="17" t="s">
        <v>1138</v>
      </c>
      <c r="I11" s="36">
        <v>0</v>
      </c>
      <c r="M11" s="58">
        <v>0.51</v>
      </c>
      <c r="N11" s="36">
        <v>0</v>
      </c>
      <c r="O11" s="36">
        <v>0</v>
      </c>
      <c r="P11" s="36">
        <v>0</v>
      </c>
    </row>
    <row r="12" spans="1:17" ht="24" customHeight="1" x14ac:dyDescent="0.3">
      <c r="A12" s="10"/>
      <c r="B12" s="10" t="s">
        <v>1139</v>
      </c>
      <c r="C12" s="10"/>
      <c r="D12" s="47">
        <f>ROUNDDOWN(((E4+D5))*M12/100,0)</f>
        <v>717</v>
      </c>
      <c r="E12" s="145" t="str">
        <f>"(직접노무비+간접노무비) x "&amp;ROUND(M12,5)&amp;"%"</f>
        <v>(직접노무비+간접노무비) x 0.006%</v>
      </c>
      <c r="F12" s="143"/>
      <c r="G12" s="144"/>
      <c r="H12" s="17" t="s">
        <v>1140</v>
      </c>
      <c r="I12" s="36">
        <v>0</v>
      </c>
      <c r="M12" s="58">
        <v>6.0000000000000001E-3</v>
      </c>
      <c r="N12" s="36">
        <v>0</v>
      </c>
      <c r="O12" s="36">
        <v>0</v>
      </c>
      <c r="P12" s="36">
        <v>0</v>
      </c>
    </row>
    <row r="13" spans="1:17" ht="24" customHeight="1" x14ac:dyDescent="0.3">
      <c r="A13" s="10"/>
      <c r="B13" s="10" t="s">
        <v>1141</v>
      </c>
      <c r="C13" s="10"/>
      <c r="D13" s="47">
        <f>ROUNDDOWN(((E4+D5))*M13/100,0)</f>
        <v>10759</v>
      </c>
      <c r="E13" s="145" t="str">
        <f>"(직접노무비+간접노무비) x "&amp;ROUND(M13,5)&amp;"%"</f>
        <v>(직접노무비+간접노무비) x 0.09%</v>
      </c>
      <c r="F13" s="143"/>
      <c r="G13" s="144"/>
      <c r="H13" s="17" t="s">
        <v>1142</v>
      </c>
      <c r="I13" s="36">
        <v>0</v>
      </c>
      <c r="M13" s="58">
        <v>0.09</v>
      </c>
      <c r="N13" s="36">
        <v>0</v>
      </c>
      <c r="O13" s="36">
        <v>0</v>
      </c>
      <c r="P13" s="36">
        <v>0</v>
      </c>
    </row>
    <row r="14" spans="1:17" ht="24" customHeight="1" x14ac:dyDescent="0.3">
      <c r="A14" s="10"/>
      <c r="B14" s="10" t="s">
        <v>1143</v>
      </c>
      <c r="C14" s="10"/>
      <c r="D14" s="11">
        <v>1856940</v>
      </c>
      <c r="E14" s="142"/>
      <c r="F14" s="143"/>
      <c r="G14" s="144"/>
      <c r="H14" s="17" t="s">
        <v>1144</v>
      </c>
      <c r="I14" s="36">
        <v>0</v>
      </c>
      <c r="M14" s="36">
        <v>0</v>
      </c>
      <c r="N14" s="36">
        <v>0</v>
      </c>
      <c r="O14" s="36">
        <v>0</v>
      </c>
      <c r="P14" s="36">
        <v>0</v>
      </c>
    </row>
    <row r="15" spans="1:17" ht="24" customHeight="1" x14ac:dyDescent="0.3">
      <c r="A15" s="10" t="s">
        <v>1145</v>
      </c>
      <c r="B15" s="10" t="s">
        <v>1146</v>
      </c>
      <c r="C15" s="10"/>
      <c r="D15" s="47">
        <f>(D4+D5+D6+D7+D8+D9+D10+D11+D12+D13+D14)</f>
        <v>36855854</v>
      </c>
      <c r="E15" s="142"/>
      <c r="F15" s="143"/>
      <c r="G15" s="144"/>
      <c r="H15" s="17" t="s">
        <v>1147</v>
      </c>
      <c r="I15" s="36">
        <v>0</v>
      </c>
      <c r="M15" s="36">
        <v>0</v>
      </c>
      <c r="N15" s="36">
        <v>0</v>
      </c>
      <c r="O15" s="36">
        <v>0</v>
      </c>
      <c r="P15" s="36">
        <v>0</v>
      </c>
    </row>
    <row r="16" spans="1:17" ht="24" customHeight="1" x14ac:dyDescent="0.3">
      <c r="A16" s="10"/>
      <c r="B16" s="10" t="s">
        <v>1148</v>
      </c>
      <c r="C16" s="10"/>
      <c r="D16" s="47">
        <f>ROUNDDOWN(((D15)+0)*M16/100,0)</f>
        <v>2948468</v>
      </c>
      <c r="E16" s="145" t="str">
        <f>"(나.소  계) x "&amp;ROUND(M16,5)&amp;"%"</f>
        <v>(나.소  계) x 8%</v>
      </c>
      <c r="F16" s="143"/>
      <c r="G16" s="144"/>
      <c r="H16" s="17" t="s">
        <v>1149</v>
      </c>
      <c r="I16" s="36">
        <v>0</v>
      </c>
      <c r="M16" s="57">
        <v>8</v>
      </c>
      <c r="N16" s="36">
        <v>0</v>
      </c>
      <c r="O16" s="36">
        <v>0</v>
      </c>
      <c r="P16" s="36">
        <v>0</v>
      </c>
    </row>
    <row r="17" spans="1:16" ht="24" customHeight="1" x14ac:dyDescent="0.3">
      <c r="A17" s="10" t="s">
        <v>1150</v>
      </c>
      <c r="B17" s="10" t="s">
        <v>1146</v>
      </c>
      <c r="C17" s="10"/>
      <c r="D17" s="47">
        <f>(D15+D16)</f>
        <v>39804322</v>
      </c>
      <c r="E17" s="142"/>
      <c r="F17" s="143"/>
      <c r="G17" s="144"/>
      <c r="H17" s="17" t="s">
        <v>1151</v>
      </c>
      <c r="I17" s="36">
        <v>1</v>
      </c>
      <c r="J17" s="48">
        <f>D17</f>
        <v>39804322</v>
      </c>
      <c r="L17" s="48">
        <f>D17</f>
        <v>39804322</v>
      </c>
      <c r="M17" s="36">
        <v>0</v>
      </c>
      <c r="N17" s="36">
        <v>0</v>
      </c>
      <c r="O17" s="36">
        <v>0</v>
      </c>
      <c r="P17" s="36">
        <v>0</v>
      </c>
    </row>
    <row r="18" spans="1:16" ht="24" customHeight="1" x14ac:dyDescent="0.3">
      <c r="A18" s="10"/>
      <c r="B18" s="10" t="s">
        <v>1152</v>
      </c>
      <c r="C18" s="10"/>
      <c r="D18" s="47">
        <f>ROUNDDOWN(((D17)-(F4))*M18/100,0)-I18-K18-20/1.1</f>
        <v>3417132.8181818184</v>
      </c>
      <c r="E18" s="145" t="str">
        <f>"(다.소계 - 재료비) x "&amp;ROUND(M18,5)&amp;"% = "&amp;TEXT(J18,"#,##0")</f>
        <v>(다.소계 - 재료비) x 14.72121% = 3,417,154</v>
      </c>
      <c r="F18" s="143"/>
      <c r="G18" s="144"/>
      <c r="H18" s="17" t="s">
        <v>1153</v>
      </c>
      <c r="I18" s="56">
        <f>ROUND((J26-ROUNDDOWN(J26,-I17))/1.1,0)</f>
        <v>3</v>
      </c>
      <c r="J18" s="48">
        <f>ROUNDDOWN(((J17)-(F4))*M18/100,0)</f>
        <v>3417154</v>
      </c>
      <c r="K18" s="48">
        <f>ABS(L26-ROUNDDOWN(J26,-I17))*IF(L26&gt;ROUNDDOWN(J26,-I17),1,-1)</f>
        <v>0</v>
      </c>
      <c r="L18" s="48">
        <f>ROUNDDOWN(((L17)-(F4))*M18/100,0)-I18</f>
        <v>3417151</v>
      </c>
      <c r="M18" s="58">
        <v>14.721209999999999</v>
      </c>
      <c r="N18" s="36">
        <v>0</v>
      </c>
      <c r="O18" s="36">
        <v>0</v>
      </c>
      <c r="P18" s="36">
        <v>0</v>
      </c>
    </row>
    <row r="19" spans="1:16" ht="24" customHeight="1" x14ac:dyDescent="0.3">
      <c r="A19" s="10"/>
      <c r="B19" s="10" t="s">
        <v>1154</v>
      </c>
      <c r="C19" s="10"/>
      <c r="D19" s="11">
        <v>620000</v>
      </c>
      <c r="E19" s="142"/>
      <c r="F19" s="143"/>
      <c r="G19" s="144"/>
      <c r="H19" s="17" t="s">
        <v>1155</v>
      </c>
      <c r="I19" s="36">
        <v>0</v>
      </c>
      <c r="J19" s="48">
        <f>D19</f>
        <v>620000</v>
      </c>
      <c r="L19" s="48">
        <f>D19</f>
        <v>620000</v>
      </c>
      <c r="M19" s="36">
        <v>0</v>
      </c>
      <c r="N19" s="36">
        <v>0</v>
      </c>
      <c r="O19" s="36">
        <v>0</v>
      </c>
      <c r="P19" s="36">
        <v>0</v>
      </c>
    </row>
    <row r="20" spans="1:16" ht="24" customHeight="1" x14ac:dyDescent="0.3">
      <c r="A20" s="10"/>
      <c r="B20" s="10" t="s">
        <v>1156</v>
      </c>
      <c r="C20" s="10"/>
      <c r="D20" s="11">
        <v>-406000</v>
      </c>
      <c r="E20" s="142"/>
      <c r="F20" s="143"/>
      <c r="G20" s="144"/>
      <c r="H20" s="17" t="s">
        <v>1157</v>
      </c>
      <c r="I20" s="36">
        <v>0</v>
      </c>
      <c r="J20" s="48">
        <f>D20</f>
        <v>-406000</v>
      </c>
      <c r="L20" s="48">
        <f>D20</f>
        <v>-406000</v>
      </c>
      <c r="M20" s="36">
        <v>0</v>
      </c>
      <c r="N20" s="36">
        <v>0</v>
      </c>
      <c r="O20" s="36">
        <v>0</v>
      </c>
      <c r="P20" s="36">
        <v>0</v>
      </c>
    </row>
    <row r="21" spans="1:16" ht="24" customHeight="1" x14ac:dyDescent="0.3">
      <c r="A21" s="10" t="s">
        <v>1158</v>
      </c>
      <c r="B21" s="10" t="s">
        <v>1159</v>
      </c>
      <c r="C21" s="10"/>
      <c r="D21" s="47">
        <f>(D17+D18+D19+D20)</f>
        <v>43435454.81818182</v>
      </c>
      <c r="E21" s="142"/>
      <c r="F21" s="143"/>
      <c r="G21" s="144"/>
      <c r="H21" s="17" t="s">
        <v>1160</v>
      </c>
      <c r="I21" s="36">
        <v>0</v>
      </c>
      <c r="J21" s="48">
        <f>(J17+J18+J19+J20)</f>
        <v>43435476</v>
      </c>
      <c r="L21" s="48">
        <f>(L17+L18+L19+L20)</f>
        <v>43435473</v>
      </c>
      <c r="M21" s="36">
        <v>0</v>
      </c>
      <c r="N21" s="36">
        <v>0</v>
      </c>
      <c r="O21" s="36">
        <v>0</v>
      </c>
      <c r="P21" s="36">
        <v>0</v>
      </c>
    </row>
    <row r="22" spans="1:16" ht="24" customHeight="1" x14ac:dyDescent="0.3">
      <c r="A22" s="10"/>
      <c r="B22" s="10" t="s">
        <v>1161</v>
      </c>
      <c r="C22" s="10"/>
      <c r="D22" s="47">
        <f>ROUNDDOWN((D21)*M22/100,0)+I22</f>
        <v>4343545</v>
      </c>
      <c r="E22" s="145" t="str">
        <f>"공급가액 x "&amp;ROUND(M22,5)&amp;"%"</f>
        <v>공급가액 x 10%</v>
      </c>
      <c r="F22" s="143"/>
      <c r="G22" s="144"/>
      <c r="H22" s="17" t="s">
        <v>1162</v>
      </c>
      <c r="I22" s="57">
        <v>0</v>
      </c>
      <c r="J22" s="48">
        <f>ROUNDDOWN((J21)*M22/100,0)+I22</f>
        <v>4343547</v>
      </c>
      <c r="L22" s="48">
        <f>ROUNDDOWN((L21)*M22/100,0)+I22</f>
        <v>4343547</v>
      </c>
      <c r="M22" s="57">
        <v>10</v>
      </c>
      <c r="N22" s="36">
        <v>0</v>
      </c>
      <c r="O22" s="36">
        <v>0</v>
      </c>
      <c r="P22" s="36">
        <v>0</v>
      </c>
    </row>
    <row r="23" spans="1:16" ht="24" customHeight="1" x14ac:dyDescent="0.3">
      <c r="A23" s="10" t="s">
        <v>1163</v>
      </c>
      <c r="B23" s="10" t="s">
        <v>1164</v>
      </c>
      <c r="C23" s="10"/>
      <c r="D23" s="47">
        <f>(D21+D22)</f>
        <v>47778999.81818182</v>
      </c>
      <c r="E23" s="142"/>
      <c r="F23" s="143"/>
      <c r="G23" s="144"/>
      <c r="H23" s="17" t="s">
        <v>1165</v>
      </c>
      <c r="I23" s="36">
        <v>0</v>
      </c>
      <c r="J23" s="48">
        <f>(J21+J22)</f>
        <v>47779023</v>
      </c>
      <c r="L23" s="48">
        <f>(L21+L22)</f>
        <v>47779020</v>
      </c>
      <c r="M23" s="36">
        <v>0</v>
      </c>
      <c r="N23" s="36">
        <v>0</v>
      </c>
      <c r="O23" s="36">
        <v>1</v>
      </c>
      <c r="P23" s="36">
        <v>0</v>
      </c>
    </row>
    <row r="24" spans="1:16" ht="24" customHeight="1" x14ac:dyDescent="0.3">
      <c r="A24" s="10"/>
      <c r="B24" s="10" t="s">
        <v>1166</v>
      </c>
      <c r="C24" s="10"/>
      <c r="D24" s="47">
        <f>ROUNDUP(I24,0)</f>
        <v>10452000</v>
      </c>
      <c r="E24" s="142"/>
      <c r="F24" s="143"/>
      <c r="G24" s="144"/>
      <c r="H24" s="17" t="s">
        <v>1167</v>
      </c>
      <c r="I24" s="57">
        <v>10452000</v>
      </c>
      <c r="J24" s="48">
        <f>ROUNDUP(I24,0)</f>
        <v>10452000</v>
      </c>
      <c r="L24" s="48">
        <f>ROUNDUP(I24,0)</f>
        <v>10452000</v>
      </c>
      <c r="M24" s="36">
        <v>0</v>
      </c>
      <c r="N24" s="36">
        <v>14668000</v>
      </c>
      <c r="O24" s="36">
        <v>0</v>
      </c>
      <c r="P24" s="36">
        <v>0</v>
      </c>
    </row>
    <row r="25" spans="1:16" ht="24" customHeight="1" x14ac:dyDescent="0.3">
      <c r="A25" s="10"/>
      <c r="B25" s="10" t="s">
        <v>1168</v>
      </c>
      <c r="C25" s="10"/>
      <c r="D25" s="47">
        <f>ROUNDUP(I25,0)</f>
        <v>14668000</v>
      </c>
      <c r="E25" s="142"/>
      <c r="F25" s="143"/>
      <c r="G25" s="144"/>
      <c r="H25" s="17" t="s">
        <v>1169</v>
      </c>
      <c r="I25" s="57">
        <v>14668000</v>
      </c>
      <c r="J25" s="48">
        <f>ROUNDUP(I25,0)</f>
        <v>14668000</v>
      </c>
      <c r="L25" s="48">
        <f>ROUNDUP(I25,0)</f>
        <v>14668000</v>
      </c>
      <c r="M25" s="36">
        <v>0</v>
      </c>
      <c r="N25" s="36">
        <v>0</v>
      </c>
      <c r="O25" s="36">
        <v>0</v>
      </c>
      <c r="P25" s="36">
        <v>0</v>
      </c>
    </row>
    <row r="26" spans="1:16" ht="24" customHeight="1" x14ac:dyDescent="0.3">
      <c r="A26" s="10" t="s">
        <v>1170</v>
      </c>
      <c r="B26" s="10" t="s">
        <v>1171</v>
      </c>
      <c r="C26" s="10"/>
      <c r="D26" s="47">
        <f>(D23+D24+D25)</f>
        <v>72898999.818181813</v>
      </c>
      <c r="E26" s="142"/>
      <c r="F26" s="143"/>
      <c r="G26" s="144"/>
      <c r="H26" s="17" t="s">
        <v>1172</v>
      </c>
      <c r="I26" s="36">
        <v>0</v>
      </c>
      <c r="J26" s="48">
        <f>(J23+J24+J25)</f>
        <v>72899023</v>
      </c>
      <c r="L26" s="48">
        <f>(L23+L24+L25)</f>
        <v>72899020</v>
      </c>
      <c r="M26" s="36">
        <v>0</v>
      </c>
      <c r="N26" s="36">
        <v>0</v>
      </c>
      <c r="O26" s="36">
        <v>1</v>
      </c>
      <c r="P26" s="36">
        <v>0</v>
      </c>
    </row>
  </sheetData>
  <mergeCells count="24">
    <mergeCell ref="E14:G14"/>
    <mergeCell ref="A1:G1"/>
    <mergeCell ref="I3:P3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26:G26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</mergeCells>
  <phoneticPr fontId="25" type="noConversion"/>
  <conditionalFormatting sqref="D18">
    <cfRule type="expression" dxfId="7" priority="1" stopIfTrue="1">
      <formula>($I$18+$K$18)&lt;0</formula>
    </cfRule>
  </conditionalFormatting>
  <conditionalFormatting sqref="D26">
    <cfRule type="expression" dxfId="6" priority="2" stopIfTrue="1">
      <formula>"&lt;&gt;ROUNDDOWN($J$26,-$I$17)+$I$26*10^($I$17-1)"</formula>
    </cfRule>
  </conditionalFormatting>
  <hyperlinks>
    <hyperlink ref="H1" r:id="rId1" tooltip="설계예산시스템(STmate w26.05)으로 작성 하였으며,_x000a_엑셀 인쇄품질 600 dpi에 최적화 되어 있습니다._x000a_경영정보(주) http://www.stma.co.kr_x000a_Tel) 070-4350-0040_x000a_Fax) 0505-300-3948" xr:uid="{67CF8CF0-AB73-4EF1-B275-194C8DD77441}"/>
    <hyperlink ref="Q1" r:id="rId2" tooltip="설계예산시스템(STmate w26.05)으로 작성 하였으며,_x000a_엑셀 인쇄품질 600 dpi에 최적화 되어 있습니다._x000a_경영정보(주) http://www.stma.co.kr_x000a_Tel) 070-4350-0040_x000a_Fax) 0505-300-3948" xr:uid="{F5E3612E-5023-4A53-B10F-BBE7B89A6D7E}"/>
  </hyperlinks>
  <printOptions horizontalCentered="1"/>
  <pageMargins left="0.78740157480314965" right="0.78740157480314965" top="0.59055118110236215" bottom="0.55118110236220474" header="0" footer="0.35433070866141736"/>
  <pageSetup paperSize="9" scale="91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C5C02-2148-4869-B4BF-A467E62D2C57}">
  <dimension ref="A1:AC205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6" width="10" style="6" customWidth="1"/>
    <col min="7" max="7" width="11.5" style="6" customWidth="1"/>
    <col min="8" max="8" width="10" style="6" customWidth="1"/>
    <col min="9" max="9" width="11.5" style="6" customWidth="1"/>
    <col min="10" max="10" width="10" style="6" customWidth="1"/>
    <col min="11" max="11" width="11.5" style="6" customWidth="1"/>
    <col min="12" max="12" width="10" style="6" customWidth="1"/>
    <col min="13" max="13" width="11.5" style="6" customWidth="1"/>
    <col min="14" max="14" width="10" style="6" customWidth="1"/>
    <col min="15" max="15" width="9.125" style="16" hidden="1" customWidth="1"/>
    <col min="16" max="28" width="2.125" style="6" customWidth="1"/>
    <col min="29" max="29" width="9.125" style="18" customWidth="1"/>
    <col min="30" max="16384" width="9.125" style="6"/>
  </cols>
  <sheetData>
    <row r="1" spans="1:29" ht="24.95" customHeight="1" x14ac:dyDescent="0.3">
      <c r="A1" s="130" t="s">
        <v>787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5" t="s">
        <v>124</v>
      </c>
      <c r="AC1" s="19" t="s">
        <v>124</v>
      </c>
    </row>
    <row r="2" spans="1:29" ht="30.6" customHeight="1" x14ac:dyDescent="0.3">
      <c r="A2" s="1" t="s">
        <v>1</v>
      </c>
      <c r="O2" s="20" t="str">
        <f ca="1">MID(CELL("filename",$A$1),FIND("]",CELL("filename",$A$1))+1,LEN(CELL("filename",$A$1)))</f>
        <v>설계내역서</v>
      </c>
    </row>
    <row r="3" spans="1:29" ht="30.6" customHeight="1" x14ac:dyDescent="0.3">
      <c r="A3" s="147" t="s">
        <v>788</v>
      </c>
      <c r="B3" s="147" t="s">
        <v>3</v>
      </c>
      <c r="C3" s="147" t="s">
        <v>4</v>
      </c>
      <c r="D3" s="147" t="s">
        <v>789</v>
      </c>
      <c r="E3" s="147" t="s">
        <v>5</v>
      </c>
      <c r="F3" s="133" t="s">
        <v>6</v>
      </c>
      <c r="G3" s="148"/>
      <c r="H3" s="133" t="s">
        <v>7</v>
      </c>
      <c r="I3" s="148"/>
      <c r="J3" s="133" t="s">
        <v>8</v>
      </c>
      <c r="K3" s="148"/>
      <c r="L3" s="133" t="s">
        <v>9</v>
      </c>
      <c r="M3" s="148"/>
      <c r="N3" s="133" t="s">
        <v>10</v>
      </c>
    </row>
    <row r="4" spans="1:29" ht="30.6" customHeight="1" x14ac:dyDescent="0.3">
      <c r="A4" s="148"/>
      <c r="B4" s="148"/>
      <c r="C4" s="148"/>
      <c r="D4" s="148"/>
      <c r="E4" s="148"/>
      <c r="F4" s="9" t="s">
        <v>379</v>
      </c>
      <c r="G4" s="9" t="s">
        <v>790</v>
      </c>
      <c r="H4" s="9" t="s">
        <v>379</v>
      </c>
      <c r="I4" s="9" t="s">
        <v>790</v>
      </c>
      <c r="J4" s="9" t="s">
        <v>379</v>
      </c>
      <c r="K4" s="9" t="s">
        <v>790</v>
      </c>
      <c r="L4" s="9" t="s">
        <v>379</v>
      </c>
      <c r="M4" s="9" t="s">
        <v>790</v>
      </c>
      <c r="N4" s="134"/>
      <c r="AC4" s="3" t="str">
        <f>HYPERLINK("#'〓 목 차 〓'!B2","목차 →")</f>
        <v>목차 →</v>
      </c>
    </row>
    <row r="5" spans="1:29" ht="30.6" customHeight="1" x14ac:dyDescent="0.3">
      <c r="A5" s="10" t="s">
        <v>793</v>
      </c>
      <c r="B5" s="10" t="s">
        <v>794</v>
      </c>
      <c r="C5" s="40"/>
      <c r="D5" s="41"/>
      <c r="E5" s="23"/>
      <c r="F5" s="12">
        <v>0</v>
      </c>
      <c r="G5" s="46">
        <f>SUMIF(Q6:Q19,P5,G6:G19)</f>
        <v>3617776</v>
      </c>
      <c r="H5" s="13">
        <v>0</v>
      </c>
      <c r="I5" s="47">
        <f>SUMIF(Q6:Q19,P5,I6:I19)</f>
        <v>2936787</v>
      </c>
      <c r="J5" s="13">
        <v>0</v>
      </c>
      <c r="K5" s="52">
        <f>SUMIF(Q6:Q19,P5,K6:K19)</f>
        <v>193387</v>
      </c>
      <c r="L5" s="22">
        <v>0</v>
      </c>
      <c r="M5" s="52">
        <f>SUMIF(Q6:Q19,P5,M6:M19)</f>
        <v>487602</v>
      </c>
      <c r="N5" s="23"/>
      <c r="O5" s="17" t="str">
        <f>"_x0007_`COD|E3_x0005_`QTY1|1_x0005_`EXI|0_x0005_`ITT|0_x0005_`END|"&amp;ROW(M20)&amp;"_x0005_`"</f>
        <v>_x0007_`COD|E3_x0005_`QTY1|1_x0005_`EXI|0_x0005_`ITT|0_x0005_`END|20_x0005_`</v>
      </c>
      <c r="P5" s="7" t="s">
        <v>796</v>
      </c>
      <c r="Q5" s="7" t="s">
        <v>792</v>
      </c>
    </row>
    <row r="6" spans="1:29" ht="30.6" customHeight="1" x14ac:dyDescent="0.3">
      <c r="A6" s="10" t="s">
        <v>797</v>
      </c>
      <c r="B6" s="10" t="s">
        <v>798</v>
      </c>
      <c r="C6" s="40"/>
      <c r="D6" s="41"/>
      <c r="E6" s="23"/>
      <c r="F6" s="12">
        <v>0</v>
      </c>
      <c r="G6" s="46">
        <f>SUMIF(Q7:Q13,P6,G7:G13)</f>
        <v>819641</v>
      </c>
      <c r="H6" s="13">
        <v>0</v>
      </c>
      <c r="I6" s="47">
        <f>SUMIF(Q7:Q13,P6,I7:I13)</f>
        <v>714931</v>
      </c>
      <c r="J6" s="13">
        <v>0</v>
      </c>
      <c r="K6" s="52">
        <f>SUMIF(Q7:Q13,P6,K7:K13)</f>
        <v>43075</v>
      </c>
      <c r="L6" s="22">
        <v>0</v>
      </c>
      <c r="M6" s="52">
        <f>SUMIF(Q7:Q13,P6,M7:M13)</f>
        <v>61635</v>
      </c>
      <c r="N6" s="23"/>
      <c r="O6" s="17" t="str">
        <f>"_x0007_`COD|E2_x0005_`QTY1|1_x0005_`EXI|0_x0005_`ITT|0_x0005_`END|"&amp;ROW(M14)&amp;"_x0005_`"</f>
        <v>_x0007_`COD|E2_x0005_`QTY1|1_x0005_`EXI|0_x0005_`ITT|0_x0005_`END|14_x0005_`</v>
      </c>
      <c r="P6" s="7" t="s">
        <v>800</v>
      </c>
      <c r="Q6" s="7" t="s">
        <v>796</v>
      </c>
    </row>
    <row r="7" spans="1:29" ht="30.6" customHeight="1" x14ac:dyDescent="0.3">
      <c r="A7" s="10"/>
      <c r="B7" s="10" t="s">
        <v>126</v>
      </c>
      <c r="C7" s="40" t="s">
        <v>127</v>
      </c>
      <c r="D7" s="42">
        <v>18</v>
      </c>
      <c r="E7" s="23" t="s">
        <v>128</v>
      </c>
      <c r="F7" s="44">
        <f t="shared" ref="F7:G13" si="0">J7+H7+L7</f>
        <v>2661</v>
      </c>
      <c r="G7" s="47">
        <f t="shared" si="0"/>
        <v>47898</v>
      </c>
      <c r="H7" s="49">
        <f>단가산출근거목록표!F4</f>
        <v>1376</v>
      </c>
      <c r="I7" s="13">
        <f t="shared" ref="I7:I13" si="1">ROUNDDOWN(H7*D7,0)</f>
        <v>24768</v>
      </c>
      <c r="J7" s="51">
        <f>단가산출근거목록표!G4</f>
        <v>216</v>
      </c>
      <c r="K7" s="13">
        <f t="shared" ref="K7:K13" si="2">ROUNDDOWN(J7*D7,0)</f>
        <v>3888</v>
      </c>
      <c r="L7" s="53">
        <f>단가산출근거목록표!H4</f>
        <v>1069</v>
      </c>
      <c r="M7" s="22">
        <f t="shared" ref="M7:M13" si="3">ROUNDDOWN(L7*D7,0)</f>
        <v>19242</v>
      </c>
      <c r="N7" s="23" t="s">
        <v>802</v>
      </c>
      <c r="O7" s="17" t="s">
        <v>801</v>
      </c>
      <c r="P7" s="7" t="s">
        <v>799</v>
      </c>
      <c r="Q7" s="7" t="s">
        <v>800</v>
      </c>
      <c r="AC7" s="3" t="str">
        <f ca="1">HYPERLINK("#"&amp;단가산출근거목록표!J2&amp;"!A"&amp;ROW(단가산출근거목록표!A4),"산근1 →")</f>
        <v>산근1 →</v>
      </c>
    </row>
    <row r="8" spans="1:29" ht="30.6" customHeight="1" x14ac:dyDescent="0.3">
      <c r="A8" s="10"/>
      <c r="B8" s="10" t="s">
        <v>130</v>
      </c>
      <c r="C8" s="40" t="s">
        <v>131</v>
      </c>
      <c r="D8" s="42">
        <v>2.7</v>
      </c>
      <c r="E8" s="23" t="s">
        <v>115</v>
      </c>
      <c r="F8" s="44">
        <f t="shared" si="0"/>
        <v>18065</v>
      </c>
      <c r="G8" s="47">
        <f t="shared" si="0"/>
        <v>48774</v>
      </c>
      <c r="H8" s="49">
        <f>단가산출근거목록표!F5</f>
        <v>11670</v>
      </c>
      <c r="I8" s="13">
        <f t="shared" si="1"/>
        <v>31509</v>
      </c>
      <c r="J8" s="51">
        <f>단가산출근거목록표!G5</f>
        <v>3058</v>
      </c>
      <c r="K8" s="13">
        <f t="shared" si="2"/>
        <v>8256</v>
      </c>
      <c r="L8" s="53">
        <f>단가산출근거목록표!H5</f>
        <v>3337</v>
      </c>
      <c r="M8" s="22">
        <f t="shared" si="3"/>
        <v>9009</v>
      </c>
      <c r="N8" s="23" t="s">
        <v>805</v>
      </c>
      <c r="O8" s="17" t="s">
        <v>804</v>
      </c>
      <c r="P8" s="7" t="s">
        <v>803</v>
      </c>
      <c r="Q8" s="7" t="s">
        <v>800</v>
      </c>
      <c r="AC8" s="3" t="str">
        <f ca="1">HYPERLINK("#"&amp;단가산출근거목록표!J2&amp;"!A"&amp;ROW(단가산출근거목록표!A5),"산근2 →")</f>
        <v>산근2 →</v>
      </c>
    </row>
    <row r="9" spans="1:29" ht="30.6" customHeight="1" x14ac:dyDescent="0.3">
      <c r="A9" s="10"/>
      <c r="B9" s="10" t="s">
        <v>133</v>
      </c>
      <c r="C9" s="40" t="s">
        <v>134</v>
      </c>
      <c r="D9" s="42">
        <v>2.5</v>
      </c>
      <c r="E9" s="23" t="s">
        <v>115</v>
      </c>
      <c r="F9" s="44">
        <f t="shared" si="0"/>
        <v>37775</v>
      </c>
      <c r="G9" s="47">
        <f t="shared" si="0"/>
        <v>94437</v>
      </c>
      <c r="H9" s="49">
        <f>단가산출근거목록표!F6</f>
        <v>24402</v>
      </c>
      <c r="I9" s="13">
        <f t="shared" si="1"/>
        <v>61005</v>
      </c>
      <c r="J9" s="51">
        <f>단가산출근거목록표!G6</f>
        <v>6396</v>
      </c>
      <c r="K9" s="13">
        <f t="shared" si="2"/>
        <v>15990</v>
      </c>
      <c r="L9" s="53">
        <f>단가산출근거목록표!H6</f>
        <v>6977</v>
      </c>
      <c r="M9" s="22">
        <f t="shared" si="3"/>
        <v>17442</v>
      </c>
      <c r="N9" s="23" t="s">
        <v>808</v>
      </c>
      <c r="O9" s="17" t="s">
        <v>807</v>
      </c>
      <c r="P9" s="7" t="s">
        <v>806</v>
      </c>
      <c r="Q9" s="7" t="s">
        <v>800</v>
      </c>
      <c r="AC9" s="3" t="str">
        <f ca="1">HYPERLINK("#"&amp;단가산출근거목록표!J2&amp;"!A"&amp;ROW(단가산출근거목록표!A6),"산근3 →")</f>
        <v>산근3 →</v>
      </c>
    </row>
    <row r="10" spans="1:29" ht="30.6" customHeight="1" x14ac:dyDescent="0.3">
      <c r="A10" s="10"/>
      <c r="B10" s="10" t="s">
        <v>12</v>
      </c>
      <c r="C10" s="40" t="s">
        <v>13</v>
      </c>
      <c r="D10" s="42">
        <v>3.4</v>
      </c>
      <c r="E10" s="23" t="s">
        <v>14</v>
      </c>
      <c r="F10" s="44">
        <f t="shared" si="0"/>
        <v>13611</v>
      </c>
      <c r="G10" s="47">
        <f t="shared" si="0"/>
        <v>46276</v>
      </c>
      <c r="H10" s="49">
        <f>일위대가목록표!F4</f>
        <v>11304</v>
      </c>
      <c r="I10" s="13">
        <f t="shared" si="1"/>
        <v>38433</v>
      </c>
      <c r="J10" s="51">
        <f>일위대가목록표!G4</f>
        <v>1117</v>
      </c>
      <c r="K10" s="13">
        <f t="shared" si="2"/>
        <v>3797</v>
      </c>
      <c r="L10" s="53">
        <f>일위대가목록표!H4</f>
        <v>1190</v>
      </c>
      <c r="M10" s="22">
        <f t="shared" si="3"/>
        <v>4046</v>
      </c>
      <c r="N10" s="23" t="s">
        <v>811</v>
      </c>
      <c r="O10" s="17" t="s">
        <v>810</v>
      </c>
      <c r="P10" s="7" t="s">
        <v>809</v>
      </c>
      <c r="Q10" s="7" t="s">
        <v>800</v>
      </c>
      <c r="AC10" s="3" t="str">
        <f ca="1">HYPERLINK("#"&amp;일위대가목록표!J2&amp;"!A"&amp;ROW(일위대가목록표!A4),"대가1 →")</f>
        <v>대가1 →</v>
      </c>
    </row>
    <row r="11" spans="1:29" ht="30.6" customHeight="1" x14ac:dyDescent="0.3">
      <c r="A11" s="10"/>
      <c r="B11" s="10" t="s">
        <v>17</v>
      </c>
      <c r="C11" s="40" t="s">
        <v>18</v>
      </c>
      <c r="D11" s="42">
        <v>8</v>
      </c>
      <c r="E11" s="23" t="s">
        <v>19</v>
      </c>
      <c r="F11" s="44">
        <f t="shared" si="0"/>
        <v>4504</v>
      </c>
      <c r="G11" s="47">
        <f t="shared" si="0"/>
        <v>36032</v>
      </c>
      <c r="H11" s="49">
        <f>일위대가목록표!F5</f>
        <v>3736</v>
      </c>
      <c r="I11" s="13">
        <f t="shared" si="1"/>
        <v>29888</v>
      </c>
      <c r="J11" s="51">
        <f>일위대가목록표!G5</f>
        <v>361</v>
      </c>
      <c r="K11" s="13">
        <f t="shared" si="2"/>
        <v>2888</v>
      </c>
      <c r="L11" s="53">
        <f>일위대가목록표!H5</f>
        <v>407</v>
      </c>
      <c r="M11" s="22">
        <f t="shared" si="3"/>
        <v>3256</v>
      </c>
      <c r="N11" s="23" t="s">
        <v>814</v>
      </c>
      <c r="O11" s="17" t="s">
        <v>813</v>
      </c>
      <c r="P11" s="7" t="s">
        <v>812</v>
      </c>
      <c r="Q11" s="7" t="s">
        <v>800</v>
      </c>
      <c r="AC11" s="3" t="str">
        <f ca="1">HYPERLINK("#"&amp;일위대가목록표!J2&amp;"!A"&amp;ROW(일위대가목록표!A5),"대가2 →")</f>
        <v>대가2 →</v>
      </c>
    </row>
    <row r="12" spans="1:29" ht="30.6" customHeight="1" x14ac:dyDescent="0.3">
      <c r="A12" s="10"/>
      <c r="B12" s="10" t="s">
        <v>22</v>
      </c>
      <c r="C12" s="40" t="s">
        <v>23</v>
      </c>
      <c r="D12" s="42">
        <v>8</v>
      </c>
      <c r="E12" s="23" t="s">
        <v>19</v>
      </c>
      <c r="F12" s="44">
        <f t="shared" si="0"/>
        <v>15354</v>
      </c>
      <c r="G12" s="47">
        <f t="shared" si="0"/>
        <v>122832</v>
      </c>
      <c r="H12" s="49">
        <f>일위대가목록표!F6</f>
        <v>15354</v>
      </c>
      <c r="I12" s="13">
        <f t="shared" si="1"/>
        <v>122832</v>
      </c>
      <c r="J12" s="51">
        <f>일위대가목록표!G6</f>
        <v>0</v>
      </c>
      <c r="K12" s="13">
        <f t="shared" si="2"/>
        <v>0</v>
      </c>
      <c r="L12" s="53">
        <f>일위대가목록표!H6</f>
        <v>0</v>
      </c>
      <c r="M12" s="22">
        <f t="shared" si="3"/>
        <v>0</v>
      </c>
      <c r="N12" s="23" t="s">
        <v>817</v>
      </c>
      <c r="O12" s="17" t="s">
        <v>816</v>
      </c>
      <c r="P12" s="7" t="s">
        <v>815</v>
      </c>
      <c r="Q12" s="7" t="s">
        <v>800</v>
      </c>
      <c r="AC12" s="3" t="str">
        <f ca="1">HYPERLINK("#"&amp;일위대가목록표!J2&amp;"!A"&amp;ROW(일위대가목록표!A6),"대가3 →")</f>
        <v>대가3 →</v>
      </c>
    </row>
    <row r="13" spans="1:29" ht="30.6" customHeight="1" x14ac:dyDescent="0.3">
      <c r="A13" s="10"/>
      <c r="B13" s="10" t="s">
        <v>26</v>
      </c>
      <c r="C13" s="40" t="s">
        <v>27</v>
      </c>
      <c r="D13" s="42">
        <v>16</v>
      </c>
      <c r="E13" s="23" t="s">
        <v>28</v>
      </c>
      <c r="F13" s="44">
        <f t="shared" si="0"/>
        <v>26462</v>
      </c>
      <c r="G13" s="47">
        <f t="shared" si="0"/>
        <v>423392</v>
      </c>
      <c r="H13" s="49">
        <f>일위대가목록표!F7</f>
        <v>25406</v>
      </c>
      <c r="I13" s="13">
        <f t="shared" si="1"/>
        <v>406496</v>
      </c>
      <c r="J13" s="51">
        <f>일위대가목록표!G7</f>
        <v>516</v>
      </c>
      <c r="K13" s="13">
        <f t="shared" si="2"/>
        <v>8256</v>
      </c>
      <c r="L13" s="53">
        <f>일위대가목록표!H7</f>
        <v>540</v>
      </c>
      <c r="M13" s="22">
        <f t="shared" si="3"/>
        <v>8640</v>
      </c>
      <c r="N13" s="23" t="s">
        <v>820</v>
      </c>
      <c r="O13" s="17" t="s">
        <v>819</v>
      </c>
      <c r="P13" s="7" t="s">
        <v>818</v>
      </c>
      <c r="Q13" s="7" t="s">
        <v>800</v>
      </c>
      <c r="AC13" s="3" t="str">
        <f ca="1">HYPERLINK("#"&amp;일위대가목록표!J2&amp;"!A"&amp;ROW(일위대가목록표!A7),"대가4 →")</f>
        <v>대가4 →</v>
      </c>
    </row>
    <row r="14" spans="1:29" ht="30.6" customHeight="1" x14ac:dyDescent="0.3">
      <c r="A14" s="10" t="s">
        <v>822</v>
      </c>
      <c r="B14" s="10" t="s">
        <v>823</v>
      </c>
      <c r="C14" s="40"/>
      <c r="D14" s="41"/>
      <c r="E14" s="23"/>
      <c r="F14" s="12">
        <v>0</v>
      </c>
      <c r="G14" s="46">
        <f>SUMIF(Q15:Q19,P14,G15:G19)</f>
        <v>2798135</v>
      </c>
      <c r="H14" s="13">
        <v>0</v>
      </c>
      <c r="I14" s="47">
        <f>SUMIF(Q15:Q19,P14,I15:I19)</f>
        <v>2221856</v>
      </c>
      <c r="J14" s="13">
        <v>0</v>
      </c>
      <c r="K14" s="52">
        <f>SUMIF(Q15:Q19,P14,K15:K19)</f>
        <v>150312</v>
      </c>
      <c r="L14" s="22">
        <v>0</v>
      </c>
      <c r="M14" s="52">
        <f>SUMIF(Q15:Q19,P14,M15:M19)</f>
        <v>425967</v>
      </c>
      <c r="N14" s="23"/>
      <c r="O14" s="17" t="str">
        <f>"_x0007_`COD|E2_x0005_`QTY1|1_x0005_`EXI|0_x0005_`ITT|0_x0005_`END|"&amp;ROW(M20)&amp;"_x0005_`"</f>
        <v>_x0007_`COD|E2_x0005_`QTY1|1_x0005_`EXI|0_x0005_`ITT|0_x0005_`END|20_x0005_`</v>
      </c>
      <c r="P14" s="7" t="s">
        <v>800</v>
      </c>
      <c r="Q14" s="7" t="s">
        <v>796</v>
      </c>
    </row>
    <row r="15" spans="1:29" ht="30.6" customHeight="1" x14ac:dyDescent="0.3">
      <c r="A15" s="10"/>
      <c r="B15" s="10" t="s">
        <v>136</v>
      </c>
      <c r="C15" s="40" t="s">
        <v>137</v>
      </c>
      <c r="D15" s="42">
        <v>120</v>
      </c>
      <c r="E15" s="23" t="s">
        <v>115</v>
      </c>
      <c r="F15" s="44">
        <f t="shared" ref="F15:G19" si="4">J15+H15+L15</f>
        <v>16712</v>
      </c>
      <c r="G15" s="47">
        <f t="shared" si="4"/>
        <v>2005440</v>
      </c>
      <c r="H15" s="49">
        <f>단가산출근거목록표!F7</f>
        <v>15861</v>
      </c>
      <c r="I15" s="13">
        <f>ROUNDDOWN(H15*D15,0)</f>
        <v>1903320</v>
      </c>
      <c r="J15" s="51">
        <f>단가산출근거목록표!G7</f>
        <v>471</v>
      </c>
      <c r="K15" s="13">
        <f>ROUNDDOWN(J15*D15,0)</f>
        <v>56520</v>
      </c>
      <c r="L15" s="53">
        <f>단가산출근거목록표!H7</f>
        <v>380</v>
      </c>
      <c r="M15" s="22">
        <f>ROUNDDOWN(L15*D15,0)</f>
        <v>45600</v>
      </c>
      <c r="N15" s="23" t="s">
        <v>826</v>
      </c>
      <c r="O15" s="17" t="s">
        <v>825</v>
      </c>
      <c r="P15" s="7" t="s">
        <v>824</v>
      </c>
      <c r="Q15" s="7" t="s">
        <v>800</v>
      </c>
      <c r="AC15" s="3" t="str">
        <f ca="1">HYPERLINK("#"&amp;단가산출근거목록표!J2&amp;"!A"&amp;ROW(단가산출근거목록표!A7),"산근4 →")</f>
        <v>산근4 →</v>
      </c>
    </row>
    <row r="16" spans="1:29" ht="30.6" customHeight="1" x14ac:dyDescent="0.3">
      <c r="A16" s="10"/>
      <c r="B16" s="10" t="s">
        <v>139</v>
      </c>
      <c r="C16" s="40" t="s">
        <v>140</v>
      </c>
      <c r="D16" s="42">
        <v>92</v>
      </c>
      <c r="E16" s="23" t="s">
        <v>115</v>
      </c>
      <c r="F16" s="44">
        <f t="shared" si="4"/>
        <v>4262</v>
      </c>
      <c r="G16" s="47">
        <f t="shared" si="4"/>
        <v>392104</v>
      </c>
      <c r="H16" s="49">
        <f>단가산출근거목록표!F8</f>
        <v>2818</v>
      </c>
      <c r="I16" s="13">
        <f>ROUNDDOWN(H16*D16,0)</f>
        <v>259256</v>
      </c>
      <c r="J16" s="51">
        <f>단가산출근거목록표!G8</f>
        <v>900</v>
      </c>
      <c r="K16" s="13">
        <f>ROUNDDOWN(J16*D16,0)</f>
        <v>82800</v>
      </c>
      <c r="L16" s="53">
        <f>단가산출근거목록표!H8</f>
        <v>544</v>
      </c>
      <c r="M16" s="22">
        <f>ROUNDDOWN(L16*D16,0)</f>
        <v>50048</v>
      </c>
      <c r="N16" s="23" t="s">
        <v>829</v>
      </c>
      <c r="O16" s="17" t="s">
        <v>828</v>
      </c>
      <c r="P16" s="7" t="s">
        <v>827</v>
      </c>
      <c r="Q16" s="7" t="s">
        <v>800</v>
      </c>
      <c r="AC16" s="3" t="str">
        <f ca="1">HYPERLINK("#"&amp;단가산출근거목록표!J2&amp;"!A"&amp;ROW(단가산출근거목록표!A8),"산근5 →")</f>
        <v>산근5 →</v>
      </c>
    </row>
    <row r="17" spans="1:29" ht="30.6" customHeight="1" x14ac:dyDescent="0.3">
      <c r="A17" s="10"/>
      <c r="B17" s="10" t="s">
        <v>142</v>
      </c>
      <c r="C17" s="40" t="s">
        <v>143</v>
      </c>
      <c r="D17" s="42">
        <v>8.1</v>
      </c>
      <c r="E17" s="23" t="s">
        <v>115</v>
      </c>
      <c r="F17" s="44">
        <f t="shared" si="4"/>
        <v>5664</v>
      </c>
      <c r="G17" s="47">
        <f t="shared" si="4"/>
        <v>45876</v>
      </c>
      <c r="H17" s="49">
        <f>단가산출근거목록표!F9</f>
        <v>4928</v>
      </c>
      <c r="I17" s="13">
        <f>ROUNDDOWN(H17*D17,0)</f>
        <v>39916</v>
      </c>
      <c r="J17" s="51">
        <f>단가산출근거목록표!G9</f>
        <v>477</v>
      </c>
      <c r="K17" s="13">
        <f>ROUNDDOWN(J17*D17,0)</f>
        <v>3863</v>
      </c>
      <c r="L17" s="53">
        <f>단가산출근거목록표!H9</f>
        <v>259</v>
      </c>
      <c r="M17" s="22">
        <f>ROUNDDOWN(L17*D17,0)</f>
        <v>2097</v>
      </c>
      <c r="N17" s="23" t="s">
        <v>832</v>
      </c>
      <c r="O17" s="17" t="s">
        <v>831</v>
      </c>
      <c r="P17" s="7" t="s">
        <v>830</v>
      </c>
      <c r="Q17" s="7" t="s">
        <v>800</v>
      </c>
      <c r="AC17" s="3" t="str">
        <f ca="1">HYPERLINK("#"&amp;단가산출근거목록표!J2&amp;"!A"&amp;ROW(단가산출근거목록표!A9),"산근6 →")</f>
        <v>산근6 →</v>
      </c>
    </row>
    <row r="18" spans="1:29" ht="30.6" customHeight="1" x14ac:dyDescent="0.3">
      <c r="A18" s="10"/>
      <c r="B18" s="10" t="s">
        <v>145</v>
      </c>
      <c r="C18" s="40" t="s">
        <v>146</v>
      </c>
      <c r="D18" s="42">
        <v>5.2</v>
      </c>
      <c r="E18" s="23" t="s">
        <v>115</v>
      </c>
      <c r="F18" s="44">
        <f t="shared" si="4"/>
        <v>6200</v>
      </c>
      <c r="G18" s="47">
        <f t="shared" si="4"/>
        <v>32239</v>
      </c>
      <c r="H18" s="49">
        <f>단가산출근거목록표!F10</f>
        <v>3724</v>
      </c>
      <c r="I18" s="13">
        <f>ROUNDDOWN(H18*D18,0)</f>
        <v>19364</v>
      </c>
      <c r="J18" s="51">
        <f>단가산출근거목록표!G10</f>
        <v>1371</v>
      </c>
      <c r="K18" s="13">
        <f>ROUNDDOWN(J18*D18,0)</f>
        <v>7129</v>
      </c>
      <c r="L18" s="53">
        <f>단가산출근거목록표!H10</f>
        <v>1105</v>
      </c>
      <c r="M18" s="22">
        <f>ROUNDDOWN(L18*D18,0)</f>
        <v>5746</v>
      </c>
      <c r="N18" s="23" t="s">
        <v>835</v>
      </c>
      <c r="O18" s="17" t="s">
        <v>834</v>
      </c>
      <c r="P18" s="7" t="s">
        <v>833</v>
      </c>
      <c r="Q18" s="7" t="s">
        <v>800</v>
      </c>
      <c r="AC18" s="3" t="str">
        <f ca="1">HYPERLINK("#"&amp;단가산출근거목록표!J2&amp;"!A"&amp;ROW(단가산출근거목록표!A10),"산근7 →")</f>
        <v>산근7 →</v>
      </c>
    </row>
    <row r="19" spans="1:29" ht="30.6" customHeight="1" x14ac:dyDescent="0.3">
      <c r="A19" s="10"/>
      <c r="B19" s="10" t="s">
        <v>148</v>
      </c>
      <c r="C19" s="40" t="s">
        <v>149</v>
      </c>
      <c r="D19" s="42">
        <v>28</v>
      </c>
      <c r="E19" s="23" t="s">
        <v>115</v>
      </c>
      <c r="F19" s="44">
        <f t="shared" si="4"/>
        <v>11517</v>
      </c>
      <c r="G19" s="47">
        <f t="shared" si="4"/>
        <v>322476</v>
      </c>
      <c r="H19" s="49">
        <f>단가산출근거목록표!F11</f>
        <v>0</v>
      </c>
      <c r="I19" s="13">
        <f>ROUNDDOWN(H19*D19,0)</f>
        <v>0</v>
      </c>
      <c r="J19" s="51">
        <f>단가산출근거목록표!G11</f>
        <v>0</v>
      </c>
      <c r="K19" s="13">
        <f>ROUNDDOWN(J19*D19,0)</f>
        <v>0</v>
      </c>
      <c r="L19" s="53">
        <f>단가산출근거목록표!H11</f>
        <v>11517</v>
      </c>
      <c r="M19" s="22">
        <f>ROUNDDOWN(L19*D19,0)</f>
        <v>322476</v>
      </c>
      <c r="N19" s="23" t="s">
        <v>838</v>
      </c>
      <c r="O19" s="17" t="s">
        <v>837</v>
      </c>
      <c r="P19" s="7" t="s">
        <v>836</v>
      </c>
      <c r="Q19" s="7" t="s">
        <v>800</v>
      </c>
      <c r="AC19" s="3" t="str">
        <f ca="1">HYPERLINK("#"&amp;단가산출근거목록표!J2&amp;"!A"&amp;ROW(단가산출근거목록표!A11),"산근8 →")</f>
        <v>산근8 →</v>
      </c>
    </row>
    <row r="20" spans="1:29" ht="30.6" customHeight="1" x14ac:dyDescent="0.3">
      <c r="A20" s="10" t="s">
        <v>795</v>
      </c>
      <c r="B20" s="10" t="s">
        <v>839</v>
      </c>
      <c r="C20" s="40"/>
      <c r="D20" s="41"/>
      <c r="E20" s="23"/>
      <c r="F20" s="12">
        <v>0</v>
      </c>
      <c r="G20" s="46">
        <f>SUMIF(Q21:Q32,P20,G21:G32)</f>
        <v>5061687</v>
      </c>
      <c r="H20" s="13">
        <v>0</v>
      </c>
      <c r="I20" s="47">
        <f>SUMIF(Q21:Q32,P20,I21:I32)</f>
        <v>3938213</v>
      </c>
      <c r="J20" s="13">
        <v>0</v>
      </c>
      <c r="K20" s="52">
        <f>SUMIF(Q21:Q32,P20,K21:K32)</f>
        <v>503535</v>
      </c>
      <c r="L20" s="22">
        <v>0</v>
      </c>
      <c r="M20" s="52">
        <f>SUMIF(Q21:Q32,P20,M21:M32)</f>
        <v>619939</v>
      </c>
      <c r="N20" s="23"/>
      <c r="O20" s="17" t="str">
        <f>"_x0007_`COD|E3_x0005_`QTY1|1_x0005_`EXI|0_x0005_`ITT|0_x0005_`END|"&amp;ROW(M33)&amp;"_x0005_`"</f>
        <v>_x0007_`COD|E3_x0005_`QTY1|1_x0005_`EXI|0_x0005_`ITT|0_x0005_`END|33_x0005_`</v>
      </c>
      <c r="P20" s="7" t="s">
        <v>796</v>
      </c>
      <c r="Q20" s="7" t="s">
        <v>792</v>
      </c>
    </row>
    <row r="21" spans="1:29" ht="30.6" customHeight="1" x14ac:dyDescent="0.3">
      <c r="A21" s="10" t="s">
        <v>842</v>
      </c>
      <c r="B21" s="10" t="s">
        <v>843</v>
      </c>
      <c r="C21" s="40"/>
      <c r="D21" s="41"/>
      <c r="E21" s="23"/>
      <c r="F21" s="12">
        <v>0</v>
      </c>
      <c r="G21" s="46">
        <f>SUMIF(Q22:Q32,P21,G22:G32)</f>
        <v>5061687</v>
      </c>
      <c r="H21" s="13">
        <v>0</v>
      </c>
      <c r="I21" s="47">
        <f>SUMIF(Q22:Q32,P21,I22:I32)</f>
        <v>3938213</v>
      </c>
      <c r="J21" s="13">
        <v>0</v>
      </c>
      <c r="K21" s="52">
        <f>SUMIF(Q22:Q32,P21,K22:K32)</f>
        <v>503535</v>
      </c>
      <c r="L21" s="22">
        <v>0</v>
      </c>
      <c r="M21" s="52">
        <f>SUMIF(Q22:Q32,P21,M22:M32)</f>
        <v>619939</v>
      </c>
      <c r="N21" s="23"/>
      <c r="O21" s="17" t="str">
        <f>"_x0007_`COD|E1_x0005_`QTY1|1_x0005_`EXI|0_x0005_`ITT|0_x0005_`END|"&amp;ROW(M33)&amp;"_x0005_`"</f>
        <v>_x0007_`COD|E1_x0005_`QTY1|1_x0005_`EXI|0_x0005_`ITT|0_x0005_`END|33_x0005_`</v>
      </c>
      <c r="P21" s="7" t="s">
        <v>845</v>
      </c>
      <c r="Q21" s="7" t="s">
        <v>796</v>
      </c>
    </row>
    <row r="22" spans="1:29" ht="30.6" customHeight="1" x14ac:dyDescent="0.3">
      <c r="A22" s="10"/>
      <c r="B22" s="10" t="s">
        <v>31</v>
      </c>
      <c r="C22" s="40" t="s">
        <v>32</v>
      </c>
      <c r="D22" s="42">
        <v>6</v>
      </c>
      <c r="E22" s="23" t="s">
        <v>33</v>
      </c>
      <c r="F22" s="44">
        <f t="shared" ref="F22:F32" si="5">J22+H22+L22</f>
        <v>149157</v>
      </c>
      <c r="G22" s="47">
        <f t="shared" ref="G22:G32" si="6">K22+I22+M22</f>
        <v>894942</v>
      </c>
      <c r="H22" s="49">
        <f>일위대가목록표!F8</f>
        <v>109545</v>
      </c>
      <c r="I22" s="13">
        <f t="shared" ref="I22:I32" si="7">ROUNDDOWN(H22*D22,0)</f>
        <v>657270</v>
      </c>
      <c r="J22" s="51">
        <f>일위대가목록표!G8</f>
        <v>17788</v>
      </c>
      <c r="K22" s="13">
        <f t="shared" ref="K22:K32" si="8">ROUNDDOWN(J22*D22,0)</f>
        <v>106728</v>
      </c>
      <c r="L22" s="53">
        <f>일위대가목록표!H8</f>
        <v>21824</v>
      </c>
      <c r="M22" s="22">
        <f t="shared" ref="M22:M32" si="9">ROUNDDOWN(L22*D22,0)</f>
        <v>130944</v>
      </c>
      <c r="N22" s="23" t="s">
        <v>847</v>
      </c>
      <c r="O22" s="17" t="s">
        <v>846</v>
      </c>
      <c r="P22" s="7" t="s">
        <v>844</v>
      </c>
      <c r="Q22" s="7" t="s">
        <v>845</v>
      </c>
      <c r="AC22" s="3" t="str">
        <f ca="1">HYPERLINK("#"&amp;일위대가목록표!J2&amp;"!A"&amp;ROW(일위대가목록표!A8),"대가5 →")</f>
        <v>대가5 →</v>
      </c>
    </row>
    <row r="23" spans="1:29" ht="30.6" customHeight="1" x14ac:dyDescent="0.3">
      <c r="A23" s="10"/>
      <c r="B23" s="10" t="s">
        <v>36</v>
      </c>
      <c r="C23" s="40" t="s">
        <v>37</v>
      </c>
      <c r="D23" s="42">
        <v>2</v>
      </c>
      <c r="E23" s="23" t="s">
        <v>38</v>
      </c>
      <c r="F23" s="44">
        <f t="shared" si="5"/>
        <v>74578</v>
      </c>
      <c r="G23" s="47">
        <f t="shared" si="6"/>
        <v>149156</v>
      </c>
      <c r="H23" s="49">
        <f>일위대가목록표!F9</f>
        <v>54772</v>
      </c>
      <c r="I23" s="13">
        <f t="shared" si="7"/>
        <v>109544</v>
      </c>
      <c r="J23" s="51">
        <f>일위대가목록표!G9</f>
        <v>8894</v>
      </c>
      <c r="K23" s="13">
        <f t="shared" si="8"/>
        <v>17788</v>
      </c>
      <c r="L23" s="53">
        <f>일위대가목록표!H9</f>
        <v>10912</v>
      </c>
      <c r="M23" s="22">
        <f t="shared" si="9"/>
        <v>21824</v>
      </c>
      <c r="N23" s="23" t="s">
        <v>850</v>
      </c>
      <c r="O23" s="17" t="s">
        <v>849</v>
      </c>
      <c r="P23" s="7" t="s">
        <v>848</v>
      </c>
      <c r="Q23" s="7" t="s">
        <v>845</v>
      </c>
      <c r="AC23" s="3" t="str">
        <f ca="1">HYPERLINK("#"&amp;일위대가목록표!J2&amp;"!A"&amp;ROW(일위대가목록표!A9),"대가6 →")</f>
        <v>대가6 →</v>
      </c>
    </row>
    <row r="24" spans="1:29" ht="30.6" customHeight="1" x14ac:dyDescent="0.3">
      <c r="A24" s="10"/>
      <c r="B24" s="10" t="s">
        <v>41</v>
      </c>
      <c r="C24" s="40" t="s">
        <v>42</v>
      </c>
      <c r="D24" s="42">
        <v>2</v>
      </c>
      <c r="E24" s="23" t="s">
        <v>38</v>
      </c>
      <c r="F24" s="44">
        <f t="shared" si="5"/>
        <v>44746</v>
      </c>
      <c r="G24" s="47">
        <f t="shared" si="6"/>
        <v>89492</v>
      </c>
      <c r="H24" s="49">
        <f>일위대가목록표!F10</f>
        <v>32863</v>
      </c>
      <c r="I24" s="13">
        <f t="shared" si="7"/>
        <v>65726</v>
      </c>
      <c r="J24" s="51">
        <f>일위대가목록표!G10</f>
        <v>5336</v>
      </c>
      <c r="K24" s="13">
        <f t="shared" si="8"/>
        <v>10672</v>
      </c>
      <c r="L24" s="53">
        <f>일위대가목록표!H10</f>
        <v>6547</v>
      </c>
      <c r="M24" s="22">
        <f t="shared" si="9"/>
        <v>13094</v>
      </c>
      <c r="N24" s="23" t="s">
        <v>853</v>
      </c>
      <c r="O24" s="17" t="s">
        <v>852</v>
      </c>
      <c r="P24" s="7" t="s">
        <v>851</v>
      </c>
      <c r="Q24" s="7" t="s">
        <v>845</v>
      </c>
      <c r="AC24" s="3" t="str">
        <f ca="1">HYPERLINK("#"&amp;일위대가목록표!J2&amp;"!A"&amp;ROW(일위대가목록표!A10),"대가7 →")</f>
        <v>대가7 →</v>
      </c>
    </row>
    <row r="25" spans="1:29" ht="30.6" customHeight="1" x14ac:dyDescent="0.3">
      <c r="A25" s="10"/>
      <c r="B25" s="10" t="s">
        <v>45</v>
      </c>
      <c r="C25" s="40" t="s">
        <v>46</v>
      </c>
      <c r="D25" s="42">
        <v>18</v>
      </c>
      <c r="E25" s="23" t="s">
        <v>38</v>
      </c>
      <c r="F25" s="44">
        <f t="shared" si="5"/>
        <v>96952</v>
      </c>
      <c r="G25" s="47">
        <f t="shared" si="6"/>
        <v>1745136</v>
      </c>
      <c r="H25" s="49">
        <f>일위대가목록표!F11</f>
        <v>71204</v>
      </c>
      <c r="I25" s="13">
        <f t="shared" si="7"/>
        <v>1281672</v>
      </c>
      <c r="J25" s="51">
        <f>일위대가목록표!G11</f>
        <v>11562</v>
      </c>
      <c r="K25" s="13">
        <f t="shared" si="8"/>
        <v>208116</v>
      </c>
      <c r="L25" s="53">
        <f>일위대가목록표!H11</f>
        <v>14186</v>
      </c>
      <c r="M25" s="22">
        <f t="shared" si="9"/>
        <v>255348</v>
      </c>
      <c r="N25" s="23" t="s">
        <v>856</v>
      </c>
      <c r="O25" s="17" t="s">
        <v>855</v>
      </c>
      <c r="P25" s="7" t="s">
        <v>854</v>
      </c>
      <c r="Q25" s="7" t="s">
        <v>845</v>
      </c>
      <c r="AC25" s="3" t="str">
        <f ca="1">HYPERLINK("#"&amp;일위대가목록표!J2&amp;"!A"&amp;ROW(일위대가목록표!A11),"대가8 →")</f>
        <v>대가8 →</v>
      </c>
    </row>
    <row r="26" spans="1:29" ht="30.6" customHeight="1" x14ac:dyDescent="0.3">
      <c r="A26" s="10"/>
      <c r="B26" s="10" t="s">
        <v>49</v>
      </c>
      <c r="C26" s="40" t="s">
        <v>50</v>
      </c>
      <c r="D26" s="42">
        <v>7</v>
      </c>
      <c r="E26" s="23" t="s">
        <v>38</v>
      </c>
      <c r="F26" s="44">
        <f t="shared" si="5"/>
        <v>58170</v>
      </c>
      <c r="G26" s="47">
        <f t="shared" si="6"/>
        <v>407190</v>
      </c>
      <c r="H26" s="49">
        <f>일위대가목록표!F12</f>
        <v>42722</v>
      </c>
      <c r="I26" s="13">
        <f t="shared" si="7"/>
        <v>299054</v>
      </c>
      <c r="J26" s="51">
        <f>일위대가목록표!G12</f>
        <v>6937</v>
      </c>
      <c r="K26" s="13">
        <f t="shared" si="8"/>
        <v>48559</v>
      </c>
      <c r="L26" s="53">
        <f>일위대가목록표!H12</f>
        <v>8511</v>
      </c>
      <c r="M26" s="22">
        <f t="shared" si="9"/>
        <v>59577</v>
      </c>
      <c r="N26" s="23" t="s">
        <v>859</v>
      </c>
      <c r="O26" s="17" t="s">
        <v>858</v>
      </c>
      <c r="P26" s="7" t="s">
        <v>857</v>
      </c>
      <c r="Q26" s="7" t="s">
        <v>845</v>
      </c>
      <c r="AC26" s="3" t="str">
        <f ca="1">HYPERLINK("#"&amp;일위대가목록표!J2&amp;"!A"&amp;ROW(일위대가목록표!A12),"대가9 →")</f>
        <v>대가9 →</v>
      </c>
    </row>
    <row r="27" spans="1:29" ht="30.6" customHeight="1" x14ac:dyDescent="0.3">
      <c r="A27" s="10"/>
      <c r="B27" s="10" t="s">
        <v>53</v>
      </c>
      <c r="C27" s="40" t="s">
        <v>54</v>
      </c>
      <c r="D27" s="42">
        <v>11</v>
      </c>
      <c r="E27" s="23" t="s">
        <v>38</v>
      </c>
      <c r="F27" s="44">
        <f t="shared" si="5"/>
        <v>38599</v>
      </c>
      <c r="G27" s="47">
        <f t="shared" si="6"/>
        <v>424589</v>
      </c>
      <c r="H27" s="49">
        <f>일위대가목록표!F13</f>
        <v>36761</v>
      </c>
      <c r="I27" s="13">
        <f t="shared" si="7"/>
        <v>404371</v>
      </c>
      <c r="J27" s="51">
        <f>일위대가목록표!G13</f>
        <v>0</v>
      </c>
      <c r="K27" s="13">
        <f t="shared" si="8"/>
        <v>0</v>
      </c>
      <c r="L27" s="53">
        <f>일위대가목록표!H13</f>
        <v>1838</v>
      </c>
      <c r="M27" s="22">
        <f t="shared" si="9"/>
        <v>20218</v>
      </c>
      <c r="N27" s="23" t="s">
        <v>862</v>
      </c>
      <c r="O27" s="17" t="s">
        <v>861</v>
      </c>
      <c r="P27" s="7" t="s">
        <v>860</v>
      </c>
      <c r="Q27" s="7" t="s">
        <v>845</v>
      </c>
      <c r="AC27" s="3" t="str">
        <f ca="1">HYPERLINK("#"&amp;일위대가목록표!J2&amp;"!A"&amp;ROW(일위대가목록표!A13),"대가10 →")</f>
        <v>대가10 →</v>
      </c>
    </row>
    <row r="28" spans="1:29" ht="30.6" customHeight="1" x14ac:dyDescent="0.3">
      <c r="A28" s="10"/>
      <c r="B28" s="10" t="s">
        <v>57</v>
      </c>
      <c r="C28" s="40" t="s">
        <v>58</v>
      </c>
      <c r="D28" s="42">
        <v>2</v>
      </c>
      <c r="E28" s="23" t="s">
        <v>38</v>
      </c>
      <c r="F28" s="44">
        <f t="shared" si="5"/>
        <v>124392</v>
      </c>
      <c r="G28" s="47">
        <f t="shared" si="6"/>
        <v>248784</v>
      </c>
      <c r="H28" s="49">
        <f>일위대가목록표!F14</f>
        <v>107420</v>
      </c>
      <c r="I28" s="13">
        <f t="shared" si="7"/>
        <v>214840</v>
      </c>
      <c r="J28" s="51">
        <f>일위대가목록표!G14</f>
        <v>7376</v>
      </c>
      <c r="K28" s="13">
        <f t="shared" si="8"/>
        <v>14752</v>
      </c>
      <c r="L28" s="53">
        <f>일위대가목록표!H14</f>
        <v>9596</v>
      </c>
      <c r="M28" s="22">
        <f t="shared" si="9"/>
        <v>19192</v>
      </c>
      <c r="N28" s="23" t="s">
        <v>865</v>
      </c>
      <c r="O28" s="17" t="s">
        <v>864</v>
      </c>
      <c r="P28" s="7" t="s">
        <v>863</v>
      </c>
      <c r="Q28" s="7" t="s">
        <v>845</v>
      </c>
      <c r="AC28" s="3" t="str">
        <f ca="1">HYPERLINK("#"&amp;일위대가목록표!J2&amp;"!A"&amp;ROW(일위대가목록표!A14),"대가11 →")</f>
        <v>대가11 →</v>
      </c>
    </row>
    <row r="29" spans="1:29" ht="30.6" customHeight="1" x14ac:dyDescent="0.3">
      <c r="A29" s="10"/>
      <c r="B29" s="10" t="s">
        <v>61</v>
      </c>
      <c r="C29" s="40" t="s">
        <v>62</v>
      </c>
      <c r="D29" s="42">
        <v>2</v>
      </c>
      <c r="E29" s="23" t="s">
        <v>38</v>
      </c>
      <c r="F29" s="44">
        <f t="shared" si="5"/>
        <v>83544</v>
      </c>
      <c r="G29" s="47">
        <f t="shared" si="6"/>
        <v>167088</v>
      </c>
      <c r="H29" s="49">
        <f>일위대가목록표!F15</f>
        <v>78592</v>
      </c>
      <c r="I29" s="13">
        <f t="shared" si="7"/>
        <v>157184</v>
      </c>
      <c r="J29" s="51">
        <f>일위대가목록표!G15</f>
        <v>1761</v>
      </c>
      <c r="K29" s="13">
        <f t="shared" si="8"/>
        <v>3522</v>
      </c>
      <c r="L29" s="53">
        <f>일위대가목록표!H15</f>
        <v>3191</v>
      </c>
      <c r="M29" s="22">
        <f t="shared" si="9"/>
        <v>6382</v>
      </c>
      <c r="N29" s="23" t="s">
        <v>868</v>
      </c>
      <c r="O29" s="17" t="s">
        <v>867</v>
      </c>
      <c r="P29" s="7" t="s">
        <v>866</v>
      </c>
      <c r="Q29" s="7" t="s">
        <v>845</v>
      </c>
      <c r="AC29" s="3" t="str">
        <f ca="1">HYPERLINK("#"&amp;일위대가목록표!J2&amp;"!A"&amp;ROW(일위대가목록표!A15),"대가12 →")</f>
        <v>대가12 →</v>
      </c>
    </row>
    <row r="30" spans="1:29" ht="30.6" customHeight="1" x14ac:dyDescent="0.3">
      <c r="A30" s="10"/>
      <c r="B30" s="10" t="s">
        <v>65</v>
      </c>
      <c r="C30" s="40" t="s">
        <v>66</v>
      </c>
      <c r="D30" s="42">
        <v>2</v>
      </c>
      <c r="E30" s="23" t="s">
        <v>38</v>
      </c>
      <c r="F30" s="44">
        <f t="shared" si="5"/>
        <v>295082</v>
      </c>
      <c r="G30" s="47">
        <f t="shared" si="6"/>
        <v>590164</v>
      </c>
      <c r="H30" s="49">
        <f>일위대가목록표!F16</f>
        <v>249471</v>
      </c>
      <c r="I30" s="13">
        <f t="shared" si="7"/>
        <v>498942</v>
      </c>
      <c r="J30" s="51">
        <f>일위대가목록표!G16</f>
        <v>16623</v>
      </c>
      <c r="K30" s="13">
        <f t="shared" si="8"/>
        <v>33246</v>
      </c>
      <c r="L30" s="53">
        <f>일위대가목록표!H16</f>
        <v>28988</v>
      </c>
      <c r="M30" s="22">
        <f t="shared" si="9"/>
        <v>57976</v>
      </c>
      <c r="N30" s="23" t="s">
        <v>871</v>
      </c>
      <c r="O30" s="17" t="s">
        <v>870</v>
      </c>
      <c r="P30" s="7" t="s">
        <v>869</v>
      </c>
      <c r="Q30" s="7" t="s">
        <v>845</v>
      </c>
      <c r="AC30" s="3" t="str">
        <f ca="1">HYPERLINK("#"&amp;일위대가목록표!J2&amp;"!A"&amp;ROW(일위대가목록표!A16),"대가13 →")</f>
        <v>대가13 →</v>
      </c>
    </row>
    <row r="31" spans="1:29" ht="30.6" customHeight="1" x14ac:dyDescent="0.3">
      <c r="A31" s="10"/>
      <c r="B31" s="10" t="s">
        <v>69</v>
      </c>
      <c r="C31" s="40" t="s">
        <v>54</v>
      </c>
      <c r="D31" s="42">
        <v>2</v>
      </c>
      <c r="E31" s="23" t="s">
        <v>38</v>
      </c>
      <c r="F31" s="44">
        <f t="shared" si="5"/>
        <v>74791</v>
      </c>
      <c r="G31" s="47">
        <f t="shared" si="6"/>
        <v>149582</v>
      </c>
      <c r="H31" s="49">
        <f>일위대가목록표!F17</f>
        <v>48805</v>
      </c>
      <c r="I31" s="13">
        <f t="shared" si="7"/>
        <v>97610</v>
      </c>
      <c r="J31" s="51">
        <f>일위대가목록표!G17</f>
        <v>25010</v>
      </c>
      <c r="K31" s="13">
        <f t="shared" si="8"/>
        <v>50020</v>
      </c>
      <c r="L31" s="53">
        <f>일위대가목록표!H17</f>
        <v>976</v>
      </c>
      <c r="M31" s="22">
        <f t="shared" si="9"/>
        <v>1952</v>
      </c>
      <c r="N31" s="23" t="s">
        <v>874</v>
      </c>
      <c r="O31" s="17" t="s">
        <v>873</v>
      </c>
      <c r="P31" s="7" t="s">
        <v>872</v>
      </c>
      <c r="Q31" s="7" t="s">
        <v>845</v>
      </c>
      <c r="AC31" s="3" t="str">
        <f ca="1">HYPERLINK("#"&amp;일위대가목록표!J2&amp;"!A"&amp;ROW(일위대가목록표!A17),"대가14 →")</f>
        <v>대가14 →</v>
      </c>
    </row>
    <row r="32" spans="1:29" ht="30.6" customHeight="1" x14ac:dyDescent="0.3">
      <c r="A32" s="10"/>
      <c r="B32" s="10" t="s">
        <v>72</v>
      </c>
      <c r="C32" s="40" t="s">
        <v>73</v>
      </c>
      <c r="D32" s="42">
        <v>4</v>
      </c>
      <c r="E32" s="23" t="s">
        <v>33</v>
      </c>
      <c r="F32" s="44">
        <f t="shared" si="5"/>
        <v>48891</v>
      </c>
      <c r="G32" s="47">
        <f t="shared" si="6"/>
        <v>195564</v>
      </c>
      <c r="H32" s="49">
        <f>일위대가목록표!F18</f>
        <v>38000</v>
      </c>
      <c r="I32" s="13">
        <f t="shared" si="7"/>
        <v>152000</v>
      </c>
      <c r="J32" s="51">
        <f>일위대가목록표!G18</f>
        <v>2533</v>
      </c>
      <c r="K32" s="13">
        <f t="shared" si="8"/>
        <v>10132</v>
      </c>
      <c r="L32" s="53">
        <f>일위대가목록표!H18</f>
        <v>8358</v>
      </c>
      <c r="M32" s="22">
        <f t="shared" si="9"/>
        <v>33432</v>
      </c>
      <c r="N32" s="23" t="s">
        <v>877</v>
      </c>
      <c r="O32" s="17" t="s">
        <v>876</v>
      </c>
      <c r="P32" s="7" t="s">
        <v>875</v>
      </c>
      <c r="Q32" s="7" t="s">
        <v>845</v>
      </c>
      <c r="AC32" s="3" t="str">
        <f ca="1">HYPERLINK("#"&amp;일위대가목록표!J2&amp;"!A"&amp;ROW(일위대가목록표!A18),"대가15 →")</f>
        <v>대가15 →</v>
      </c>
    </row>
    <row r="33" spans="1:29" ht="30.6" customHeight="1" x14ac:dyDescent="0.3">
      <c r="A33" s="10" t="s">
        <v>841</v>
      </c>
      <c r="B33" s="10" t="s">
        <v>840</v>
      </c>
      <c r="C33" s="40"/>
      <c r="D33" s="41"/>
      <c r="E33" s="23"/>
      <c r="F33" s="12">
        <v>0</v>
      </c>
      <c r="G33" s="46">
        <f>SUMIF(Q34:Q35,P33,G34:G35)</f>
        <v>726520</v>
      </c>
      <c r="H33" s="13">
        <v>0</v>
      </c>
      <c r="I33" s="47">
        <f>SUMIF(Q34:Q35,P33,I34:I35)</f>
        <v>558184</v>
      </c>
      <c r="J33" s="13">
        <v>0</v>
      </c>
      <c r="K33" s="52">
        <f>SUMIF(Q34:Q35,P33,K34:K35)</f>
        <v>32406</v>
      </c>
      <c r="L33" s="22">
        <v>0</v>
      </c>
      <c r="M33" s="52">
        <f>SUMIF(Q34:Q35,P33,M34:M35)</f>
        <v>135930</v>
      </c>
      <c r="N33" s="23"/>
      <c r="O33" s="17" t="str">
        <f>"_x0007_`COD|E3_x0005_`QTY1|1_x0005_`EXI|0_x0005_`ITT|0_x0005_`END|"&amp;ROW(M36)&amp;"_x0005_`"</f>
        <v>_x0007_`COD|E3_x0005_`QTY1|1_x0005_`EXI|0_x0005_`ITT|0_x0005_`END|36_x0005_`</v>
      </c>
      <c r="P33" s="7" t="s">
        <v>796</v>
      </c>
      <c r="Q33" s="7" t="s">
        <v>792</v>
      </c>
    </row>
    <row r="34" spans="1:29" ht="30.6" customHeight="1" x14ac:dyDescent="0.3">
      <c r="A34" s="10"/>
      <c r="B34" s="10" t="s">
        <v>151</v>
      </c>
      <c r="C34" s="40" t="s">
        <v>152</v>
      </c>
      <c r="D34" s="42">
        <v>2</v>
      </c>
      <c r="E34" s="23" t="s">
        <v>38</v>
      </c>
      <c r="F34" s="44">
        <f>J34+H34+L34</f>
        <v>335510</v>
      </c>
      <c r="G34" s="47">
        <f>K34+I34+M34</f>
        <v>671020</v>
      </c>
      <c r="H34" s="49">
        <f>단가산출근거목록표!F12</f>
        <v>251342</v>
      </c>
      <c r="I34" s="13">
        <f>ROUNDDOWN(H34*D34,0)</f>
        <v>502684</v>
      </c>
      <c r="J34" s="51">
        <f>단가산출근거목록표!G12</f>
        <v>16203</v>
      </c>
      <c r="K34" s="13">
        <f>ROUNDDOWN(J34*D34,0)</f>
        <v>32406</v>
      </c>
      <c r="L34" s="53">
        <f>단가산출근거목록표!H12</f>
        <v>67965</v>
      </c>
      <c r="M34" s="22">
        <f>ROUNDDOWN(L34*D34,0)</f>
        <v>135930</v>
      </c>
      <c r="N34" s="23" t="s">
        <v>880</v>
      </c>
      <c r="O34" s="17" t="s">
        <v>879</v>
      </c>
      <c r="P34" s="7" t="s">
        <v>878</v>
      </c>
      <c r="Q34" s="7" t="s">
        <v>796</v>
      </c>
      <c r="AC34" s="3" t="str">
        <f ca="1">HYPERLINK("#"&amp;단가산출근거목록표!J2&amp;"!A"&amp;ROW(단가산출근거목록표!A12),"산근9 →")</f>
        <v>산근9 →</v>
      </c>
    </row>
    <row r="35" spans="1:29" ht="30.6" customHeight="1" x14ac:dyDescent="0.3">
      <c r="A35" s="10"/>
      <c r="B35" s="10" t="s">
        <v>154</v>
      </c>
      <c r="C35" s="40" t="s">
        <v>155</v>
      </c>
      <c r="D35" s="42">
        <v>2</v>
      </c>
      <c r="E35" s="23" t="s">
        <v>156</v>
      </c>
      <c r="F35" s="44">
        <f>J35+H35+L35</f>
        <v>27750</v>
      </c>
      <c r="G35" s="47">
        <f>K35+I35+M35</f>
        <v>55500</v>
      </c>
      <c r="H35" s="49">
        <f>단가산출근거목록표!F13</f>
        <v>27750</v>
      </c>
      <c r="I35" s="13">
        <f>ROUNDDOWN(H35*D35,0)</f>
        <v>55500</v>
      </c>
      <c r="J35" s="51">
        <f>단가산출근거목록표!G13</f>
        <v>0</v>
      </c>
      <c r="K35" s="13">
        <f>ROUNDDOWN(J35*D35,0)</f>
        <v>0</v>
      </c>
      <c r="L35" s="53">
        <f>단가산출근거목록표!H13</f>
        <v>0</v>
      </c>
      <c r="M35" s="22">
        <f>ROUNDDOWN(L35*D35,0)</f>
        <v>0</v>
      </c>
      <c r="N35" s="23" t="s">
        <v>883</v>
      </c>
      <c r="O35" s="17" t="s">
        <v>882</v>
      </c>
      <c r="P35" s="7" t="s">
        <v>881</v>
      </c>
      <c r="Q35" s="7" t="s">
        <v>796</v>
      </c>
      <c r="AC35" s="3" t="str">
        <f ca="1">HYPERLINK("#"&amp;단가산출근거목록표!J2&amp;"!A"&amp;ROW(단가산출근거목록표!A13),"산근10 →")</f>
        <v>산근10 →</v>
      </c>
    </row>
    <row r="36" spans="1:29" ht="30.6" customHeight="1" x14ac:dyDescent="0.3">
      <c r="A36" s="10" t="s">
        <v>884</v>
      </c>
      <c r="B36" s="10" t="s">
        <v>609</v>
      </c>
      <c r="C36" s="40"/>
      <c r="D36" s="41"/>
      <c r="E36" s="23"/>
      <c r="F36" s="12">
        <v>0</v>
      </c>
      <c r="G36" s="46">
        <f>SUMIF(Q37:Q53,P36,G37:G53)</f>
        <v>1474145</v>
      </c>
      <c r="H36" s="13">
        <v>0</v>
      </c>
      <c r="I36" s="47">
        <f>SUMIF(Q37:Q53,P36,I37:I53)</f>
        <v>1234640</v>
      </c>
      <c r="J36" s="13">
        <v>0</v>
      </c>
      <c r="K36" s="52">
        <f>SUMIF(Q37:Q53,P36,K37:K53)</f>
        <v>129150</v>
      </c>
      <c r="L36" s="22">
        <v>0</v>
      </c>
      <c r="M36" s="52">
        <f>SUMIF(Q37:Q53,P36,M37:M53)</f>
        <v>110355</v>
      </c>
      <c r="N36" s="23"/>
      <c r="O36" s="17" t="str">
        <f>"_x0007_`COD|E3_x0005_`QTY1|1_x0005_`EXI|0_x0005_`ITT|0_x0005_`END|"&amp;ROW(M54)&amp;"_x0005_`"</f>
        <v>_x0007_`COD|E3_x0005_`QTY1|1_x0005_`EXI|0_x0005_`ITT|0_x0005_`END|54_x0005_`</v>
      </c>
      <c r="P36" s="7" t="s">
        <v>796</v>
      </c>
      <c r="Q36" s="7" t="s">
        <v>792</v>
      </c>
    </row>
    <row r="37" spans="1:29" ht="30.6" customHeight="1" x14ac:dyDescent="0.3">
      <c r="A37" s="10" t="s">
        <v>887</v>
      </c>
      <c r="B37" s="10" t="s">
        <v>127</v>
      </c>
      <c r="C37" s="40"/>
      <c r="D37" s="41"/>
      <c r="E37" s="23"/>
      <c r="F37" s="12">
        <v>0</v>
      </c>
      <c r="G37" s="46">
        <f>SUMIF(Q38:Q40,P37,G38:G40)</f>
        <v>215032</v>
      </c>
      <c r="H37" s="13">
        <v>0</v>
      </c>
      <c r="I37" s="47">
        <f>SUMIF(Q38:Q40,P37,I38:I40)</f>
        <v>138776</v>
      </c>
      <c r="J37" s="13">
        <v>0</v>
      </c>
      <c r="K37" s="52">
        <f>SUMIF(Q38:Q40,P37,K38:K40)</f>
        <v>38947</v>
      </c>
      <c r="L37" s="22">
        <v>0</v>
      </c>
      <c r="M37" s="52">
        <f>SUMIF(Q38:Q40,P37,M38:M40)</f>
        <v>37309</v>
      </c>
      <c r="N37" s="23"/>
      <c r="O37" s="17" t="str">
        <f>"_x0007_`COD|E1_x0005_`QTY1|1_x0005_`EXI|0_x0005_`ITT|0_x0005_`END|"&amp;ROW(M41)&amp;"_x0005_`"</f>
        <v>_x0007_`COD|E1_x0005_`QTY1|1_x0005_`EXI|0_x0005_`ITT|0_x0005_`END|41_x0005_`</v>
      </c>
      <c r="P37" s="7" t="s">
        <v>845</v>
      </c>
      <c r="Q37" s="7" t="s">
        <v>796</v>
      </c>
    </row>
    <row r="38" spans="1:29" ht="30.6" customHeight="1" x14ac:dyDescent="0.3">
      <c r="A38" s="10"/>
      <c r="B38" s="10" t="s">
        <v>158</v>
      </c>
      <c r="C38" s="40"/>
      <c r="D38" s="42">
        <v>17</v>
      </c>
      <c r="E38" s="23" t="s">
        <v>14</v>
      </c>
      <c r="F38" s="44">
        <f t="shared" ref="F38:G40" si="10">J38+H38+L38</f>
        <v>81</v>
      </c>
      <c r="G38" s="47">
        <f t="shared" si="10"/>
        <v>1377</v>
      </c>
      <c r="H38" s="49">
        <f>단가산출근거목록표!F14</f>
        <v>79</v>
      </c>
      <c r="I38" s="13">
        <f>ROUNDDOWN(H38*D38,0)</f>
        <v>1343</v>
      </c>
      <c r="J38" s="51">
        <f>단가산출근거목록표!G14</f>
        <v>2</v>
      </c>
      <c r="K38" s="13">
        <f>ROUNDDOWN(J38*D38,0)</f>
        <v>34</v>
      </c>
      <c r="L38" s="53">
        <f>단가산출근거목록표!H14</f>
        <v>0</v>
      </c>
      <c r="M38" s="22">
        <f>ROUNDDOWN(L38*D38,0)</f>
        <v>0</v>
      </c>
      <c r="N38" s="23" t="s">
        <v>890</v>
      </c>
      <c r="O38" s="17" t="s">
        <v>889</v>
      </c>
      <c r="P38" s="7" t="s">
        <v>888</v>
      </c>
      <c r="Q38" s="7" t="s">
        <v>845</v>
      </c>
      <c r="AC38" s="3" t="str">
        <f ca="1">HYPERLINK("#"&amp;단가산출근거목록표!J2&amp;"!A"&amp;ROW(단가산출근거목록표!A14),"산근11 →")</f>
        <v>산근11 →</v>
      </c>
    </row>
    <row r="39" spans="1:29" ht="30.6" customHeight="1" x14ac:dyDescent="0.3">
      <c r="A39" s="10"/>
      <c r="B39" s="10" t="s">
        <v>160</v>
      </c>
      <c r="C39" s="40" t="s">
        <v>161</v>
      </c>
      <c r="D39" s="42">
        <v>17</v>
      </c>
      <c r="E39" s="23" t="s">
        <v>14</v>
      </c>
      <c r="F39" s="44">
        <f t="shared" si="10"/>
        <v>6290</v>
      </c>
      <c r="G39" s="47">
        <f t="shared" si="10"/>
        <v>106930</v>
      </c>
      <c r="H39" s="49">
        <f>단가산출근거목록표!F15</f>
        <v>5249</v>
      </c>
      <c r="I39" s="13">
        <f>ROUNDDOWN(H39*D39,0)</f>
        <v>89233</v>
      </c>
      <c r="J39" s="51">
        <f>단가산출근거목록표!G15</f>
        <v>664</v>
      </c>
      <c r="K39" s="13">
        <f>ROUNDDOWN(J39*D39,0)</f>
        <v>11288</v>
      </c>
      <c r="L39" s="53">
        <f>단가산출근거목록표!H15</f>
        <v>377</v>
      </c>
      <c r="M39" s="22">
        <f>ROUNDDOWN(L39*D39,0)</f>
        <v>6409</v>
      </c>
      <c r="N39" s="23" t="s">
        <v>893</v>
      </c>
      <c r="O39" s="17" t="s">
        <v>892</v>
      </c>
      <c r="P39" s="7" t="s">
        <v>891</v>
      </c>
      <c r="Q39" s="7" t="s">
        <v>845</v>
      </c>
      <c r="AC39" s="3" t="str">
        <f ca="1">HYPERLINK("#"&amp;단가산출근거목록표!J2&amp;"!A"&amp;ROW(단가산출근거목록표!A15),"산근12 →")</f>
        <v>산근12 →</v>
      </c>
    </row>
    <row r="40" spans="1:29" ht="30.6" customHeight="1" x14ac:dyDescent="0.3">
      <c r="A40" s="10"/>
      <c r="B40" s="10" t="s">
        <v>163</v>
      </c>
      <c r="C40" s="40" t="s">
        <v>164</v>
      </c>
      <c r="D40" s="42">
        <v>25</v>
      </c>
      <c r="E40" s="23" t="s">
        <v>14</v>
      </c>
      <c r="F40" s="44">
        <f t="shared" si="10"/>
        <v>4269</v>
      </c>
      <c r="G40" s="47">
        <f t="shared" si="10"/>
        <v>106725</v>
      </c>
      <c r="H40" s="49">
        <f>단가산출근거목록표!F16</f>
        <v>1928</v>
      </c>
      <c r="I40" s="13">
        <f>ROUNDDOWN(H40*D40,0)</f>
        <v>48200</v>
      </c>
      <c r="J40" s="51">
        <f>단가산출근거목록표!G16</f>
        <v>1105</v>
      </c>
      <c r="K40" s="13">
        <f>ROUNDDOWN(J40*D40,0)</f>
        <v>27625</v>
      </c>
      <c r="L40" s="53">
        <f>단가산출근거목록표!H16</f>
        <v>1236</v>
      </c>
      <c r="M40" s="22">
        <f>ROUNDDOWN(L40*D40,0)</f>
        <v>30900</v>
      </c>
      <c r="N40" s="23" t="s">
        <v>896</v>
      </c>
      <c r="O40" s="17" t="s">
        <v>895</v>
      </c>
      <c r="P40" s="7" t="s">
        <v>894</v>
      </c>
      <c r="Q40" s="7" t="s">
        <v>845</v>
      </c>
      <c r="AC40" s="3" t="str">
        <f ca="1">HYPERLINK("#"&amp;단가산출근거목록표!J2&amp;"!A"&amp;ROW(단가산출근거목록표!A16),"산근13 →")</f>
        <v>산근13 →</v>
      </c>
    </row>
    <row r="41" spans="1:29" ht="30.6" customHeight="1" x14ac:dyDescent="0.3">
      <c r="A41" s="10" t="s">
        <v>897</v>
      </c>
      <c r="B41" s="10" t="s">
        <v>898</v>
      </c>
      <c r="C41" s="40"/>
      <c r="D41" s="41"/>
      <c r="E41" s="23"/>
      <c r="F41" s="12">
        <v>0</v>
      </c>
      <c r="G41" s="46">
        <f>SUMIF(Q42:Q42,P41,G42:G42)</f>
        <v>168184</v>
      </c>
      <c r="H41" s="13">
        <v>0</v>
      </c>
      <c r="I41" s="47">
        <f>SUMIF(Q42:Q42,P41,I42:I42)</f>
        <v>122421</v>
      </c>
      <c r="J41" s="13">
        <v>0</v>
      </c>
      <c r="K41" s="52">
        <f>SUMIF(Q42:Q42,P41,K42:K42)</f>
        <v>25351</v>
      </c>
      <c r="L41" s="22">
        <v>0</v>
      </c>
      <c r="M41" s="52">
        <f>SUMIF(Q42:Q42,P41,M42:M42)</f>
        <v>20412</v>
      </c>
      <c r="N41" s="23"/>
      <c r="O41" s="17" t="str">
        <f>"_x0007_`COD|E1_x0005_`QTY1|1_x0005_`EXI|0_x0005_`ITT|0_x0005_`END|"&amp;ROW(M43)&amp;"_x0005_`"</f>
        <v>_x0007_`COD|E1_x0005_`QTY1|1_x0005_`EXI|0_x0005_`ITT|0_x0005_`END|43_x0005_`</v>
      </c>
      <c r="P41" s="7" t="s">
        <v>845</v>
      </c>
      <c r="Q41" s="7" t="s">
        <v>796</v>
      </c>
    </row>
    <row r="42" spans="1:29" ht="30.6" customHeight="1" x14ac:dyDescent="0.3">
      <c r="A42" s="10"/>
      <c r="B42" s="10" t="s">
        <v>166</v>
      </c>
      <c r="C42" s="40" t="s">
        <v>167</v>
      </c>
      <c r="D42" s="42">
        <v>12.6</v>
      </c>
      <c r="E42" s="23" t="s">
        <v>115</v>
      </c>
      <c r="F42" s="44">
        <f>J42+H42+L42</f>
        <v>13348</v>
      </c>
      <c r="G42" s="47">
        <f>K42+I42+M42</f>
        <v>168184</v>
      </c>
      <c r="H42" s="49">
        <f>단가산출근거목록표!F17</f>
        <v>9716</v>
      </c>
      <c r="I42" s="13">
        <f>ROUNDDOWN(H42*D42,0)</f>
        <v>122421</v>
      </c>
      <c r="J42" s="51">
        <f>단가산출근거목록표!G17</f>
        <v>2012</v>
      </c>
      <c r="K42" s="13">
        <f>ROUNDDOWN(J42*D42,0)</f>
        <v>25351</v>
      </c>
      <c r="L42" s="53">
        <f>단가산출근거목록표!H17</f>
        <v>1620</v>
      </c>
      <c r="M42" s="22">
        <f>ROUNDDOWN(L42*D42,0)</f>
        <v>20412</v>
      </c>
      <c r="N42" s="23" t="s">
        <v>901</v>
      </c>
      <c r="O42" s="17" t="s">
        <v>900</v>
      </c>
      <c r="P42" s="7" t="s">
        <v>899</v>
      </c>
      <c r="Q42" s="7" t="s">
        <v>845</v>
      </c>
      <c r="AC42" s="3" t="str">
        <f ca="1">HYPERLINK("#"&amp;단가산출근거목록표!J2&amp;"!A"&amp;ROW(단가산출근거목록표!A17),"산근14 →")</f>
        <v>산근14 →</v>
      </c>
    </row>
    <row r="43" spans="1:29" ht="30.6" customHeight="1" x14ac:dyDescent="0.3">
      <c r="A43" s="10" t="s">
        <v>902</v>
      </c>
      <c r="B43" s="10" t="s">
        <v>903</v>
      </c>
      <c r="C43" s="40"/>
      <c r="D43" s="41"/>
      <c r="E43" s="23"/>
      <c r="F43" s="12">
        <v>0</v>
      </c>
      <c r="G43" s="46">
        <f>SUMIF(Q44:Q44,P43,G44:G44)</f>
        <v>330091</v>
      </c>
      <c r="H43" s="13">
        <v>0</v>
      </c>
      <c r="I43" s="47">
        <f>SUMIF(Q44:Q44,P43,I44:I44)</f>
        <v>275479</v>
      </c>
      <c r="J43" s="13">
        <v>0</v>
      </c>
      <c r="K43" s="52">
        <f>SUMIF(Q44:Q44,P43,K44:K44)</f>
        <v>34850</v>
      </c>
      <c r="L43" s="22">
        <v>0</v>
      </c>
      <c r="M43" s="52">
        <f>SUMIF(Q44:Q44,P43,M44:M44)</f>
        <v>19762</v>
      </c>
      <c r="N43" s="23"/>
      <c r="O43" s="17" t="str">
        <f>"_x0007_`COD|E1_x0005_`QTY1|1_x0005_`EXI|0_x0005_`ITT|0_x0005_`END|"&amp;ROW(M45)&amp;"_x0005_`"</f>
        <v>_x0007_`COD|E1_x0005_`QTY1|1_x0005_`EXI|0_x0005_`ITT|0_x0005_`END|45_x0005_`</v>
      </c>
      <c r="P43" s="7" t="s">
        <v>845</v>
      </c>
      <c r="Q43" s="7" t="s">
        <v>796</v>
      </c>
    </row>
    <row r="44" spans="1:29" ht="30.6" customHeight="1" x14ac:dyDescent="0.3">
      <c r="A44" s="10"/>
      <c r="B44" s="10" t="s">
        <v>169</v>
      </c>
      <c r="C44" s="40" t="s">
        <v>170</v>
      </c>
      <c r="D44" s="42">
        <v>41</v>
      </c>
      <c r="E44" s="23" t="s">
        <v>14</v>
      </c>
      <c r="F44" s="44">
        <f>J44+H44+L44</f>
        <v>8051</v>
      </c>
      <c r="G44" s="47">
        <f>K44+I44+M44</f>
        <v>330091</v>
      </c>
      <c r="H44" s="49">
        <f>단가산출근거목록표!F18</f>
        <v>6719</v>
      </c>
      <c r="I44" s="13">
        <f>ROUNDDOWN(H44*D44,0)</f>
        <v>275479</v>
      </c>
      <c r="J44" s="51">
        <f>단가산출근거목록표!G18</f>
        <v>850</v>
      </c>
      <c r="K44" s="13">
        <f>ROUNDDOWN(J44*D44,0)</f>
        <v>34850</v>
      </c>
      <c r="L44" s="53">
        <f>단가산출근거목록표!H18</f>
        <v>482</v>
      </c>
      <c r="M44" s="22">
        <f>ROUNDDOWN(L44*D44,0)</f>
        <v>19762</v>
      </c>
      <c r="N44" s="23" t="s">
        <v>906</v>
      </c>
      <c r="O44" s="17" t="s">
        <v>905</v>
      </c>
      <c r="P44" s="7" t="s">
        <v>904</v>
      </c>
      <c r="Q44" s="7" t="s">
        <v>845</v>
      </c>
      <c r="AC44" s="3" t="str">
        <f ca="1">HYPERLINK("#"&amp;단가산출근거목록표!J2&amp;"!A"&amp;ROW(단가산출근거목록표!A18),"산근15 →")</f>
        <v>산근15 →</v>
      </c>
    </row>
    <row r="45" spans="1:29" ht="30.6" customHeight="1" x14ac:dyDescent="0.3">
      <c r="A45" s="10" t="s">
        <v>907</v>
      </c>
      <c r="B45" s="10" t="s">
        <v>908</v>
      </c>
      <c r="C45" s="40"/>
      <c r="D45" s="41"/>
      <c r="E45" s="23"/>
      <c r="F45" s="12">
        <v>0</v>
      </c>
      <c r="G45" s="46">
        <f>SUMIF(Q46:Q46,P45,G46:G46)</f>
        <v>73282</v>
      </c>
      <c r="H45" s="13">
        <v>0</v>
      </c>
      <c r="I45" s="47">
        <f>SUMIF(Q46:Q46,P45,I46:I46)</f>
        <v>62063</v>
      </c>
      <c r="J45" s="13">
        <v>0</v>
      </c>
      <c r="K45" s="52">
        <f>SUMIF(Q46:Q46,P45,K46:K46)</f>
        <v>4460</v>
      </c>
      <c r="L45" s="22">
        <v>0</v>
      </c>
      <c r="M45" s="52">
        <f>SUMIF(Q46:Q46,P45,M46:M46)</f>
        <v>6759</v>
      </c>
      <c r="N45" s="23"/>
      <c r="O45" s="17" t="str">
        <f>"_x0007_`COD|E1_x0005_`QTY1|1_x0005_`EXI|0_x0005_`ITT|0_x0005_`END|"&amp;ROW(M47)&amp;"_x0005_`"</f>
        <v>_x0007_`COD|E1_x0005_`QTY1|1_x0005_`EXI|0_x0005_`ITT|0_x0005_`END|47_x0005_`</v>
      </c>
      <c r="P45" s="7" t="s">
        <v>845</v>
      </c>
      <c r="Q45" s="7" t="s">
        <v>796</v>
      </c>
    </row>
    <row r="46" spans="1:29" ht="30.6" customHeight="1" x14ac:dyDescent="0.3">
      <c r="A46" s="10"/>
      <c r="B46" s="10" t="s">
        <v>76</v>
      </c>
      <c r="C46" s="40" t="s">
        <v>77</v>
      </c>
      <c r="D46" s="42">
        <v>3.4</v>
      </c>
      <c r="E46" s="23" t="s">
        <v>14</v>
      </c>
      <c r="F46" s="44">
        <f>J46+H46+L46</f>
        <v>21554</v>
      </c>
      <c r="G46" s="47">
        <f>K46+I46+M46</f>
        <v>73282</v>
      </c>
      <c r="H46" s="49">
        <f>일위대가목록표!F19</f>
        <v>18254</v>
      </c>
      <c r="I46" s="13">
        <f>ROUNDDOWN(H46*D46,0)</f>
        <v>62063</v>
      </c>
      <c r="J46" s="51">
        <f>일위대가목록표!G19</f>
        <v>1312</v>
      </c>
      <c r="K46" s="13">
        <f>ROUNDDOWN(J46*D46,0)</f>
        <v>4460</v>
      </c>
      <c r="L46" s="53">
        <f>일위대가목록표!H19</f>
        <v>1988</v>
      </c>
      <c r="M46" s="22">
        <f>ROUNDDOWN(L46*D46,0)</f>
        <v>6759</v>
      </c>
      <c r="N46" s="23" t="s">
        <v>911</v>
      </c>
      <c r="O46" s="17" t="s">
        <v>910</v>
      </c>
      <c r="P46" s="7" t="s">
        <v>909</v>
      </c>
      <c r="Q46" s="7" t="s">
        <v>845</v>
      </c>
      <c r="AC46" s="3" t="str">
        <f ca="1">HYPERLINK("#"&amp;일위대가목록표!J2&amp;"!A"&amp;ROW(일위대가목록표!A19),"대가16 →")</f>
        <v>대가16 →</v>
      </c>
    </row>
    <row r="47" spans="1:29" ht="30.6" customHeight="1" x14ac:dyDescent="0.3">
      <c r="A47" s="10" t="s">
        <v>912</v>
      </c>
      <c r="B47" s="10" t="s">
        <v>913</v>
      </c>
      <c r="C47" s="40"/>
      <c r="D47" s="41"/>
      <c r="E47" s="23"/>
      <c r="F47" s="12">
        <v>0</v>
      </c>
      <c r="G47" s="46">
        <f>SUMIF(Q48:Q50,P47,G48:G50)</f>
        <v>536282</v>
      </c>
      <c r="H47" s="13">
        <v>0</v>
      </c>
      <c r="I47" s="47">
        <f>SUMIF(Q48:Q50,P47,I48:I50)</f>
        <v>491829</v>
      </c>
      <c r="J47" s="13">
        <v>0</v>
      </c>
      <c r="K47" s="52">
        <f>SUMIF(Q48:Q50,P47,K48:K50)</f>
        <v>25542</v>
      </c>
      <c r="L47" s="22">
        <v>0</v>
      </c>
      <c r="M47" s="52">
        <f>SUMIF(Q48:Q50,P47,M48:M50)</f>
        <v>18911</v>
      </c>
      <c r="N47" s="23"/>
      <c r="O47" s="17" t="str">
        <f>"_x0007_`COD|E1_x0005_`QTY1|1_x0005_`EXI|0_x0005_`ITT|0_x0005_`END|"&amp;ROW(M51)&amp;"_x0005_`"</f>
        <v>_x0007_`COD|E1_x0005_`QTY1|1_x0005_`EXI|0_x0005_`ITT|0_x0005_`END|51_x0005_`</v>
      </c>
      <c r="P47" s="7" t="s">
        <v>845</v>
      </c>
      <c r="Q47" s="7" t="s">
        <v>796</v>
      </c>
    </row>
    <row r="48" spans="1:29" ht="30.6" customHeight="1" x14ac:dyDescent="0.3">
      <c r="A48" s="10"/>
      <c r="B48" s="10" t="s">
        <v>80</v>
      </c>
      <c r="C48" s="40" t="s">
        <v>81</v>
      </c>
      <c r="D48" s="42">
        <v>5</v>
      </c>
      <c r="E48" s="23" t="s">
        <v>19</v>
      </c>
      <c r="F48" s="44">
        <f t="shared" ref="F48:G50" si="11">J48+H48+L48</f>
        <v>32254</v>
      </c>
      <c r="G48" s="47">
        <f t="shared" si="11"/>
        <v>161270</v>
      </c>
      <c r="H48" s="49">
        <f>일위대가목록표!F20</f>
        <v>29801</v>
      </c>
      <c r="I48" s="13">
        <f>ROUNDDOWN(H48*D48,0)</f>
        <v>149005</v>
      </c>
      <c r="J48" s="51">
        <f>일위대가목록표!G20</f>
        <v>1670</v>
      </c>
      <c r="K48" s="13">
        <f>ROUNDDOWN(J48*D48,0)</f>
        <v>8350</v>
      </c>
      <c r="L48" s="53">
        <f>일위대가목록표!H20</f>
        <v>783</v>
      </c>
      <c r="M48" s="22">
        <f>ROUNDDOWN(L48*D48,0)</f>
        <v>3915</v>
      </c>
      <c r="N48" s="23" t="s">
        <v>916</v>
      </c>
      <c r="O48" s="17" t="s">
        <v>915</v>
      </c>
      <c r="P48" s="7" t="s">
        <v>914</v>
      </c>
      <c r="Q48" s="7" t="s">
        <v>845</v>
      </c>
      <c r="AC48" s="3" t="str">
        <f ca="1">HYPERLINK("#"&amp;일위대가목록표!J2&amp;"!A"&amp;ROW(일위대가목록표!A20),"대가17 →")</f>
        <v>대가17 →</v>
      </c>
    </row>
    <row r="49" spans="1:29" ht="30.6" customHeight="1" x14ac:dyDescent="0.3">
      <c r="A49" s="10"/>
      <c r="B49" s="10" t="s">
        <v>80</v>
      </c>
      <c r="C49" s="40" t="s">
        <v>84</v>
      </c>
      <c r="D49" s="42">
        <v>4</v>
      </c>
      <c r="E49" s="23" t="s">
        <v>19</v>
      </c>
      <c r="F49" s="44">
        <f t="shared" si="11"/>
        <v>32171</v>
      </c>
      <c r="G49" s="47">
        <f t="shared" si="11"/>
        <v>128684</v>
      </c>
      <c r="H49" s="49">
        <f>일위대가목록표!F21</f>
        <v>29718</v>
      </c>
      <c r="I49" s="13">
        <f>ROUNDDOWN(H49*D49,0)</f>
        <v>118872</v>
      </c>
      <c r="J49" s="51">
        <f>일위대가목록표!G21</f>
        <v>1670</v>
      </c>
      <c r="K49" s="13">
        <f>ROUNDDOWN(J49*D49,0)</f>
        <v>6680</v>
      </c>
      <c r="L49" s="53">
        <f>일위대가목록표!H21</f>
        <v>783</v>
      </c>
      <c r="M49" s="22">
        <f>ROUNDDOWN(L49*D49,0)</f>
        <v>3132</v>
      </c>
      <c r="N49" s="23" t="s">
        <v>919</v>
      </c>
      <c r="O49" s="17" t="s">
        <v>918</v>
      </c>
      <c r="P49" s="7" t="s">
        <v>917</v>
      </c>
      <c r="Q49" s="7" t="s">
        <v>845</v>
      </c>
      <c r="AC49" s="3" t="str">
        <f ca="1">HYPERLINK("#"&amp;일위대가목록표!J2&amp;"!A"&amp;ROW(일위대가목록표!A21),"대가18 →")</f>
        <v>대가18 →</v>
      </c>
    </row>
    <row r="50" spans="1:29" ht="30.6" customHeight="1" x14ac:dyDescent="0.3">
      <c r="A50" s="10"/>
      <c r="B50" s="10" t="s">
        <v>172</v>
      </c>
      <c r="C50" s="40" t="s">
        <v>173</v>
      </c>
      <c r="D50" s="42">
        <v>8</v>
      </c>
      <c r="E50" s="23" t="s">
        <v>128</v>
      </c>
      <c r="F50" s="44">
        <f t="shared" si="11"/>
        <v>30791</v>
      </c>
      <c r="G50" s="47">
        <f t="shared" si="11"/>
        <v>246328</v>
      </c>
      <c r="H50" s="49">
        <f>단가산출근거목록표!F19</f>
        <v>27994</v>
      </c>
      <c r="I50" s="13">
        <f>ROUNDDOWN(H50*D50,0)</f>
        <v>223952</v>
      </c>
      <c r="J50" s="51">
        <f>단가산출근거목록표!G19</f>
        <v>1314</v>
      </c>
      <c r="K50" s="13">
        <f>ROUNDDOWN(J50*D50,0)</f>
        <v>10512</v>
      </c>
      <c r="L50" s="53">
        <f>단가산출근거목록표!H19</f>
        <v>1483</v>
      </c>
      <c r="M50" s="22">
        <f>ROUNDDOWN(L50*D50,0)</f>
        <v>11864</v>
      </c>
      <c r="N50" s="23" t="s">
        <v>922</v>
      </c>
      <c r="O50" s="17" t="s">
        <v>921</v>
      </c>
      <c r="P50" s="7" t="s">
        <v>920</v>
      </c>
      <c r="Q50" s="7" t="s">
        <v>845</v>
      </c>
      <c r="AC50" s="3" t="str">
        <f ca="1">HYPERLINK("#"&amp;단가산출근거목록표!J2&amp;"!A"&amp;ROW(단가산출근거목록표!A19),"산근16 →")</f>
        <v>산근16 →</v>
      </c>
    </row>
    <row r="51" spans="1:29" ht="30.6" customHeight="1" x14ac:dyDescent="0.3">
      <c r="A51" s="10" t="s">
        <v>923</v>
      </c>
      <c r="B51" s="10" t="s">
        <v>924</v>
      </c>
      <c r="C51" s="40"/>
      <c r="D51" s="41"/>
      <c r="E51" s="23"/>
      <c r="F51" s="12">
        <v>0</v>
      </c>
      <c r="G51" s="46">
        <f>SUMIF(Q52:Q53,P51,G52:G53)</f>
        <v>151274</v>
      </c>
      <c r="H51" s="13">
        <v>0</v>
      </c>
      <c r="I51" s="47">
        <f>SUMIF(Q52:Q53,P51,I52:I53)</f>
        <v>144072</v>
      </c>
      <c r="J51" s="13">
        <v>0</v>
      </c>
      <c r="K51" s="52">
        <f>SUMIF(Q52:Q53,P51,K52:K53)</f>
        <v>0</v>
      </c>
      <c r="L51" s="22">
        <v>0</v>
      </c>
      <c r="M51" s="52">
        <f>SUMIF(Q52:Q53,P51,M52:M53)</f>
        <v>7202</v>
      </c>
      <c r="N51" s="23"/>
      <c r="O51" s="17" t="str">
        <f>"_x0007_`COD|E1_x0005_`QTY1|1_x0005_`EXI|0_x0005_`ITT|0_x0005_`END|"&amp;ROW(M54)&amp;"_x0005_`"</f>
        <v>_x0007_`COD|E1_x0005_`QTY1|1_x0005_`EXI|0_x0005_`ITT|0_x0005_`END|54_x0005_`</v>
      </c>
      <c r="P51" s="7" t="s">
        <v>845</v>
      </c>
      <c r="Q51" s="7" t="s">
        <v>796</v>
      </c>
    </row>
    <row r="52" spans="1:29" ht="30.6" customHeight="1" x14ac:dyDescent="0.3">
      <c r="A52" s="10"/>
      <c r="B52" s="10" t="s">
        <v>87</v>
      </c>
      <c r="C52" s="40" t="s">
        <v>88</v>
      </c>
      <c r="D52" s="42">
        <v>2</v>
      </c>
      <c r="E52" s="23" t="s">
        <v>38</v>
      </c>
      <c r="F52" s="44">
        <f>J52+H52+L52</f>
        <v>25212</v>
      </c>
      <c r="G52" s="47">
        <f>K52+I52+M52</f>
        <v>50424</v>
      </c>
      <c r="H52" s="49">
        <f>일위대가목록표!F22</f>
        <v>24012</v>
      </c>
      <c r="I52" s="13">
        <f>ROUNDDOWN(H52*D52,0)</f>
        <v>48024</v>
      </c>
      <c r="J52" s="51">
        <f>일위대가목록표!G22</f>
        <v>0</v>
      </c>
      <c r="K52" s="13">
        <f>ROUNDDOWN(J52*D52,0)</f>
        <v>0</v>
      </c>
      <c r="L52" s="53">
        <f>일위대가목록표!H22</f>
        <v>1200</v>
      </c>
      <c r="M52" s="22">
        <f>ROUNDDOWN(L52*D52,0)</f>
        <v>2400</v>
      </c>
      <c r="N52" s="23" t="s">
        <v>927</v>
      </c>
      <c r="O52" s="17" t="s">
        <v>926</v>
      </c>
      <c r="P52" s="7" t="s">
        <v>925</v>
      </c>
      <c r="Q52" s="7" t="s">
        <v>845</v>
      </c>
      <c r="AC52" s="3" t="str">
        <f ca="1">HYPERLINK("#"&amp;일위대가목록표!J2&amp;"!A"&amp;ROW(일위대가목록표!A22),"대가19 →")</f>
        <v>대가19 →</v>
      </c>
    </row>
    <row r="53" spans="1:29" ht="30.6" customHeight="1" x14ac:dyDescent="0.3">
      <c r="A53" s="10"/>
      <c r="B53" s="10" t="s">
        <v>175</v>
      </c>
      <c r="C53" s="40" t="s">
        <v>176</v>
      </c>
      <c r="D53" s="42">
        <v>2</v>
      </c>
      <c r="E53" s="23" t="s">
        <v>38</v>
      </c>
      <c r="F53" s="44">
        <f>J53+H53+L53</f>
        <v>50425</v>
      </c>
      <c r="G53" s="47">
        <f>K53+I53+M53</f>
        <v>100850</v>
      </c>
      <c r="H53" s="49">
        <f>단가산출근거목록표!F20</f>
        <v>48024</v>
      </c>
      <c r="I53" s="13">
        <f>ROUNDDOWN(H53*D53,0)</f>
        <v>96048</v>
      </c>
      <c r="J53" s="51">
        <f>단가산출근거목록표!G20</f>
        <v>0</v>
      </c>
      <c r="K53" s="13">
        <f>ROUNDDOWN(J53*D53,0)</f>
        <v>0</v>
      </c>
      <c r="L53" s="53">
        <f>단가산출근거목록표!H20</f>
        <v>2401</v>
      </c>
      <c r="M53" s="22">
        <f>ROUNDDOWN(L53*D53,0)</f>
        <v>4802</v>
      </c>
      <c r="N53" s="23" t="s">
        <v>930</v>
      </c>
      <c r="O53" s="17" t="s">
        <v>929</v>
      </c>
      <c r="P53" s="7" t="s">
        <v>928</v>
      </c>
      <c r="Q53" s="7" t="s">
        <v>845</v>
      </c>
      <c r="AC53" s="3" t="str">
        <f ca="1">HYPERLINK("#"&amp;단가산출근거목록표!J2&amp;"!A"&amp;ROW(단가산출근거목록표!A20),"산근17 →")</f>
        <v>산근17 →</v>
      </c>
    </row>
    <row r="54" spans="1:29" ht="30.6" customHeight="1" x14ac:dyDescent="0.3">
      <c r="A54" s="10" t="s">
        <v>885</v>
      </c>
      <c r="B54" s="10" t="s">
        <v>886</v>
      </c>
      <c r="C54" s="40"/>
      <c r="D54" s="41"/>
      <c r="E54" s="23"/>
      <c r="F54" s="12">
        <v>0</v>
      </c>
      <c r="G54" s="46">
        <f>SUMIF(Q55:Q64,P54,G55:G64)</f>
        <v>3175204</v>
      </c>
      <c r="H54" s="13">
        <v>0</v>
      </c>
      <c r="I54" s="47">
        <f>SUMIF(Q55:Q64,P54,I55:I64)</f>
        <v>1370243</v>
      </c>
      <c r="J54" s="13">
        <v>0</v>
      </c>
      <c r="K54" s="52">
        <f>SUMIF(Q55:Q64,P54,K55:K64)</f>
        <v>594965</v>
      </c>
      <c r="L54" s="22">
        <v>0</v>
      </c>
      <c r="M54" s="52">
        <f>SUMIF(Q55:Q64,P54,M55:M64)</f>
        <v>1209996</v>
      </c>
      <c r="N54" s="23"/>
      <c r="O54" s="17" t="str">
        <f>"_x0007_`COD|E3_x0005_`QTY1|1_x0005_`EXI|0_x0005_`ITT|0_x0005_`END|"&amp;ROW(M65)&amp;"_x0005_`"</f>
        <v>_x0007_`COD|E3_x0005_`QTY1|1_x0005_`EXI|0_x0005_`ITT|0_x0005_`END|65_x0005_`</v>
      </c>
      <c r="P54" s="7" t="s">
        <v>796</v>
      </c>
      <c r="Q54" s="7" t="s">
        <v>792</v>
      </c>
    </row>
    <row r="55" spans="1:29" ht="30.6" customHeight="1" x14ac:dyDescent="0.3">
      <c r="A55" s="10" t="s">
        <v>933</v>
      </c>
      <c r="B55" s="10" t="s">
        <v>934</v>
      </c>
      <c r="C55" s="40"/>
      <c r="D55" s="41"/>
      <c r="E55" s="23"/>
      <c r="F55" s="12">
        <v>0</v>
      </c>
      <c r="G55" s="46">
        <f>SUMIF(Q56:Q62,P55,G56:G62)</f>
        <v>2921644</v>
      </c>
      <c r="H55" s="13">
        <v>0</v>
      </c>
      <c r="I55" s="47">
        <f>SUMIF(Q56:Q62,P55,I56:I62)</f>
        <v>1276353</v>
      </c>
      <c r="J55" s="13">
        <v>0</v>
      </c>
      <c r="K55" s="52">
        <f>SUMIF(Q56:Q62,P55,K56:K62)</f>
        <v>455389</v>
      </c>
      <c r="L55" s="22">
        <v>0</v>
      </c>
      <c r="M55" s="52">
        <f>SUMIF(Q56:Q62,P55,M56:M62)</f>
        <v>1189902</v>
      </c>
      <c r="N55" s="23"/>
      <c r="O55" s="17" t="str">
        <f>"_x0007_`COD|E1_x0005_`QTY1|1_x0005_`EXI|0_x0005_`ITT|0_x0005_`END|"&amp;ROW(M63)&amp;"_x0005_`"</f>
        <v>_x0007_`COD|E1_x0005_`QTY1|1_x0005_`EXI|0_x0005_`ITT|0_x0005_`END|63_x0005_`</v>
      </c>
      <c r="P55" s="7" t="s">
        <v>845</v>
      </c>
      <c r="Q55" s="7" t="s">
        <v>796</v>
      </c>
    </row>
    <row r="56" spans="1:29" ht="30.6" customHeight="1" x14ac:dyDescent="0.3">
      <c r="A56" s="10"/>
      <c r="B56" s="10" t="s">
        <v>178</v>
      </c>
      <c r="C56" s="40" t="s">
        <v>179</v>
      </c>
      <c r="D56" s="42">
        <v>1</v>
      </c>
      <c r="E56" s="23" t="s">
        <v>180</v>
      </c>
      <c r="F56" s="44">
        <f t="shared" ref="F56:G62" si="12">J56+H56+L56</f>
        <v>870233</v>
      </c>
      <c r="G56" s="47">
        <f t="shared" si="12"/>
        <v>870233</v>
      </c>
      <c r="H56" s="49">
        <f>단가산출근거목록표!F21</f>
        <v>0</v>
      </c>
      <c r="I56" s="13">
        <f t="shared" ref="I56:I62" si="13">ROUNDDOWN(H56*D56,0)</f>
        <v>0</v>
      </c>
      <c r="J56" s="51">
        <f>단가산출근거목록표!G21</f>
        <v>0</v>
      </c>
      <c r="K56" s="13">
        <f t="shared" ref="K56:K62" si="14">ROUNDDOWN(J56*D56,0)</f>
        <v>0</v>
      </c>
      <c r="L56" s="53">
        <f>단가산출근거목록표!H21</f>
        <v>870233</v>
      </c>
      <c r="M56" s="22">
        <f t="shared" ref="M56:M62" si="15">ROUNDDOWN(L56*D56,0)</f>
        <v>870233</v>
      </c>
      <c r="N56" s="23" t="s">
        <v>937</v>
      </c>
      <c r="O56" s="17" t="s">
        <v>936</v>
      </c>
      <c r="P56" s="7" t="s">
        <v>935</v>
      </c>
      <c r="Q56" s="7" t="s">
        <v>845</v>
      </c>
      <c r="AC56" s="3" t="str">
        <f ca="1">HYPERLINK("#"&amp;단가산출근거목록표!J2&amp;"!A"&amp;ROW(단가산출근거목록표!A21),"산근18 →")</f>
        <v>산근18 →</v>
      </c>
    </row>
    <row r="57" spans="1:29" ht="30.6" customHeight="1" x14ac:dyDescent="0.3">
      <c r="A57" s="10"/>
      <c r="B57" s="10" t="s">
        <v>669</v>
      </c>
      <c r="C57" s="40" t="s">
        <v>670</v>
      </c>
      <c r="D57" s="42">
        <v>1</v>
      </c>
      <c r="E57" s="23" t="s">
        <v>180</v>
      </c>
      <c r="F57" s="44">
        <f t="shared" si="12"/>
        <v>40000</v>
      </c>
      <c r="G57" s="47">
        <f t="shared" si="12"/>
        <v>40000</v>
      </c>
      <c r="H57" s="49">
        <f>일식견적목록표!F5</f>
        <v>0</v>
      </c>
      <c r="I57" s="13">
        <f t="shared" si="13"/>
        <v>0</v>
      </c>
      <c r="J57" s="51">
        <f>일식견적목록표!G5</f>
        <v>0</v>
      </c>
      <c r="K57" s="13">
        <f t="shared" si="14"/>
        <v>0</v>
      </c>
      <c r="L57" s="53">
        <f>일식견적목록표!H5</f>
        <v>40000</v>
      </c>
      <c r="M57" s="22">
        <f t="shared" si="15"/>
        <v>40000</v>
      </c>
      <c r="N57" s="23" t="s">
        <v>940</v>
      </c>
      <c r="O57" s="17" t="s">
        <v>939</v>
      </c>
      <c r="P57" s="7" t="s">
        <v>938</v>
      </c>
      <c r="Q57" s="7" t="s">
        <v>845</v>
      </c>
      <c r="AC57" s="3" t="str">
        <f ca="1">HYPERLINK("#"&amp;일식견적목록표!J2&amp;"!A"&amp;ROW(일식견적목록표!A5),"기타2 →")</f>
        <v>기타2 →</v>
      </c>
    </row>
    <row r="58" spans="1:29" ht="30.6" customHeight="1" x14ac:dyDescent="0.3">
      <c r="A58" s="10"/>
      <c r="B58" s="10" t="s">
        <v>666</v>
      </c>
      <c r="C58" s="40" t="s">
        <v>667</v>
      </c>
      <c r="D58" s="42">
        <v>1</v>
      </c>
      <c r="E58" s="23" t="s">
        <v>180</v>
      </c>
      <c r="F58" s="44">
        <f t="shared" si="12"/>
        <v>40000</v>
      </c>
      <c r="G58" s="47">
        <f t="shared" si="12"/>
        <v>40000</v>
      </c>
      <c r="H58" s="49">
        <f>일식견적목록표!F4</f>
        <v>0</v>
      </c>
      <c r="I58" s="13">
        <f t="shared" si="13"/>
        <v>0</v>
      </c>
      <c r="J58" s="51">
        <f>일식견적목록표!G4</f>
        <v>0</v>
      </c>
      <c r="K58" s="13">
        <f t="shared" si="14"/>
        <v>0</v>
      </c>
      <c r="L58" s="53">
        <f>일식견적목록표!H4</f>
        <v>40000</v>
      </c>
      <c r="M58" s="22">
        <f t="shared" si="15"/>
        <v>40000</v>
      </c>
      <c r="N58" s="23" t="s">
        <v>943</v>
      </c>
      <c r="O58" s="17" t="s">
        <v>942</v>
      </c>
      <c r="P58" s="7" t="s">
        <v>941</v>
      </c>
      <c r="Q58" s="7" t="s">
        <v>845</v>
      </c>
      <c r="AC58" s="3" t="str">
        <f ca="1">HYPERLINK("#"&amp;일식견적목록표!J2&amp;"!A"&amp;ROW(일식견적목록표!A4),"기타1 →")</f>
        <v>기타1 →</v>
      </c>
    </row>
    <row r="59" spans="1:29" ht="30.6" customHeight="1" x14ac:dyDescent="0.3">
      <c r="A59" s="10"/>
      <c r="B59" s="10" t="s">
        <v>182</v>
      </c>
      <c r="C59" s="40" t="s">
        <v>183</v>
      </c>
      <c r="D59" s="42">
        <v>0.5</v>
      </c>
      <c r="E59" s="23" t="s">
        <v>14</v>
      </c>
      <c r="F59" s="44">
        <f t="shared" si="12"/>
        <v>19887</v>
      </c>
      <c r="G59" s="47">
        <f t="shared" si="12"/>
        <v>9942</v>
      </c>
      <c r="H59" s="49">
        <f>단가산출근거목록표!F22</f>
        <v>2275</v>
      </c>
      <c r="I59" s="13">
        <f t="shared" si="13"/>
        <v>1137</v>
      </c>
      <c r="J59" s="51">
        <f>단가산출근거목록표!G22</f>
        <v>17337</v>
      </c>
      <c r="K59" s="13">
        <f t="shared" si="14"/>
        <v>8668</v>
      </c>
      <c r="L59" s="53">
        <f>단가산출근거목록표!H22</f>
        <v>275</v>
      </c>
      <c r="M59" s="22">
        <f t="shared" si="15"/>
        <v>137</v>
      </c>
      <c r="N59" s="23" t="s">
        <v>946</v>
      </c>
      <c r="O59" s="17" t="s">
        <v>945</v>
      </c>
      <c r="P59" s="7" t="s">
        <v>944</v>
      </c>
      <c r="Q59" s="7" t="s">
        <v>845</v>
      </c>
      <c r="AC59" s="3" t="str">
        <f ca="1">HYPERLINK("#"&amp;단가산출근거목록표!J2&amp;"!A"&amp;ROW(단가산출근거목록표!A22),"산근19 →")</f>
        <v>산근19 →</v>
      </c>
    </row>
    <row r="60" spans="1:29" ht="30.6" customHeight="1" x14ac:dyDescent="0.3">
      <c r="A60" s="10"/>
      <c r="B60" s="10" t="s">
        <v>185</v>
      </c>
      <c r="C60" s="40" t="s">
        <v>183</v>
      </c>
      <c r="D60" s="42">
        <v>0.8</v>
      </c>
      <c r="E60" s="23" t="s">
        <v>14</v>
      </c>
      <c r="F60" s="44">
        <f t="shared" si="12"/>
        <v>19887</v>
      </c>
      <c r="G60" s="47">
        <f t="shared" si="12"/>
        <v>15909</v>
      </c>
      <c r="H60" s="49">
        <f>단가산출근거목록표!F23</f>
        <v>2275</v>
      </c>
      <c r="I60" s="13">
        <f t="shared" si="13"/>
        <v>1820</v>
      </c>
      <c r="J60" s="51">
        <f>단가산출근거목록표!G23</f>
        <v>17337</v>
      </c>
      <c r="K60" s="13">
        <f t="shared" si="14"/>
        <v>13869</v>
      </c>
      <c r="L60" s="53">
        <f>단가산출근거목록표!H23</f>
        <v>275</v>
      </c>
      <c r="M60" s="22">
        <f t="shared" si="15"/>
        <v>220</v>
      </c>
      <c r="N60" s="23" t="s">
        <v>949</v>
      </c>
      <c r="O60" s="17" t="s">
        <v>948</v>
      </c>
      <c r="P60" s="7" t="s">
        <v>947</v>
      </c>
      <c r="Q60" s="7" t="s">
        <v>845</v>
      </c>
      <c r="AC60" s="3" t="str">
        <f ca="1">HYPERLINK("#"&amp;단가산출근거목록표!J2&amp;"!A"&amp;ROW(단가산출근거목록표!A23),"산근20 →")</f>
        <v>산근20 →</v>
      </c>
    </row>
    <row r="61" spans="1:29" ht="30.6" customHeight="1" x14ac:dyDescent="0.3">
      <c r="A61" s="10"/>
      <c r="B61" s="10" t="s">
        <v>187</v>
      </c>
      <c r="C61" s="40" t="s">
        <v>188</v>
      </c>
      <c r="D61" s="42">
        <v>12</v>
      </c>
      <c r="E61" s="23" t="s">
        <v>14</v>
      </c>
      <c r="F61" s="44">
        <f t="shared" si="12"/>
        <v>24414</v>
      </c>
      <c r="G61" s="47">
        <f t="shared" si="12"/>
        <v>292968</v>
      </c>
      <c r="H61" s="49">
        <f>단가산출근거목록표!F24</f>
        <v>5987</v>
      </c>
      <c r="I61" s="13">
        <f t="shared" si="13"/>
        <v>71844</v>
      </c>
      <c r="J61" s="51">
        <f>단가산출근거목록표!G24</f>
        <v>17703</v>
      </c>
      <c r="K61" s="13">
        <f t="shared" si="14"/>
        <v>212436</v>
      </c>
      <c r="L61" s="53">
        <f>단가산출근거목록표!H24</f>
        <v>724</v>
      </c>
      <c r="M61" s="22">
        <f t="shared" si="15"/>
        <v>8688</v>
      </c>
      <c r="N61" s="23" t="s">
        <v>952</v>
      </c>
      <c r="O61" s="17" t="s">
        <v>951</v>
      </c>
      <c r="P61" s="7" t="s">
        <v>950</v>
      </c>
      <c r="Q61" s="7" t="s">
        <v>845</v>
      </c>
      <c r="AC61" s="3" t="str">
        <f ca="1">HYPERLINK("#"&amp;단가산출근거목록표!J2&amp;"!A"&amp;ROW(단가산출근거목록표!A24),"산근21 →")</f>
        <v>산근21 →</v>
      </c>
    </row>
    <row r="62" spans="1:29" ht="30.6" customHeight="1" x14ac:dyDescent="0.3">
      <c r="A62" s="10"/>
      <c r="B62" s="10" t="s">
        <v>91</v>
      </c>
      <c r="C62" s="40" t="s">
        <v>92</v>
      </c>
      <c r="D62" s="42">
        <v>16</v>
      </c>
      <c r="E62" s="23" t="s">
        <v>28</v>
      </c>
      <c r="F62" s="44">
        <f t="shared" si="12"/>
        <v>103287</v>
      </c>
      <c r="G62" s="47">
        <f t="shared" si="12"/>
        <v>1652592</v>
      </c>
      <c r="H62" s="49">
        <f>일위대가목록표!F23</f>
        <v>75097</v>
      </c>
      <c r="I62" s="13">
        <f t="shared" si="13"/>
        <v>1201552</v>
      </c>
      <c r="J62" s="51">
        <f>일위대가목록표!G23</f>
        <v>13776</v>
      </c>
      <c r="K62" s="13">
        <f t="shared" si="14"/>
        <v>220416</v>
      </c>
      <c r="L62" s="53">
        <f>일위대가목록표!H23</f>
        <v>14414</v>
      </c>
      <c r="M62" s="22">
        <f t="shared" si="15"/>
        <v>230624</v>
      </c>
      <c r="N62" s="23" t="s">
        <v>955</v>
      </c>
      <c r="O62" s="17" t="s">
        <v>954</v>
      </c>
      <c r="P62" s="7" t="s">
        <v>953</v>
      </c>
      <c r="Q62" s="7" t="s">
        <v>845</v>
      </c>
      <c r="AC62" s="3" t="str">
        <f ca="1">HYPERLINK("#"&amp;일위대가목록표!J2&amp;"!A"&amp;ROW(일위대가목록표!A23),"대가20 →")</f>
        <v>대가20 →</v>
      </c>
    </row>
    <row r="63" spans="1:29" ht="30.6" customHeight="1" x14ac:dyDescent="0.3">
      <c r="A63" s="10" t="s">
        <v>956</v>
      </c>
      <c r="B63" s="10" t="s">
        <v>957</v>
      </c>
      <c r="C63" s="40"/>
      <c r="D63" s="41"/>
      <c r="E63" s="23"/>
      <c r="F63" s="12">
        <v>0</v>
      </c>
      <c r="G63" s="46">
        <f>SUMIF(Q64:Q64,P63,G64:G64)</f>
        <v>253560</v>
      </c>
      <c r="H63" s="13">
        <v>0</v>
      </c>
      <c r="I63" s="47">
        <f>SUMIF(Q64:Q64,P63,I64:I64)</f>
        <v>93890</v>
      </c>
      <c r="J63" s="13">
        <v>0</v>
      </c>
      <c r="K63" s="52">
        <f>SUMIF(Q64:Q64,P63,K64:K64)</f>
        <v>139576</v>
      </c>
      <c r="L63" s="22">
        <v>0</v>
      </c>
      <c r="M63" s="52">
        <f>SUMIF(Q64:Q64,P63,M64:M64)</f>
        <v>20094</v>
      </c>
      <c r="N63" s="23"/>
      <c r="O63" s="17" t="str">
        <f>"_x0007_`COD|E1_x0005_`QTY1|1_x0005_`EXI|0_x0005_`ITT|0_x0005_`END|"&amp;ROW(M65)&amp;"_x0005_`"</f>
        <v>_x0007_`COD|E1_x0005_`QTY1|1_x0005_`EXI|0_x0005_`ITT|0_x0005_`END|65_x0005_`</v>
      </c>
      <c r="P63" s="7" t="s">
        <v>845</v>
      </c>
      <c r="Q63" s="7" t="s">
        <v>796</v>
      </c>
    </row>
    <row r="64" spans="1:29" ht="30.6" customHeight="1" x14ac:dyDescent="0.3">
      <c r="A64" s="10"/>
      <c r="B64" s="10" t="s">
        <v>95</v>
      </c>
      <c r="C64" s="40" t="s">
        <v>96</v>
      </c>
      <c r="D64" s="42">
        <v>2</v>
      </c>
      <c r="E64" s="23" t="s">
        <v>38</v>
      </c>
      <c r="F64" s="44">
        <f>J64+H64+L64</f>
        <v>126780</v>
      </c>
      <c r="G64" s="47">
        <f>K64+I64+M64</f>
        <v>253560</v>
      </c>
      <c r="H64" s="49">
        <f>일위대가목록표!F24</f>
        <v>46945</v>
      </c>
      <c r="I64" s="13">
        <f>ROUNDDOWN(H64*D64,0)</f>
        <v>93890</v>
      </c>
      <c r="J64" s="51">
        <f>일위대가목록표!G24</f>
        <v>69788</v>
      </c>
      <c r="K64" s="13">
        <f>ROUNDDOWN(J64*D64,0)</f>
        <v>139576</v>
      </c>
      <c r="L64" s="53">
        <f>일위대가목록표!H24</f>
        <v>10047</v>
      </c>
      <c r="M64" s="22">
        <f>ROUNDDOWN(L64*D64,0)</f>
        <v>20094</v>
      </c>
      <c r="N64" s="23" t="s">
        <v>960</v>
      </c>
      <c r="O64" s="17" t="s">
        <v>959</v>
      </c>
      <c r="P64" s="7" t="s">
        <v>958</v>
      </c>
      <c r="Q64" s="7" t="s">
        <v>845</v>
      </c>
      <c r="AC64" s="3" t="str">
        <f ca="1">HYPERLINK("#"&amp;일위대가목록표!J2&amp;"!A"&amp;ROW(일위대가목록표!A24),"대가21 →")</f>
        <v>대가21 →</v>
      </c>
    </row>
    <row r="65" spans="1:29" ht="30.6" customHeight="1" x14ac:dyDescent="0.3">
      <c r="A65" s="10" t="s">
        <v>931</v>
      </c>
      <c r="B65" s="10" t="s">
        <v>932</v>
      </c>
      <c r="C65" s="40"/>
      <c r="D65" s="41"/>
      <c r="E65" s="23"/>
      <c r="F65" s="12">
        <v>0</v>
      </c>
      <c r="G65" s="46">
        <f>SUMIF(Q66:Q87,P65,G66:G87)</f>
        <v>15138423</v>
      </c>
      <c r="H65" s="13">
        <v>0</v>
      </c>
      <c r="I65" s="47">
        <f>SUMIF(Q66:Q87,P65,I66:I87)</f>
        <v>0</v>
      </c>
      <c r="J65" s="13">
        <v>0</v>
      </c>
      <c r="K65" s="52">
        <f>SUMIF(Q66:Q87,P65,K66:K87)</f>
        <v>15138423</v>
      </c>
      <c r="L65" s="22">
        <v>0</v>
      </c>
      <c r="M65" s="52">
        <f>SUMIF(Q66:Q87,P65,M66:M87)</f>
        <v>0</v>
      </c>
      <c r="N65" s="23"/>
      <c r="O65" s="17" t="str">
        <f>"_x0007_`COD|E3_x0005_`QTY1|1_x0005_`EXI|0_x0005_`ITT|0_x0005_`END|"&amp;ROW(M88)&amp;"_x0005_`"</f>
        <v>_x0007_`COD|E3_x0005_`QTY1|1_x0005_`EXI|0_x0005_`ITT|0_x0005_`END|88_x0005_`</v>
      </c>
      <c r="P65" s="7" t="s">
        <v>796</v>
      </c>
      <c r="Q65" s="7" t="s">
        <v>792</v>
      </c>
    </row>
    <row r="66" spans="1:29" ht="30.6" customHeight="1" x14ac:dyDescent="0.3">
      <c r="A66" s="10"/>
      <c r="B66" s="10" t="s">
        <v>456</v>
      </c>
      <c r="C66" s="40" t="s">
        <v>457</v>
      </c>
      <c r="D66" s="42">
        <v>2</v>
      </c>
      <c r="E66" s="23" t="s">
        <v>115</v>
      </c>
      <c r="F66" s="44">
        <f t="shared" ref="F66:F87" si="16">J66+H66+L66</f>
        <v>94240</v>
      </c>
      <c r="G66" s="47">
        <f t="shared" ref="G66:G87" si="17">K66+I66+M66</f>
        <v>188480</v>
      </c>
      <c r="H66" s="50">
        <v>0</v>
      </c>
      <c r="I66" s="22">
        <f t="shared" ref="I66:I87" si="18">ROUNDDOWN(H66*D66,0)</f>
        <v>0</v>
      </c>
      <c r="J66" s="51">
        <f>재료비목록표!E23</f>
        <v>94240</v>
      </c>
      <c r="K66" s="13">
        <f t="shared" ref="K66:K87" si="19">ROUNDDOWN(J66*D66,0)</f>
        <v>188480</v>
      </c>
      <c r="L66" s="54">
        <v>0</v>
      </c>
      <c r="M66" s="22">
        <f t="shared" ref="M66:M87" si="20">ROUNDDOWN(L66*D66,0)</f>
        <v>0</v>
      </c>
      <c r="N66" s="23" t="s">
        <v>963</v>
      </c>
      <c r="O66" s="17" t="s">
        <v>962</v>
      </c>
      <c r="P66" s="7" t="s">
        <v>961</v>
      </c>
      <c r="Q66" s="7" t="s">
        <v>796</v>
      </c>
      <c r="AC66" s="3" t="str">
        <f ca="1">HYPERLINK("#"&amp;재료비목록표!G2&amp;"!A"&amp;ROW(재료비목록표!A23),"자재20 →")</f>
        <v>자재20 →</v>
      </c>
    </row>
    <row r="67" spans="1:29" ht="30.6" customHeight="1" x14ac:dyDescent="0.3">
      <c r="A67" s="10"/>
      <c r="B67" s="10" t="s">
        <v>506</v>
      </c>
      <c r="C67" s="40" t="s">
        <v>511</v>
      </c>
      <c r="D67" s="42">
        <v>3</v>
      </c>
      <c r="E67" s="23" t="s">
        <v>221</v>
      </c>
      <c r="F67" s="44">
        <f t="shared" si="16"/>
        <v>116160</v>
      </c>
      <c r="G67" s="47">
        <f t="shared" si="17"/>
        <v>348480</v>
      </c>
      <c r="H67" s="50">
        <v>0</v>
      </c>
      <c r="I67" s="22">
        <f t="shared" si="18"/>
        <v>0</v>
      </c>
      <c r="J67" s="51">
        <f>재료비목록표!E37</f>
        <v>116160</v>
      </c>
      <c r="K67" s="13">
        <f t="shared" si="19"/>
        <v>348480</v>
      </c>
      <c r="L67" s="54">
        <v>0</v>
      </c>
      <c r="M67" s="22">
        <f t="shared" si="20"/>
        <v>0</v>
      </c>
      <c r="N67" s="23" t="s">
        <v>966</v>
      </c>
      <c r="O67" s="17" t="s">
        <v>965</v>
      </c>
      <c r="P67" s="7" t="s">
        <v>964</v>
      </c>
      <c r="Q67" s="7" t="s">
        <v>796</v>
      </c>
      <c r="AC67" s="3" t="str">
        <f ca="1">HYPERLINK("#"&amp;재료비목록표!G2&amp;"!A"&amp;ROW(재료비목록표!A37),"자재34 →")</f>
        <v>자재34 →</v>
      </c>
    </row>
    <row r="68" spans="1:29" ht="30.6" customHeight="1" x14ac:dyDescent="0.3">
      <c r="A68" s="10"/>
      <c r="B68" s="10" t="s">
        <v>506</v>
      </c>
      <c r="C68" s="40" t="s">
        <v>507</v>
      </c>
      <c r="D68" s="42">
        <v>8</v>
      </c>
      <c r="E68" s="23" t="s">
        <v>508</v>
      </c>
      <c r="F68" s="44">
        <f t="shared" si="16"/>
        <v>93170</v>
      </c>
      <c r="G68" s="47">
        <f t="shared" si="17"/>
        <v>745360</v>
      </c>
      <c r="H68" s="50">
        <v>0</v>
      </c>
      <c r="I68" s="22">
        <f t="shared" si="18"/>
        <v>0</v>
      </c>
      <c r="J68" s="51">
        <f>재료비목록표!E36</f>
        <v>93170</v>
      </c>
      <c r="K68" s="13">
        <f t="shared" si="19"/>
        <v>745360</v>
      </c>
      <c r="L68" s="54">
        <v>0</v>
      </c>
      <c r="M68" s="22">
        <f t="shared" si="20"/>
        <v>0</v>
      </c>
      <c r="N68" s="23" t="s">
        <v>969</v>
      </c>
      <c r="O68" s="17" t="s">
        <v>968</v>
      </c>
      <c r="P68" s="7" t="s">
        <v>967</v>
      </c>
      <c r="Q68" s="7" t="s">
        <v>796</v>
      </c>
      <c r="AC68" s="3" t="str">
        <f ca="1">HYPERLINK("#"&amp;재료비목록표!G2&amp;"!A"&amp;ROW(재료비목록표!A36),"자재33 →")</f>
        <v>자재33 →</v>
      </c>
    </row>
    <row r="69" spans="1:29" ht="30.6" customHeight="1" x14ac:dyDescent="0.3">
      <c r="A69" s="10"/>
      <c r="B69" s="10" t="s">
        <v>514</v>
      </c>
      <c r="C69" s="40" t="s">
        <v>519</v>
      </c>
      <c r="D69" s="42">
        <v>0.1</v>
      </c>
      <c r="E69" s="23" t="s">
        <v>516</v>
      </c>
      <c r="F69" s="44">
        <f t="shared" si="16"/>
        <v>154620</v>
      </c>
      <c r="G69" s="47">
        <f t="shared" si="17"/>
        <v>15462</v>
      </c>
      <c r="H69" s="50">
        <v>0</v>
      </c>
      <c r="I69" s="22">
        <f t="shared" si="18"/>
        <v>0</v>
      </c>
      <c r="J69" s="51">
        <f>재료비목록표!E39</f>
        <v>154620</v>
      </c>
      <c r="K69" s="13">
        <f t="shared" si="19"/>
        <v>15462</v>
      </c>
      <c r="L69" s="54">
        <v>0</v>
      </c>
      <c r="M69" s="22">
        <f t="shared" si="20"/>
        <v>0</v>
      </c>
      <c r="N69" s="23" t="s">
        <v>972</v>
      </c>
      <c r="O69" s="17" t="s">
        <v>971</v>
      </c>
      <c r="P69" s="7" t="s">
        <v>970</v>
      </c>
      <c r="Q69" s="7" t="s">
        <v>796</v>
      </c>
      <c r="AC69" s="3" t="str">
        <f ca="1">HYPERLINK("#"&amp;재료비목록표!G2&amp;"!A"&amp;ROW(재료비목록표!A39),"자재36 →")</f>
        <v>자재36 →</v>
      </c>
    </row>
    <row r="70" spans="1:29" ht="30.6" customHeight="1" x14ac:dyDescent="0.3">
      <c r="A70" s="10"/>
      <c r="B70" s="10" t="s">
        <v>514</v>
      </c>
      <c r="C70" s="40" t="s">
        <v>515</v>
      </c>
      <c r="D70" s="42">
        <v>0.1</v>
      </c>
      <c r="E70" s="23" t="s">
        <v>516</v>
      </c>
      <c r="F70" s="44">
        <f t="shared" si="16"/>
        <v>154620</v>
      </c>
      <c r="G70" s="47">
        <f t="shared" si="17"/>
        <v>15462</v>
      </c>
      <c r="H70" s="50">
        <v>0</v>
      </c>
      <c r="I70" s="22">
        <f t="shared" si="18"/>
        <v>0</v>
      </c>
      <c r="J70" s="51">
        <f>재료비목록표!E38</f>
        <v>154620</v>
      </c>
      <c r="K70" s="13">
        <f t="shared" si="19"/>
        <v>15462</v>
      </c>
      <c r="L70" s="54">
        <v>0</v>
      </c>
      <c r="M70" s="22">
        <f t="shared" si="20"/>
        <v>0</v>
      </c>
      <c r="N70" s="23" t="s">
        <v>975</v>
      </c>
      <c r="O70" s="17" t="s">
        <v>974</v>
      </c>
      <c r="P70" s="7" t="s">
        <v>973</v>
      </c>
      <c r="Q70" s="7" t="s">
        <v>796</v>
      </c>
      <c r="AC70" s="3" t="str">
        <f ca="1">HYPERLINK("#"&amp;재료비목록표!G2&amp;"!A"&amp;ROW(재료비목록표!A38),"자재35 →")</f>
        <v>자재35 →</v>
      </c>
    </row>
    <row r="71" spans="1:29" ht="30.6" customHeight="1" x14ac:dyDescent="0.3">
      <c r="A71" s="10"/>
      <c r="B71" s="10" t="s">
        <v>578</v>
      </c>
      <c r="C71" s="40" t="s">
        <v>579</v>
      </c>
      <c r="D71" s="42">
        <v>17</v>
      </c>
      <c r="E71" s="23" t="s">
        <v>115</v>
      </c>
      <c r="F71" s="44">
        <f t="shared" si="16"/>
        <v>26000</v>
      </c>
      <c r="G71" s="47">
        <f t="shared" si="17"/>
        <v>442000</v>
      </c>
      <c r="H71" s="50">
        <v>0</v>
      </c>
      <c r="I71" s="22">
        <f t="shared" si="18"/>
        <v>0</v>
      </c>
      <c r="J71" s="51">
        <f>재료비목록표!E55</f>
        <v>26000</v>
      </c>
      <c r="K71" s="13">
        <f t="shared" si="19"/>
        <v>442000</v>
      </c>
      <c r="L71" s="54">
        <v>0</v>
      </c>
      <c r="M71" s="22">
        <f t="shared" si="20"/>
        <v>0</v>
      </c>
      <c r="N71" s="23" t="s">
        <v>978</v>
      </c>
      <c r="O71" s="17" t="s">
        <v>977</v>
      </c>
      <c r="P71" s="7" t="s">
        <v>976</v>
      </c>
      <c r="Q71" s="7" t="s">
        <v>796</v>
      </c>
      <c r="AC71" s="3" t="str">
        <f ca="1">HYPERLINK("#"&amp;재료비목록표!G2&amp;"!A"&amp;ROW(재료비목록표!A55),"자재52 →")</f>
        <v>자재52 →</v>
      </c>
    </row>
    <row r="72" spans="1:29" ht="30.6" customHeight="1" x14ac:dyDescent="0.3">
      <c r="A72" s="10"/>
      <c r="B72" s="10" t="s">
        <v>467</v>
      </c>
      <c r="C72" s="40" t="s">
        <v>468</v>
      </c>
      <c r="D72" s="42">
        <v>9</v>
      </c>
      <c r="E72" s="23" t="s">
        <v>115</v>
      </c>
      <c r="F72" s="44">
        <f t="shared" si="16"/>
        <v>37000</v>
      </c>
      <c r="G72" s="47">
        <f t="shared" si="17"/>
        <v>333000</v>
      </c>
      <c r="H72" s="50">
        <v>0</v>
      </c>
      <c r="I72" s="22">
        <f t="shared" si="18"/>
        <v>0</v>
      </c>
      <c r="J72" s="51">
        <f>재료비목록표!E26</f>
        <v>37000</v>
      </c>
      <c r="K72" s="13">
        <f t="shared" si="19"/>
        <v>333000</v>
      </c>
      <c r="L72" s="54">
        <v>0</v>
      </c>
      <c r="M72" s="22">
        <f t="shared" si="20"/>
        <v>0</v>
      </c>
      <c r="N72" s="23" t="s">
        <v>981</v>
      </c>
      <c r="O72" s="17" t="s">
        <v>980</v>
      </c>
      <c r="P72" s="7" t="s">
        <v>979</v>
      </c>
      <c r="Q72" s="7" t="s">
        <v>796</v>
      </c>
      <c r="AC72" s="3" t="str">
        <f ca="1">HYPERLINK("#"&amp;재료비목록표!G2&amp;"!A"&amp;ROW(재료비목록표!A26),"자재23 →")</f>
        <v>자재23 →</v>
      </c>
    </row>
    <row r="73" spans="1:29" ht="30.6" customHeight="1" x14ac:dyDescent="0.3">
      <c r="A73" s="10"/>
      <c r="B73" s="10" t="s">
        <v>497</v>
      </c>
      <c r="C73" s="40" t="s">
        <v>502</v>
      </c>
      <c r="D73" s="42">
        <v>1</v>
      </c>
      <c r="E73" s="23" t="s">
        <v>503</v>
      </c>
      <c r="F73" s="44">
        <f t="shared" si="16"/>
        <v>8300</v>
      </c>
      <c r="G73" s="47">
        <f t="shared" si="17"/>
        <v>8300</v>
      </c>
      <c r="H73" s="50">
        <v>0</v>
      </c>
      <c r="I73" s="22">
        <f t="shared" si="18"/>
        <v>0</v>
      </c>
      <c r="J73" s="51">
        <f>재료비목록표!E35</f>
        <v>8300</v>
      </c>
      <c r="K73" s="13">
        <f t="shared" si="19"/>
        <v>8300</v>
      </c>
      <c r="L73" s="54">
        <v>0</v>
      </c>
      <c r="M73" s="22">
        <f t="shared" si="20"/>
        <v>0</v>
      </c>
      <c r="N73" s="23" t="s">
        <v>984</v>
      </c>
      <c r="O73" s="17" t="s">
        <v>983</v>
      </c>
      <c r="P73" s="7" t="s">
        <v>982</v>
      </c>
      <c r="Q73" s="7" t="s">
        <v>796</v>
      </c>
      <c r="AC73" s="3" t="str">
        <f ca="1">HYPERLINK("#"&amp;재료비목록표!G2&amp;"!A"&amp;ROW(재료비목록표!A35),"자재32 →")</f>
        <v>자재32 →</v>
      </c>
    </row>
    <row r="74" spans="1:29" ht="30.6" customHeight="1" x14ac:dyDescent="0.3">
      <c r="A74" s="10"/>
      <c r="B74" s="10" t="s">
        <v>493</v>
      </c>
      <c r="C74" s="40" t="s">
        <v>494</v>
      </c>
      <c r="D74" s="42">
        <v>2</v>
      </c>
      <c r="E74" s="23" t="s">
        <v>106</v>
      </c>
      <c r="F74" s="44">
        <f t="shared" si="16"/>
        <v>2370000</v>
      </c>
      <c r="G74" s="47">
        <f t="shared" si="17"/>
        <v>4740000</v>
      </c>
      <c r="H74" s="50">
        <v>0</v>
      </c>
      <c r="I74" s="22">
        <f t="shared" si="18"/>
        <v>0</v>
      </c>
      <c r="J74" s="51">
        <f>재료비목록표!E33</f>
        <v>2370000</v>
      </c>
      <c r="K74" s="13">
        <f t="shared" si="19"/>
        <v>4740000</v>
      </c>
      <c r="L74" s="54">
        <v>0</v>
      </c>
      <c r="M74" s="22">
        <f t="shared" si="20"/>
        <v>0</v>
      </c>
      <c r="N74" s="23" t="s">
        <v>987</v>
      </c>
      <c r="O74" s="17" t="s">
        <v>986</v>
      </c>
      <c r="P74" s="7" t="s">
        <v>985</v>
      </c>
      <c r="Q74" s="7" t="s">
        <v>796</v>
      </c>
      <c r="AC74" s="3" t="str">
        <f ca="1">HYPERLINK("#"&amp;재료비목록표!G2&amp;"!A"&amp;ROW(재료비목록표!A33),"자재30 →")</f>
        <v>자재30 →</v>
      </c>
    </row>
    <row r="75" spans="1:29" ht="30.6" customHeight="1" x14ac:dyDescent="0.3">
      <c r="A75" s="10"/>
      <c r="B75" s="10" t="s">
        <v>474</v>
      </c>
      <c r="C75" s="40" t="s">
        <v>478</v>
      </c>
      <c r="D75" s="42">
        <v>5</v>
      </c>
      <c r="E75" s="23" t="s">
        <v>106</v>
      </c>
      <c r="F75" s="44">
        <f t="shared" si="16"/>
        <v>29300</v>
      </c>
      <c r="G75" s="47">
        <f t="shared" si="17"/>
        <v>146500</v>
      </c>
      <c r="H75" s="50">
        <v>0</v>
      </c>
      <c r="I75" s="22">
        <f t="shared" si="18"/>
        <v>0</v>
      </c>
      <c r="J75" s="51">
        <f>재료비목록표!E29</f>
        <v>29300</v>
      </c>
      <c r="K75" s="13">
        <f t="shared" si="19"/>
        <v>146500</v>
      </c>
      <c r="L75" s="54">
        <v>0</v>
      </c>
      <c r="M75" s="22">
        <f t="shared" si="20"/>
        <v>0</v>
      </c>
      <c r="N75" s="23" t="s">
        <v>990</v>
      </c>
      <c r="O75" s="17" t="s">
        <v>989</v>
      </c>
      <c r="P75" s="7" t="s">
        <v>988</v>
      </c>
      <c r="Q75" s="7" t="s">
        <v>796</v>
      </c>
      <c r="AC75" s="3" t="str">
        <f ca="1">HYPERLINK("#"&amp;재료비목록표!G2&amp;"!A"&amp;ROW(재료비목록표!A29),"자재26 →")</f>
        <v>자재26 →</v>
      </c>
    </row>
    <row r="76" spans="1:29" ht="30.6" customHeight="1" x14ac:dyDescent="0.3">
      <c r="A76" s="10"/>
      <c r="B76" s="10" t="s">
        <v>474</v>
      </c>
      <c r="C76" s="40" t="s">
        <v>475</v>
      </c>
      <c r="D76" s="42">
        <v>4</v>
      </c>
      <c r="E76" s="23" t="s">
        <v>106</v>
      </c>
      <c r="F76" s="44">
        <f t="shared" si="16"/>
        <v>16100</v>
      </c>
      <c r="G76" s="47">
        <f t="shared" si="17"/>
        <v>64400</v>
      </c>
      <c r="H76" s="50">
        <v>0</v>
      </c>
      <c r="I76" s="22">
        <f t="shared" si="18"/>
        <v>0</v>
      </c>
      <c r="J76" s="51">
        <f>재료비목록표!E28</f>
        <v>16100</v>
      </c>
      <c r="K76" s="13">
        <f t="shared" si="19"/>
        <v>64400</v>
      </c>
      <c r="L76" s="54">
        <v>0</v>
      </c>
      <c r="M76" s="22">
        <f t="shared" si="20"/>
        <v>0</v>
      </c>
      <c r="N76" s="23" t="s">
        <v>993</v>
      </c>
      <c r="O76" s="17" t="s">
        <v>992</v>
      </c>
      <c r="P76" s="7" t="s">
        <v>991</v>
      </c>
      <c r="Q76" s="7" t="s">
        <v>796</v>
      </c>
      <c r="AC76" s="3" t="str">
        <f ca="1">HYPERLINK("#"&amp;재료비목록표!G2&amp;"!A"&amp;ROW(재료비목록표!A28),"자재25 →")</f>
        <v>자재25 →</v>
      </c>
    </row>
    <row r="77" spans="1:29" ht="30.6" customHeight="1" x14ac:dyDescent="0.3">
      <c r="A77" s="10"/>
      <c r="B77" s="10" t="s">
        <v>447</v>
      </c>
      <c r="C77" s="40" t="s">
        <v>448</v>
      </c>
      <c r="D77" s="42">
        <v>8</v>
      </c>
      <c r="E77" s="23" t="s">
        <v>106</v>
      </c>
      <c r="F77" s="44">
        <f t="shared" si="16"/>
        <v>17890</v>
      </c>
      <c r="G77" s="47">
        <f t="shared" si="17"/>
        <v>143120</v>
      </c>
      <c r="H77" s="50">
        <v>0</v>
      </c>
      <c r="I77" s="22">
        <f t="shared" si="18"/>
        <v>0</v>
      </c>
      <c r="J77" s="51">
        <f>재료비목록표!E21</f>
        <v>17890</v>
      </c>
      <c r="K77" s="13">
        <f t="shared" si="19"/>
        <v>143120</v>
      </c>
      <c r="L77" s="54">
        <v>0</v>
      </c>
      <c r="M77" s="22">
        <f t="shared" si="20"/>
        <v>0</v>
      </c>
      <c r="N77" s="23" t="s">
        <v>996</v>
      </c>
      <c r="O77" s="17" t="s">
        <v>995</v>
      </c>
      <c r="P77" s="7" t="s">
        <v>994</v>
      </c>
      <c r="Q77" s="7" t="s">
        <v>796</v>
      </c>
      <c r="AC77" s="3" t="str">
        <f ca="1">HYPERLINK("#"&amp;재료비목록표!G2&amp;"!A"&amp;ROW(재료비목록표!A21),"자재18 →")</f>
        <v>자재18 →</v>
      </c>
    </row>
    <row r="78" spans="1:29" ht="30.6" customHeight="1" x14ac:dyDescent="0.3">
      <c r="A78" s="10"/>
      <c r="B78" s="10" t="s">
        <v>542</v>
      </c>
      <c r="C78" s="40" t="s">
        <v>543</v>
      </c>
      <c r="D78" s="42">
        <v>38</v>
      </c>
      <c r="E78" s="23" t="s">
        <v>106</v>
      </c>
      <c r="F78" s="44">
        <f t="shared" si="16"/>
        <v>4000</v>
      </c>
      <c r="G78" s="47">
        <f t="shared" si="17"/>
        <v>152000</v>
      </c>
      <c r="H78" s="50">
        <v>0</v>
      </c>
      <c r="I78" s="22">
        <f t="shared" si="18"/>
        <v>0</v>
      </c>
      <c r="J78" s="51">
        <f>재료비목록표!E45</f>
        <v>4000</v>
      </c>
      <c r="K78" s="13">
        <f t="shared" si="19"/>
        <v>152000</v>
      </c>
      <c r="L78" s="54">
        <v>0</v>
      </c>
      <c r="M78" s="22">
        <f t="shared" si="20"/>
        <v>0</v>
      </c>
      <c r="N78" s="23" t="s">
        <v>999</v>
      </c>
      <c r="O78" s="17" t="s">
        <v>998</v>
      </c>
      <c r="P78" s="7" t="s">
        <v>997</v>
      </c>
      <c r="Q78" s="7" t="s">
        <v>796</v>
      </c>
      <c r="AC78" s="3" t="str">
        <f ca="1">HYPERLINK("#"&amp;재료비목록표!G2&amp;"!A"&amp;ROW(재료비목록표!A45),"자재42 →")</f>
        <v>자재42 →</v>
      </c>
    </row>
    <row r="79" spans="1:29" ht="30.6" customHeight="1" x14ac:dyDescent="0.3">
      <c r="A79" s="10"/>
      <c r="B79" s="10" t="s">
        <v>559</v>
      </c>
      <c r="C79" s="40" t="s">
        <v>560</v>
      </c>
      <c r="D79" s="42">
        <v>3</v>
      </c>
      <c r="E79" s="23" t="s">
        <v>115</v>
      </c>
      <c r="F79" s="44">
        <f t="shared" si="16"/>
        <v>245000</v>
      </c>
      <c r="G79" s="47">
        <f t="shared" si="17"/>
        <v>735000</v>
      </c>
      <c r="H79" s="50">
        <v>0</v>
      </c>
      <c r="I79" s="22">
        <f t="shared" si="18"/>
        <v>0</v>
      </c>
      <c r="J79" s="51">
        <f>재료비목록표!E50</f>
        <v>245000</v>
      </c>
      <c r="K79" s="13">
        <f t="shared" si="19"/>
        <v>735000</v>
      </c>
      <c r="L79" s="54">
        <v>0</v>
      </c>
      <c r="M79" s="22">
        <f t="shared" si="20"/>
        <v>0</v>
      </c>
      <c r="N79" s="23" t="s">
        <v>1002</v>
      </c>
      <c r="O79" s="17" t="s">
        <v>1001</v>
      </c>
      <c r="P79" s="7" t="s">
        <v>1000</v>
      </c>
      <c r="Q79" s="7" t="s">
        <v>796</v>
      </c>
      <c r="AC79" s="3" t="str">
        <f ca="1">HYPERLINK("#"&amp;재료비목록표!G2&amp;"!A"&amp;ROW(재료비목록표!A50),"자재47 →")</f>
        <v>자재47 →</v>
      </c>
    </row>
    <row r="80" spans="1:29" ht="30.6" customHeight="1" x14ac:dyDescent="0.3">
      <c r="A80" s="10"/>
      <c r="B80" s="10" t="s">
        <v>485</v>
      </c>
      <c r="C80" s="40" t="s">
        <v>486</v>
      </c>
      <c r="D80" s="42">
        <v>2</v>
      </c>
      <c r="E80" s="23" t="s">
        <v>106</v>
      </c>
      <c r="F80" s="44">
        <f t="shared" si="16"/>
        <v>2050700</v>
      </c>
      <c r="G80" s="47">
        <f t="shared" si="17"/>
        <v>4101400</v>
      </c>
      <c r="H80" s="50">
        <v>0</v>
      </c>
      <c r="I80" s="22">
        <f t="shared" si="18"/>
        <v>0</v>
      </c>
      <c r="J80" s="51">
        <f>재료비목록표!E31</f>
        <v>2050700</v>
      </c>
      <c r="K80" s="13">
        <f t="shared" si="19"/>
        <v>4101400</v>
      </c>
      <c r="L80" s="54">
        <v>0</v>
      </c>
      <c r="M80" s="22">
        <f t="shared" si="20"/>
        <v>0</v>
      </c>
      <c r="N80" s="23" t="s">
        <v>1005</v>
      </c>
      <c r="O80" s="17" t="s">
        <v>1004</v>
      </c>
      <c r="P80" s="7" t="s">
        <v>1003</v>
      </c>
      <c r="Q80" s="7" t="s">
        <v>796</v>
      </c>
      <c r="AC80" s="3" t="str">
        <f ca="1">HYPERLINK("#"&amp;재료비목록표!G2&amp;"!A"&amp;ROW(재료비목록표!A31),"자재28 →")</f>
        <v>자재28 →</v>
      </c>
    </row>
    <row r="81" spans="1:29" ht="30.6" customHeight="1" x14ac:dyDescent="0.3">
      <c r="A81" s="10"/>
      <c r="B81" s="10" t="s">
        <v>403</v>
      </c>
      <c r="C81" s="40" t="s">
        <v>390</v>
      </c>
      <c r="D81" s="42">
        <v>2</v>
      </c>
      <c r="E81" s="23" t="s">
        <v>106</v>
      </c>
      <c r="F81" s="44">
        <f t="shared" si="16"/>
        <v>138410</v>
      </c>
      <c r="G81" s="47">
        <f t="shared" si="17"/>
        <v>276820</v>
      </c>
      <c r="H81" s="50">
        <v>0</v>
      </c>
      <c r="I81" s="22">
        <f t="shared" si="18"/>
        <v>0</v>
      </c>
      <c r="J81" s="51">
        <f>재료비목록표!E10</f>
        <v>138410</v>
      </c>
      <c r="K81" s="13">
        <f t="shared" si="19"/>
        <v>276820</v>
      </c>
      <c r="L81" s="54">
        <v>0</v>
      </c>
      <c r="M81" s="22">
        <f t="shared" si="20"/>
        <v>0</v>
      </c>
      <c r="N81" s="23" t="s">
        <v>1008</v>
      </c>
      <c r="O81" s="17" t="s">
        <v>1007</v>
      </c>
      <c r="P81" s="7" t="s">
        <v>1006</v>
      </c>
      <c r="Q81" s="7" t="s">
        <v>796</v>
      </c>
      <c r="AC81" s="3" t="str">
        <f ca="1">HYPERLINK("#"&amp;재료비목록표!G2&amp;"!A"&amp;ROW(재료비목록표!A10),"자재7 →")</f>
        <v>자재7 →</v>
      </c>
    </row>
    <row r="82" spans="1:29" ht="30.6" customHeight="1" x14ac:dyDescent="0.3">
      <c r="A82" s="10"/>
      <c r="B82" s="10" t="s">
        <v>400</v>
      </c>
      <c r="C82" s="40" t="s">
        <v>390</v>
      </c>
      <c r="D82" s="42">
        <v>8</v>
      </c>
      <c r="E82" s="23" t="s">
        <v>106</v>
      </c>
      <c r="F82" s="44">
        <f t="shared" si="16"/>
        <v>145220</v>
      </c>
      <c r="G82" s="47">
        <f t="shared" si="17"/>
        <v>1161760</v>
      </c>
      <c r="H82" s="50">
        <v>0</v>
      </c>
      <c r="I82" s="22">
        <f t="shared" si="18"/>
        <v>0</v>
      </c>
      <c r="J82" s="51">
        <f>재료비목록표!E9</f>
        <v>145220</v>
      </c>
      <c r="K82" s="13">
        <f t="shared" si="19"/>
        <v>1161760</v>
      </c>
      <c r="L82" s="54">
        <v>0</v>
      </c>
      <c r="M82" s="22">
        <f t="shared" si="20"/>
        <v>0</v>
      </c>
      <c r="N82" s="23" t="s">
        <v>1011</v>
      </c>
      <c r="O82" s="17" t="s">
        <v>1010</v>
      </c>
      <c r="P82" s="7" t="s">
        <v>1009</v>
      </c>
      <c r="Q82" s="7" t="s">
        <v>796</v>
      </c>
      <c r="AC82" s="3" t="str">
        <f ca="1">HYPERLINK("#"&amp;재료비목록표!G2&amp;"!A"&amp;ROW(재료비목록표!A9),"자재6 →")</f>
        <v>자재6 →</v>
      </c>
    </row>
    <row r="83" spans="1:29" ht="30.6" customHeight="1" x14ac:dyDescent="0.3">
      <c r="A83" s="10"/>
      <c r="B83" s="10" t="s">
        <v>393</v>
      </c>
      <c r="C83" s="40" t="s">
        <v>397</v>
      </c>
      <c r="D83" s="42">
        <v>4</v>
      </c>
      <c r="E83" s="23" t="s">
        <v>106</v>
      </c>
      <c r="F83" s="44">
        <f t="shared" si="16"/>
        <v>181520</v>
      </c>
      <c r="G83" s="47">
        <f t="shared" si="17"/>
        <v>726080</v>
      </c>
      <c r="H83" s="50">
        <v>0</v>
      </c>
      <c r="I83" s="22">
        <f t="shared" si="18"/>
        <v>0</v>
      </c>
      <c r="J83" s="51">
        <f>재료비목록표!E8</f>
        <v>181520</v>
      </c>
      <c r="K83" s="13">
        <f t="shared" si="19"/>
        <v>726080</v>
      </c>
      <c r="L83" s="54">
        <v>0</v>
      </c>
      <c r="M83" s="22">
        <f t="shared" si="20"/>
        <v>0</v>
      </c>
      <c r="N83" s="23" t="s">
        <v>1014</v>
      </c>
      <c r="O83" s="17" t="s">
        <v>1013</v>
      </c>
      <c r="P83" s="7" t="s">
        <v>1012</v>
      </c>
      <c r="Q83" s="7" t="s">
        <v>796</v>
      </c>
      <c r="AC83" s="3" t="str">
        <f ca="1">HYPERLINK("#"&amp;재료비목록표!G2&amp;"!A"&amp;ROW(재료비목록표!A8),"자재5 →")</f>
        <v>자재5 →</v>
      </c>
    </row>
    <row r="84" spans="1:29" ht="30.6" customHeight="1" x14ac:dyDescent="0.3">
      <c r="A84" s="10"/>
      <c r="B84" s="10" t="s">
        <v>393</v>
      </c>
      <c r="C84" s="40" t="s">
        <v>394</v>
      </c>
      <c r="D84" s="42">
        <v>1</v>
      </c>
      <c r="E84" s="23" t="s">
        <v>106</v>
      </c>
      <c r="F84" s="44">
        <f t="shared" si="16"/>
        <v>145220</v>
      </c>
      <c r="G84" s="47">
        <f t="shared" si="17"/>
        <v>145220</v>
      </c>
      <c r="H84" s="50">
        <v>0</v>
      </c>
      <c r="I84" s="22">
        <f t="shared" si="18"/>
        <v>0</v>
      </c>
      <c r="J84" s="51">
        <f>재료비목록표!E7</f>
        <v>145220</v>
      </c>
      <c r="K84" s="13">
        <f t="shared" si="19"/>
        <v>145220</v>
      </c>
      <c r="L84" s="54">
        <v>0</v>
      </c>
      <c r="M84" s="22">
        <f t="shared" si="20"/>
        <v>0</v>
      </c>
      <c r="N84" s="23" t="s">
        <v>1017</v>
      </c>
      <c r="O84" s="17" t="s">
        <v>1016</v>
      </c>
      <c r="P84" s="7" t="s">
        <v>1015</v>
      </c>
      <c r="Q84" s="7" t="s">
        <v>796</v>
      </c>
      <c r="AC84" s="3" t="str">
        <f ca="1">HYPERLINK("#"&amp;재료비목록표!G2&amp;"!A"&amp;ROW(재료비목록표!A7),"자재4 →")</f>
        <v>자재4 →</v>
      </c>
    </row>
    <row r="85" spans="1:29" ht="30.6" customHeight="1" x14ac:dyDescent="0.3">
      <c r="A85" s="10"/>
      <c r="B85" s="10" t="s">
        <v>389</v>
      </c>
      <c r="C85" s="40" t="s">
        <v>390</v>
      </c>
      <c r="D85" s="42">
        <v>2</v>
      </c>
      <c r="E85" s="23" t="s">
        <v>156</v>
      </c>
      <c r="F85" s="44">
        <f t="shared" si="16"/>
        <v>81680</v>
      </c>
      <c r="G85" s="47">
        <f t="shared" si="17"/>
        <v>163360</v>
      </c>
      <c r="H85" s="50">
        <v>0</v>
      </c>
      <c r="I85" s="22">
        <f t="shared" si="18"/>
        <v>0</v>
      </c>
      <c r="J85" s="51">
        <f>재료비목록표!E6</f>
        <v>81680</v>
      </c>
      <c r="K85" s="13">
        <f t="shared" si="19"/>
        <v>163360</v>
      </c>
      <c r="L85" s="54">
        <v>0</v>
      </c>
      <c r="M85" s="22">
        <f t="shared" si="20"/>
        <v>0</v>
      </c>
      <c r="N85" s="23" t="s">
        <v>1020</v>
      </c>
      <c r="O85" s="17" t="s">
        <v>1019</v>
      </c>
      <c r="P85" s="7" t="s">
        <v>1018</v>
      </c>
      <c r="Q85" s="7" t="s">
        <v>796</v>
      </c>
      <c r="AC85" s="3" t="str">
        <f ca="1">HYPERLINK("#"&amp;재료비목록표!G2&amp;"!A"&amp;ROW(재료비목록표!A6),"자재3 →")</f>
        <v>자재3 →</v>
      </c>
    </row>
    <row r="86" spans="1:29" ht="30.6" customHeight="1" x14ac:dyDescent="0.3">
      <c r="A86" s="10"/>
      <c r="B86" s="10" t="s">
        <v>381</v>
      </c>
      <c r="C86" s="40" t="s">
        <v>382</v>
      </c>
      <c r="D86" s="42">
        <v>2</v>
      </c>
      <c r="E86" s="23" t="s">
        <v>106</v>
      </c>
      <c r="F86" s="44">
        <f t="shared" si="16"/>
        <v>240800</v>
      </c>
      <c r="G86" s="47">
        <f t="shared" si="17"/>
        <v>481600</v>
      </c>
      <c r="H86" s="50">
        <v>0</v>
      </c>
      <c r="I86" s="22">
        <f t="shared" si="18"/>
        <v>0</v>
      </c>
      <c r="J86" s="51">
        <f>재료비목록표!E4</f>
        <v>240800</v>
      </c>
      <c r="K86" s="13">
        <f t="shared" si="19"/>
        <v>481600</v>
      </c>
      <c r="L86" s="54">
        <v>0</v>
      </c>
      <c r="M86" s="22">
        <f t="shared" si="20"/>
        <v>0</v>
      </c>
      <c r="N86" s="23" t="s">
        <v>1023</v>
      </c>
      <c r="O86" s="17" t="s">
        <v>1022</v>
      </c>
      <c r="P86" s="7" t="s">
        <v>1021</v>
      </c>
      <c r="Q86" s="7" t="s">
        <v>796</v>
      </c>
      <c r="AC86" s="3" t="str">
        <f ca="1">HYPERLINK("#"&amp;재료비목록표!G2&amp;"!A"&amp;ROW(재료비목록표!A4),"자재1 →")</f>
        <v>자재1 →</v>
      </c>
    </row>
    <row r="87" spans="1:29" ht="30.6" customHeight="1" x14ac:dyDescent="0.3">
      <c r="A87" s="10"/>
      <c r="B87" s="10" t="s">
        <v>436</v>
      </c>
      <c r="C87" s="40" t="s">
        <v>437</v>
      </c>
      <c r="D87" s="42">
        <v>31</v>
      </c>
      <c r="E87" s="23" t="s">
        <v>19</v>
      </c>
      <c r="F87" s="44">
        <f t="shared" si="16"/>
        <v>149</v>
      </c>
      <c r="G87" s="47">
        <f t="shared" si="17"/>
        <v>4619</v>
      </c>
      <c r="H87" s="50">
        <v>0</v>
      </c>
      <c r="I87" s="22">
        <f t="shared" si="18"/>
        <v>0</v>
      </c>
      <c r="J87" s="51">
        <f>재료비목록표!E18</f>
        <v>149</v>
      </c>
      <c r="K87" s="13">
        <f t="shared" si="19"/>
        <v>4619</v>
      </c>
      <c r="L87" s="54">
        <v>0</v>
      </c>
      <c r="M87" s="22">
        <f t="shared" si="20"/>
        <v>0</v>
      </c>
      <c r="N87" s="23" t="s">
        <v>1026</v>
      </c>
      <c r="O87" s="17" t="s">
        <v>1025</v>
      </c>
      <c r="P87" s="7" t="s">
        <v>1024</v>
      </c>
      <c r="Q87" s="7" t="s">
        <v>796</v>
      </c>
      <c r="AC87" s="3" t="str">
        <f ca="1">HYPERLINK("#"&amp;재료비목록표!G2&amp;"!A"&amp;ROW(재료비목록표!A18),"자재15 →")</f>
        <v>자재15 →</v>
      </c>
    </row>
    <row r="88" spans="1:29" ht="30.6" customHeight="1" x14ac:dyDescent="0.3">
      <c r="A88" s="10"/>
      <c r="B88" s="10"/>
      <c r="C88" s="10"/>
      <c r="D88" s="43"/>
      <c r="E88" s="32"/>
      <c r="F88" s="45"/>
      <c r="G88" s="45"/>
      <c r="H88" s="45"/>
      <c r="I88" s="45"/>
      <c r="J88" s="45"/>
      <c r="K88" s="45"/>
      <c r="L88" s="45"/>
      <c r="M88" s="45"/>
      <c r="N88" s="23"/>
    </row>
    <row r="89" spans="1:29" ht="30.6" customHeight="1" x14ac:dyDescent="0.3">
      <c r="A89" s="10"/>
      <c r="B89" s="10"/>
      <c r="C89" s="10"/>
      <c r="D89" s="43"/>
      <c r="E89" s="32"/>
      <c r="F89" s="45"/>
      <c r="G89" s="45"/>
      <c r="H89" s="45"/>
      <c r="I89" s="45"/>
      <c r="J89" s="45"/>
      <c r="K89" s="45"/>
      <c r="L89" s="45"/>
      <c r="M89" s="45"/>
      <c r="N89" s="23"/>
    </row>
    <row r="90" spans="1:29" ht="30.6" customHeight="1" x14ac:dyDescent="0.3">
      <c r="A90" s="10"/>
      <c r="B90" s="10"/>
      <c r="C90" s="10"/>
      <c r="D90" s="43"/>
      <c r="E90" s="32"/>
      <c r="F90" s="45"/>
      <c r="G90" s="45"/>
      <c r="H90" s="45"/>
      <c r="I90" s="45"/>
      <c r="J90" s="45"/>
      <c r="K90" s="45"/>
      <c r="L90" s="45"/>
      <c r="M90" s="45"/>
      <c r="N90" s="23"/>
    </row>
    <row r="91" spans="1:29" ht="30.6" customHeight="1" x14ac:dyDescent="0.3">
      <c r="A91" s="10"/>
      <c r="B91" s="10"/>
      <c r="C91" s="10"/>
      <c r="D91" s="43"/>
      <c r="E91" s="32"/>
      <c r="F91" s="45"/>
      <c r="G91" s="45"/>
      <c r="H91" s="45"/>
      <c r="I91" s="45"/>
      <c r="J91" s="45"/>
      <c r="K91" s="45"/>
      <c r="L91" s="45"/>
      <c r="M91" s="45"/>
      <c r="N91" s="23"/>
    </row>
    <row r="92" spans="1:29" ht="30.6" customHeight="1" x14ac:dyDescent="0.3">
      <c r="A92" s="10"/>
      <c r="B92" s="10"/>
      <c r="C92" s="10"/>
      <c r="D92" s="43"/>
      <c r="E92" s="32"/>
      <c r="F92" s="45"/>
      <c r="G92" s="45"/>
      <c r="H92" s="45"/>
      <c r="I92" s="45"/>
      <c r="J92" s="45"/>
      <c r="K92" s="45"/>
      <c r="L92" s="45"/>
      <c r="M92" s="45"/>
      <c r="N92" s="23"/>
    </row>
    <row r="93" spans="1:29" ht="30.6" customHeight="1" x14ac:dyDescent="0.3">
      <c r="A93" s="10"/>
      <c r="B93" s="10"/>
      <c r="C93" s="10"/>
      <c r="D93" s="43"/>
      <c r="E93" s="32"/>
      <c r="F93" s="45"/>
      <c r="G93" s="45"/>
      <c r="H93" s="45"/>
      <c r="I93" s="45"/>
      <c r="J93" s="45"/>
      <c r="K93" s="45"/>
      <c r="L93" s="45"/>
      <c r="M93" s="45"/>
      <c r="N93" s="23"/>
    </row>
    <row r="94" spans="1:29" ht="30.6" customHeight="1" x14ac:dyDescent="0.3">
      <c r="A94" s="10"/>
      <c r="B94" s="10"/>
      <c r="C94" s="10"/>
      <c r="D94" s="43"/>
      <c r="E94" s="32"/>
      <c r="F94" s="45"/>
      <c r="G94" s="45"/>
      <c r="H94" s="45"/>
      <c r="I94" s="45"/>
      <c r="J94" s="45"/>
      <c r="K94" s="45"/>
      <c r="L94" s="45"/>
      <c r="M94" s="45"/>
      <c r="N94" s="23"/>
    </row>
    <row r="95" spans="1:29" ht="30.6" customHeight="1" x14ac:dyDescent="0.3">
      <c r="A95" s="10"/>
      <c r="B95" s="10"/>
      <c r="C95" s="10"/>
      <c r="D95" s="43"/>
      <c r="E95" s="32"/>
      <c r="F95" s="45"/>
      <c r="G95" s="45"/>
      <c r="H95" s="45"/>
      <c r="I95" s="45"/>
      <c r="J95" s="45"/>
      <c r="K95" s="45"/>
      <c r="L95" s="45"/>
      <c r="M95" s="45"/>
      <c r="N95" s="23"/>
    </row>
    <row r="96" spans="1:29" ht="30.6" customHeight="1" x14ac:dyDescent="0.3">
      <c r="A96" s="10"/>
      <c r="B96" s="10"/>
      <c r="C96" s="10"/>
      <c r="D96" s="43"/>
      <c r="E96" s="32"/>
      <c r="F96" s="45"/>
      <c r="G96" s="45"/>
      <c r="H96" s="45"/>
      <c r="I96" s="45"/>
      <c r="J96" s="45"/>
      <c r="K96" s="45"/>
      <c r="L96" s="45"/>
      <c r="M96" s="45"/>
      <c r="N96" s="23"/>
    </row>
    <row r="97" spans="1:29" ht="30.6" customHeight="1" x14ac:dyDescent="0.3">
      <c r="A97" s="10"/>
      <c r="B97" s="10"/>
      <c r="C97" s="10"/>
      <c r="D97" s="43"/>
      <c r="E97" s="32"/>
      <c r="F97" s="45"/>
      <c r="G97" s="45"/>
      <c r="H97" s="45"/>
      <c r="I97" s="45"/>
      <c r="J97" s="45"/>
      <c r="K97" s="45"/>
      <c r="L97" s="45"/>
      <c r="M97" s="45"/>
      <c r="N97" s="23"/>
    </row>
    <row r="98" spans="1:29" ht="30.6" customHeight="1" x14ac:dyDescent="0.3">
      <c r="A98" s="10"/>
      <c r="B98" s="10"/>
      <c r="C98" s="10"/>
      <c r="D98" s="43"/>
      <c r="E98" s="32"/>
      <c r="F98" s="45"/>
      <c r="G98" s="45"/>
      <c r="H98" s="45"/>
      <c r="I98" s="45"/>
      <c r="J98" s="45"/>
      <c r="K98" s="45"/>
      <c r="L98" s="45"/>
      <c r="M98" s="45"/>
      <c r="N98" s="23"/>
    </row>
    <row r="99" spans="1:29" ht="30.6" customHeight="1" x14ac:dyDescent="0.3">
      <c r="A99" s="10"/>
      <c r="B99" s="10"/>
      <c r="C99" s="10"/>
      <c r="D99" s="43"/>
      <c r="E99" s="32"/>
      <c r="F99" s="45"/>
      <c r="G99" s="45"/>
      <c r="H99" s="45"/>
      <c r="I99" s="45"/>
      <c r="J99" s="45"/>
      <c r="K99" s="45"/>
      <c r="L99" s="45"/>
      <c r="M99" s="45"/>
      <c r="N99" s="23"/>
    </row>
    <row r="100" spans="1:29" ht="30.6" customHeight="1" x14ac:dyDescent="0.3">
      <c r="A100" s="10"/>
      <c r="B100" s="10"/>
      <c r="C100" s="10"/>
      <c r="D100" s="43"/>
      <c r="E100" s="32"/>
      <c r="F100" s="45"/>
      <c r="G100" s="45"/>
      <c r="H100" s="45"/>
      <c r="I100" s="45"/>
      <c r="J100" s="45"/>
      <c r="K100" s="45"/>
      <c r="L100" s="45"/>
      <c r="M100" s="45"/>
      <c r="N100" s="23"/>
    </row>
    <row r="101" spans="1:29" ht="30.6" customHeight="1" x14ac:dyDescent="0.3">
      <c r="A101" s="10"/>
      <c r="B101" s="10"/>
      <c r="C101" s="10"/>
      <c r="D101" s="43"/>
      <c r="E101" s="32"/>
      <c r="F101" s="45"/>
      <c r="G101" s="45"/>
      <c r="H101" s="45"/>
      <c r="I101" s="45"/>
      <c r="J101" s="45"/>
      <c r="K101" s="45"/>
      <c r="L101" s="45"/>
      <c r="M101" s="45"/>
      <c r="N101" s="23"/>
    </row>
    <row r="102" spans="1:29" ht="30.6" customHeight="1" x14ac:dyDescent="0.3">
      <c r="A102" s="10"/>
      <c r="B102" s="10"/>
      <c r="C102" s="10"/>
      <c r="D102" s="43"/>
      <c r="E102" s="32"/>
      <c r="F102" s="45"/>
      <c r="G102" s="45"/>
      <c r="H102" s="45"/>
      <c r="I102" s="45"/>
      <c r="J102" s="45"/>
      <c r="K102" s="45"/>
      <c r="L102" s="45"/>
      <c r="M102" s="45"/>
      <c r="N102" s="23"/>
    </row>
    <row r="103" spans="1:29" ht="30.6" customHeight="1" x14ac:dyDescent="0.3">
      <c r="A103" s="10"/>
      <c r="B103" s="10"/>
      <c r="C103" s="10"/>
      <c r="D103" s="43"/>
      <c r="E103" s="32"/>
      <c r="F103" s="45"/>
      <c r="G103" s="45"/>
      <c r="H103" s="45"/>
      <c r="I103" s="45"/>
      <c r="J103" s="45"/>
      <c r="K103" s="45"/>
      <c r="L103" s="45"/>
      <c r="M103" s="45"/>
      <c r="N103" s="23"/>
    </row>
    <row r="104" spans="1:29" ht="30.6" customHeight="1" x14ac:dyDescent="0.3">
      <c r="A104" s="10"/>
      <c r="B104" s="10"/>
      <c r="C104" s="10"/>
      <c r="D104" s="43"/>
      <c r="E104" s="32"/>
      <c r="F104" s="45"/>
      <c r="G104" s="45"/>
      <c r="H104" s="45"/>
      <c r="I104" s="45"/>
      <c r="J104" s="45"/>
      <c r="K104" s="45"/>
      <c r="L104" s="45"/>
      <c r="M104" s="45"/>
      <c r="N104" s="23"/>
    </row>
    <row r="105" spans="1:29" ht="30.6" customHeight="1" x14ac:dyDescent="0.3">
      <c r="A105" s="10" t="s">
        <v>1027</v>
      </c>
      <c r="B105" s="10" t="s">
        <v>1028</v>
      </c>
      <c r="C105" s="40"/>
      <c r="D105" s="41"/>
      <c r="E105" s="23"/>
      <c r="F105" s="12">
        <v>0</v>
      </c>
      <c r="G105" s="46">
        <f>SUMIF(Q106:Q111,P105,G106:G111)</f>
        <v>1856940</v>
      </c>
      <c r="H105" s="13">
        <v>0</v>
      </c>
      <c r="I105" s="47">
        <f>SUMIF(Q106:Q111,P105,I106:I111)</f>
        <v>9326</v>
      </c>
      <c r="J105" s="13">
        <v>0</v>
      </c>
      <c r="K105" s="52">
        <f>SUMIF(Q106:Q111,P105,K106:K111)</f>
        <v>304544</v>
      </c>
      <c r="L105" s="22">
        <v>0</v>
      </c>
      <c r="M105" s="52">
        <f>SUMIF(Q106:Q111,P105,M106:M111)</f>
        <v>1543070</v>
      </c>
      <c r="N105" s="23" t="s">
        <v>1029</v>
      </c>
      <c r="O105" s="17" t="str">
        <f>"_x0007_`COD|C3_x0005_`QTY1|1_x0005_`EXI|1_x0005_`ITT|0_x0005_`END|"&amp;ROW(M112)&amp;"_x0005_`"</f>
        <v>_x0007_`COD|C3_x0005_`QTY1|1_x0005_`EXI|1_x0005_`ITT|0_x0005_`END|112_x0005_`</v>
      </c>
      <c r="P105" s="7" t="s">
        <v>1048</v>
      </c>
    </row>
    <row r="106" spans="1:29" ht="30.6" customHeight="1" x14ac:dyDescent="0.3">
      <c r="A106" s="10"/>
      <c r="B106" s="10" t="s">
        <v>99</v>
      </c>
      <c r="C106" s="40" t="s">
        <v>100</v>
      </c>
      <c r="D106" s="42">
        <v>4</v>
      </c>
      <c r="E106" s="23" t="s">
        <v>101</v>
      </c>
      <c r="F106" s="44">
        <f t="shared" ref="F106:G111" si="21">J106+H106+L106</f>
        <v>347568</v>
      </c>
      <c r="G106" s="47">
        <f t="shared" si="21"/>
        <v>1390272</v>
      </c>
      <c r="H106" s="49">
        <f>일위대가목록표!F25</f>
        <v>0</v>
      </c>
      <c r="I106" s="13">
        <f t="shared" ref="I106:I111" si="22">ROUNDDOWN(H106*D106,0)</f>
        <v>0</v>
      </c>
      <c r="J106" s="51">
        <f>일위대가목록표!G25</f>
        <v>0</v>
      </c>
      <c r="K106" s="13">
        <f t="shared" ref="K106:K111" si="23">ROUNDDOWN(J106*D106,0)</f>
        <v>0</v>
      </c>
      <c r="L106" s="53">
        <f>일위대가목록표!H25</f>
        <v>347568</v>
      </c>
      <c r="M106" s="22">
        <f t="shared" ref="M106:M111" si="24">ROUNDDOWN(L106*D106,0)</f>
        <v>1390272</v>
      </c>
      <c r="N106" s="23" t="s">
        <v>1032</v>
      </c>
      <c r="O106" s="17" t="s">
        <v>1031</v>
      </c>
      <c r="P106" s="7" t="s">
        <v>1030</v>
      </c>
      <c r="Q106" s="7" t="s">
        <v>1048</v>
      </c>
      <c r="AC106" s="3" t="str">
        <f ca="1">HYPERLINK("#"&amp;일위대가목록표!J2&amp;"!A"&amp;ROW(일위대가목록표!A25),"대가22 →")</f>
        <v>대가22 →</v>
      </c>
    </row>
    <row r="107" spans="1:29" ht="30.6" customHeight="1" x14ac:dyDescent="0.3">
      <c r="A107" s="10"/>
      <c r="B107" s="10" t="s">
        <v>104</v>
      </c>
      <c r="C107" s="40" t="s">
        <v>105</v>
      </c>
      <c r="D107" s="42">
        <v>2</v>
      </c>
      <c r="E107" s="23" t="s">
        <v>106</v>
      </c>
      <c r="F107" s="44">
        <f t="shared" si="21"/>
        <v>156935</v>
      </c>
      <c r="G107" s="47">
        <f t="shared" si="21"/>
        <v>313870</v>
      </c>
      <c r="H107" s="49">
        <f>일위대가목록표!F26</f>
        <v>4663</v>
      </c>
      <c r="I107" s="13">
        <f t="shared" si="22"/>
        <v>9326</v>
      </c>
      <c r="J107" s="51">
        <f>일위대가목록표!G26</f>
        <v>152272</v>
      </c>
      <c r="K107" s="13">
        <f t="shared" si="23"/>
        <v>304544</v>
      </c>
      <c r="L107" s="53">
        <f>일위대가목록표!H26</f>
        <v>0</v>
      </c>
      <c r="M107" s="22">
        <f t="shared" si="24"/>
        <v>0</v>
      </c>
      <c r="N107" s="23" t="s">
        <v>1035</v>
      </c>
      <c r="O107" s="17" t="s">
        <v>1034</v>
      </c>
      <c r="P107" s="7" t="s">
        <v>1033</v>
      </c>
      <c r="Q107" s="7" t="s">
        <v>1048</v>
      </c>
      <c r="AC107" s="3" t="str">
        <f ca="1">HYPERLINK("#"&amp;일위대가목록표!J2&amp;"!A"&amp;ROW(일위대가목록표!A26),"대가23 →")</f>
        <v>대가23 →</v>
      </c>
    </row>
    <row r="108" spans="1:29" ht="30.6" customHeight="1" x14ac:dyDescent="0.3">
      <c r="A108" s="10"/>
      <c r="B108" s="10" t="s">
        <v>190</v>
      </c>
      <c r="C108" s="40" t="s">
        <v>191</v>
      </c>
      <c r="D108" s="42">
        <v>2</v>
      </c>
      <c r="E108" s="23" t="s">
        <v>192</v>
      </c>
      <c r="F108" s="44">
        <f t="shared" si="21"/>
        <v>42141</v>
      </c>
      <c r="G108" s="47">
        <f t="shared" si="21"/>
        <v>84282</v>
      </c>
      <c r="H108" s="49">
        <f>단가산출근거목록표!F25</f>
        <v>0</v>
      </c>
      <c r="I108" s="13">
        <f t="shared" si="22"/>
        <v>0</v>
      </c>
      <c r="J108" s="51">
        <f>단가산출근거목록표!G25</f>
        <v>0</v>
      </c>
      <c r="K108" s="13">
        <f t="shared" si="23"/>
        <v>0</v>
      </c>
      <c r="L108" s="53">
        <f>단가산출근거목록표!H25</f>
        <v>42141</v>
      </c>
      <c r="M108" s="22">
        <f t="shared" si="24"/>
        <v>84282</v>
      </c>
      <c r="N108" s="23" t="s">
        <v>1038</v>
      </c>
      <c r="O108" s="17" t="s">
        <v>1037</v>
      </c>
      <c r="P108" s="7" t="s">
        <v>1036</v>
      </c>
      <c r="Q108" s="7" t="s">
        <v>1048</v>
      </c>
      <c r="AC108" s="3" t="str">
        <f ca="1">HYPERLINK("#"&amp;단가산출근거목록표!J2&amp;"!A"&amp;ROW(단가산출근거목록표!A25),"산근22 →")</f>
        <v>산근22 →</v>
      </c>
    </row>
    <row r="109" spans="1:29" ht="30.6" customHeight="1" x14ac:dyDescent="0.3">
      <c r="A109" s="10"/>
      <c r="B109" s="10" t="s">
        <v>190</v>
      </c>
      <c r="C109" s="40" t="s">
        <v>194</v>
      </c>
      <c r="D109" s="42">
        <v>2</v>
      </c>
      <c r="E109" s="23" t="s">
        <v>192</v>
      </c>
      <c r="F109" s="44">
        <f t="shared" si="21"/>
        <v>17052</v>
      </c>
      <c r="G109" s="47">
        <f t="shared" si="21"/>
        <v>34104</v>
      </c>
      <c r="H109" s="49">
        <f>단가산출근거목록표!F26</f>
        <v>0</v>
      </c>
      <c r="I109" s="13">
        <f t="shared" si="22"/>
        <v>0</v>
      </c>
      <c r="J109" s="51">
        <f>단가산출근거목록표!G26</f>
        <v>0</v>
      </c>
      <c r="K109" s="13">
        <f t="shared" si="23"/>
        <v>0</v>
      </c>
      <c r="L109" s="53">
        <f>단가산출근거목록표!H26</f>
        <v>17052</v>
      </c>
      <c r="M109" s="22">
        <f t="shared" si="24"/>
        <v>34104</v>
      </c>
      <c r="N109" s="23" t="s">
        <v>1041</v>
      </c>
      <c r="O109" s="17" t="s">
        <v>1040</v>
      </c>
      <c r="P109" s="7" t="s">
        <v>1039</v>
      </c>
      <c r="Q109" s="7" t="s">
        <v>1048</v>
      </c>
      <c r="AC109" s="3" t="str">
        <f ca="1">HYPERLINK("#"&amp;단가산출근거목록표!J2&amp;"!A"&amp;ROW(단가산출근거목록표!A26),"산근23 →")</f>
        <v>산근23 →</v>
      </c>
    </row>
    <row r="110" spans="1:29" ht="30.6" customHeight="1" x14ac:dyDescent="0.3">
      <c r="A110" s="10"/>
      <c r="B110" s="10" t="s">
        <v>196</v>
      </c>
      <c r="C110" s="40" t="s">
        <v>191</v>
      </c>
      <c r="D110" s="42">
        <v>2</v>
      </c>
      <c r="E110" s="23" t="s">
        <v>192</v>
      </c>
      <c r="F110" s="44">
        <f t="shared" si="21"/>
        <v>8603</v>
      </c>
      <c r="G110" s="47">
        <f t="shared" si="21"/>
        <v>17206</v>
      </c>
      <c r="H110" s="49">
        <f>단가산출근거목록표!F27</f>
        <v>0</v>
      </c>
      <c r="I110" s="13">
        <f t="shared" si="22"/>
        <v>0</v>
      </c>
      <c r="J110" s="51">
        <f>단가산출근거목록표!G27</f>
        <v>0</v>
      </c>
      <c r="K110" s="13">
        <f t="shared" si="23"/>
        <v>0</v>
      </c>
      <c r="L110" s="53">
        <f>단가산출근거목록표!H27</f>
        <v>8603</v>
      </c>
      <c r="M110" s="22">
        <f t="shared" si="24"/>
        <v>17206</v>
      </c>
      <c r="N110" s="23" t="s">
        <v>1044</v>
      </c>
      <c r="O110" s="17" t="s">
        <v>1043</v>
      </c>
      <c r="P110" s="7" t="s">
        <v>1042</v>
      </c>
      <c r="Q110" s="7" t="s">
        <v>1048</v>
      </c>
      <c r="AC110" s="3" t="str">
        <f ca="1">HYPERLINK("#"&amp;단가산출근거목록표!J2&amp;"!A"&amp;ROW(단가산출근거목록표!A27),"산근24 →")</f>
        <v>산근24 →</v>
      </c>
    </row>
    <row r="111" spans="1:29" ht="30.6" customHeight="1" x14ac:dyDescent="0.3">
      <c r="A111" s="10"/>
      <c r="B111" s="10" t="s">
        <v>196</v>
      </c>
      <c r="C111" s="40" t="s">
        <v>194</v>
      </c>
      <c r="D111" s="42">
        <v>2</v>
      </c>
      <c r="E111" s="23" t="s">
        <v>192</v>
      </c>
      <c r="F111" s="44">
        <f t="shared" si="21"/>
        <v>8603</v>
      </c>
      <c r="G111" s="47">
        <f t="shared" si="21"/>
        <v>17206</v>
      </c>
      <c r="H111" s="49">
        <f>단가산출근거목록표!F28</f>
        <v>0</v>
      </c>
      <c r="I111" s="13">
        <f t="shared" si="22"/>
        <v>0</v>
      </c>
      <c r="J111" s="51">
        <f>단가산출근거목록표!G28</f>
        <v>0</v>
      </c>
      <c r="K111" s="13">
        <f t="shared" si="23"/>
        <v>0</v>
      </c>
      <c r="L111" s="53">
        <f>단가산출근거목록표!H28</f>
        <v>8603</v>
      </c>
      <c r="M111" s="22">
        <f t="shared" si="24"/>
        <v>17206</v>
      </c>
      <c r="N111" s="23" t="s">
        <v>1047</v>
      </c>
      <c r="O111" s="17" t="s">
        <v>1046</v>
      </c>
      <c r="P111" s="7" t="s">
        <v>1045</v>
      </c>
      <c r="Q111" s="7" t="s">
        <v>1048</v>
      </c>
      <c r="AC111" s="3" t="str">
        <f ca="1">HYPERLINK("#"&amp;단가산출근거목록표!J2&amp;"!A"&amp;ROW(단가산출근거목록표!A28),"산근25 →")</f>
        <v>산근25 →</v>
      </c>
    </row>
    <row r="112" spans="1:29" ht="30.6" customHeight="1" x14ac:dyDescent="0.3">
      <c r="A112" s="10"/>
      <c r="B112" s="10"/>
      <c r="C112" s="10"/>
      <c r="D112" s="43"/>
      <c r="E112" s="32"/>
      <c r="F112" s="45"/>
      <c r="G112" s="45"/>
      <c r="H112" s="45"/>
      <c r="I112" s="45"/>
      <c r="J112" s="45"/>
      <c r="K112" s="45"/>
      <c r="L112" s="45"/>
      <c r="M112" s="45"/>
      <c r="N112" s="23"/>
    </row>
    <row r="113" spans="1:29" ht="30.6" customHeight="1" x14ac:dyDescent="0.3">
      <c r="A113" s="10"/>
      <c r="B113" s="10"/>
      <c r="C113" s="10"/>
      <c r="D113" s="43"/>
      <c r="E113" s="32"/>
      <c r="F113" s="45"/>
      <c r="G113" s="45"/>
      <c r="H113" s="45"/>
      <c r="I113" s="45"/>
      <c r="J113" s="45"/>
      <c r="K113" s="45"/>
      <c r="L113" s="45"/>
      <c r="M113" s="45"/>
      <c r="N113" s="23"/>
    </row>
    <row r="114" spans="1:29" ht="30.6" customHeight="1" x14ac:dyDescent="0.3">
      <c r="A114" s="10"/>
      <c r="B114" s="10"/>
      <c r="C114" s="10"/>
      <c r="D114" s="43"/>
      <c r="E114" s="32"/>
      <c r="F114" s="45"/>
      <c r="G114" s="45"/>
      <c r="H114" s="45"/>
      <c r="I114" s="45"/>
      <c r="J114" s="45"/>
      <c r="K114" s="45"/>
      <c r="L114" s="45"/>
      <c r="M114" s="45"/>
      <c r="N114" s="23"/>
    </row>
    <row r="115" spans="1:29" ht="30.6" customHeight="1" x14ac:dyDescent="0.3">
      <c r="A115" s="10"/>
      <c r="B115" s="10"/>
      <c r="C115" s="10"/>
      <c r="D115" s="43"/>
      <c r="E115" s="32"/>
      <c r="F115" s="45"/>
      <c r="G115" s="45"/>
      <c r="H115" s="45"/>
      <c r="I115" s="45"/>
      <c r="J115" s="45"/>
      <c r="K115" s="45"/>
      <c r="L115" s="45"/>
      <c r="M115" s="45"/>
      <c r="N115" s="23"/>
    </row>
    <row r="116" spans="1:29" ht="30.6" customHeight="1" x14ac:dyDescent="0.3">
      <c r="A116" s="10"/>
      <c r="B116" s="10"/>
      <c r="C116" s="10"/>
      <c r="D116" s="43"/>
      <c r="E116" s="32"/>
      <c r="F116" s="45"/>
      <c r="G116" s="45"/>
      <c r="H116" s="45"/>
      <c r="I116" s="45"/>
      <c r="J116" s="45"/>
      <c r="K116" s="45"/>
      <c r="L116" s="45"/>
      <c r="M116" s="45"/>
      <c r="N116" s="23"/>
    </row>
    <row r="117" spans="1:29" ht="30.6" customHeight="1" x14ac:dyDescent="0.3">
      <c r="A117" s="10"/>
      <c r="B117" s="10"/>
      <c r="C117" s="10"/>
      <c r="D117" s="43"/>
      <c r="E117" s="32"/>
      <c r="F117" s="45"/>
      <c r="G117" s="45"/>
      <c r="H117" s="45"/>
      <c r="I117" s="45"/>
      <c r="J117" s="45"/>
      <c r="K117" s="45"/>
      <c r="L117" s="45"/>
      <c r="M117" s="45"/>
      <c r="N117" s="23"/>
    </row>
    <row r="118" spans="1:29" ht="30.6" customHeight="1" x14ac:dyDescent="0.3">
      <c r="A118" s="10"/>
      <c r="B118" s="10"/>
      <c r="C118" s="10"/>
      <c r="D118" s="43"/>
      <c r="E118" s="32"/>
      <c r="F118" s="45"/>
      <c r="G118" s="45"/>
      <c r="H118" s="45"/>
      <c r="I118" s="45"/>
      <c r="J118" s="45"/>
      <c r="K118" s="45"/>
      <c r="L118" s="45"/>
      <c r="M118" s="45"/>
      <c r="N118" s="23"/>
    </row>
    <row r="119" spans="1:29" ht="30.6" customHeight="1" x14ac:dyDescent="0.3">
      <c r="A119" s="10"/>
      <c r="B119" s="10"/>
      <c r="C119" s="10"/>
      <c r="D119" s="43"/>
      <c r="E119" s="32"/>
      <c r="F119" s="45"/>
      <c r="G119" s="45"/>
      <c r="H119" s="45"/>
      <c r="I119" s="45"/>
      <c r="J119" s="45"/>
      <c r="K119" s="45"/>
      <c r="L119" s="45"/>
      <c r="M119" s="45"/>
      <c r="N119" s="23"/>
    </row>
    <row r="120" spans="1:29" ht="30.6" customHeight="1" x14ac:dyDescent="0.3">
      <c r="A120" s="10"/>
      <c r="B120" s="10"/>
      <c r="C120" s="10"/>
      <c r="D120" s="43"/>
      <c r="E120" s="32"/>
      <c r="F120" s="45"/>
      <c r="G120" s="45"/>
      <c r="H120" s="45"/>
      <c r="I120" s="45"/>
      <c r="J120" s="45"/>
      <c r="K120" s="45"/>
      <c r="L120" s="45"/>
      <c r="M120" s="45"/>
      <c r="N120" s="23"/>
    </row>
    <row r="121" spans="1:29" ht="30.6" customHeight="1" x14ac:dyDescent="0.3">
      <c r="A121" s="10"/>
      <c r="B121" s="10"/>
      <c r="C121" s="10"/>
      <c r="D121" s="43"/>
      <c r="E121" s="32"/>
      <c r="F121" s="45"/>
      <c r="G121" s="45"/>
      <c r="H121" s="45"/>
      <c r="I121" s="45"/>
      <c r="J121" s="45"/>
      <c r="K121" s="45"/>
      <c r="L121" s="45"/>
      <c r="M121" s="45"/>
      <c r="N121" s="23"/>
    </row>
    <row r="122" spans="1:29" ht="30.6" customHeight="1" x14ac:dyDescent="0.3">
      <c r="A122" s="10"/>
      <c r="B122" s="10"/>
      <c r="C122" s="10"/>
      <c r="D122" s="43"/>
      <c r="E122" s="32"/>
      <c r="F122" s="45"/>
      <c r="G122" s="45"/>
      <c r="H122" s="45"/>
      <c r="I122" s="45"/>
      <c r="J122" s="45"/>
      <c r="K122" s="45"/>
      <c r="L122" s="45"/>
      <c r="M122" s="45"/>
      <c r="N122" s="23"/>
    </row>
    <row r="123" spans="1:29" ht="30.6" customHeight="1" x14ac:dyDescent="0.3">
      <c r="A123" s="10"/>
      <c r="B123" s="10"/>
      <c r="C123" s="10"/>
      <c r="D123" s="43"/>
      <c r="E123" s="32"/>
      <c r="F123" s="45"/>
      <c r="G123" s="45"/>
      <c r="H123" s="45"/>
      <c r="I123" s="45"/>
      <c r="J123" s="45"/>
      <c r="K123" s="45"/>
      <c r="L123" s="45"/>
      <c r="M123" s="45"/>
      <c r="N123" s="23"/>
    </row>
    <row r="124" spans="1:29" ht="30.6" customHeight="1" x14ac:dyDescent="0.3">
      <c r="A124" s="10"/>
      <c r="B124" s="10"/>
      <c r="C124" s="10"/>
      <c r="D124" s="43"/>
      <c r="E124" s="32"/>
      <c r="F124" s="45"/>
      <c r="G124" s="45"/>
      <c r="H124" s="45"/>
      <c r="I124" s="45"/>
      <c r="J124" s="45"/>
      <c r="K124" s="45"/>
      <c r="L124" s="45"/>
      <c r="M124" s="45"/>
      <c r="N124" s="23"/>
    </row>
    <row r="125" spans="1:29" ht="30.6" customHeight="1" x14ac:dyDescent="0.3">
      <c r="A125" s="10" t="s">
        <v>1049</v>
      </c>
      <c r="B125" s="10" t="s">
        <v>1050</v>
      </c>
      <c r="C125" s="40"/>
      <c r="D125" s="41"/>
      <c r="E125" s="23"/>
      <c r="F125" s="12">
        <v>0</v>
      </c>
      <c r="G125" s="46">
        <f>SUMIF(Q126:Q140,P125,G126:G140)</f>
        <v>10452000</v>
      </c>
      <c r="H125" s="13">
        <v>0</v>
      </c>
      <c r="I125" s="47">
        <f>SUMIF(Q126:Q140,P125,I126:I140)</f>
        <v>0</v>
      </c>
      <c r="J125" s="13">
        <v>0</v>
      </c>
      <c r="K125" s="52">
        <f>SUMIF(Q126:Q140,P125,K126:K140)</f>
        <v>10224660</v>
      </c>
      <c r="L125" s="22">
        <v>0</v>
      </c>
      <c r="M125" s="52">
        <f>SUMIF(Q126:Q140,P125,M126:M140)</f>
        <v>227340</v>
      </c>
      <c r="N125" s="23" t="s">
        <v>1029</v>
      </c>
      <c r="O125" s="17" t="str">
        <f>"_x0007_`COD|C3_x0005_`QTY1|1_x0005_`EXI|1_x0005_`ITT|0_x0005_`END|"&amp;ROW(M141)&amp;"_x0005_`"</f>
        <v>_x0007_`COD|C3_x0005_`QTY1|1_x0005_`EXI|1_x0005_`ITT|0_x0005_`END|141_x0005_`</v>
      </c>
      <c r="P125" s="7" t="s">
        <v>1048</v>
      </c>
    </row>
    <row r="126" spans="1:29" ht="30.6" customHeight="1" x14ac:dyDescent="0.3">
      <c r="A126" s="10" t="s">
        <v>1053</v>
      </c>
      <c r="B126" s="10" t="s">
        <v>1054</v>
      </c>
      <c r="C126" s="40"/>
      <c r="D126" s="41"/>
      <c r="E126" s="23"/>
      <c r="F126" s="12">
        <v>0</v>
      </c>
      <c r="G126" s="46">
        <f>SUMIF(Q127:Q128,P126,G127:G128)</f>
        <v>1115990</v>
      </c>
      <c r="H126" s="13">
        <v>0</v>
      </c>
      <c r="I126" s="47">
        <f>SUMIF(Q127:Q128,P126,I127:I128)</f>
        <v>0</v>
      </c>
      <c r="J126" s="13">
        <v>0</v>
      </c>
      <c r="K126" s="52">
        <f>SUMIF(Q127:Q128,P126,K127:K128)</f>
        <v>1110000</v>
      </c>
      <c r="L126" s="22">
        <v>0</v>
      </c>
      <c r="M126" s="52">
        <f>SUMIF(Q127:Q128,P126,M127:M128)</f>
        <v>5990</v>
      </c>
      <c r="N126" s="23"/>
      <c r="O126" s="17" t="str">
        <f>"_x0007_`COD|E2_x0005_`QTY1|1_x0005_`EXI|0_x0005_`ITT|0_x0005_`END|"&amp;ROW(M129)&amp;"_x0005_`"</f>
        <v>_x0007_`COD|E2_x0005_`QTY1|1_x0005_`EXI|0_x0005_`ITT|0_x0005_`END|129_x0005_`</v>
      </c>
      <c r="P126" s="7" t="s">
        <v>800</v>
      </c>
      <c r="Q126" s="7" t="s">
        <v>1048</v>
      </c>
    </row>
    <row r="127" spans="1:29" ht="30.6" customHeight="1" x14ac:dyDescent="0.3">
      <c r="A127" s="10"/>
      <c r="B127" s="10" t="s">
        <v>463</v>
      </c>
      <c r="C127" s="40" t="s">
        <v>464</v>
      </c>
      <c r="D127" s="42">
        <v>2</v>
      </c>
      <c r="E127" s="23" t="s">
        <v>156</v>
      </c>
      <c r="F127" s="44">
        <f>J127+H127+L127</f>
        <v>555000</v>
      </c>
      <c r="G127" s="47">
        <f>K127+I127+M127</f>
        <v>1110000</v>
      </c>
      <c r="H127" s="50">
        <v>0</v>
      </c>
      <c r="I127" s="22">
        <f>ROUNDDOWN(H127*D127,0)</f>
        <v>0</v>
      </c>
      <c r="J127" s="51">
        <f>재료비목록표!E25</f>
        <v>555000</v>
      </c>
      <c r="K127" s="13">
        <f>ROUNDDOWN(J127*D127,0)</f>
        <v>1110000</v>
      </c>
      <c r="L127" s="54">
        <v>0</v>
      </c>
      <c r="M127" s="22">
        <f>ROUNDDOWN(L127*D127,0)</f>
        <v>0</v>
      </c>
      <c r="N127" s="23" t="s">
        <v>1058</v>
      </c>
      <c r="O127" s="17" t="s">
        <v>1057</v>
      </c>
      <c r="P127" s="7" t="s">
        <v>1056</v>
      </c>
      <c r="Q127" s="7" t="s">
        <v>800</v>
      </c>
      <c r="R127" s="7" t="s">
        <v>1055</v>
      </c>
      <c r="AC127" s="3" t="str">
        <f ca="1">HYPERLINK("#"&amp;재료비목록표!G2&amp;"!A"&amp;ROW(재료비목록표!A25),"자재22 →")</f>
        <v>자재22 →</v>
      </c>
    </row>
    <row r="128" spans="1:29" ht="30.6" customHeight="1" x14ac:dyDescent="0.3">
      <c r="A128" s="10"/>
      <c r="B128" s="10" t="s">
        <v>1061</v>
      </c>
      <c r="C128" s="40" t="s">
        <v>1062</v>
      </c>
      <c r="D128" s="42">
        <v>0.54</v>
      </c>
      <c r="E128" s="23" t="s">
        <v>539</v>
      </c>
      <c r="F128" s="44">
        <f>J128+H128+L128</f>
        <v>1110000</v>
      </c>
      <c r="G128" s="47">
        <f>K128+I128+M128</f>
        <v>5990</v>
      </c>
      <c r="H128" s="50">
        <v>0</v>
      </c>
      <c r="I128" s="11">
        <f>ROUNDDOWN(H128*D128/100,-1)</f>
        <v>0</v>
      </c>
      <c r="J128" s="50">
        <v>0</v>
      </c>
      <c r="K128" s="22">
        <f>ROUNDDOWN(J128*D128/100,-1)</f>
        <v>0</v>
      </c>
      <c r="L128" s="54">
        <f>SUMIF(R127:R127,"1_2_01",G127:G127)</f>
        <v>1110000</v>
      </c>
      <c r="M128" s="22">
        <f>ROUNDDOWN(L128*D128/100,-1)</f>
        <v>5990</v>
      </c>
      <c r="N128" s="23"/>
      <c r="O128" s="17" t="s">
        <v>1060</v>
      </c>
      <c r="P128" s="7" t="s">
        <v>1059</v>
      </c>
      <c r="Q128" s="7" t="s">
        <v>800</v>
      </c>
      <c r="R128" s="7" t="s">
        <v>1055</v>
      </c>
    </row>
    <row r="129" spans="1:29" ht="30.6" customHeight="1" x14ac:dyDescent="0.3">
      <c r="A129" s="10" t="s">
        <v>1063</v>
      </c>
      <c r="B129" s="10" t="s">
        <v>1064</v>
      </c>
      <c r="C129" s="40"/>
      <c r="D129" s="41"/>
      <c r="E129" s="23"/>
      <c r="F129" s="12">
        <v>0</v>
      </c>
      <c r="G129" s="46">
        <f>SUMIF(Q130:Q133,P129,G130:G133)</f>
        <v>4135720</v>
      </c>
      <c r="H129" s="13">
        <v>0</v>
      </c>
      <c r="I129" s="47">
        <f>SUMIF(Q130:Q133,P129,I130:I133)</f>
        <v>0</v>
      </c>
      <c r="J129" s="13">
        <v>0</v>
      </c>
      <c r="K129" s="52">
        <f>SUMIF(Q130:Q133,P129,K130:K133)</f>
        <v>3941860</v>
      </c>
      <c r="L129" s="22">
        <v>0</v>
      </c>
      <c r="M129" s="52">
        <f>SUMIF(Q130:Q133,P129,M130:M133)</f>
        <v>193860</v>
      </c>
      <c r="N129" s="23"/>
      <c r="O129" s="17" t="str">
        <f>"_x0007_`COD|E2_x0005_`QTY1|1_x0005_`EXI|0_x0005_`ITT|0_x0005_`END|"&amp;ROW(M134)&amp;"_x0005_`"</f>
        <v>_x0007_`COD|E2_x0005_`QTY1|1_x0005_`EXI|0_x0005_`ITT|0_x0005_`END|134_x0005_`</v>
      </c>
      <c r="P129" s="7" t="s">
        <v>800</v>
      </c>
      <c r="Q129" s="7" t="s">
        <v>1048</v>
      </c>
    </row>
    <row r="130" spans="1:29" ht="30.6" customHeight="1" x14ac:dyDescent="0.3">
      <c r="A130" s="10"/>
      <c r="B130" s="10" t="s">
        <v>440</v>
      </c>
      <c r="C130" s="40" t="s">
        <v>441</v>
      </c>
      <c r="D130" s="42">
        <v>6</v>
      </c>
      <c r="E130" s="23" t="s">
        <v>33</v>
      </c>
      <c r="F130" s="44">
        <f t="shared" ref="F130:G133" si="25">J130+H130+L130</f>
        <v>581110</v>
      </c>
      <c r="G130" s="47">
        <f t="shared" si="25"/>
        <v>3486660</v>
      </c>
      <c r="H130" s="50">
        <v>0</v>
      </c>
      <c r="I130" s="22">
        <f>ROUNDDOWN(H130*D130,0)</f>
        <v>0</v>
      </c>
      <c r="J130" s="51">
        <f>재료비목록표!E19</f>
        <v>581110</v>
      </c>
      <c r="K130" s="13">
        <f>ROUNDDOWN(J130*D130,0)</f>
        <v>3486660</v>
      </c>
      <c r="L130" s="54">
        <v>0</v>
      </c>
      <c r="M130" s="22">
        <f>ROUNDDOWN(L130*D130,0)</f>
        <v>0</v>
      </c>
      <c r="N130" s="23" t="s">
        <v>1068</v>
      </c>
      <c r="O130" s="17" t="s">
        <v>1067</v>
      </c>
      <c r="P130" s="7" t="s">
        <v>1066</v>
      </c>
      <c r="Q130" s="7" t="s">
        <v>800</v>
      </c>
      <c r="R130" s="7" t="s">
        <v>1065</v>
      </c>
      <c r="AC130" s="3" t="str">
        <f ca="1">HYPERLINK("#"&amp;재료비목록표!G2&amp;"!A"&amp;ROW(재료비목록표!A19),"자재16 →")</f>
        <v>자재16 →</v>
      </c>
    </row>
    <row r="131" spans="1:29" ht="30.6" customHeight="1" x14ac:dyDescent="0.3">
      <c r="A131" s="10"/>
      <c r="B131" s="10" t="s">
        <v>385</v>
      </c>
      <c r="C131" s="40" t="s">
        <v>386</v>
      </c>
      <c r="D131" s="42">
        <v>10</v>
      </c>
      <c r="E131" s="23" t="s">
        <v>156</v>
      </c>
      <c r="F131" s="44">
        <f t="shared" si="25"/>
        <v>45520</v>
      </c>
      <c r="G131" s="47">
        <f t="shared" si="25"/>
        <v>455200</v>
      </c>
      <c r="H131" s="50">
        <v>0</v>
      </c>
      <c r="I131" s="22">
        <f>ROUNDDOWN(H131*D131,0)</f>
        <v>0</v>
      </c>
      <c r="J131" s="51">
        <f>재료비목록표!E5</f>
        <v>45520</v>
      </c>
      <c r="K131" s="13">
        <f>ROUNDDOWN(J131*D131,0)</f>
        <v>455200</v>
      </c>
      <c r="L131" s="54">
        <v>0</v>
      </c>
      <c r="M131" s="22">
        <f>ROUNDDOWN(L131*D131,0)</f>
        <v>0</v>
      </c>
      <c r="N131" s="23" t="s">
        <v>1071</v>
      </c>
      <c r="O131" s="17" t="s">
        <v>1070</v>
      </c>
      <c r="P131" s="7" t="s">
        <v>1069</v>
      </c>
      <c r="Q131" s="7" t="s">
        <v>800</v>
      </c>
      <c r="R131" s="7" t="s">
        <v>1065</v>
      </c>
      <c r="AC131" s="3" t="str">
        <f ca="1">HYPERLINK("#"&amp;재료비목록표!G2&amp;"!A"&amp;ROW(재료비목록표!A5),"자재2 →")</f>
        <v>자재2 →</v>
      </c>
    </row>
    <row r="132" spans="1:29" ht="30.6" customHeight="1" x14ac:dyDescent="0.3">
      <c r="A132" s="10"/>
      <c r="B132" s="10" t="s">
        <v>672</v>
      </c>
      <c r="C132" s="40" t="s">
        <v>673</v>
      </c>
      <c r="D132" s="42">
        <v>1</v>
      </c>
      <c r="E132" s="23" t="s">
        <v>180</v>
      </c>
      <c r="F132" s="44">
        <f t="shared" si="25"/>
        <v>171650</v>
      </c>
      <c r="G132" s="47">
        <f t="shared" si="25"/>
        <v>171650</v>
      </c>
      <c r="H132" s="49">
        <f>일식견적목록표!F6</f>
        <v>0</v>
      </c>
      <c r="I132" s="13">
        <f>ROUNDDOWN(H132*D132,0)</f>
        <v>0</v>
      </c>
      <c r="J132" s="51">
        <f>일식견적목록표!G6</f>
        <v>0</v>
      </c>
      <c r="K132" s="13">
        <f>ROUNDDOWN(J132*D132,0)</f>
        <v>0</v>
      </c>
      <c r="L132" s="53">
        <f>일식견적목록표!H6</f>
        <v>171650</v>
      </c>
      <c r="M132" s="22">
        <f>ROUNDDOWN(L132*D132,0)</f>
        <v>171650</v>
      </c>
      <c r="N132" s="23" t="s">
        <v>1074</v>
      </c>
      <c r="O132" s="17" t="s">
        <v>1073</v>
      </c>
      <c r="P132" s="7" t="s">
        <v>1072</v>
      </c>
      <c r="Q132" s="7" t="s">
        <v>800</v>
      </c>
      <c r="R132" s="7" t="s">
        <v>1065</v>
      </c>
      <c r="AC132" s="3" t="str">
        <f ca="1">HYPERLINK("#"&amp;일식견적목록표!J2&amp;"!A"&amp;ROW(일식견적목록표!A6),"기타3 →")</f>
        <v>기타3 →</v>
      </c>
    </row>
    <row r="133" spans="1:29" ht="30.6" customHeight="1" x14ac:dyDescent="0.3">
      <c r="A133" s="10"/>
      <c r="B133" s="10" t="s">
        <v>1061</v>
      </c>
      <c r="C133" s="40" t="s">
        <v>1062</v>
      </c>
      <c r="D133" s="42">
        <v>0.54</v>
      </c>
      <c r="E133" s="23" t="s">
        <v>539</v>
      </c>
      <c r="F133" s="44">
        <f t="shared" si="25"/>
        <v>4113510</v>
      </c>
      <c r="G133" s="47">
        <f t="shared" si="25"/>
        <v>22210</v>
      </c>
      <c r="H133" s="50">
        <v>0</v>
      </c>
      <c r="I133" s="11">
        <f>ROUNDDOWN(H133*D133/100,-1)</f>
        <v>0</v>
      </c>
      <c r="J133" s="50">
        <v>0</v>
      </c>
      <c r="K133" s="22">
        <f>ROUNDDOWN(J133*D133/100,-1)</f>
        <v>0</v>
      </c>
      <c r="L133" s="54">
        <f>SUMIF(R130:R132,"1_2_02",G130:G132)</f>
        <v>4113510</v>
      </c>
      <c r="M133" s="22">
        <f>ROUNDDOWN(L133*D133/100,-1)</f>
        <v>22210</v>
      </c>
      <c r="N133" s="23"/>
      <c r="O133" s="17" t="s">
        <v>1075</v>
      </c>
      <c r="P133" s="7" t="s">
        <v>1059</v>
      </c>
      <c r="Q133" s="7" t="s">
        <v>800</v>
      </c>
    </row>
    <row r="134" spans="1:29" ht="30.6" customHeight="1" x14ac:dyDescent="0.3">
      <c r="A134" s="10" t="s">
        <v>1076</v>
      </c>
      <c r="B134" s="10" t="s">
        <v>533</v>
      </c>
      <c r="C134" s="40"/>
      <c r="D134" s="41"/>
      <c r="E134" s="23"/>
      <c r="F134" s="12">
        <v>0</v>
      </c>
      <c r="G134" s="46">
        <f>SUMIF(Q135:Q136,P134,G135:G136)</f>
        <v>1402330</v>
      </c>
      <c r="H134" s="13">
        <v>0</v>
      </c>
      <c r="I134" s="47">
        <f>SUMIF(Q135:Q136,P134,I135:I136)</f>
        <v>0</v>
      </c>
      <c r="J134" s="13">
        <v>0</v>
      </c>
      <c r="K134" s="52">
        <f>SUMIF(Q135:Q136,P134,K135:K136)</f>
        <v>1394800</v>
      </c>
      <c r="L134" s="22">
        <v>0</v>
      </c>
      <c r="M134" s="52">
        <f>SUMIF(Q135:Q136,P134,M135:M136)</f>
        <v>7530</v>
      </c>
      <c r="N134" s="23"/>
      <c r="O134" s="17" t="str">
        <f>"_x0007_`COD|E2_x0005_`QTY1|1_x0005_`EXI|0_x0005_`ITT|0_x0005_`END|"&amp;ROW(M137)&amp;"_x0005_`"</f>
        <v>_x0007_`COD|E2_x0005_`QTY1|1_x0005_`EXI|0_x0005_`ITT|0_x0005_`END|137_x0005_`</v>
      </c>
      <c r="P134" s="7" t="s">
        <v>800</v>
      </c>
      <c r="Q134" s="7" t="s">
        <v>1048</v>
      </c>
    </row>
    <row r="135" spans="1:29" ht="30.6" customHeight="1" x14ac:dyDescent="0.3">
      <c r="A135" s="10"/>
      <c r="B135" s="10" t="s">
        <v>533</v>
      </c>
      <c r="C135" s="40" t="s">
        <v>534</v>
      </c>
      <c r="D135" s="42">
        <v>22</v>
      </c>
      <c r="E135" s="23" t="s">
        <v>106</v>
      </c>
      <c r="F135" s="44">
        <f>J135+H135+L135</f>
        <v>63400</v>
      </c>
      <c r="G135" s="47">
        <f>K135+I135+M135</f>
        <v>1394800</v>
      </c>
      <c r="H135" s="50">
        <v>0</v>
      </c>
      <c r="I135" s="22">
        <f>ROUNDDOWN(H135*D135,0)</f>
        <v>0</v>
      </c>
      <c r="J135" s="51">
        <f>재료비목록표!E43</f>
        <v>63400</v>
      </c>
      <c r="K135" s="13">
        <f>ROUNDDOWN(J135*D135,0)</f>
        <v>1394800</v>
      </c>
      <c r="L135" s="54">
        <v>0</v>
      </c>
      <c r="M135" s="22">
        <f>ROUNDDOWN(L135*D135,0)</f>
        <v>0</v>
      </c>
      <c r="N135" s="23" t="s">
        <v>1080</v>
      </c>
      <c r="O135" s="17" t="s">
        <v>1079</v>
      </c>
      <c r="P135" s="7" t="s">
        <v>1078</v>
      </c>
      <c r="Q135" s="7" t="s">
        <v>800</v>
      </c>
      <c r="R135" s="7" t="s">
        <v>1077</v>
      </c>
      <c r="AC135" s="3" t="str">
        <f ca="1">HYPERLINK("#"&amp;재료비목록표!G2&amp;"!A"&amp;ROW(재료비목록표!A43),"자재40 →")</f>
        <v>자재40 →</v>
      </c>
    </row>
    <row r="136" spans="1:29" ht="30.6" customHeight="1" x14ac:dyDescent="0.3">
      <c r="A136" s="10"/>
      <c r="B136" s="10" t="s">
        <v>1061</v>
      </c>
      <c r="C136" s="40" t="s">
        <v>1062</v>
      </c>
      <c r="D136" s="42">
        <v>0.54</v>
      </c>
      <c r="E136" s="23" t="s">
        <v>539</v>
      </c>
      <c r="F136" s="44">
        <f>J136+H136+L136</f>
        <v>1394800</v>
      </c>
      <c r="G136" s="47">
        <f>K136+I136+M136</f>
        <v>7530</v>
      </c>
      <c r="H136" s="50">
        <v>0</v>
      </c>
      <c r="I136" s="11">
        <f>ROUNDDOWN(H136*D136/100,-1)</f>
        <v>0</v>
      </c>
      <c r="J136" s="50">
        <v>0</v>
      </c>
      <c r="K136" s="22">
        <f>ROUNDDOWN(J136*D136/100,-1)</f>
        <v>0</v>
      </c>
      <c r="L136" s="54">
        <f>SUMIF(R135:R135,"1_2_03",G135:G135)</f>
        <v>1394800</v>
      </c>
      <c r="M136" s="22">
        <f>ROUNDDOWN(L136*D136/100,-1)</f>
        <v>7530</v>
      </c>
      <c r="N136" s="23"/>
      <c r="O136" s="17" t="s">
        <v>1081</v>
      </c>
      <c r="P136" s="7" t="s">
        <v>1059</v>
      </c>
      <c r="Q136" s="7" t="s">
        <v>800</v>
      </c>
    </row>
    <row r="137" spans="1:29" ht="30.6" customHeight="1" x14ac:dyDescent="0.3">
      <c r="A137" s="10" t="s">
        <v>1082</v>
      </c>
      <c r="B137" s="10" t="s">
        <v>1083</v>
      </c>
      <c r="C137" s="40"/>
      <c r="D137" s="41"/>
      <c r="E137" s="23"/>
      <c r="F137" s="12">
        <v>0</v>
      </c>
      <c r="G137" s="46">
        <f>SUMIF(Q138:Q139,P137,G138:G139)</f>
        <v>3798400</v>
      </c>
      <c r="H137" s="13">
        <v>0</v>
      </c>
      <c r="I137" s="47">
        <f>SUMIF(Q138:Q139,P137,I138:I139)</f>
        <v>0</v>
      </c>
      <c r="J137" s="13">
        <v>0</v>
      </c>
      <c r="K137" s="52">
        <f>SUMIF(Q138:Q139,P137,K138:K139)</f>
        <v>3778000</v>
      </c>
      <c r="L137" s="22">
        <v>0</v>
      </c>
      <c r="M137" s="52">
        <f>SUMIF(Q138:Q139,P137,M138:M139)</f>
        <v>20400</v>
      </c>
      <c r="N137" s="23"/>
      <c r="O137" s="17" t="str">
        <f>"_x0007_`COD|E2_x0005_`QTY1|1_x0005_`EXI|0_x0005_`ITT|0_x0005_`END|"&amp;ROW(M140)&amp;"_x0005_`"</f>
        <v>_x0007_`COD|E2_x0005_`QTY1|1_x0005_`EXI|0_x0005_`ITT|0_x0005_`END|140_x0005_`</v>
      </c>
      <c r="P137" s="7" t="s">
        <v>800</v>
      </c>
      <c r="Q137" s="7" t="s">
        <v>1048</v>
      </c>
    </row>
    <row r="138" spans="1:29" ht="30.6" customHeight="1" x14ac:dyDescent="0.3">
      <c r="A138" s="10"/>
      <c r="B138" s="10" t="s">
        <v>546</v>
      </c>
      <c r="C138" s="40" t="s">
        <v>547</v>
      </c>
      <c r="D138" s="42">
        <v>2</v>
      </c>
      <c r="E138" s="23" t="s">
        <v>106</v>
      </c>
      <c r="F138" s="44">
        <f t="shared" ref="F138:G140" si="26">J138+H138+L138</f>
        <v>1889000</v>
      </c>
      <c r="G138" s="47">
        <f t="shared" si="26"/>
        <v>3778000</v>
      </c>
      <c r="H138" s="50">
        <v>0</v>
      </c>
      <c r="I138" s="22">
        <f>ROUNDDOWN(H138*D138,0)</f>
        <v>0</v>
      </c>
      <c r="J138" s="51">
        <f>재료비목록표!E46</f>
        <v>1889000</v>
      </c>
      <c r="K138" s="13">
        <f>ROUNDDOWN(J138*D138,0)</f>
        <v>3778000</v>
      </c>
      <c r="L138" s="54">
        <v>0</v>
      </c>
      <c r="M138" s="22">
        <f>ROUNDDOWN(L138*D138,0)</f>
        <v>0</v>
      </c>
      <c r="N138" s="23" t="s">
        <v>1087</v>
      </c>
      <c r="O138" s="17" t="s">
        <v>1086</v>
      </c>
      <c r="P138" s="7" t="s">
        <v>1085</v>
      </c>
      <c r="Q138" s="7" t="s">
        <v>800</v>
      </c>
      <c r="R138" s="7" t="s">
        <v>1084</v>
      </c>
      <c r="AC138" s="3" t="str">
        <f ca="1">HYPERLINK("#"&amp;재료비목록표!G2&amp;"!A"&amp;ROW(재료비목록표!A46),"자재43 →")</f>
        <v>자재43 →</v>
      </c>
    </row>
    <row r="139" spans="1:29" ht="30.6" customHeight="1" x14ac:dyDescent="0.3">
      <c r="A139" s="10"/>
      <c r="B139" s="10" t="s">
        <v>1061</v>
      </c>
      <c r="C139" s="40" t="s">
        <v>1062</v>
      </c>
      <c r="D139" s="42">
        <v>0.54</v>
      </c>
      <c r="E139" s="23" t="s">
        <v>539</v>
      </c>
      <c r="F139" s="44">
        <f t="shared" si="26"/>
        <v>3778000</v>
      </c>
      <c r="G139" s="47">
        <f t="shared" si="26"/>
        <v>20400</v>
      </c>
      <c r="H139" s="50">
        <v>0</v>
      </c>
      <c r="I139" s="11">
        <f>ROUNDDOWN(H139*D139/100,-1)</f>
        <v>0</v>
      </c>
      <c r="J139" s="50">
        <v>0</v>
      </c>
      <c r="K139" s="22">
        <f>ROUNDDOWN(J139*D139/100,-1)</f>
        <v>0</v>
      </c>
      <c r="L139" s="54">
        <f>SUMIF(R138:R138,"1_2_04",G138:G138)</f>
        <v>3778000</v>
      </c>
      <c r="M139" s="22">
        <f>ROUNDDOWN(L139*D139/100,-1)</f>
        <v>20400</v>
      </c>
      <c r="N139" s="23"/>
      <c r="O139" s="17" t="s">
        <v>1088</v>
      </c>
      <c r="P139" s="7" t="s">
        <v>1059</v>
      </c>
      <c r="Q139" s="7" t="s">
        <v>800</v>
      </c>
    </row>
    <row r="140" spans="1:29" ht="30.6" customHeight="1" x14ac:dyDescent="0.3">
      <c r="A140" s="10"/>
      <c r="B140" s="10" t="s">
        <v>444</v>
      </c>
      <c r="C140" s="40"/>
      <c r="D140" s="42">
        <v>440</v>
      </c>
      <c r="E140" s="23" t="s">
        <v>629</v>
      </c>
      <c r="F140" s="44">
        <f t="shared" si="26"/>
        <v>-1</v>
      </c>
      <c r="G140" s="47">
        <f t="shared" si="26"/>
        <v>-440</v>
      </c>
      <c r="H140" s="50">
        <v>0</v>
      </c>
      <c r="I140" s="11">
        <f>ROUNDDOWN(H140*D140,0)</f>
        <v>0</v>
      </c>
      <c r="J140" s="50">
        <v>0</v>
      </c>
      <c r="K140" s="22">
        <f>ROUNDDOWN(J140*D140,0)</f>
        <v>0</v>
      </c>
      <c r="L140" s="53">
        <f>경비목록표!E12</f>
        <v>-1</v>
      </c>
      <c r="M140" s="22">
        <f>ROUNDDOWN(L140*D140,0)</f>
        <v>-440</v>
      </c>
      <c r="N140" s="23" t="s">
        <v>1089</v>
      </c>
      <c r="O140" s="17" t="s">
        <v>1052</v>
      </c>
      <c r="P140" s="7" t="s">
        <v>1051</v>
      </c>
      <c r="Q140" s="7" t="s">
        <v>1048</v>
      </c>
      <c r="AC140" s="3" t="str">
        <f ca="1">HYPERLINK("#"&amp;경비목록표!G2&amp;"!A"&amp;ROW(경비목록표!A12),"경비9 →")</f>
        <v>경비9 →</v>
      </c>
    </row>
    <row r="141" spans="1:29" ht="30.6" customHeight="1" x14ac:dyDescent="0.3">
      <c r="A141" s="10"/>
      <c r="B141" s="10"/>
      <c r="C141" s="10"/>
      <c r="D141" s="43"/>
      <c r="E141" s="32"/>
      <c r="F141" s="45"/>
      <c r="G141" s="45"/>
      <c r="H141" s="45"/>
      <c r="I141" s="45"/>
      <c r="J141" s="45"/>
      <c r="K141" s="45"/>
      <c r="L141" s="45"/>
      <c r="M141" s="45"/>
      <c r="N141" s="23"/>
    </row>
    <row r="142" spans="1:29" ht="30.6" customHeight="1" x14ac:dyDescent="0.3">
      <c r="A142" s="10"/>
      <c r="B142" s="10"/>
      <c r="C142" s="10"/>
      <c r="D142" s="43"/>
      <c r="E142" s="32"/>
      <c r="F142" s="45"/>
      <c r="G142" s="45"/>
      <c r="H142" s="45"/>
      <c r="I142" s="45"/>
      <c r="J142" s="45"/>
      <c r="K142" s="45"/>
      <c r="L142" s="45"/>
      <c r="M142" s="45"/>
      <c r="N142" s="23"/>
    </row>
    <row r="143" spans="1:29" ht="30.6" customHeight="1" x14ac:dyDescent="0.3">
      <c r="A143" s="10"/>
      <c r="B143" s="10"/>
      <c r="C143" s="10"/>
      <c r="D143" s="43"/>
      <c r="E143" s="32"/>
      <c r="F143" s="45"/>
      <c r="G143" s="45"/>
      <c r="H143" s="45"/>
      <c r="I143" s="45"/>
      <c r="J143" s="45"/>
      <c r="K143" s="45"/>
      <c r="L143" s="45"/>
      <c r="M143" s="45"/>
      <c r="N143" s="23"/>
    </row>
    <row r="144" spans="1:29" ht="30.6" customHeight="1" x14ac:dyDescent="0.3">
      <c r="A144" s="10"/>
      <c r="B144" s="10"/>
      <c r="C144" s="10"/>
      <c r="D144" s="43"/>
      <c r="E144" s="32"/>
      <c r="F144" s="45"/>
      <c r="G144" s="45"/>
      <c r="H144" s="45"/>
      <c r="I144" s="45"/>
      <c r="J144" s="45"/>
      <c r="K144" s="45"/>
      <c r="L144" s="45"/>
      <c r="M144" s="45"/>
      <c r="N144" s="23"/>
    </row>
    <row r="145" spans="1:29" ht="30.6" customHeight="1" x14ac:dyDescent="0.3">
      <c r="A145" s="10" t="s">
        <v>1090</v>
      </c>
      <c r="B145" s="10" t="s">
        <v>1091</v>
      </c>
      <c r="C145" s="40"/>
      <c r="D145" s="41"/>
      <c r="E145" s="23"/>
      <c r="F145" s="12">
        <v>0</v>
      </c>
      <c r="G145" s="46">
        <f>SUMIF(Q146:Q148,P145,G146:G148)</f>
        <v>14668000</v>
      </c>
      <c r="H145" s="13">
        <v>0</v>
      </c>
      <c r="I145" s="47">
        <f>SUMIF(Q146:Q148,P145,I146:I148)</f>
        <v>0</v>
      </c>
      <c r="J145" s="13">
        <v>0</v>
      </c>
      <c r="K145" s="52">
        <f>SUMIF(Q146:Q148,P145,K146:K148)</f>
        <v>14589220</v>
      </c>
      <c r="L145" s="22">
        <v>0</v>
      </c>
      <c r="M145" s="52">
        <f>SUMIF(Q146:Q148,P145,M146:M148)</f>
        <v>78780</v>
      </c>
      <c r="N145" s="23" t="s">
        <v>1029</v>
      </c>
      <c r="O145" s="17" t="str">
        <f>"_x0007_`COD|C3_x0005_`QTY1|1_x0005_`EXI|1_x0005_`ITT|0_x0005_`END|"&amp;ROW(M149)&amp;"_x0005_`"</f>
        <v>_x0007_`COD|C3_x0005_`QTY1|1_x0005_`EXI|1_x0005_`ITT|0_x0005_`END|149_x0005_`</v>
      </c>
      <c r="P145" s="7" t="s">
        <v>1048</v>
      </c>
    </row>
    <row r="146" spans="1:29" ht="30.6" customHeight="1" x14ac:dyDescent="0.3">
      <c r="A146" s="10"/>
      <c r="B146" s="10" t="s">
        <v>481</v>
      </c>
      <c r="C146" s="40" t="s">
        <v>482</v>
      </c>
      <c r="D146" s="42">
        <v>2</v>
      </c>
      <c r="E146" s="23" t="s">
        <v>106</v>
      </c>
      <c r="F146" s="44">
        <f t="shared" ref="F146:G148" si="27">J146+H146+L146</f>
        <v>7295000</v>
      </c>
      <c r="G146" s="47">
        <f t="shared" si="27"/>
        <v>14590000</v>
      </c>
      <c r="H146" s="50">
        <v>0</v>
      </c>
      <c r="I146" s="22">
        <f>ROUNDDOWN(H146*D146,0)</f>
        <v>0</v>
      </c>
      <c r="J146" s="51">
        <f>재료비목록표!E30</f>
        <v>7295000</v>
      </c>
      <c r="K146" s="13">
        <f>ROUNDDOWN(J146*D146,0)</f>
        <v>14590000</v>
      </c>
      <c r="L146" s="54">
        <v>0</v>
      </c>
      <c r="M146" s="22">
        <f>ROUNDDOWN(L146*D146,0)</f>
        <v>0</v>
      </c>
      <c r="N146" s="23" t="s">
        <v>1095</v>
      </c>
      <c r="O146" s="17" t="s">
        <v>1094</v>
      </c>
      <c r="P146" s="7" t="s">
        <v>1093</v>
      </c>
      <c r="Q146" s="7" t="s">
        <v>1048</v>
      </c>
      <c r="R146" s="7" t="s">
        <v>1092</v>
      </c>
      <c r="AC146" s="3" t="str">
        <f ca="1">HYPERLINK("#"&amp;재료비목록표!G2&amp;"!A"&amp;ROW(재료비목록표!A30),"자재27 →")</f>
        <v>자재27 →</v>
      </c>
    </row>
    <row r="147" spans="1:29" ht="30.6" customHeight="1" x14ac:dyDescent="0.3">
      <c r="A147" s="10"/>
      <c r="B147" s="10" t="s">
        <v>1061</v>
      </c>
      <c r="C147" s="40" t="s">
        <v>1062</v>
      </c>
      <c r="D147" s="42">
        <v>0.54</v>
      </c>
      <c r="E147" s="23" t="s">
        <v>539</v>
      </c>
      <c r="F147" s="44">
        <f t="shared" si="27"/>
        <v>14590000</v>
      </c>
      <c r="G147" s="47">
        <f t="shared" si="27"/>
        <v>78780</v>
      </c>
      <c r="H147" s="50">
        <v>0</v>
      </c>
      <c r="I147" s="11">
        <f>ROUNDDOWN(H147*D147/100,-1)</f>
        <v>0</v>
      </c>
      <c r="J147" s="50">
        <v>0</v>
      </c>
      <c r="K147" s="22">
        <f>ROUNDDOWN(J147*D147/100,-1)</f>
        <v>0</v>
      </c>
      <c r="L147" s="54">
        <f>SUMIF(R146:R146,"1_3_06",G146:G146)</f>
        <v>14590000</v>
      </c>
      <c r="M147" s="22">
        <f>ROUNDDOWN(L147*D147/100,-1)</f>
        <v>78780</v>
      </c>
      <c r="N147" s="23"/>
      <c r="O147" s="17" t="s">
        <v>1096</v>
      </c>
      <c r="P147" s="7" t="s">
        <v>1059</v>
      </c>
      <c r="Q147" s="7" t="s">
        <v>1048</v>
      </c>
    </row>
    <row r="148" spans="1:29" ht="30.6" customHeight="1" x14ac:dyDescent="0.3">
      <c r="A148" s="10"/>
      <c r="B148" s="10" t="s">
        <v>444</v>
      </c>
      <c r="C148" s="40"/>
      <c r="D148" s="42">
        <v>780</v>
      </c>
      <c r="E148" s="23" t="s">
        <v>180</v>
      </c>
      <c r="F148" s="44">
        <f t="shared" si="27"/>
        <v>-1</v>
      </c>
      <c r="G148" s="47">
        <f t="shared" si="27"/>
        <v>-780</v>
      </c>
      <c r="H148" s="50">
        <v>0</v>
      </c>
      <c r="I148" s="22">
        <f>ROUNDDOWN(H148*D148,0)</f>
        <v>0</v>
      </c>
      <c r="J148" s="51">
        <f>재료비목록표!E20</f>
        <v>-1</v>
      </c>
      <c r="K148" s="13">
        <f>ROUNDDOWN(J148*D148,0)</f>
        <v>-780</v>
      </c>
      <c r="L148" s="54">
        <v>0</v>
      </c>
      <c r="M148" s="22">
        <f>ROUNDDOWN(L148*D148,0)</f>
        <v>0</v>
      </c>
      <c r="N148" s="23" t="s">
        <v>1099</v>
      </c>
      <c r="O148" s="17" t="s">
        <v>1098</v>
      </c>
      <c r="P148" s="7" t="s">
        <v>1097</v>
      </c>
      <c r="Q148" s="7" t="s">
        <v>1048</v>
      </c>
      <c r="AC148" s="3" t="str">
        <f ca="1">HYPERLINK("#"&amp;재료비목록표!G2&amp;"!A"&amp;ROW(재료비목록표!A20),"자재17 →")</f>
        <v>자재17 →</v>
      </c>
    </row>
    <row r="149" spans="1:29" ht="30.6" customHeight="1" x14ac:dyDescent="0.3">
      <c r="A149" s="10"/>
      <c r="B149" s="10"/>
      <c r="C149" s="10"/>
      <c r="D149" s="43"/>
      <c r="E149" s="32"/>
      <c r="F149" s="45"/>
      <c r="G149" s="45"/>
      <c r="H149" s="45"/>
      <c r="I149" s="45"/>
      <c r="J149" s="45"/>
      <c r="K149" s="45"/>
      <c r="L149" s="45"/>
      <c r="M149" s="45"/>
      <c r="N149" s="23"/>
    </row>
    <row r="150" spans="1:29" ht="30.6" customHeight="1" x14ac:dyDescent="0.3">
      <c r="A150" s="10"/>
      <c r="B150" s="10"/>
      <c r="C150" s="10"/>
      <c r="D150" s="43"/>
      <c r="E150" s="32"/>
      <c r="F150" s="45"/>
      <c r="G150" s="45"/>
      <c r="H150" s="45"/>
      <c r="I150" s="45"/>
      <c r="J150" s="45"/>
      <c r="K150" s="45"/>
      <c r="L150" s="45"/>
      <c r="M150" s="45"/>
      <c r="N150" s="23"/>
    </row>
    <row r="151" spans="1:29" ht="30.6" customHeight="1" x14ac:dyDescent="0.3">
      <c r="A151" s="10"/>
      <c r="B151" s="10"/>
      <c r="C151" s="10"/>
      <c r="D151" s="43"/>
      <c r="E151" s="32"/>
      <c r="F151" s="45"/>
      <c r="G151" s="45"/>
      <c r="H151" s="45"/>
      <c r="I151" s="45"/>
      <c r="J151" s="45"/>
      <c r="K151" s="45"/>
      <c r="L151" s="45"/>
      <c r="M151" s="45"/>
      <c r="N151" s="23"/>
    </row>
    <row r="152" spans="1:29" ht="30.6" customHeight="1" x14ac:dyDescent="0.3">
      <c r="A152" s="10"/>
      <c r="B152" s="10"/>
      <c r="C152" s="10"/>
      <c r="D152" s="43"/>
      <c r="E152" s="32"/>
      <c r="F152" s="45"/>
      <c r="G152" s="45"/>
      <c r="H152" s="45"/>
      <c r="I152" s="45"/>
      <c r="J152" s="45"/>
      <c r="K152" s="45"/>
      <c r="L152" s="45"/>
      <c r="M152" s="45"/>
      <c r="N152" s="23"/>
    </row>
    <row r="153" spans="1:29" ht="30.6" customHeight="1" x14ac:dyDescent="0.3">
      <c r="A153" s="10"/>
      <c r="B153" s="10"/>
      <c r="C153" s="10"/>
      <c r="D153" s="43"/>
      <c r="E153" s="32"/>
      <c r="F153" s="45"/>
      <c r="G153" s="45"/>
      <c r="H153" s="45"/>
      <c r="I153" s="45"/>
      <c r="J153" s="45"/>
      <c r="K153" s="45"/>
      <c r="L153" s="45"/>
      <c r="M153" s="45"/>
      <c r="N153" s="23"/>
    </row>
    <row r="154" spans="1:29" ht="30.6" customHeight="1" x14ac:dyDescent="0.3">
      <c r="A154" s="10"/>
      <c r="B154" s="10"/>
      <c r="C154" s="10"/>
      <c r="D154" s="43"/>
      <c r="E154" s="32"/>
      <c r="F154" s="45"/>
      <c r="G154" s="45"/>
      <c r="H154" s="45"/>
      <c r="I154" s="45"/>
      <c r="J154" s="45"/>
      <c r="K154" s="45"/>
      <c r="L154" s="45"/>
      <c r="M154" s="45"/>
      <c r="N154" s="23"/>
    </row>
    <row r="155" spans="1:29" ht="30.6" customHeight="1" x14ac:dyDescent="0.3">
      <c r="A155" s="10"/>
      <c r="B155" s="10"/>
      <c r="C155" s="10"/>
      <c r="D155" s="43"/>
      <c r="E155" s="32"/>
      <c r="F155" s="45"/>
      <c r="G155" s="45"/>
      <c r="H155" s="45"/>
      <c r="I155" s="45"/>
      <c r="J155" s="45"/>
      <c r="K155" s="45"/>
      <c r="L155" s="45"/>
      <c r="M155" s="45"/>
      <c r="N155" s="23"/>
    </row>
    <row r="156" spans="1:29" ht="30.6" customHeight="1" x14ac:dyDescent="0.3">
      <c r="A156" s="10"/>
      <c r="B156" s="10"/>
      <c r="C156" s="10"/>
      <c r="D156" s="43"/>
      <c r="E156" s="32"/>
      <c r="F156" s="45"/>
      <c r="G156" s="45"/>
      <c r="H156" s="45"/>
      <c r="I156" s="45"/>
      <c r="J156" s="45"/>
      <c r="K156" s="45"/>
      <c r="L156" s="45"/>
      <c r="M156" s="45"/>
      <c r="N156" s="23"/>
    </row>
    <row r="157" spans="1:29" ht="30.6" customHeight="1" x14ac:dyDescent="0.3">
      <c r="A157" s="10"/>
      <c r="B157" s="10"/>
      <c r="C157" s="10"/>
      <c r="D157" s="43"/>
      <c r="E157" s="32"/>
      <c r="F157" s="45"/>
      <c r="G157" s="45"/>
      <c r="H157" s="45"/>
      <c r="I157" s="45"/>
      <c r="J157" s="45"/>
      <c r="K157" s="45"/>
      <c r="L157" s="45"/>
      <c r="M157" s="45"/>
      <c r="N157" s="23"/>
    </row>
    <row r="158" spans="1:29" ht="30.6" customHeight="1" x14ac:dyDescent="0.3">
      <c r="A158" s="10"/>
      <c r="B158" s="10"/>
      <c r="C158" s="10"/>
      <c r="D158" s="43"/>
      <c r="E158" s="32"/>
      <c r="F158" s="45"/>
      <c r="G158" s="45"/>
      <c r="H158" s="45"/>
      <c r="I158" s="45"/>
      <c r="J158" s="45"/>
      <c r="K158" s="45"/>
      <c r="L158" s="45"/>
      <c r="M158" s="45"/>
      <c r="N158" s="23"/>
    </row>
    <row r="159" spans="1:29" ht="30.6" customHeight="1" x14ac:dyDescent="0.3">
      <c r="A159" s="10"/>
      <c r="B159" s="10"/>
      <c r="C159" s="10"/>
      <c r="D159" s="43"/>
      <c r="E159" s="32"/>
      <c r="F159" s="45"/>
      <c r="G159" s="45"/>
      <c r="H159" s="45"/>
      <c r="I159" s="45"/>
      <c r="J159" s="45"/>
      <c r="K159" s="45"/>
      <c r="L159" s="45"/>
      <c r="M159" s="45"/>
      <c r="N159" s="23"/>
    </row>
    <row r="160" spans="1:29" ht="30.6" customHeight="1" x14ac:dyDescent="0.3">
      <c r="A160" s="10"/>
      <c r="B160" s="10"/>
      <c r="C160" s="10"/>
      <c r="D160" s="43"/>
      <c r="E160" s="32"/>
      <c r="F160" s="45"/>
      <c r="G160" s="45"/>
      <c r="H160" s="45"/>
      <c r="I160" s="45"/>
      <c r="J160" s="45"/>
      <c r="K160" s="45"/>
      <c r="L160" s="45"/>
      <c r="M160" s="45"/>
      <c r="N160" s="23"/>
    </row>
    <row r="161" spans="1:29" ht="30.6" customHeight="1" x14ac:dyDescent="0.3">
      <c r="A161" s="10"/>
      <c r="B161" s="10"/>
      <c r="C161" s="10"/>
      <c r="D161" s="43"/>
      <c r="E161" s="32"/>
      <c r="F161" s="45"/>
      <c r="G161" s="45"/>
      <c r="H161" s="45"/>
      <c r="I161" s="45"/>
      <c r="J161" s="45"/>
      <c r="K161" s="45"/>
      <c r="L161" s="45"/>
      <c r="M161" s="45"/>
      <c r="N161" s="23"/>
    </row>
    <row r="162" spans="1:29" ht="30.6" customHeight="1" x14ac:dyDescent="0.3">
      <c r="A162" s="10"/>
      <c r="B162" s="10"/>
      <c r="C162" s="10"/>
      <c r="D162" s="43"/>
      <c r="E162" s="32"/>
      <c r="F162" s="45"/>
      <c r="G162" s="45"/>
      <c r="H162" s="45"/>
      <c r="I162" s="45"/>
      <c r="J162" s="45"/>
      <c r="K162" s="45"/>
      <c r="L162" s="45"/>
      <c r="M162" s="45"/>
      <c r="N162" s="23"/>
    </row>
    <row r="163" spans="1:29" ht="30.6" customHeight="1" x14ac:dyDescent="0.3">
      <c r="A163" s="10"/>
      <c r="B163" s="10"/>
      <c r="C163" s="10"/>
      <c r="D163" s="43"/>
      <c r="E163" s="32"/>
      <c r="F163" s="45"/>
      <c r="G163" s="45"/>
      <c r="H163" s="45"/>
      <c r="I163" s="45"/>
      <c r="J163" s="45"/>
      <c r="K163" s="45"/>
      <c r="L163" s="45"/>
      <c r="M163" s="45"/>
      <c r="N163" s="23"/>
    </row>
    <row r="164" spans="1:29" ht="30.6" customHeight="1" x14ac:dyDescent="0.3">
      <c r="A164" s="10"/>
      <c r="B164" s="10"/>
      <c r="C164" s="10"/>
      <c r="D164" s="43"/>
      <c r="E164" s="32"/>
      <c r="F164" s="45"/>
      <c r="G164" s="45"/>
      <c r="H164" s="45"/>
      <c r="I164" s="45"/>
      <c r="J164" s="45"/>
      <c r="K164" s="45"/>
      <c r="L164" s="45"/>
      <c r="M164" s="45"/>
      <c r="N164" s="23"/>
    </row>
    <row r="165" spans="1:29" ht="30.6" customHeight="1" x14ac:dyDescent="0.3">
      <c r="A165" s="10" t="s">
        <v>1100</v>
      </c>
      <c r="B165" s="10" t="s">
        <v>1101</v>
      </c>
      <c r="C165" s="40"/>
      <c r="D165" s="41"/>
      <c r="E165" s="23"/>
      <c r="F165" s="12">
        <v>0</v>
      </c>
      <c r="G165" s="46">
        <f>SUMIF(Q166:Q172,P165,G166:G172)</f>
        <v>620000</v>
      </c>
      <c r="H165" s="13">
        <v>0</v>
      </c>
      <c r="I165" s="47">
        <f>SUMIF(Q166:Q172,P165,I166:I172)</f>
        <v>0</v>
      </c>
      <c r="J165" s="13">
        <v>0</v>
      </c>
      <c r="K165" s="52">
        <f>SUMIF(Q166:Q172,P165,K166:K172)</f>
        <v>0</v>
      </c>
      <c r="L165" s="22">
        <v>0</v>
      </c>
      <c r="M165" s="52">
        <f>SUMIF(Q166:Q172,P165,M166:M172)</f>
        <v>620000</v>
      </c>
      <c r="N165" s="23"/>
      <c r="O165" s="17" t="str">
        <f>"_x0007_`COD|E3_x0005_`QTY1|1_x0005_`EXI|0_x0005_`ITT|0_x0005_`END|"&amp;ROW(M173)&amp;"_x0005_`"</f>
        <v>_x0007_`COD|E3_x0005_`QTY1|1_x0005_`EXI|0_x0005_`ITT|0_x0005_`END|173_x0005_`</v>
      </c>
      <c r="P165" s="7" t="s">
        <v>796</v>
      </c>
      <c r="Q165" s="7" t="s">
        <v>792</v>
      </c>
    </row>
    <row r="166" spans="1:29" ht="30.6" customHeight="1" x14ac:dyDescent="0.3">
      <c r="A166" s="10" t="s">
        <v>1104</v>
      </c>
      <c r="B166" s="10" t="s">
        <v>661</v>
      </c>
      <c r="C166" s="40"/>
      <c r="D166" s="41"/>
      <c r="E166" s="23"/>
      <c r="F166" s="12">
        <v>0</v>
      </c>
      <c r="G166" s="46">
        <f>SUMIF(Q167:Q168,P166,G167:G168)</f>
        <v>340000</v>
      </c>
      <c r="H166" s="13">
        <v>0</v>
      </c>
      <c r="I166" s="47">
        <f>SUMIF(Q167:Q168,P166,I167:I168)</f>
        <v>0</v>
      </c>
      <c r="J166" s="13">
        <v>0</v>
      </c>
      <c r="K166" s="52">
        <f>SUMIF(Q167:Q168,P166,K167:K168)</f>
        <v>0</v>
      </c>
      <c r="L166" s="22">
        <v>0</v>
      </c>
      <c r="M166" s="52">
        <f>SUMIF(Q167:Q168,P166,M167:M168)</f>
        <v>340000</v>
      </c>
      <c r="N166" s="23"/>
      <c r="O166" s="17" t="str">
        <f>"_x0007_`COD|E1_x0005_`QTY1|1_x0005_`EXI|0_x0005_`ITT|0_x0005_`END|"&amp;ROW(M169)&amp;"_x0005_`"</f>
        <v>_x0007_`COD|E1_x0005_`QTY1|1_x0005_`EXI|0_x0005_`ITT|0_x0005_`END|169_x0005_`</v>
      </c>
      <c r="P166" s="7" t="s">
        <v>845</v>
      </c>
      <c r="Q166" s="7" t="s">
        <v>796</v>
      </c>
    </row>
    <row r="167" spans="1:29" ht="30.6" customHeight="1" x14ac:dyDescent="0.3">
      <c r="A167" s="10"/>
      <c r="B167" s="10" t="s">
        <v>661</v>
      </c>
      <c r="C167" s="40" t="s">
        <v>657</v>
      </c>
      <c r="D167" s="42">
        <v>10</v>
      </c>
      <c r="E167" s="23" t="s">
        <v>221</v>
      </c>
      <c r="F167" s="44">
        <f>J167+H167+L167</f>
        <v>22000</v>
      </c>
      <c r="G167" s="47">
        <f>K167+I167+M167</f>
        <v>220000</v>
      </c>
      <c r="H167" s="50">
        <v>0</v>
      </c>
      <c r="I167" s="11">
        <f>ROUNDDOWN(H167*D167,0)</f>
        <v>0</v>
      </c>
      <c r="J167" s="50">
        <v>0</v>
      </c>
      <c r="K167" s="22">
        <f>ROUNDDOWN(J167*D167,0)</f>
        <v>0</v>
      </c>
      <c r="L167" s="53">
        <f>경비목록표!E40</f>
        <v>22000</v>
      </c>
      <c r="M167" s="22">
        <f>ROUNDDOWN(L167*D167,0)</f>
        <v>220000</v>
      </c>
      <c r="N167" s="23" t="s">
        <v>1107</v>
      </c>
      <c r="O167" s="17" t="s">
        <v>1106</v>
      </c>
      <c r="P167" s="7" t="s">
        <v>1105</v>
      </c>
      <c r="Q167" s="7" t="s">
        <v>845</v>
      </c>
      <c r="AC167" s="3" t="str">
        <f ca="1">HYPERLINK("#"&amp;경비목록표!G2&amp;"!A"&amp;ROW(경비목록표!A40),"경비37 →")</f>
        <v>경비37 →</v>
      </c>
    </row>
    <row r="168" spans="1:29" ht="30.6" customHeight="1" x14ac:dyDescent="0.3">
      <c r="A168" s="10"/>
      <c r="B168" s="10" t="s">
        <v>661</v>
      </c>
      <c r="C168" s="40" t="s">
        <v>659</v>
      </c>
      <c r="D168" s="42">
        <v>6</v>
      </c>
      <c r="E168" s="23" t="s">
        <v>221</v>
      </c>
      <c r="F168" s="44">
        <f>J168+H168+L168</f>
        <v>20000</v>
      </c>
      <c r="G168" s="47">
        <f>K168+I168+M168</f>
        <v>120000</v>
      </c>
      <c r="H168" s="50">
        <v>0</v>
      </c>
      <c r="I168" s="11">
        <f>ROUNDDOWN(H168*D168,0)</f>
        <v>0</v>
      </c>
      <c r="J168" s="50">
        <v>0</v>
      </c>
      <c r="K168" s="22">
        <f>ROUNDDOWN(J168*D168,0)</f>
        <v>0</v>
      </c>
      <c r="L168" s="53">
        <f>경비목록표!E41</f>
        <v>20000</v>
      </c>
      <c r="M168" s="22">
        <f>ROUNDDOWN(L168*D168,0)</f>
        <v>120000</v>
      </c>
      <c r="N168" s="23" t="s">
        <v>1110</v>
      </c>
      <c r="O168" s="17" t="s">
        <v>1109</v>
      </c>
      <c r="P168" s="7" t="s">
        <v>1108</v>
      </c>
      <c r="Q168" s="7" t="s">
        <v>845</v>
      </c>
      <c r="AC168" s="3" t="str">
        <f ca="1">HYPERLINK("#"&amp;경비목록표!G2&amp;"!A"&amp;ROW(경비목록표!A41),"경비38 →")</f>
        <v>경비38 →</v>
      </c>
    </row>
    <row r="169" spans="1:29" ht="30.6" customHeight="1" x14ac:dyDescent="0.3">
      <c r="A169" s="10" t="s">
        <v>1111</v>
      </c>
      <c r="B169" s="10" t="s">
        <v>656</v>
      </c>
      <c r="C169" s="40"/>
      <c r="D169" s="41"/>
      <c r="E169" s="23"/>
      <c r="F169" s="12">
        <v>0</v>
      </c>
      <c r="G169" s="46">
        <f>SUMIF(Q170:Q172,P169,G170:G172)</f>
        <v>280000</v>
      </c>
      <c r="H169" s="13">
        <v>0</v>
      </c>
      <c r="I169" s="47">
        <f>SUMIF(Q170:Q172,P169,I170:I172)</f>
        <v>0</v>
      </c>
      <c r="J169" s="13">
        <v>0</v>
      </c>
      <c r="K169" s="52">
        <f>SUMIF(Q170:Q172,P169,K170:K172)</f>
        <v>0</v>
      </c>
      <c r="L169" s="22">
        <v>0</v>
      </c>
      <c r="M169" s="52">
        <f>SUMIF(Q170:Q172,P169,M170:M172)</f>
        <v>280000</v>
      </c>
      <c r="N169" s="23"/>
      <c r="O169" s="17" t="str">
        <f>"_x0007_`COD|E1_x0005_`QTY1|1_x0005_`EXI|0_x0005_`ITT|0_x0005_`END|"&amp;ROW(M173)&amp;"_x0005_`"</f>
        <v>_x0007_`COD|E1_x0005_`QTY1|1_x0005_`EXI|0_x0005_`ITT|0_x0005_`END|173_x0005_`</v>
      </c>
      <c r="P169" s="7" t="s">
        <v>845</v>
      </c>
      <c r="Q169" s="7" t="s">
        <v>796</v>
      </c>
    </row>
    <row r="170" spans="1:29" ht="30.6" customHeight="1" x14ac:dyDescent="0.3">
      <c r="A170" s="10"/>
      <c r="B170" s="10" t="s">
        <v>656</v>
      </c>
      <c r="C170" s="40" t="s">
        <v>657</v>
      </c>
      <c r="D170" s="42">
        <v>10</v>
      </c>
      <c r="E170" s="23" t="s">
        <v>508</v>
      </c>
      <c r="F170" s="44">
        <f t="shared" ref="F170:G172" si="28">J170+H170+L170</f>
        <v>16000</v>
      </c>
      <c r="G170" s="47">
        <f t="shared" si="28"/>
        <v>160000</v>
      </c>
      <c r="H170" s="50">
        <v>0</v>
      </c>
      <c r="I170" s="11">
        <f>ROUNDDOWN(H170*D170,0)</f>
        <v>0</v>
      </c>
      <c r="J170" s="50">
        <v>0</v>
      </c>
      <c r="K170" s="22">
        <f>ROUNDDOWN(J170*D170,0)</f>
        <v>0</v>
      </c>
      <c r="L170" s="53">
        <f>경비목록표!E38</f>
        <v>16000</v>
      </c>
      <c r="M170" s="22">
        <f>ROUNDDOWN(L170*D170,0)</f>
        <v>160000</v>
      </c>
      <c r="N170" s="23" t="s">
        <v>1114</v>
      </c>
      <c r="O170" s="17" t="s">
        <v>1113</v>
      </c>
      <c r="P170" s="7" t="s">
        <v>1112</v>
      </c>
      <c r="Q170" s="7" t="s">
        <v>845</v>
      </c>
      <c r="AC170" s="3" t="str">
        <f ca="1">HYPERLINK("#"&amp;경비목록표!G2&amp;"!A"&amp;ROW(경비목록표!A38),"경비35 →")</f>
        <v>경비35 →</v>
      </c>
    </row>
    <row r="171" spans="1:29" ht="30.6" customHeight="1" x14ac:dyDescent="0.3">
      <c r="A171" s="10"/>
      <c r="B171" s="10" t="s">
        <v>656</v>
      </c>
      <c r="C171" s="40" t="s">
        <v>659</v>
      </c>
      <c r="D171" s="42">
        <v>6</v>
      </c>
      <c r="E171" s="23" t="s">
        <v>115</v>
      </c>
      <c r="F171" s="44">
        <f t="shared" si="28"/>
        <v>20000</v>
      </c>
      <c r="G171" s="47">
        <f t="shared" si="28"/>
        <v>120000</v>
      </c>
      <c r="H171" s="50">
        <v>0</v>
      </c>
      <c r="I171" s="11">
        <f>ROUNDDOWN(H171*D171,0)</f>
        <v>0</v>
      </c>
      <c r="J171" s="50">
        <v>0</v>
      </c>
      <c r="K171" s="22">
        <f>ROUNDDOWN(J171*D171,0)</f>
        <v>0</v>
      </c>
      <c r="L171" s="53">
        <f>경비목록표!E39</f>
        <v>20000</v>
      </c>
      <c r="M171" s="22">
        <f>ROUNDDOWN(L171*D171,0)</f>
        <v>120000</v>
      </c>
      <c r="N171" s="23" t="s">
        <v>1117</v>
      </c>
      <c r="O171" s="17" t="s">
        <v>1116</v>
      </c>
      <c r="P171" s="7" t="s">
        <v>1115</v>
      </c>
      <c r="Q171" s="7" t="s">
        <v>845</v>
      </c>
      <c r="AC171" s="3" t="str">
        <f ca="1">HYPERLINK("#"&amp;경비목록표!G2&amp;"!A"&amp;ROW(경비목록표!A39),"경비36 →")</f>
        <v>경비36 →</v>
      </c>
    </row>
    <row r="172" spans="1:29" ht="30.6" customHeight="1" x14ac:dyDescent="0.3">
      <c r="A172" s="10"/>
      <c r="B172" s="10" t="s">
        <v>444</v>
      </c>
      <c r="C172" s="40"/>
      <c r="D172" s="42">
        <v>0</v>
      </c>
      <c r="E172" s="23" t="s">
        <v>629</v>
      </c>
      <c r="F172" s="44">
        <f t="shared" si="28"/>
        <v>-1</v>
      </c>
      <c r="G172" s="47">
        <f t="shared" si="28"/>
        <v>0</v>
      </c>
      <c r="H172" s="50">
        <v>0</v>
      </c>
      <c r="I172" s="11">
        <f>ROUNDDOWN(H172*D172,0)</f>
        <v>0</v>
      </c>
      <c r="J172" s="50">
        <v>0</v>
      </c>
      <c r="K172" s="22">
        <f>ROUNDDOWN(J172*D172,0)</f>
        <v>0</v>
      </c>
      <c r="L172" s="53">
        <f>경비목록표!E12</f>
        <v>-1</v>
      </c>
      <c r="M172" s="22">
        <f>ROUNDDOWN(L172*D172,0)</f>
        <v>0</v>
      </c>
      <c r="N172" s="23" t="s">
        <v>1089</v>
      </c>
      <c r="O172" s="17" t="s">
        <v>1052</v>
      </c>
      <c r="P172" s="7" t="s">
        <v>1051</v>
      </c>
      <c r="Q172" s="7" t="s">
        <v>845</v>
      </c>
      <c r="AC172" s="3" t="str">
        <f ca="1">HYPERLINK("#"&amp;경비목록표!G2&amp;"!A"&amp;ROW(경비목록표!A12),"경비9 →")</f>
        <v>경비9 →</v>
      </c>
    </row>
    <row r="173" spans="1:29" ht="30.6" customHeight="1" x14ac:dyDescent="0.3">
      <c r="A173" s="10"/>
      <c r="B173" s="10"/>
      <c r="C173" s="10"/>
      <c r="D173" s="43"/>
      <c r="E173" s="32"/>
      <c r="F173" s="45"/>
      <c r="G173" s="45"/>
      <c r="H173" s="45"/>
      <c r="I173" s="45"/>
      <c r="J173" s="45"/>
      <c r="K173" s="45"/>
      <c r="L173" s="45"/>
      <c r="M173" s="45"/>
      <c r="N173" s="23"/>
    </row>
    <row r="174" spans="1:29" ht="30.6" customHeight="1" x14ac:dyDescent="0.3">
      <c r="A174" s="10"/>
      <c r="B174" s="10"/>
      <c r="C174" s="10"/>
      <c r="D174" s="43"/>
      <c r="E174" s="32"/>
      <c r="F174" s="45"/>
      <c r="G174" s="45"/>
      <c r="H174" s="45"/>
      <c r="I174" s="45"/>
      <c r="J174" s="45"/>
      <c r="K174" s="45"/>
      <c r="L174" s="45"/>
      <c r="M174" s="45"/>
      <c r="N174" s="23"/>
    </row>
    <row r="175" spans="1:29" ht="30.6" customHeight="1" x14ac:dyDescent="0.3">
      <c r="A175" s="10"/>
      <c r="B175" s="10"/>
      <c r="C175" s="10"/>
      <c r="D175" s="43"/>
      <c r="E175" s="32"/>
      <c r="F175" s="45"/>
      <c r="G175" s="45"/>
      <c r="H175" s="45"/>
      <c r="I175" s="45"/>
      <c r="J175" s="45"/>
      <c r="K175" s="45"/>
      <c r="L175" s="45"/>
      <c r="M175" s="45"/>
      <c r="N175" s="23"/>
    </row>
    <row r="176" spans="1:29" ht="30.6" customHeight="1" x14ac:dyDescent="0.3">
      <c r="A176" s="10"/>
      <c r="B176" s="10"/>
      <c r="C176" s="10"/>
      <c r="D176" s="43"/>
      <c r="E176" s="32"/>
      <c r="F176" s="45"/>
      <c r="G176" s="45"/>
      <c r="H176" s="45"/>
      <c r="I176" s="45"/>
      <c r="J176" s="45"/>
      <c r="K176" s="45"/>
      <c r="L176" s="45"/>
      <c r="M176" s="45"/>
      <c r="N176" s="23"/>
    </row>
    <row r="177" spans="1:29" ht="30.6" customHeight="1" x14ac:dyDescent="0.3">
      <c r="A177" s="10"/>
      <c r="B177" s="10"/>
      <c r="C177" s="10"/>
      <c r="D177" s="43"/>
      <c r="E177" s="32"/>
      <c r="F177" s="45"/>
      <c r="G177" s="45"/>
      <c r="H177" s="45"/>
      <c r="I177" s="45"/>
      <c r="J177" s="45"/>
      <c r="K177" s="45"/>
      <c r="L177" s="45"/>
      <c r="M177" s="45"/>
      <c r="N177" s="23"/>
    </row>
    <row r="178" spans="1:29" ht="30.6" customHeight="1" x14ac:dyDescent="0.3">
      <c r="A178" s="10"/>
      <c r="B178" s="10"/>
      <c r="C178" s="10"/>
      <c r="D178" s="43"/>
      <c r="E178" s="32"/>
      <c r="F178" s="45"/>
      <c r="G178" s="45"/>
      <c r="H178" s="45"/>
      <c r="I178" s="45"/>
      <c r="J178" s="45"/>
      <c r="K178" s="45"/>
      <c r="L178" s="45"/>
      <c r="M178" s="45"/>
      <c r="N178" s="23"/>
    </row>
    <row r="179" spans="1:29" ht="30.6" customHeight="1" x14ac:dyDescent="0.3">
      <c r="A179" s="10"/>
      <c r="B179" s="10"/>
      <c r="C179" s="10"/>
      <c r="D179" s="43"/>
      <c r="E179" s="32"/>
      <c r="F179" s="45"/>
      <c r="G179" s="45"/>
      <c r="H179" s="45"/>
      <c r="I179" s="45"/>
      <c r="J179" s="45"/>
      <c r="K179" s="45"/>
      <c r="L179" s="45"/>
      <c r="M179" s="45"/>
      <c r="N179" s="23"/>
    </row>
    <row r="180" spans="1:29" ht="30.6" customHeight="1" x14ac:dyDescent="0.3">
      <c r="A180" s="10"/>
      <c r="B180" s="10"/>
      <c r="C180" s="10"/>
      <c r="D180" s="43"/>
      <c r="E180" s="32"/>
      <c r="F180" s="45"/>
      <c r="G180" s="45"/>
      <c r="H180" s="45"/>
      <c r="I180" s="45"/>
      <c r="J180" s="45"/>
      <c r="K180" s="45"/>
      <c r="L180" s="45"/>
      <c r="M180" s="45"/>
      <c r="N180" s="23"/>
    </row>
    <row r="181" spans="1:29" ht="30.6" customHeight="1" x14ac:dyDescent="0.3">
      <c r="A181" s="10"/>
      <c r="B181" s="10"/>
      <c r="C181" s="10"/>
      <c r="D181" s="43"/>
      <c r="E181" s="32"/>
      <c r="F181" s="45"/>
      <c r="G181" s="45"/>
      <c r="H181" s="45"/>
      <c r="I181" s="45"/>
      <c r="J181" s="45"/>
      <c r="K181" s="45"/>
      <c r="L181" s="45"/>
      <c r="M181" s="45"/>
      <c r="N181" s="23"/>
    </row>
    <row r="182" spans="1:29" ht="30.6" customHeight="1" x14ac:dyDescent="0.3">
      <c r="A182" s="10"/>
      <c r="B182" s="10"/>
      <c r="C182" s="10"/>
      <c r="D182" s="43"/>
      <c r="E182" s="32"/>
      <c r="F182" s="45"/>
      <c r="G182" s="45"/>
      <c r="H182" s="45"/>
      <c r="I182" s="45"/>
      <c r="J182" s="45"/>
      <c r="K182" s="45"/>
      <c r="L182" s="45"/>
      <c r="M182" s="45"/>
      <c r="N182" s="23"/>
    </row>
    <row r="183" spans="1:29" ht="30.6" customHeight="1" x14ac:dyDescent="0.3">
      <c r="A183" s="10"/>
      <c r="B183" s="10"/>
      <c r="C183" s="10"/>
      <c r="D183" s="43"/>
      <c r="E183" s="32"/>
      <c r="F183" s="45"/>
      <c r="G183" s="45"/>
      <c r="H183" s="45"/>
      <c r="I183" s="45"/>
      <c r="J183" s="45"/>
      <c r="K183" s="45"/>
      <c r="L183" s="45"/>
      <c r="M183" s="45"/>
      <c r="N183" s="23"/>
    </row>
    <row r="184" spans="1:29" ht="30.6" customHeight="1" x14ac:dyDescent="0.3">
      <c r="A184" s="10"/>
      <c r="B184" s="10"/>
      <c r="C184" s="10"/>
      <c r="D184" s="43"/>
      <c r="E184" s="32"/>
      <c r="F184" s="45"/>
      <c r="G184" s="45"/>
      <c r="H184" s="45"/>
      <c r="I184" s="45"/>
      <c r="J184" s="45"/>
      <c r="K184" s="45"/>
      <c r="L184" s="45"/>
      <c r="M184" s="45"/>
      <c r="N184" s="23"/>
    </row>
    <row r="185" spans="1:29" ht="30.6" customHeight="1" x14ac:dyDescent="0.3">
      <c r="A185" s="10" t="s">
        <v>1102</v>
      </c>
      <c r="B185" s="10" t="s">
        <v>420</v>
      </c>
      <c r="C185" s="40"/>
      <c r="D185" s="41"/>
      <c r="E185" s="23"/>
      <c r="F185" s="12">
        <v>0</v>
      </c>
      <c r="G185" s="46">
        <f>SUMIF(Q186:Q187,P185,G186:G187)</f>
        <v>-406000</v>
      </c>
      <c r="H185" s="13">
        <v>0</v>
      </c>
      <c r="I185" s="47">
        <f>SUMIF(Q186:Q187,P185,I186:I187)</f>
        <v>0</v>
      </c>
      <c r="J185" s="13">
        <v>0</v>
      </c>
      <c r="K185" s="52">
        <f>SUMIF(Q186:Q187,P185,K186:K187)</f>
        <v>-405720</v>
      </c>
      <c r="L185" s="22">
        <v>0</v>
      </c>
      <c r="M185" s="52">
        <f>SUMIF(Q186:Q187,P185,M186:M187)</f>
        <v>-280</v>
      </c>
      <c r="N185" s="23" t="s">
        <v>1029</v>
      </c>
      <c r="O185" s="17" t="str">
        <f>"_x0007_`COD|C3_x0005_`QTY1|1_x0005_`EXI|0_x0005_`ITT|0_x0005_`END|"&amp;ROW(M188)&amp;"_x0005_`"</f>
        <v>_x0007_`COD|C3_x0005_`QTY1|1_x0005_`EXI|0_x0005_`ITT|0_x0005_`END|188_x0005_`</v>
      </c>
      <c r="P185" s="7" t="s">
        <v>1048</v>
      </c>
    </row>
    <row r="186" spans="1:29" ht="30.6" customHeight="1" x14ac:dyDescent="0.3">
      <c r="A186" s="10"/>
      <c r="B186" s="10" t="s">
        <v>420</v>
      </c>
      <c r="C186" s="40" t="s">
        <v>421</v>
      </c>
      <c r="D186" s="42">
        <v>1127</v>
      </c>
      <c r="E186" s="23" t="s">
        <v>422</v>
      </c>
      <c r="F186" s="44">
        <f>J186+H186+L186</f>
        <v>-360</v>
      </c>
      <c r="G186" s="47">
        <f>K186+I186+M186</f>
        <v>-405720</v>
      </c>
      <c r="H186" s="50">
        <v>0</v>
      </c>
      <c r="I186" s="22">
        <f>ROUNDDOWN(H186*D186,0)</f>
        <v>0</v>
      </c>
      <c r="J186" s="51">
        <f>재료비목록표!E14</f>
        <v>-360</v>
      </c>
      <c r="K186" s="13">
        <f>ROUNDDOWN(J186*D186,0)</f>
        <v>-405720</v>
      </c>
      <c r="L186" s="54">
        <v>0</v>
      </c>
      <c r="M186" s="22">
        <f>ROUNDDOWN(L186*D186,0)</f>
        <v>0</v>
      </c>
      <c r="N186" s="23" t="s">
        <v>1119</v>
      </c>
      <c r="O186" s="17" t="s">
        <v>1118</v>
      </c>
      <c r="P186" s="7" t="s">
        <v>1103</v>
      </c>
      <c r="Q186" s="7" t="s">
        <v>1048</v>
      </c>
      <c r="AC186" s="3" t="str">
        <f ca="1">HYPERLINK("#"&amp;재료비목록표!G2&amp;"!A"&amp;ROW(재료비목록표!A14),"자재11 →")</f>
        <v>자재11 →</v>
      </c>
    </row>
    <row r="187" spans="1:29" ht="30.6" customHeight="1" x14ac:dyDescent="0.3">
      <c r="A187" s="10"/>
      <c r="B187" s="10" t="s">
        <v>444</v>
      </c>
      <c r="C187" s="40"/>
      <c r="D187" s="42">
        <v>280</v>
      </c>
      <c r="E187" s="23" t="s">
        <v>629</v>
      </c>
      <c r="F187" s="44">
        <f>J187+H187+L187</f>
        <v>-1</v>
      </c>
      <c r="G187" s="47">
        <f>K187+I187+M187</f>
        <v>-280</v>
      </c>
      <c r="H187" s="50">
        <v>0</v>
      </c>
      <c r="I187" s="11">
        <f>ROUNDDOWN(H187*D187,0)</f>
        <v>0</v>
      </c>
      <c r="J187" s="50">
        <v>0</v>
      </c>
      <c r="K187" s="22">
        <f>ROUNDDOWN(J187*D187,0)</f>
        <v>0</v>
      </c>
      <c r="L187" s="53">
        <f>경비목록표!E12</f>
        <v>-1</v>
      </c>
      <c r="M187" s="22">
        <f>ROUNDDOWN(L187*D187,0)</f>
        <v>-280</v>
      </c>
      <c r="N187" s="23" t="s">
        <v>1089</v>
      </c>
      <c r="O187" s="17" t="s">
        <v>1120</v>
      </c>
      <c r="P187" s="7" t="s">
        <v>1051</v>
      </c>
      <c r="Q187" s="7" t="s">
        <v>1048</v>
      </c>
      <c r="AC187" s="3" t="str">
        <f ca="1">HYPERLINK("#"&amp;경비목록표!G2&amp;"!A"&amp;ROW(경비목록표!A12),"경비9 →")</f>
        <v>경비9 →</v>
      </c>
    </row>
    <row r="188" spans="1:29" ht="30.6" customHeight="1" x14ac:dyDescent="0.3">
      <c r="A188" s="10"/>
      <c r="B188" s="10"/>
      <c r="C188" s="10"/>
      <c r="D188" s="43"/>
      <c r="E188" s="32"/>
      <c r="F188" s="45"/>
      <c r="G188" s="45"/>
      <c r="H188" s="45"/>
      <c r="I188" s="45"/>
      <c r="J188" s="45"/>
      <c r="K188" s="45"/>
      <c r="L188" s="45"/>
      <c r="M188" s="45"/>
      <c r="N188" s="23"/>
    </row>
    <row r="189" spans="1:29" ht="30.6" customHeight="1" x14ac:dyDescent="0.3">
      <c r="A189" s="10"/>
      <c r="B189" s="10"/>
      <c r="C189" s="10"/>
      <c r="D189" s="43"/>
      <c r="E189" s="32"/>
      <c r="F189" s="45"/>
      <c r="G189" s="45"/>
      <c r="H189" s="45"/>
      <c r="I189" s="45"/>
      <c r="J189" s="45"/>
      <c r="K189" s="45"/>
      <c r="L189" s="45"/>
      <c r="M189" s="45"/>
      <c r="N189" s="23"/>
    </row>
    <row r="190" spans="1:29" ht="30.6" customHeight="1" x14ac:dyDescent="0.3">
      <c r="A190" s="10"/>
      <c r="B190" s="10"/>
      <c r="C190" s="10"/>
      <c r="D190" s="43"/>
      <c r="E190" s="32"/>
      <c r="F190" s="45"/>
      <c r="G190" s="45"/>
      <c r="H190" s="45"/>
      <c r="I190" s="45"/>
      <c r="J190" s="45"/>
      <c r="K190" s="45"/>
      <c r="L190" s="45"/>
      <c r="M190" s="45"/>
      <c r="N190" s="23"/>
    </row>
    <row r="191" spans="1:29" ht="30.6" customHeight="1" x14ac:dyDescent="0.3">
      <c r="A191" s="10"/>
      <c r="B191" s="10"/>
      <c r="C191" s="10"/>
      <c r="D191" s="43"/>
      <c r="E191" s="32"/>
      <c r="F191" s="45"/>
      <c r="G191" s="45"/>
      <c r="H191" s="45"/>
      <c r="I191" s="45"/>
      <c r="J191" s="45"/>
      <c r="K191" s="45"/>
      <c r="L191" s="45"/>
      <c r="M191" s="45"/>
      <c r="N191" s="23"/>
    </row>
    <row r="192" spans="1:29" ht="30.6" customHeight="1" x14ac:dyDescent="0.3">
      <c r="A192" s="10"/>
      <c r="B192" s="10"/>
      <c r="C192" s="10"/>
      <c r="D192" s="43"/>
      <c r="E192" s="32"/>
      <c r="F192" s="45"/>
      <c r="G192" s="45"/>
      <c r="H192" s="45"/>
      <c r="I192" s="45"/>
      <c r="J192" s="45"/>
      <c r="K192" s="45"/>
      <c r="L192" s="45"/>
      <c r="M192" s="45"/>
      <c r="N192" s="23"/>
    </row>
    <row r="193" spans="1:14" ht="30.6" customHeight="1" x14ac:dyDescent="0.3">
      <c r="A193" s="10"/>
      <c r="B193" s="10"/>
      <c r="C193" s="10"/>
      <c r="D193" s="43"/>
      <c r="E193" s="32"/>
      <c r="F193" s="45"/>
      <c r="G193" s="45"/>
      <c r="H193" s="45"/>
      <c r="I193" s="45"/>
      <c r="J193" s="45"/>
      <c r="K193" s="45"/>
      <c r="L193" s="45"/>
      <c r="M193" s="45"/>
      <c r="N193" s="23"/>
    </row>
    <row r="194" spans="1:14" ht="30.6" customHeight="1" x14ac:dyDescent="0.3">
      <c r="A194" s="10"/>
      <c r="B194" s="10"/>
      <c r="C194" s="10"/>
      <c r="D194" s="43"/>
      <c r="E194" s="32"/>
      <c r="F194" s="45"/>
      <c r="G194" s="45"/>
      <c r="H194" s="45"/>
      <c r="I194" s="45"/>
      <c r="J194" s="45"/>
      <c r="K194" s="45"/>
      <c r="L194" s="45"/>
      <c r="M194" s="45"/>
      <c r="N194" s="23"/>
    </row>
    <row r="195" spans="1:14" ht="30.6" customHeight="1" x14ac:dyDescent="0.3">
      <c r="A195" s="10"/>
      <c r="B195" s="10"/>
      <c r="C195" s="10"/>
      <c r="D195" s="43"/>
      <c r="E195" s="32"/>
      <c r="F195" s="45"/>
      <c r="G195" s="45"/>
      <c r="H195" s="45"/>
      <c r="I195" s="45"/>
      <c r="J195" s="45"/>
      <c r="K195" s="45"/>
      <c r="L195" s="45"/>
      <c r="M195" s="45"/>
      <c r="N195" s="23"/>
    </row>
    <row r="196" spans="1:14" ht="30.6" customHeight="1" x14ac:dyDescent="0.3">
      <c r="A196" s="10"/>
      <c r="B196" s="10"/>
      <c r="C196" s="10"/>
      <c r="D196" s="43"/>
      <c r="E196" s="32"/>
      <c r="F196" s="45"/>
      <c r="G196" s="45"/>
      <c r="H196" s="45"/>
      <c r="I196" s="45"/>
      <c r="J196" s="45"/>
      <c r="K196" s="45"/>
      <c r="L196" s="45"/>
      <c r="M196" s="45"/>
      <c r="N196" s="23"/>
    </row>
    <row r="197" spans="1:14" ht="30.6" customHeight="1" x14ac:dyDescent="0.3">
      <c r="A197" s="10"/>
      <c r="B197" s="10"/>
      <c r="C197" s="10"/>
      <c r="D197" s="43"/>
      <c r="E197" s="32"/>
      <c r="F197" s="45"/>
      <c r="G197" s="45"/>
      <c r="H197" s="45"/>
      <c r="I197" s="45"/>
      <c r="J197" s="45"/>
      <c r="K197" s="45"/>
      <c r="L197" s="45"/>
      <c r="M197" s="45"/>
      <c r="N197" s="23"/>
    </row>
    <row r="198" spans="1:14" ht="30.6" customHeight="1" x14ac:dyDescent="0.3">
      <c r="A198" s="10"/>
      <c r="B198" s="10"/>
      <c r="C198" s="10"/>
      <c r="D198" s="43"/>
      <c r="E198" s="32"/>
      <c r="F198" s="45"/>
      <c r="G198" s="45"/>
      <c r="H198" s="45"/>
      <c r="I198" s="45"/>
      <c r="J198" s="45"/>
      <c r="K198" s="45"/>
      <c r="L198" s="45"/>
      <c r="M198" s="45"/>
      <c r="N198" s="23"/>
    </row>
    <row r="199" spans="1:14" ht="30.6" customHeight="1" x14ac:dyDescent="0.3">
      <c r="A199" s="10"/>
      <c r="B199" s="10"/>
      <c r="C199" s="10"/>
      <c r="D199" s="43"/>
      <c r="E199" s="32"/>
      <c r="F199" s="45"/>
      <c r="G199" s="45"/>
      <c r="H199" s="45"/>
      <c r="I199" s="45"/>
      <c r="J199" s="45"/>
      <c r="K199" s="45"/>
      <c r="L199" s="45"/>
      <c r="M199" s="45"/>
      <c r="N199" s="23"/>
    </row>
    <row r="200" spans="1:14" ht="30.6" customHeight="1" x14ac:dyDescent="0.3">
      <c r="A200" s="10"/>
      <c r="B200" s="10"/>
      <c r="C200" s="10"/>
      <c r="D200" s="43"/>
      <c r="E200" s="32"/>
      <c r="F200" s="45"/>
      <c r="G200" s="45"/>
      <c r="H200" s="45"/>
      <c r="I200" s="45"/>
      <c r="J200" s="45"/>
      <c r="K200" s="45"/>
      <c r="L200" s="45"/>
      <c r="M200" s="45"/>
      <c r="N200" s="23"/>
    </row>
    <row r="201" spans="1:14" ht="30.6" customHeight="1" x14ac:dyDescent="0.3">
      <c r="A201" s="10"/>
      <c r="B201" s="10"/>
      <c r="C201" s="10"/>
      <c r="D201" s="43"/>
      <c r="E201" s="32"/>
      <c r="F201" s="45"/>
      <c r="G201" s="45"/>
      <c r="H201" s="45"/>
      <c r="I201" s="45"/>
      <c r="J201" s="45"/>
      <c r="K201" s="45"/>
      <c r="L201" s="45"/>
      <c r="M201" s="45"/>
      <c r="N201" s="23"/>
    </row>
    <row r="202" spans="1:14" ht="30.6" customHeight="1" x14ac:dyDescent="0.3">
      <c r="A202" s="10"/>
      <c r="B202" s="10"/>
      <c r="C202" s="10"/>
      <c r="D202" s="43"/>
      <c r="E202" s="32"/>
      <c r="F202" s="45"/>
      <c r="G202" s="45"/>
      <c r="H202" s="45"/>
      <c r="I202" s="45"/>
      <c r="J202" s="45"/>
      <c r="K202" s="45"/>
      <c r="L202" s="45"/>
      <c r="M202" s="45"/>
      <c r="N202" s="23"/>
    </row>
    <row r="203" spans="1:14" ht="30.6" customHeight="1" x14ac:dyDescent="0.3">
      <c r="A203" s="10"/>
      <c r="B203" s="10"/>
      <c r="C203" s="10"/>
      <c r="D203" s="43"/>
      <c r="E203" s="32"/>
      <c r="F203" s="45"/>
      <c r="G203" s="45"/>
      <c r="H203" s="45"/>
      <c r="I203" s="45"/>
      <c r="J203" s="45"/>
      <c r="K203" s="45"/>
      <c r="L203" s="45"/>
      <c r="M203" s="45"/>
      <c r="N203" s="23"/>
    </row>
    <row r="204" spans="1:14" ht="30.6" customHeight="1" x14ac:dyDescent="0.3">
      <c r="A204" s="10"/>
      <c r="B204" s="10"/>
      <c r="C204" s="10"/>
      <c r="D204" s="43"/>
      <c r="E204" s="32"/>
      <c r="F204" s="45"/>
      <c r="G204" s="45"/>
      <c r="H204" s="45"/>
      <c r="I204" s="45"/>
      <c r="J204" s="45"/>
      <c r="K204" s="45"/>
      <c r="L204" s="45"/>
      <c r="M204" s="45"/>
      <c r="N204" s="23"/>
    </row>
    <row r="205" spans="1:14" hidden="1" x14ac:dyDescent="0.3">
      <c r="B205" s="7" t="s">
        <v>791</v>
      </c>
      <c r="G205" s="48">
        <f>SUMIF(Q5:Q204,"E10_1",G5:G204)</f>
        <v>29813755</v>
      </c>
      <c r="I205" s="48">
        <f>SUMIF(Q5:Q204,"E10_1",I5:I204)</f>
        <v>10038067</v>
      </c>
      <c r="K205" s="48">
        <f>SUMIF(Q5:Q204,"E10_1",K5:K204)</f>
        <v>16591866</v>
      </c>
      <c r="M205" s="48">
        <f>SUMIF(Q5:Q204,"E10_1",M5:M204)</f>
        <v>3183822</v>
      </c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25" type="noConversion"/>
  <conditionalFormatting sqref="D5:D205">
    <cfRule type="expression" dxfId="5" priority="1" stopIfTrue="1">
      <formula>AND(D5&lt;&gt;0,INT(D5)=D5)</formula>
    </cfRule>
  </conditionalFormatting>
  <conditionalFormatting sqref="F5:N205">
    <cfRule type="expression" dxfId="4" priority="2" stopIfTrue="1">
      <formula>AND(F5&lt;&gt;0,INT(F5)=F5)</formula>
    </cfRule>
  </conditionalFormatting>
  <hyperlinks>
    <hyperlink ref="AC1" r:id="rId1" tooltip="설계예산시스템(STmate w26.05)으로 작성 하였으며,_x000a_엑셀 인쇄품질 600 dpi에 최적화 되어 있습니다._x000a_경영정보(주) http://www.stma.co.kr_x000a_Tel) 070-4350-0040_x000a_Fax) 0505-300-3948" xr:uid="{2456FF78-901E-4B08-8209-E61751C9484A}"/>
    <hyperlink ref="O1" r:id="rId2" tooltip="설계예산시스템(STmate w26.05)으로 작성 하였으며,_x000a_엑셀 인쇄품질 600 dpi에 최적화 되어 있습니다._x000a_경영정보(주) http://www.stma.co.kr_x000a_Tel) 070-4350-0040_x000a_Fax) 0505-300-3948" xr:uid="{9AACD686-43EA-4137-B17D-5A1E6389EE0D}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8598D-BCA2-4B71-ADDB-2BC42D293265}">
  <dimension ref="A1:K30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8" width="11.5" style="6" customWidth="1"/>
    <col min="9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0" t="s">
        <v>0</v>
      </c>
      <c r="B1" s="126"/>
      <c r="C1" s="126"/>
      <c r="D1" s="126"/>
      <c r="E1" s="126"/>
      <c r="F1" s="126"/>
      <c r="G1" s="126"/>
      <c r="H1" s="126"/>
      <c r="I1" s="126"/>
      <c r="J1" s="5" t="s">
        <v>124</v>
      </c>
      <c r="K1" s="19" t="s">
        <v>124</v>
      </c>
    </row>
    <row r="2" spans="1:11" ht="22.35" customHeight="1" x14ac:dyDescent="0.3">
      <c r="A2" s="1" t="s">
        <v>1</v>
      </c>
      <c r="J2" s="20" t="str">
        <f ca="1">MID(CELL("filename",$A$1),FIND("]",CELL("filename",$A$1))+1,LEN(CELL("filename",$A$1)))</f>
        <v>일위대가목록표</v>
      </c>
    </row>
    <row r="3" spans="1:11" ht="22.35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14" t="s">
        <v>10</v>
      </c>
      <c r="K3" s="3" t="str">
        <f>HYPERLINK("#'〓 목 차 〓'!B2","목차 →")</f>
        <v>목차 →</v>
      </c>
    </row>
    <row r="4" spans="1:11" ht="22.35" customHeight="1" x14ac:dyDescent="0.3">
      <c r="A4" s="9" t="s">
        <v>11</v>
      </c>
      <c r="B4" s="10" t="s">
        <v>12</v>
      </c>
      <c r="C4" s="10" t="s">
        <v>13</v>
      </c>
      <c r="D4" s="9" t="s">
        <v>14</v>
      </c>
      <c r="E4" s="47">
        <f>일위대가표!F8</f>
        <v>13611</v>
      </c>
      <c r="F4" s="46">
        <f>일위대가표!H8</f>
        <v>11304</v>
      </c>
      <c r="G4" s="55">
        <f>일위대가표!J8</f>
        <v>1117</v>
      </c>
      <c r="H4" s="47">
        <f>일위대가표!L8</f>
        <v>1190</v>
      </c>
      <c r="I4" s="15" t="s">
        <v>11</v>
      </c>
      <c r="J4" s="17" t="str">
        <f>"_x0007_`COD|B02631_x0005_`QTY1|1_x0005_`BQC|_x0005_`EQC|_x0005_`JDC|_x0005_`WQC|_x0005_`EDT|_x0005_`ADJ|F_x0005_`DET|"&amp;ROW(일위대가표!A6)&amp;"_x0005_`"</f>
        <v>_x0007_`COD|B02631_x0005_`QTY1|1_x0005_`BQC|_x0005_`EQC|_x0005_`JDC|_x0005_`WQC|_x0005_`EDT|_x0005_`ADJ|F_x0005_`DET|6_x0005_`</v>
      </c>
      <c r="K4" s="3" t="str">
        <f ca="1">HYPERLINK("#"&amp;일위대가표!N2&amp;"!A"&amp;ROW(일위대가표!A6),"대가1 →")</f>
        <v>대가1 →</v>
      </c>
    </row>
    <row r="5" spans="1:11" ht="22.35" customHeight="1" x14ac:dyDescent="0.3">
      <c r="A5" s="9" t="s">
        <v>16</v>
      </c>
      <c r="B5" s="10" t="s">
        <v>17</v>
      </c>
      <c r="C5" s="10" t="s">
        <v>18</v>
      </c>
      <c r="D5" s="9" t="s">
        <v>19</v>
      </c>
      <c r="E5" s="47">
        <f>일위대가표!F15</f>
        <v>4504</v>
      </c>
      <c r="F5" s="46">
        <f>일위대가표!H15</f>
        <v>3736</v>
      </c>
      <c r="G5" s="55">
        <f>일위대가표!J15</f>
        <v>361</v>
      </c>
      <c r="H5" s="47">
        <f>일위대가표!L15</f>
        <v>407</v>
      </c>
      <c r="I5" s="15" t="s">
        <v>16</v>
      </c>
      <c r="J5" s="17" t="str">
        <f>"_x0007_`COD|B04729_x0005_`QTY1|1_x0005_`BQC|_x0005_`EQC|_x0005_`JDC|_x0005_`WQC|_x0005_`EDT|_x0005_`ADJ|F_x0005_`DET|"&amp;ROW(일위대가표!A10)&amp;"_x0005_`"</f>
        <v>_x0007_`COD|B04729_x0005_`QTY1|1_x0005_`BQC|_x0005_`EQC|_x0005_`JDC|_x0005_`WQC|_x0005_`EDT|_x0005_`ADJ|F_x0005_`DET|10_x0005_`</v>
      </c>
      <c r="K5" s="3" t="str">
        <f ca="1">HYPERLINK("#"&amp;일위대가표!N2&amp;"!A"&amp;ROW(일위대가표!A10),"대가2 →")</f>
        <v>대가2 →</v>
      </c>
    </row>
    <row r="6" spans="1:11" ht="22.35" customHeight="1" x14ac:dyDescent="0.3">
      <c r="A6" s="9" t="s">
        <v>21</v>
      </c>
      <c r="B6" s="10" t="s">
        <v>22</v>
      </c>
      <c r="C6" s="10" t="s">
        <v>23</v>
      </c>
      <c r="D6" s="9" t="s">
        <v>19</v>
      </c>
      <c r="E6" s="47">
        <f>일위대가표!F21</f>
        <v>15354</v>
      </c>
      <c r="F6" s="46">
        <f>일위대가표!H21</f>
        <v>15354</v>
      </c>
      <c r="G6" s="55">
        <f>일위대가표!J21</f>
        <v>0</v>
      </c>
      <c r="H6" s="47">
        <f>일위대가표!L21</f>
        <v>0</v>
      </c>
      <c r="I6" s="15" t="s">
        <v>21</v>
      </c>
      <c r="J6" s="17" t="str">
        <f>"_x0007_`COD|B04727_x0005_`QTY1|1_x0005_`BQC|_x0005_`EQC|_x0005_`JDC|_x0005_`WQC|_x0005_`EDT|_x0005_`ADJ|F_x0005_`DET|"&amp;ROW(일위대가표!A17)&amp;"_x0005_`"</f>
        <v>_x0007_`COD|B04727_x0005_`QTY1|1_x0005_`BQC|_x0005_`EQC|_x0005_`JDC|_x0005_`WQC|_x0005_`EDT|_x0005_`ADJ|F_x0005_`DET|17_x0005_`</v>
      </c>
      <c r="K6" s="3" t="str">
        <f ca="1">HYPERLINK("#"&amp;일위대가표!N2&amp;"!A"&amp;ROW(일위대가표!A17),"대가3 →")</f>
        <v>대가3 →</v>
      </c>
    </row>
    <row r="7" spans="1:11" ht="22.35" customHeight="1" x14ac:dyDescent="0.3">
      <c r="A7" s="9" t="s">
        <v>25</v>
      </c>
      <c r="B7" s="10" t="s">
        <v>26</v>
      </c>
      <c r="C7" s="10" t="s">
        <v>27</v>
      </c>
      <c r="D7" s="9" t="s">
        <v>28</v>
      </c>
      <c r="E7" s="47">
        <f>일위대가표!F25</f>
        <v>26462</v>
      </c>
      <c r="F7" s="46">
        <f>일위대가표!H25</f>
        <v>25406</v>
      </c>
      <c r="G7" s="55">
        <f>일위대가표!J25</f>
        <v>516</v>
      </c>
      <c r="H7" s="47">
        <f>일위대가표!L25</f>
        <v>540</v>
      </c>
      <c r="I7" s="15" t="s">
        <v>25</v>
      </c>
      <c r="J7" s="17" t="str">
        <f>"_x0007_`COD|B06812_x0005_`QTY1|1_x0005_`BQC|_x0005_`EQC|_x0005_`JDC|_x0005_`WQC|_x0005_`EDT|_x0005_`ADJ|F_x0005_`DET|"&amp;ROW(일위대가표!A23)&amp;"_x0005_`"</f>
        <v>_x0007_`COD|B06812_x0005_`QTY1|1_x0005_`BQC|_x0005_`EQC|_x0005_`JDC|_x0005_`WQC|_x0005_`EDT|_x0005_`ADJ|F_x0005_`DET|23_x0005_`</v>
      </c>
      <c r="K7" s="3" t="str">
        <f ca="1">HYPERLINK("#"&amp;일위대가표!N2&amp;"!A"&amp;ROW(일위대가표!A23),"대가4 →")</f>
        <v>대가4 →</v>
      </c>
    </row>
    <row r="8" spans="1:11" ht="22.35" customHeight="1" x14ac:dyDescent="0.3">
      <c r="A8" s="9" t="s">
        <v>30</v>
      </c>
      <c r="B8" s="10" t="s">
        <v>31</v>
      </c>
      <c r="C8" s="10" t="s">
        <v>32</v>
      </c>
      <c r="D8" s="9" t="s">
        <v>33</v>
      </c>
      <c r="E8" s="47">
        <f>일위대가표!F31</f>
        <v>149157</v>
      </c>
      <c r="F8" s="46">
        <f>일위대가표!H31</f>
        <v>109545</v>
      </c>
      <c r="G8" s="55">
        <f>일위대가표!J31</f>
        <v>17788</v>
      </c>
      <c r="H8" s="47">
        <f>일위대가표!L31</f>
        <v>21824</v>
      </c>
      <c r="I8" s="15" t="s">
        <v>30</v>
      </c>
      <c r="J8" s="17" t="str">
        <f>"_x0007_`COD|B00196_x0005_`QTY1|1_x0005_`BQC|_x0005_`EQC|상수도_x0005_`JDC|_x0005_`WQC|_x0005_`EDT|_x0005_`ADJ|F_x0005_`DET|"&amp;ROW(일위대가표!A27)&amp;"_x0005_`"</f>
        <v>_x0007_`COD|B00196_x0005_`QTY1|1_x0005_`BQC|_x0005_`EQC|상수도_x0005_`JDC|_x0005_`WQC|_x0005_`EDT|_x0005_`ADJ|F_x0005_`DET|27_x0005_`</v>
      </c>
      <c r="K8" s="3" t="str">
        <f ca="1">HYPERLINK("#"&amp;일위대가표!N2&amp;"!A"&amp;ROW(일위대가표!A27),"대가5 →")</f>
        <v>대가5 →</v>
      </c>
    </row>
    <row r="9" spans="1:11" ht="22.35" customHeight="1" x14ac:dyDescent="0.3">
      <c r="A9" s="9" t="s">
        <v>35</v>
      </c>
      <c r="B9" s="10" t="s">
        <v>36</v>
      </c>
      <c r="C9" s="10" t="s">
        <v>37</v>
      </c>
      <c r="D9" s="9" t="s">
        <v>38</v>
      </c>
      <c r="E9" s="47">
        <f>일위대가표!F37</f>
        <v>74578</v>
      </c>
      <c r="F9" s="46">
        <f>일위대가표!H37</f>
        <v>54772</v>
      </c>
      <c r="G9" s="55">
        <f>일위대가표!J37</f>
        <v>8894</v>
      </c>
      <c r="H9" s="47">
        <f>일위대가표!L37</f>
        <v>10912</v>
      </c>
      <c r="I9" s="15" t="s">
        <v>35</v>
      </c>
      <c r="J9" s="17" t="str">
        <f>"_x0007_`COD|B06587_x0005_`QTY1|1_x0005_`BQC|_x0005_`EQC|상수도_x0005_`JDC|_x0005_`WQC|_x0005_`EDT|_x0005_`ADJ|F_x0005_`DET|"&amp;ROW(일위대가표!A33)&amp;"_x0005_`"</f>
        <v>_x0007_`COD|B06587_x0005_`QTY1|1_x0005_`BQC|_x0005_`EQC|상수도_x0005_`JDC|_x0005_`WQC|_x0005_`EDT|_x0005_`ADJ|F_x0005_`DET|33_x0005_`</v>
      </c>
      <c r="K9" s="3" t="str">
        <f ca="1">HYPERLINK("#"&amp;일위대가표!N2&amp;"!A"&amp;ROW(일위대가표!A33),"대가6 →")</f>
        <v>대가6 →</v>
      </c>
    </row>
    <row r="10" spans="1:11" ht="22.35" customHeight="1" x14ac:dyDescent="0.3">
      <c r="A10" s="9" t="s">
        <v>40</v>
      </c>
      <c r="B10" s="10" t="s">
        <v>41</v>
      </c>
      <c r="C10" s="10" t="s">
        <v>42</v>
      </c>
      <c r="D10" s="9" t="s">
        <v>38</v>
      </c>
      <c r="E10" s="47">
        <f>일위대가표!F43</f>
        <v>44746</v>
      </c>
      <c r="F10" s="46">
        <f>일위대가표!H43</f>
        <v>32863</v>
      </c>
      <c r="G10" s="55">
        <f>일위대가표!J43</f>
        <v>5336</v>
      </c>
      <c r="H10" s="47">
        <f>일위대가표!L43</f>
        <v>6547</v>
      </c>
      <c r="I10" s="15" t="s">
        <v>40</v>
      </c>
      <c r="J10" s="17" t="str">
        <f>"_x0007_`COD|B02873_x0005_`QTY1|1_x0005_`BQC|_x0005_`EQC|_x0005_`JDC|_x0005_`WQC|_x0005_`EDT|_x0005_`ADJ|F_x0005_`DET|"&amp;ROW(일위대가표!A39)&amp;"_x0005_`"</f>
        <v>_x0007_`COD|B02873_x0005_`QTY1|1_x0005_`BQC|_x0005_`EQC|_x0005_`JDC|_x0005_`WQC|_x0005_`EDT|_x0005_`ADJ|F_x0005_`DET|39_x0005_`</v>
      </c>
      <c r="K10" s="3" t="str">
        <f ca="1">HYPERLINK("#"&amp;일위대가표!N2&amp;"!A"&amp;ROW(일위대가표!A39),"대가7 →")</f>
        <v>대가7 →</v>
      </c>
    </row>
    <row r="11" spans="1:11" ht="22.35" customHeight="1" x14ac:dyDescent="0.3">
      <c r="A11" s="9" t="s">
        <v>44</v>
      </c>
      <c r="B11" s="10" t="s">
        <v>45</v>
      </c>
      <c r="C11" s="10" t="s">
        <v>46</v>
      </c>
      <c r="D11" s="9" t="s">
        <v>38</v>
      </c>
      <c r="E11" s="47">
        <f>일위대가표!F47</f>
        <v>96952</v>
      </c>
      <c r="F11" s="46">
        <f>일위대가표!H47</f>
        <v>71204</v>
      </c>
      <c r="G11" s="55">
        <f>일위대가표!J47</f>
        <v>11562</v>
      </c>
      <c r="H11" s="47">
        <f>일위대가표!L47</f>
        <v>14186</v>
      </c>
      <c r="I11" s="15" t="s">
        <v>44</v>
      </c>
      <c r="J11" s="17" t="str">
        <f>"_x0007_`COD|B01295_x0005_`QTY1|1_x0005_`BQC|_x0005_`EQC|_x0005_`JDC|_x0005_`WQC|_x0005_`EDT|_x0005_`ADJ|F_x0005_`DET|"&amp;ROW(일위대가표!A45)&amp;"_x0005_`"</f>
        <v>_x0007_`COD|B01295_x0005_`QTY1|1_x0005_`BQC|_x0005_`EQC|_x0005_`JDC|_x0005_`WQC|_x0005_`EDT|_x0005_`ADJ|F_x0005_`DET|45_x0005_`</v>
      </c>
      <c r="K11" s="3" t="str">
        <f ca="1">HYPERLINK("#"&amp;일위대가표!N2&amp;"!A"&amp;ROW(일위대가표!A45),"대가8 →")</f>
        <v>대가8 →</v>
      </c>
    </row>
    <row r="12" spans="1:11" ht="22.35" customHeight="1" x14ac:dyDescent="0.3">
      <c r="A12" s="9" t="s">
        <v>48</v>
      </c>
      <c r="B12" s="10" t="s">
        <v>49</v>
      </c>
      <c r="C12" s="10" t="s">
        <v>50</v>
      </c>
      <c r="D12" s="9" t="s">
        <v>38</v>
      </c>
      <c r="E12" s="47">
        <f>일위대가표!F53</f>
        <v>58170</v>
      </c>
      <c r="F12" s="46">
        <f>일위대가표!H53</f>
        <v>42722</v>
      </c>
      <c r="G12" s="55">
        <f>일위대가표!J53</f>
        <v>6937</v>
      </c>
      <c r="H12" s="47">
        <f>일위대가표!L53</f>
        <v>8511</v>
      </c>
      <c r="I12" s="15" t="s">
        <v>48</v>
      </c>
      <c r="J12" s="17" t="str">
        <f>"_x0007_`COD|B02633_x0005_`QTY1|1_x0005_`BQC|_x0005_`EQC|상수도_x0005_`JDC|_x0005_`WQC|_x0005_`EDT|_x0005_`ADJ|F_x0005_`DET|"&amp;ROW(일위대가표!A49)&amp;"_x0005_`"</f>
        <v>_x0007_`COD|B02633_x0005_`QTY1|1_x0005_`BQC|_x0005_`EQC|상수도_x0005_`JDC|_x0005_`WQC|_x0005_`EDT|_x0005_`ADJ|F_x0005_`DET|49_x0005_`</v>
      </c>
      <c r="K12" s="3" t="str">
        <f ca="1">HYPERLINK("#"&amp;일위대가표!N2&amp;"!A"&amp;ROW(일위대가표!A49),"대가9 →")</f>
        <v>대가9 →</v>
      </c>
    </row>
    <row r="13" spans="1:11" ht="22.35" customHeight="1" x14ac:dyDescent="0.3">
      <c r="A13" s="9" t="s">
        <v>52</v>
      </c>
      <c r="B13" s="10" t="s">
        <v>53</v>
      </c>
      <c r="C13" s="10" t="s">
        <v>54</v>
      </c>
      <c r="D13" s="9" t="s">
        <v>38</v>
      </c>
      <c r="E13" s="47">
        <f>일위대가표!F58</f>
        <v>38599</v>
      </c>
      <c r="F13" s="46">
        <f>일위대가표!H58</f>
        <v>36761</v>
      </c>
      <c r="G13" s="55">
        <f>일위대가표!J58</f>
        <v>0</v>
      </c>
      <c r="H13" s="47">
        <f>일위대가표!L58</f>
        <v>1838</v>
      </c>
      <c r="I13" s="15" t="s">
        <v>52</v>
      </c>
      <c r="J13" s="17" t="str">
        <f>"_x0007_`COD|B00207_x0005_`QTY1|1_x0005_`BQC|_x0005_`EQC|상수도_x0005_`JDC|_x0005_`WQC|_x0005_`EDT|_x0005_`ADJ|F_x0005_`DET|"&amp;ROW(일위대가표!A55)&amp;"_x0005_`"</f>
        <v>_x0007_`COD|B00207_x0005_`QTY1|1_x0005_`BQC|_x0005_`EQC|상수도_x0005_`JDC|_x0005_`WQC|_x0005_`EDT|_x0005_`ADJ|F_x0005_`DET|55_x0005_`</v>
      </c>
      <c r="K13" s="3" t="str">
        <f ca="1">HYPERLINK("#"&amp;일위대가표!N2&amp;"!A"&amp;ROW(일위대가표!A55),"대가10 →")</f>
        <v>대가10 →</v>
      </c>
    </row>
    <row r="14" spans="1:11" ht="22.35" customHeight="1" x14ac:dyDescent="0.3">
      <c r="A14" s="9" t="s">
        <v>56</v>
      </c>
      <c r="B14" s="10" t="s">
        <v>57</v>
      </c>
      <c r="C14" s="10" t="s">
        <v>58</v>
      </c>
      <c r="D14" s="9" t="s">
        <v>38</v>
      </c>
      <c r="E14" s="47">
        <f>일위대가표!F65</f>
        <v>124392</v>
      </c>
      <c r="F14" s="46">
        <f>일위대가표!H65</f>
        <v>107420</v>
      </c>
      <c r="G14" s="55">
        <f>일위대가표!J65</f>
        <v>7376</v>
      </c>
      <c r="H14" s="47">
        <f>일위대가표!L65</f>
        <v>9596</v>
      </c>
      <c r="I14" s="15" t="s">
        <v>56</v>
      </c>
      <c r="J14" s="17" t="str">
        <f>"_x0007_`COD|B00905_x0005_`QTY1|1_x0005_`BQC|_x0005_`EQC|_x0005_`JDC|_x0005_`WQC|_x0005_`EDT|_x0005_`ADJ|F_x0005_`DET|"&amp;ROW(일위대가표!A60)&amp;"_x0005_`"</f>
        <v>_x0007_`COD|B00905_x0005_`QTY1|1_x0005_`BQC|_x0005_`EQC|_x0005_`JDC|_x0005_`WQC|_x0005_`EDT|_x0005_`ADJ|F_x0005_`DET|60_x0005_`</v>
      </c>
      <c r="K14" s="3" t="str">
        <f ca="1">HYPERLINK("#"&amp;일위대가표!N2&amp;"!A"&amp;ROW(일위대가표!A60),"대가11 →")</f>
        <v>대가11 →</v>
      </c>
    </row>
    <row r="15" spans="1:11" ht="22.35" customHeight="1" x14ac:dyDescent="0.3">
      <c r="A15" s="9" t="s">
        <v>60</v>
      </c>
      <c r="B15" s="10" t="s">
        <v>61</v>
      </c>
      <c r="C15" s="10" t="s">
        <v>62</v>
      </c>
      <c r="D15" s="9" t="s">
        <v>38</v>
      </c>
      <c r="E15" s="47">
        <f>일위대가표!F72</f>
        <v>83544</v>
      </c>
      <c r="F15" s="46">
        <f>일위대가표!H72</f>
        <v>78592</v>
      </c>
      <c r="G15" s="55">
        <f>일위대가표!J72</f>
        <v>1761</v>
      </c>
      <c r="H15" s="47">
        <f>일위대가표!L72</f>
        <v>3191</v>
      </c>
      <c r="I15" s="15" t="s">
        <v>60</v>
      </c>
      <c r="J15" s="17" t="str">
        <f>"_x0007_`COD|B03108_x0005_`QTY1|1_x0005_`BQC|_x0005_`EQC|상수도_x0005_`JDC|_x0005_`WQC|_x0005_`EDT|_x0005_`ADJ|F_x0005_`DET|"&amp;ROW(일위대가표!A67)&amp;"_x0005_`"</f>
        <v>_x0007_`COD|B03108_x0005_`QTY1|1_x0005_`BQC|_x0005_`EQC|상수도_x0005_`JDC|_x0005_`WQC|_x0005_`EDT|_x0005_`ADJ|F_x0005_`DET|67_x0005_`</v>
      </c>
      <c r="K15" s="3" t="str">
        <f ca="1">HYPERLINK("#"&amp;일위대가표!N2&amp;"!A"&amp;ROW(일위대가표!A67),"대가12 →")</f>
        <v>대가12 →</v>
      </c>
    </row>
    <row r="16" spans="1:11" ht="22.35" customHeight="1" x14ac:dyDescent="0.3">
      <c r="A16" s="9" t="s">
        <v>64</v>
      </c>
      <c r="B16" s="10" t="s">
        <v>65</v>
      </c>
      <c r="C16" s="10" t="s">
        <v>66</v>
      </c>
      <c r="D16" s="9" t="s">
        <v>38</v>
      </c>
      <c r="E16" s="47">
        <f>일위대가표!F79</f>
        <v>295082</v>
      </c>
      <c r="F16" s="46">
        <f>일위대가표!H79</f>
        <v>249471</v>
      </c>
      <c r="G16" s="55">
        <f>일위대가표!J79</f>
        <v>16623</v>
      </c>
      <c r="H16" s="47">
        <f>일위대가표!L79</f>
        <v>28988</v>
      </c>
      <c r="I16" s="15" t="s">
        <v>64</v>
      </c>
      <c r="J16" s="17" t="str">
        <f>"_x0007_`COD|B03086_x0005_`QTY1|1_x0005_`BQC|_x0005_`EQC|상수도_x0005_`JDC|_x0005_`WQC|_x0005_`EDT|_x0005_`ADJ|F_x0005_`DET|"&amp;ROW(일위대가표!A74)&amp;"_x0005_`"</f>
        <v>_x0007_`COD|B03086_x0005_`QTY1|1_x0005_`BQC|_x0005_`EQC|상수도_x0005_`JDC|_x0005_`WQC|_x0005_`EDT|_x0005_`ADJ|F_x0005_`DET|74_x0005_`</v>
      </c>
      <c r="K16" s="3" t="str">
        <f ca="1">HYPERLINK("#"&amp;일위대가표!N2&amp;"!A"&amp;ROW(일위대가표!A74),"대가13 →")</f>
        <v>대가13 →</v>
      </c>
    </row>
    <row r="17" spans="1:11" ht="22.35" customHeight="1" x14ac:dyDescent="0.3">
      <c r="A17" s="9" t="s">
        <v>68</v>
      </c>
      <c r="B17" s="10" t="s">
        <v>69</v>
      </c>
      <c r="C17" s="10" t="s">
        <v>54</v>
      </c>
      <c r="D17" s="9" t="s">
        <v>38</v>
      </c>
      <c r="E17" s="47">
        <f>일위대가표!F86</f>
        <v>74791</v>
      </c>
      <c r="F17" s="46">
        <f>일위대가표!H86</f>
        <v>48805</v>
      </c>
      <c r="G17" s="55">
        <f>일위대가표!J86</f>
        <v>25010</v>
      </c>
      <c r="H17" s="47">
        <f>일위대가표!L86</f>
        <v>976</v>
      </c>
      <c r="I17" s="15" t="s">
        <v>68</v>
      </c>
      <c r="J17" s="17" t="str">
        <f>"_x0007_`COD|B00790_x0005_`QTY1|1_x0005_`BQC|_x0005_`EQC|_x0005_`JDC|_x0005_`WQC|_x0005_`EDT|_x0005_`ADJ|F_x0005_`DET|"&amp;ROW(일위대가표!A81)&amp;"_x0005_`"</f>
        <v>_x0007_`COD|B00790_x0005_`QTY1|1_x0005_`BQC|_x0005_`EQC|_x0005_`JDC|_x0005_`WQC|_x0005_`EDT|_x0005_`ADJ|F_x0005_`DET|81_x0005_`</v>
      </c>
      <c r="K17" s="3" t="str">
        <f ca="1">HYPERLINK("#"&amp;일위대가표!N2&amp;"!A"&amp;ROW(일위대가표!A81),"대가14 →")</f>
        <v>대가14 →</v>
      </c>
    </row>
    <row r="18" spans="1:11" ht="22.35" customHeight="1" x14ac:dyDescent="0.3">
      <c r="A18" s="9" t="s">
        <v>71</v>
      </c>
      <c r="B18" s="10" t="s">
        <v>72</v>
      </c>
      <c r="C18" s="10" t="s">
        <v>73</v>
      </c>
      <c r="D18" s="9" t="s">
        <v>33</v>
      </c>
      <c r="E18" s="47">
        <f>일위대가표!F91</f>
        <v>48891</v>
      </c>
      <c r="F18" s="46">
        <f>일위대가표!H91</f>
        <v>38000</v>
      </c>
      <c r="G18" s="55">
        <f>일위대가표!J91</f>
        <v>2533</v>
      </c>
      <c r="H18" s="47">
        <f>일위대가표!L91</f>
        <v>8358</v>
      </c>
      <c r="I18" s="15" t="s">
        <v>71</v>
      </c>
      <c r="J18" s="17" t="str">
        <f>"_x0007_`COD|B05653_x0005_`QTY1|1_x0005_`BQC|_x0005_`EQC|_x0005_`JDC|_x0005_`WQC|_x0005_`EDT|_x0005_`ADJ|F_x0005_`DET|"&amp;ROW(일위대가표!A88)&amp;"_x0005_`"</f>
        <v>_x0007_`COD|B05653_x0005_`QTY1|1_x0005_`BQC|_x0005_`EQC|_x0005_`JDC|_x0005_`WQC|_x0005_`EDT|_x0005_`ADJ|F_x0005_`DET|88_x0005_`</v>
      </c>
      <c r="K18" s="3" t="str">
        <f ca="1">HYPERLINK("#"&amp;일위대가표!N2&amp;"!A"&amp;ROW(일위대가표!A88),"대가15 →")</f>
        <v>대가15 →</v>
      </c>
    </row>
    <row r="19" spans="1:11" ht="22.35" customHeight="1" x14ac:dyDescent="0.3">
      <c r="A19" s="9" t="s">
        <v>75</v>
      </c>
      <c r="B19" s="10" t="s">
        <v>76</v>
      </c>
      <c r="C19" s="10" t="s">
        <v>77</v>
      </c>
      <c r="D19" s="9" t="s">
        <v>14</v>
      </c>
      <c r="E19" s="47">
        <f>일위대가표!F100</f>
        <v>21554</v>
      </c>
      <c r="F19" s="46">
        <f>일위대가표!H100</f>
        <v>18254</v>
      </c>
      <c r="G19" s="55">
        <f>일위대가표!J100</f>
        <v>1312</v>
      </c>
      <c r="H19" s="47">
        <f>일위대가표!L100</f>
        <v>1988</v>
      </c>
      <c r="I19" s="15" t="s">
        <v>75</v>
      </c>
      <c r="J19" s="17" t="str">
        <f>"_x0007_`COD|B03724_x0005_`QTY1|1_x0005_`BQC|_x0005_`EQC|_x0005_`JDC|_x0005_`WQC|_x0005_`EDT|_x0005_`ADJ|F_x0005_`DET|"&amp;ROW(일위대가표!A93)&amp;"_x0005_`"</f>
        <v>_x0007_`COD|B03724_x0005_`QTY1|1_x0005_`BQC|_x0005_`EQC|_x0005_`JDC|_x0005_`WQC|_x0005_`EDT|_x0005_`ADJ|F_x0005_`DET|93_x0005_`</v>
      </c>
      <c r="K19" s="3" t="str">
        <f ca="1">HYPERLINK("#"&amp;일위대가표!N2&amp;"!A"&amp;ROW(일위대가표!A93),"대가16 →")</f>
        <v>대가16 →</v>
      </c>
    </row>
    <row r="20" spans="1:11" ht="22.35" customHeight="1" x14ac:dyDescent="0.3">
      <c r="A20" s="9" t="s">
        <v>79</v>
      </c>
      <c r="B20" s="10" t="s">
        <v>80</v>
      </c>
      <c r="C20" s="10" t="s">
        <v>81</v>
      </c>
      <c r="D20" s="9" t="s">
        <v>19</v>
      </c>
      <c r="E20" s="47">
        <f>일위대가표!F112</f>
        <v>32254</v>
      </c>
      <c r="F20" s="46">
        <f>일위대가표!H112</f>
        <v>29801</v>
      </c>
      <c r="G20" s="55">
        <f>일위대가표!J112</f>
        <v>1670</v>
      </c>
      <c r="H20" s="47">
        <f>일위대가표!L112</f>
        <v>783</v>
      </c>
      <c r="I20" s="15" t="s">
        <v>79</v>
      </c>
      <c r="J20" s="17" t="str">
        <f>"_x0007_`COD|B06814_x0005_`QTY1|1_x0005_`BQC|_x0005_`EQC|_x0005_`JDC|_x0005_`WQC|_x0005_`EDT|_x0005_`ADJ|F_x0005_`DET|"&amp;ROW(일위대가표!A102)&amp;"_x0005_`"</f>
        <v>_x0007_`COD|B06814_x0005_`QTY1|1_x0005_`BQC|_x0005_`EQC|_x0005_`JDC|_x0005_`WQC|_x0005_`EDT|_x0005_`ADJ|F_x0005_`DET|102_x0005_`</v>
      </c>
      <c r="K20" s="3" t="str">
        <f ca="1">HYPERLINK("#"&amp;일위대가표!N2&amp;"!A"&amp;ROW(일위대가표!A102),"대가17 →")</f>
        <v>대가17 →</v>
      </c>
    </row>
    <row r="21" spans="1:11" ht="22.35" customHeight="1" x14ac:dyDescent="0.3">
      <c r="A21" s="9" t="s">
        <v>83</v>
      </c>
      <c r="B21" s="10" t="s">
        <v>80</v>
      </c>
      <c r="C21" s="10" t="s">
        <v>84</v>
      </c>
      <c r="D21" s="9" t="s">
        <v>19</v>
      </c>
      <c r="E21" s="47">
        <f>일위대가표!F124</f>
        <v>32171</v>
      </c>
      <c r="F21" s="46">
        <f>일위대가표!H124</f>
        <v>29718</v>
      </c>
      <c r="G21" s="55">
        <f>일위대가표!J124</f>
        <v>1670</v>
      </c>
      <c r="H21" s="47">
        <f>일위대가표!L124</f>
        <v>783</v>
      </c>
      <c r="I21" s="15" t="s">
        <v>83</v>
      </c>
      <c r="J21" s="17" t="str">
        <f>"_x0007_`COD|B06813_x0005_`QTY1|1_x0005_`BQC|_x0005_`EQC|_x0005_`JDC|_x0005_`WQC|_x0005_`EDT|_x0005_`ADJ|F_x0005_`DET|"&amp;ROW(일위대가표!A114)&amp;"_x0005_`"</f>
        <v>_x0007_`COD|B06813_x0005_`QTY1|1_x0005_`BQC|_x0005_`EQC|_x0005_`JDC|_x0005_`WQC|_x0005_`EDT|_x0005_`ADJ|F_x0005_`DET|114_x0005_`</v>
      </c>
      <c r="K21" s="3" t="str">
        <f ca="1">HYPERLINK("#"&amp;일위대가표!N2&amp;"!A"&amp;ROW(일위대가표!A114),"대가18 →")</f>
        <v>대가18 →</v>
      </c>
    </row>
    <row r="22" spans="1:11" ht="22.35" customHeight="1" x14ac:dyDescent="0.3">
      <c r="A22" s="9" t="s">
        <v>86</v>
      </c>
      <c r="B22" s="10" t="s">
        <v>87</v>
      </c>
      <c r="C22" s="10" t="s">
        <v>88</v>
      </c>
      <c r="D22" s="9" t="s">
        <v>38</v>
      </c>
      <c r="E22" s="47">
        <f>일위대가표!F128</f>
        <v>25212</v>
      </c>
      <c r="F22" s="46">
        <f>일위대가표!H128</f>
        <v>24012</v>
      </c>
      <c r="G22" s="55">
        <f>일위대가표!J128</f>
        <v>0</v>
      </c>
      <c r="H22" s="47">
        <f>일위대가표!L128</f>
        <v>1200</v>
      </c>
      <c r="I22" s="15" t="s">
        <v>86</v>
      </c>
      <c r="J22" s="17" t="str">
        <f>"_x0007_`COD|B03895_x0005_`QTY1|1_x0005_`BQC|_x0005_`EQC|_x0005_`JDC|_x0005_`WQC|_x0005_`EDT|_x0005_`ADJ|F_x0005_`DET|"&amp;ROW(일위대가표!A126)&amp;"_x0005_`"</f>
        <v>_x0007_`COD|B03895_x0005_`QTY1|1_x0005_`BQC|_x0005_`EQC|_x0005_`JDC|_x0005_`WQC|_x0005_`EDT|_x0005_`ADJ|F_x0005_`DET|126_x0005_`</v>
      </c>
      <c r="K22" s="3" t="str">
        <f ca="1">HYPERLINK("#"&amp;일위대가표!N2&amp;"!A"&amp;ROW(일위대가표!A126),"대가19 →")</f>
        <v>대가19 →</v>
      </c>
    </row>
    <row r="23" spans="1:11" ht="22.35" customHeight="1" x14ac:dyDescent="0.3">
      <c r="A23" s="9" t="s">
        <v>90</v>
      </c>
      <c r="B23" s="10" t="s">
        <v>91</v>
      </c>
      <c r="C23" s="10" t="s">
        <v>92</v>
      </c>
      <c r="D23" s="9" t="s">
        <v>28</v>
      </c>
      <c r="E23" s="47">
        <f>일위대가표!F132</f>
        <v>103287</v>
      </c>
      <c r="F23" s="46">
        <f>일위대가표!H132</f>
        <v>75097</v>
      </c>
      <c r="G23" s="55">
        <f>일위대가표!J132</f>
        <v>13776</v>
      </c>
      <c r="H23" s="47">
        <f>일위대가표!L132</f>
        <v>14414</v>
      </c>
      <c r="I23" s="15" t="s">
        <v>90</v>
      </c>
      <c r="J23" s="17" t="str">
        <f>"_x0007_`COD|B03637_x0005_`QTY1|1_x0005_`BQC|_x0005_`EQC|_x0005_`JDC|_x0005_`WQC|_x0005_`EDT|_x0005_`ADJ|F_x0005_`DET|"&amp;ROW(일위대가표!A130)&amp;"_x0005_`"</f>
        <v>_x0007_`COD|B03637_x0005_`QTY1|1_x0005_`BQC|_x0005_`EQC|_x0005_`JDC|_x0005_`WQC|_x0005_`EDT|_x0005_`ADJ|F_x0005_`DET|130_x0005_`</v>
      </c>
      <c r="K23" s="3" t="str">
        <f ca="1">HYPERLINK("#"&amp;일위대가표!N2&amp;"!A"&amp;ROW(일위대가표!A130),"대가20 →")</f>
        <v>대가20 →</v>
      </c>
    </row>
    <row r="24" spans="1:11" ht="22.35" customHeight="1" x14ac:dyDescent="0.3">
      <c r="A24" s="9" t="s">
        <v>94</v>
      </c>
      <c r="B24" s="10" t="s">
        <v>95</v>
      </c>
      <c r="C24" s="10" t="s">
        <v>96</v>
      </c>
      <c r="D24" s="9" t="s">
        <v>38</v>
      </c>
      <c r="E24" s="47">
        <f>일위대가표!F141</f>
        <v>126780</v>
      </c>
      <c r="F24" s="46">
        <f>일위대가표!H141</f>
        <v>46945</v>
      </c>
      <c r="G24" s="55">
        <f>일위대가표!J141</f>
        <v>69788</v>
      </c>
      <c r="H24" s="47">
        <f>일위대가표!L141</f>
        <v>10047</v>
      </c>
      <c r="I24" s="15" t="s">
        <v>94</v>
      </c>
      <c r="J24" s="17" t="str">
        <f>"_x0007_`COD|B01892_x0005_`QTY1|1_x0005_`BQC|_x0005_`EQC|_x0005_`JDC|_x0005_`WQC|_x0005_`EDT|_x0005_`ADJ|F_x0005_`DET|"&amp;ROW(일위대가표!A134)&amp;"_x0005_`"</f>
        <v>_x0007_`COD|B01892_x0005_`QTY1|1_x0005_`BQC|_x0005_`EQC|_x0005_`JDC|_x0005_`WQC|_x0005_`EDT|_x0005_`ADJ|F_x0005_`DET|134_x0005_`</v>
      </c>
      <c r="K24" s="3" t="str">
        <f ca="1">HYPERLINK("#"&amp;일위대가표!N2&amp;"!A"&amp;ROW(일위대가표!A134),"대가21 →")</f>
        <v>대가21 →</v>
      </c>
    </row>
    <row r="25" spans="1:11" ht="22.35" customHeight="1" x14ac:dyDescent="0.3">
      <c r="A25" s="9" t="s">
        <v>98</v>
      </c>
      <c r="B25" s="10" t="s">
        <v>99</v>
      </c>
      <c r="C25" s="10" t="s">
        <v>100</v>
      </c>
      <c r="D25" s="9" t="s">
        <v>101</v>
      </c>
      <c r="E25" s="47">
        <f>일위대가표!F147</f>
        <v>347568</v>
      </c>
      <c r="F25" s="46">
        <f>일위대가표!H147</f>
        <v>0</v>
      </c>
      <c r="G25" s="55">
        <f>일위대가표!J147</f>
        <v>0</v>
      </c>
      <c r="H25" s="47">
        <f>일위대가표!L147</f>
        <v>347568</v>
      </c>
      <c r="I25" s="15" t="s">
        <v>98</v>
      </c>
      <c r="J25" s="17" t="str">
        <f>"_x0007_`COD|B02657_x0005_`QTY1|1_x0005_`BQC|_x0005_`EQC|_x0005_`JDC|_x0005_`WQC|_x0005_`EDT|_x0005_`ADJ|F_x0005_`DET|"&amp;ROW(일위대가표!A143)&amp;"_x0005_`"</f>
        <v>_x0007_`COD|B02657_x0005_`QTY1|1_x0005_`BQC|_x0005_`EQC|_x0005_`JDC|_x0005_`WQC|_x0005_`EDT|_x0005_`ADJ|F_x0005_`DET|143_x0005_`</v>
      </c>
      <c r="K25" s="3" t="str">
        <f ca="1">HYPERLINK("#"&amp;일위대가표!N2&amp;"!A"&amp;ROW(일위대가표!A143),"대가22 →")</f>
        <v>대가22 →</v>
      </c>
    </row>
    <row r="26" spans="1:11" ht="22.35" customHeight="1" x14ac:dyDescent="0.3">
      <c r="A26" s="9" t="s">
        <v>103</v>
      </c>
      <c r="B26" s="10" t="s">
        <v>104</v>
      </c>
      <c r="C26" s="10" t="s">
        <v>105</v>
      </c>
      <c r="D26" s="9" t="s">
        <v>106</v>
      </c>
      <c r="E26" s="47">
        <f>일위대가표!F152</f>
        <v>156935</v>
      </c>
      <c r="F26" s="46">
        <f>일위대가표!H152</f>
        <v>4663</v>
      </c>
      <c r="G26" s="55">
        <f>일위대가표!J152</f>
        <v>152272</v>
      </c>
      <c r="H26" s="47">
        <f>일위대가표!L152</f>
        <v>0</v>
      </c>
      <c r="I26" s="15" t="s">
        <v>103</v>
      </c>
      <c r="J26" s="17" t="str">
        <f>"_x0007_`COD|B04012_x0005_`QTY1|1_x0005_`BQC|_x0005_`EQC|_x0005_`JDC|_x0005_`WQC|_x0005_`EDT|_x0005_`ADJ|F_x0005_`DET|"&amp;ROW(일위대가표!A149)&amp;"_x0005_`"</f>
        <v>_x0007_`COD|B04012_x0005_`QTY1|1_x0005_`BQC|_x0005_`EQC|_x0005_`JDC|_x0005_`WQC|_x0005_`EDT|_x0005_`ADJ|F_x0005_`DET|149_x0005_`</v>
      </c>
      <c r="K26" s="3" t="str">
        <f ca="1">HYPERLINK("#"&amp;일위대가표!N2&amp;"!A"&amp;ROW(일위대가표!A149),"대가23 →")</f>
        <v>대가23 →</v>
      </c>
    </row>
    <row r="27" spans="1:11" ht="22.35" customHeight="1" x14ac:dyDescent="0.3">
      <c r="A27" s="9" t="s">
        <v>108</v>
      </c>
      <c r="B27" s="10" t="s">
        <v>109</v>
      </c>
      <c r="C27" s="10" t="s">
        <v>110</v>
      </c>
      <c r="D27" s="9" t="s">
        <v>19</v>
      </c>
      <c r="E27" s="47">
        <f>일위대가표!F156</f>
        <v>36170</v>
      </c>
      <c r="F27" s="46">
        <f>일위대가표!H156</f>
        <v>30708</v>
      </c>
      <c r="G27" s="55">
        <f>일위대가표!J156</f>
        <v>4689</v>
      </c>
      <c r="H27" s="47">
        <f>일위대가표!L156</f>
        <v>773</v>
      </c>
      <c r="I27" s="15" t="s">
        <v>108</v>
      </c>
      <c r="J27" s="17" t="str">
        <f>"_x0007_`COD|B00401_x0005_`QTY1|1_x0005_`BQC|_x0005_`EQC|_x0005_`JDC|_x0005_`WQC|_x0005_`EDT|_x0005_`ADJ|F_x0005_`DET|"&amp;ROW(일위대가표!A154)&amp;"_x0005_`"</f>
        <v>_x0007_`COD|B00401_x0005_`QTY1|1_x0005_`BQC|_x0005_`EQC|_x0005_`JDC|_x0005_`WQC|_x0005_`EDT|_x0005_`ADJ|F_x0005_`DET|154_x0005_`</v>
      </c>
      <c r="K27" s="3" t="str">
        <f ca="1">HYPERLINK("#"&amp;일위대가표!N2&amp;"!A"&amp;ROW(일위대가표!A154),"대가24 →")</f>
        <v>대가24 →</v>
      </c>
    </row>
    <row r="28" spans="1:11" ht="22.35" customHeight="1" x14ac:dyDescent="0.3">
      <c r="A28" s="9" t="s">
        <v>112</v>
      </c>
      <c r="B28" s="10" t="s">
        <v>113</v>
      </c>
      <c r="C28" s="10" t="s">
        <v>114</v>
      </c>
      <c r="D28" s="9" t="s">
        <v>115</v>
      </c>
      <c r="E28" s="47">
        <f>일위대가표!F161</f>
        <v>59284</v>
      </c>
      <c r="F28" s="46">
        <f>일위대가표!H161</f>
        <v>58122</v>
      </c>
      <c r="G28" s="55">
        <f>일위대가표!J161</f>
        <v>0</v>
      </c>
      <c r="H28" s="47">
        <f>일위대가표!L161</f>
        <v>1162</v>
      </c>
      <c r="I28" s="15" t="s">
        <v>112</v>
      </c>
      <c r="J28" s="17" t="str">
        <f>"_x0007_`COD|B04067_x0005_`QTY1|1_x0005_`BQC|_x0005_`EQC|_x0005_`JDC|_x0005_`WQC|_x0005_`EDT|_x0005_`ADJ|F_x0005_`DET|"&amp;ROW(일위대가표!A158)&amp;"_x0005_`"</f>
        <v>_x0007_`COD|B04067_x0005_`QTY1|1_x0005_`BQC|_x0005_`EQC|_x0005_`JDC|_x0005_`WQC|_x0005_`EDT|_x0005_`ADJ|F_x0005_`DET|158_x0005_`</v>
      </c>
      <c r="K28" s="3" t="str">
        <f ca="1">HYPERLINK("#"&amp;일위대가표!N2&amp;"!A"&amp;ROW(일위대가표!A158),"대가25 →")</f>
        <v>대가25 →</v>
      </c>
    </row>
    <row r="29" spans="1:11" ht="22.35" customHeight="1" x14ac:dyDescent="0.3">
      <c r="A29" s="9" t="s">
        <v>117</v>
      </c>
      <c r="B29" s="10" t="s">
        <v>118</v>
      </c>
      <c r="C29" s="10" t="s">
        <v>119</v>
      </c>
      <c r="D29" s="9" t="s">
        <v>115</v>
      </c>
      <c r="E29" s="47">
        <f>일위대가표!F166</f>
        <v>285632</v>
      </c>
      <c r="F29" s="46">
        <f>일위대가표!H166</f>
        <v>285632</v>
      </c>
      <c r="G29" s="55">
        <f>일위대가표!J166</f>
        <v>0</v>
      </c>
      <c r="H29" s="47">
        <f>일위대가표!L166</f>
        <v>0</v>
      </c>
      <c r="I29" s="15" t="s">
        <v>117</v>
      </c>
      <c r="J29" s="17" t="str">
        <f>"_x0007_`COD|B00235_x0005_`QTY1|1_x0005_`BQC|_x0005_`EQC|_x0005_`JDC|_x0005_`WQC|_x0005_`EDT|_x0005_`ADJ|F_x0005_`DET|"&amp;ROW(일위대가표!A163)&amp;"_x0005_`"</f>
        <v>_x0007_`COD|B00235_x0005_`QTY1|1_x0005_`BQC|_x0005_`EQC|_x0005_`JDC|_x0005_`WQC|_x0005_`EDT|_x0005_`ADJ|F_x0005_`DET|163_x0005_`</v>
      </c>
      <c r="K29" s="3" t="str">
        <f ca="1">HYPERLINK("#"&amp;일위대가표!N2&amp;"!A"&amp;ROW(일위대가표!A163),"대가26 →")</f>
        <v>대가26 →</v>
      </c>
    </row>
    <row r="30" spans="1:11" ht="22.35" customHeight="1" x14ac:dyDescent="0.3">
      <c r="A30" s="9" t="s">
        <v>121</v>
      </c>
      <c r="B30" s="10" t="s">
        <v>122</v>
      </c>
      <c r="C30" s="10" t="s">
        <v>119</v>
      </c>
      <c r="D30" s="9" t="s">
        <v>115</v>
      </c>
      <c r="E30" s="47">
        <f>일위대가표!F172</f>
        <v>113564</v>
      </c>
      <c r="F30" s="46">
        <f>일위대가표!H172</f>
        <v>113564</v>
      </c>
      <c r="G30" s="55">
        <f>일위대가표!J172</f>
        <v>0</v>
      </c>
      <c r="H30" s="47">
        <f>일위대가표!L172</f>
        <v>0</v>
      </c>
      <c r="I30" s="15" t="s">
        <v>121</v>
      </c>
      <c r="J30" s="17" t="str">
        <f>"_x0007_`COD|B00025_x0005_`QTY1|1_x0005_`BQC|_x0005_`EQC|_x0005_`JDC|_x0005_`WQC|_x0005_`EDT|_x0005_`ADJ|F_x0005_`DET|"&amp;ROW(일위대가표!A168)&amp;"_x0005_`"</f>
        <v>_x0007_`COD|B00025_x0005_`QTY1|1_x0005_`BQC|_x0005_`EQC|_x0005_`JDC|_x0005_`WQC|_x0005_`EDT|_x0005_`ADJ|F_x0005_`DET|168_x0005_`</v>
      </c>
      <c r="K30" s="3" t="str">
        <f ca="1">HYPERLINK("#"&amp;일위대가표!N2&amp;"!A"&amp;ROW(일위대가표!A168),"대가27 →")</f>
        <v>대가27 →</v>
      </c>
    </row>
  </sheetData>
  <mergeCells count="1">
    <mergeCell ref="A1:I1"/>
  </mergeCells>
  <phoneticPr fontId="25" type="noConversion"/>
  <hyperlinks>
    <hyperlink ref="K1" r:id="rId1" tooltip="설계예산시스템(STmate w26.05)으로 작성 하였으며,_x000a_엑셀 인쇄품질 600 dpi에 최적화 되어 있습니다._x000a_경영정보(주) http://www.stma.co.kr_x000a_Tel) 070-4350-0040_x000a_Fax) 0505-300-3948" xr:uid="{25A755BD-749B-45BD-B9D0-5A2EF95E0DC4}"/>
    <hyperlink ref="J1" r:id="rId2" tooltip="설계예산시스템(STmate w26.05)으로 작성 하였으며,_x000a_엑셀 인쇄품질 600 dpi에 최적화 되어 있습니다._x000a_경영정보(주) http://www.stma.co.kr_x000a_Tel) 070-4350-0040_x000a_Fax) 0505-300-3948" xr:uid="{D4A92D69-A372-4455-BE8E-1E93F4FE8803}"/>
  </hyperlinks>
  <printOptions horizontalCentered="1"/>
  <pageMargins left="0.78740157480314965" right="0.78740157480314965" top="0.59055118110236215" bottom="0.55118110236220474" header="0" footer="0.35433070866141736"/>
  <pageSetup paperSize="9" scale="98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94FB5-B6C8-4825-92F3-ED7D2853FE57}">
  <dimension ref="A1:Z172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2" width="24.25" style="6" customWidth="1"/>
    <col min="3" max="3" width="10" style="6" customWidth="1"/>
    <col min="4" max="4" width="5.5" style="6" customWidth="1"/>
    <col min="5" max="5" width="10" style="6" customWidth="1"/>
    <col min="6" max="6" width="11.5" style="6" customWidth="1"/>
    <col min="7" max="7" width="10" style="6" customWidth="1"/>
    <col min="8" max="8" width="11.5" style="6" customWidth="1"/>
    <col min="9" max="9" width="10" style="6" customWidth="1"/>
    <col min="10" max="10" width="11.5" style="6" customWidth="1"/>
    <col min="11" max="11" width="10" style="6" customWidth="1"/>
    <col min="12" max="13" width="11.5" style="6" customWidth="1"/>
    <col min="14" max="14" width="9.125" style="83" hidden="1" customWidth="1"/>
    <col min="15" max="25" width="2.125" style="6" customWidth="1"/>
    <col min="26" max="26" width="9.125" style="18" customWidth="1"/>
    <col min="27" max="16384" width="9.125" style="6"/>
  </cols>
  <sheetData>
    <row r="1" spans="1:26" ht="24.95" customHeight="1" x14ac:dyDescent="0.3">
      <c r="A1" s="130" t="s">
        <v>1203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5" t="s">
        <v>124</v>
      </c>
      <c r="Z1" s="19" t="s">
        <v>124</v>
      </c>
    </row>
    <row r="2" spans="1:26" ht="28.7" customHeight="1" x14ac:dyDescent="0.3">
      <c r="A2" s="1" t="s">
        <v>1</v>
      </c>
      <c r="N2" s="20" t="str">
        <f ca="1">MID(CELL("filename",$A$1),FIND("]",CELL("filename",$A$1))+1,LEN(CELL("filename",$A$1)))</f>
        <v>일위대가표</v>
      </c>
    </row>
    <row r="3" spans="1:26" ht="28.7" customHeight="1" x14ac:dyDescent="0.3">
      <c r="A3" s="147" t="s">
        <v>3</v>
      </c>
      <c r="B3" s="147" t="s">
        <v>4</v>
      </c>
      <c r="C3" s="147" t="s">
        <v>789</v>
      </c>
      <c r="D3" s="147" t="s">
        <v>5</v>
      </c>
      <c r="E3" s="133" t="s">
        <v>6</v>
      </c>
      <c r="F3" s="148"/>
      <c r="G3" s="133" t="s">
        <v>7</v>
      </c>
      <c r="H3" s="148"/>
      <c r="I3" s="133" t="s">
        <v>8</v>
      </c>
      <c r="J3" s="148"/>
      <c r="K3" s="133" t="s">
        <v>9</v>
      </c>
      <c r="L3" s="148"/>
      <c r="M3" s="133" t="s">
        <v>10</v>
      </c>
    </row>
    <row r="4" spans="1:26" ht="28.7" customHeight="1" x14ac:dyDescent="0.3">
      <c r="A4" s="148"/>
      <c r="B4" s="148"/>
      <c r="C4" s="148"/>
      <c r="D4" s="148"/>
      <c r="E4" s="9" t="s">
        <v>379</v>
      </c>
      <c r="F4" s="9" t="s">
        <v>790</v>
      </c>
      <c r="G4" s="9" t="s">
        <v>379</v>
      </c>
      <c r="H4" s="9" t="s">
        <v>790</v>
      </c>
      <c r="I4" s="9" t="s">
        <v>379</v>
      </c>
      <c r="J4" s="9" t="s">
        <v>790</v>
      </c>
      <c r="K4" s="9" t="s">
        <v>379</v>
      </c>
      <c r="L4" s="9" t="s">
        <v>790</v>
      </c>
      <c r="M4" s="134"/>
      <c r="Z4" s="3" t="str">
        <f>HYPERLINK("#'〓 목 차 〓'!B2","목차 →")</f>
        <v>목차 →</v>
      </c>
    </row>
    <row r="5" spans="1:26" ht="28.7" customHeight="1" x14ac:dyDescent="0.3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1:26" ht="28.7" customHeight="1" x14ac:dyDescent="0.3">
      <c r="A6" s="135" t="s">
        <v>1204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49"/>
      <c r="M6" s="23" t="s">
        <v>1205</v>
      </c>
      <c r="N6" s="84" t="str">
        <f>HYPERLINK("#N"&amp;ROW(N7),"_x0005_`BDCOD|B02631_x0007_`POSS|"&amp;ROW(N7)&amp;"_x0007_`POSE|"&amp;ROW(N7)&amp;"_x0007_`")</f>
        <v>_x0005_`BDCOD|B02631_x0007_`POSS|7_x0007_`POSE|7_x0007_`</v>
      </c>
      <c r="O6" s="7" t="s">
        <v>1206</v>
      </c>
    </row>
    <row r="7" spans="1:26" ht="28.7" customHeight="1" x14ac:dyDescent="0.3">
      <c r="A7" s="10" t="s">
        <v>205</v>
      </c>
      <c r="B7" s="10" t="s">
        <v>206</v>
      </c>
      <c r="C7" s="75">
        <v>1</v>
      </c>
      <c r="D7" s="32" t="s">
        <v>14</v>
      </c>
      <c r="E7" s="54">
        <f>I7+G7+K7</f>
        <v>13611</v>
      </c>
      <c r="F7" s="76">
        <f>J7+H7+L7</f>
        <v>13611</v>
      </c>
      <c r="G7" s="78">
        <f>단가산출근거목록표!F31</f>
        <v>11304</v>
      </c>
      <c r="H7" s="80">
        <f>IF(C7=0,0,ROUNDDOWN(G7*C7,1))</f>
        <v>11304</v>
      </c>
      <c r="I7" s="78">
        <f>단가산출근거목록표!G31</f>
        <v>1117</v>
      </c>
      <c r="J7" s="80">
        <f>IF(C7=0,0,ROUNDDOWN(I7*C7,1))</f>
        <v>1117</v>
      </c>
      <c r="K7" s="78">
        <f>단가산출근거목록표!H31</f>
        <v>1190</v>
      </c>
      <c r="L7" s="80">
        <f>IF(C7=0,0,ROUNDDOWN(K7*C7,1))</f>
        <v>1190</v>
      </c>
      <c r="M7" s="23" t="s">
        <v>1210</v>
      </c>
      <c r="N7" s="17" t="s">
        <v>1207</v>
      </c>
      <c r="O7" s="7" t="s">
        <v>1208</v>
      </c>
      <c r="P7" s="7" t="s">
        <v>1209</v>
      </c>
      <c r="Z7" s="3" t="str">
        <f ca="1">HYPERLINK("#"&amp;단가산출근거목록표!J2&amp;"!A"&amp;ROW(단가산출근거목록표!A31),"산근28 →")</f>
        <v>산근28 →</v>
      </c>
    </row>
    <row r="8" spans="1:26" ht="28.7" customHeight="1" x14ac:dyDescent="0.3">
      <c r="A8" s="23" t="s">
        <v>6</v>
      </c>
      <c r="B8" s="74"/>
      <c r="C8" s="74"/>
      <c r="D8" s="74"/>
      <c r="E8" s="74"/>
      <c r="F8" s="47">
        <f>J8+H8+L8</f>
        <v>13611</v>
      </c>
      <c r="G8" s="74"/>
      <c r="H8" s="47">
        <f>ROUNDDOWN(SUMIF(P7:P7,O8,H7:H7),0)</f>
        <v>11304</v>
      </c>
      <c r="I8" s="74"/>
      <c r="J8" s="47">
        <f>ROUNDDOWN(SUMIF(P7:P7,O8,J7:J7),0)</f>
        <v>1117</v>
      </c>
      <c r="K8" s="74"/>
      <c r="L8" s="47">
        <f>ROUNDDOWN(SUMIF(P7:P7,O8,L7:L7),0)</f>
        <v>1190</v>
      </c>
      <c r="M8" s="74"/>
      <c r="O8" s="7" t="s">
        <v>1209</v>
      </c>
    </row>
    <row r="9" spans="1:26" ht="28.7" customHeight="1" x14ac:dyDescent="0.3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</row>
    <row r="10" spans="1:26" ht="28.7" customHeight="1" x14ac:dyDescent="0.3">
      <c r="A10" s="135" t="s">
        <v>15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49"/>
      <c r="M10" s="23" t="s">
        <v>1211</v>
      </c>
      <c r="N10" s="84" t="str">
        <f>HYPERLINK("#N"&amp;ROW(N14),"_x0005_`BDCOD|B04729_x0007_`POSS|"&amp;ROW(N11)&amp;"_x0007_`POSE|"&amp;ROW(N14)&amp;"_x0007_`")</f>
        <v>_x0005_`BDCOD|B04729_x0007_`POSS|11_x0007_`POSE|14_x0007_`</v>
      </c>
      <c r="O10" s="7" t="s">
        <v>1212</v>
      </c>
    </row>
    <row r="11" spans="1:26" ht="28.7" customHeight="1" x14ac:dyDescent="0.3">
      <c r="A11" s="10" t="s">
        <v>605</v>
      </c>
      <c r="B11" s="10"/>
      <c r="C11" s="75">
        <v>5.0000000000000001E-3</v>
      </c>
      <c r="D11" s="32" t="s">
        <v>587</v>
      </c>
      <c r="E11" s="54">
        <f t="shared" ref="E11:F14" si="0">I11+G11+K11</f>
        <v>226122</v>
      </c>
      <c r="F11" s="76">
        <f t="shared" si="0"/>
        <v>1130.5999999999999</v>
      </c>
      <c r="G11" s="78">
        <f>노무비목록표!E13</f>
        <v>226122</v>
      </c>
      <c r="H11" s="81">
        <f>IF(C11=0,0,ROUNDDOWN(G11*C11,1))</f>
        <v>1130.5999999999999</v>
      </c>
      <c r="I11" s="50">
        <v>0</v>
      </c>
      <c r="J11" s="77">
        <f>IF(C11=0,0,ROUNDDOWN(I11*C11,1))</f>
        <v>0</v>
      </c>
      <c r="K11" s="50">
        <v>0</v>
      </c>
      <c r="L11" s="76">
        <f>IF(C11=0,0,ROUNDDOWN(K11*C11,1))</f>
        <v>0</v>
      </c>
      <c r="M11" s="23" t="s">
        <v>1217</v>
      </c>
      <c r="N11" s="17" t="s">
        <v>1213</v>
      </c>
      <c r="O11" s="7" t="s">
        <v>1215</v>
      </c>
      <c r="P11" s="7" t="s">
        <v>1209</v>
      </c>
      <c r="Q11" s="7" t="s">
        <v>1214</v>
      </c>
      <c r="Z11" s="3" t="str">
        <f ca="1">HYPERLINK("#"&amp;노무비목록표!G2&amp;"!A"&amp;ROW(노무비목록표!A13),"노무10 →")</f>
        <v>노무10 →</v>
      </c>
    </row>
    <row r="12" spans="1:26" ht="28.7" customHeight="1" x14ac:dyDescent="0.3">
      <c r="A12" s="10" t="s">
        <v>595</v>
      </c>
      <c r="B12" s="10"/>
      <c r="C12" s="75">
        <v>2.5000000000000001E-3</v>
      </c>
      <c r="D12" s="32" t="s">
        <v>587</v>
      </c>
      <c r="E12" s="54">
        <f t="shared" si="0"/>
        <v>172068</v>
      </c>
      <c r="F12" s="76">
        <f t="shared" si="0"/>
        <v>430.1</v>
      </c>
      <c r="G12" s="78">
        <f>노무비목록표!E8</f>
        <v>172068</v>
      </c>
      <c r="H12" s="81">
        <f>IF(C12=0,0,ROUNDDOWN(G12*C12,1))</f>
        <v>430.1</v>
      </c>
      <c r="I12" s="50">
        <v>0</v>
      </c>
      <c r="J12" s="77">
        <f>IF(C12=0,0,ROUNDDOWN(I12*C12,1))</f>
        <v>0</v>
      </c>
      <c r="K12" s="50">
        <v>0</v>
      </c>
      <c r="L12" s="76">
        <f>IF(C12=0,0,ROUNDDOWN(K12*C12,1))</f>
        <v>0</v>
      </c>
      <c r="M12" s="23" t="s">
        <v>1220</v>
      </c>
      <c r="N12" s="17" t="s">
        <v>1218</v>
      </c>
      <c r="O12" s="7" t="s">
        <v>1219</v>
      </c>
      <c r="P12" s="7" t="s">
        <v>1209</v>
      </c>
      <c r="Q12" s="7" t="s">
        <v>1214</v>
      </c>
      <c r="Z12" s="3" t="str">
        <f ca="1">HYPERLINK("#"&amp;노무비목록표!G2&amp;"!A"&amp;ROW(노무비목록표!A8),"노무5 →")</f>
        <v>노무5 →</v>
      </c>
    </row>
    <row r="13" spans="1:26" ht="28.7" customHeight="1" x14ac:dyDescent="0.3">
      <c r="A13" s="10" t="s">
        <v>264</v>
      </c>
      <c r="B13" s="10" t="s">
        <v>265</v>
      </c>
      <c r="C13" s="75">
        <v>0.02</v>
      </c>
      <c r="D13" s="32" t="s">
        <v>261</v>
      </c>
      <c r="E13" s="54">
        <f t="shared" si="0"/>
        <v>83776</v>
      </c>
      <c r="F13" s="76">
        <f t="shared" si="0"/>
        <v>1675.4</v>
      </c>
      <c r="G13" s="78">
        <f>중기목록표!F5</f>
        <v>59020</v>
      </c>
      <c r="H13" s="80">
        <f>IF(C13=0,0,ROUNDDOWN(G13*C13,1))</f>
        <v>1180.4000000000001</v>
      </c>
      <c r="I13" s="78">
        <f>중기목록표!G5</f>
        <v>10883</v>
      </c>
      <c r="J13" s="80">
        <f>IF(C13=0,0,ROUNDDOWN(I13*C13,1))</f>
        <v>217.6</v>
      </c>
      <c r="K13" s="78">
        <f>중기목록표!H5</f>
        <v>13873</v>
      </c>
      <c r="L13" s="80">
        <f>IF(C13=0,0,ROUNDDOWN(K13*C13,1))</f>
        <v>277.39999999999998</v>
      </c>
      <c r="M13" s="23" t="s">
        <v>1223</v>
      </c>
      <c r="N13" s="17" t="s">
        <v>1221</v>
      </c>
      <c r="O13" s="7" t="s">
        <v>1222</v>
      </c>
      <c r="P13" s="7" t="s">
        <v>1209</v>
      </c>
      <c r="Q13" s="7" t="s">
        <v>1214</v>
      </c>
      <c r="Z13" s="3" t="str">
        <f ca="1">HYPERLINK("#"&amp;중기목록표!J2&amp;"!A"&amp;ROW(중기목록표!A5),"중기2 →")</f>
        <v>중기2 →</v>
      </c>
    </row>
    <row r="14" spans="1:26" ht="28.7" customHeight="1" x14ac:dyDescent="0.3">
      <c r="A14" s="10" t="s">
        <v>290</v>
      </c>
      <c r="B14" s="10" t="s">
        <v>294</v>
      </c>
      <c r="C14" s="75">
        <v>0.02</v>
      </c>
      <c r="D14" s="32" t="s">
        <v>261</v>
      </c>
      <c r="E14" s="54">
        <f t="shared" si="0"/>
        <v>63499</v>
      </c>
      <c r="F14" s="76">
        <f t="shared" si="0"/>
        <v>1269.8000000000002</v>
      </c>
      <c r="G14" s="78">
        <f>중기목록표!F14</f>
        <v>49778</v>
      </c>
      <c r="H14" s="80">
        <f>IF(C14=0,0,ROUNDDOWN(G14*C14,1))</f>
        <v>995.5</v>
      </c>
      <c r="I14" s="78">
        <f>중기목록표!G14</f>
        <v>7199</v>
      </c>
      <c r="J14" s="80">
        <f>IF(C14=0,0,ROUNDDOWN(I14*C14,1))</f>
        <v>143.9</v>
      </c>
      <c r="K14" s="78">
        <f>중기목록표!H14</f>
        <v>6522</v>
      </c>
      <c r="L14" s="80">
        <f>IF(C14=0,0,ROUNDDOWN(K14*C14,1))</f>
        <v>130.4</v>
      </c>
      <c r="M14" s="23" t="s">
        <v>1226</v>
      </c>
      <c r="N14" s="17" t="s">
        <v>1224</v>
      </c>
      <c r="O14" s="7" t="s">
        <v>1225</v>
      </c>
      <c r="P14" s="7" t="s">
        <v>1209</v>
      </c>
      <c r="Q14" s="7" t="s">
        <v>1214</v>
      </c>
      <c r="Z14" s="3" t="str">
        <f ca="1">HYPERLINK("#"&amp;중기목록표!J2&amp;"!A"&amp;ROW(중기목록표!A14),"중기11 →")</f>
        <v>중기11 →</v>
      </c>
    </row>
    <row r="15" spans="1:26" ht="28.7" customHeight="1" x14ac:dyDescent="0.3">
      <c r="A15" s="23" t="s">
        <v>6</v>
      </c>
      <c r="B15" s="74"/>
      <c r="C15" s="74"/>
      <c r="D15" s="74"/>
      <c r="E15" s="74"/>
      <c r="F15" s="47">
        <f>J15+H15+L15</f>
        <v>4504</v>
      </c>
      <c r="G15" s="74"/>
      <c r="H15" s="47">
        <f>ROUNDDOWN(SUMIF(P11:P14,O15,H11:H14),0)</f>
        <v>3736</v>
      </c>
      <c r="I15" s="74"/>
      <c r="J15" s="47">
        <f>ROUNDDOWN(SUMIF(P11:P14,O15,J11:J14),0)</f>
        <v>361</v>
      </c>
      <c r="K15" s="74"/>
      <c r="L15" s="47">
        <f>ROUNDDOWN(SUMIF(P11:P14,O15,L11:L14),0)</f>
        <v>407</v>
      </c>
      <c r="M15" s="74"/>
      <c r="O15" s="7" t="s">
        <v>1209</v>
      </c>
    </row>
    <row r="16" spans="1:26" ht="28.7" customHeight="1" x14ac:dyDescent="0.3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</row>
    <row r="17" spans="1:26" ht="28.7" customHeight="1" x14ac:dyDescent="0.3">
      <c r="A17" s="135" t="s">
        <v>20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49"/>
      <c r="M17" s="23" t="s">
        <v>1216</v>
      </c>
      <c r="N17" s="84" t="str">
        <f>HYPERLINK("#N"&amp;ROW(N20),"_x0005_`BDCOD|B04727_x0007_`POSS|"&amp;ROW(N18)&amp;"_x0007_`POSE|"&amp;ROW(N20)&amp;"_x0007_`")</f>
        <v>_x0005_`BDCOD|B04727_x0007_`POSS|18_x0007_`POSE|20_x0007_`</v>
      </c>
      <c r="O17" s="7" t="s">
        <v>1227</v>
      </c>
    </row>
    <row r="18" spans="1:26" ht="28.7" customHeight="1" x14ac:dyDescent="0.3">
      <c r="A18" s="10" t="s">
        <v>109</v>
      </c>
      <c r="B18" s="10" t="s">
        <v>110</v>
      </c>
      <c r="C18" s="75">
        <v>1</v>
      </c>
      <c r="D18" s="32" t="s">
        <v>19</v>
      </c>
      <c r="E18" s="54">
        <f>I18+G18+K18</f>
        <v>36170</v>
      </c>
      <c r="F18" s="76">
        <f>J18+H18+L18</f>
        <v>36170</v>
      </c>
      <c r="G18" s="78">
        <f>일위대가목록표!F27</f>
        <v>30708</v>
      </c>
      <c r="H18" s="80">
        <f>IF(C18=0,0,ROUNDDOWN(G18*C18,1))</f>
        <v>30708</v>
      </c>
      <c r="I18" s="78">
        <f>일위대가목록표!G27</f>
        <v>4689</v>
      </c>
      <c r="J18" s="80">
        <f>IF(C18=0,0,ROUNDDOWN(I18*C18,1))</f>
        <v>4689</v>
      </c>
      <c r="K18" s="78">
        <f>일위대가목록표!H27</f>
        <v>773</v>
      </c>
      <c r="L18" s="80">
        <f>IF(C18=0,0,ROUNDDOWN(K18*C18,1))</f>
        <v>773</v>
      </c>
      <c r="M18" s="23" t="s">
        <v>1231</v>
      </c>
      <c r="N18" s="17" t="s">
        <v>1228</v>
      </c>
      <c r="O18" s="7" t="s">
        <v>1229</v>
      </c>
      <c r="P18" s="7" t="s">
        <v>1230</v>
      </c>
      <c r="Q18" s="7" t="s">
        <v>1214</v>
      </c>
      <c r="Z18" s="3" t="str">
        <f ca="1">HYPERLINK("#"&amp;일위대가목록표!J2&amp;"!A"&amp;ROW(일위대가목록표!A27),"대가24 →")</f>
        <v>대가24 →</v>
      </c>
    </row>
    <row r="19" spans="1:26" ht="28.7" customHeight="1" x14ac:dyDescent="0.3">
      <c r="A19" s="10" t="s">
        <v>1232</v>
      </c>
      <c r="B19" s="10"/>
      <c r="C19" s="75">
        <v>0</v>
      </c>
      <c r="D19" s="32"/>
      <c r="E19" s="22">
        <v>0</v>
      </c>
      <c r="F19" s="77">
        <f>J19+H19+L19</f>
        <v>36170</v>
      </c>
      <c r="G19" s="41"/>
      <c r="H19" s="77">
        <f>SUMIF(P18:P18,O19,H18:H18)</f>
        <v>30708</v>
      </c>
      <c r="I19" s="41"/>
      <c r="J19" s="76">
        <f>SUMIF(P18:P18,O19,J18:J18)</f>
        <v>4689</v>
      </c>
      <c r="K19" s="45"/>
      <c r="L19" s="76">
        <f>SUMIF(P18:P18,O19,L18:L18)</f>
        <v>773</v>
      </c>
      <c r="M19" s="23"/>
      <c r="N19" s="17" t="s">
        <v>1233</v>
      </c>
      <c r="O19" s="7" t="s">
        <v>1230</v>
      </c>
    </row>
    <row r="20" spans="1:26" ht="28.7" customHeight="1" x14ac:dyDescent="0.3">
      <c r="A20" s="10" t="s">
        <v>1234</v>
      </c>
      <c r="B20" s="10" t="s">
        <v>617</v>
      </c>
      <c r="C20" s="75">
        <v>50</v>
      </c>
      <c r="D20" s="32" t="s">
        <v>539</v>
      </c>
      <c r="E20" s="54">
        <f>I20+G20+K20</f>
        <v>30708</v>
      </c>
      <c r="F20" s="77">
        <f>J20+H20+L20</f>
        <v>15354</v>
      </c>
      <c r="G20" s="79">
        <f>H18</f>
        <v>30708</v>
      </c>
      <c r="H20" s="77">
        <f>IF(C20=0,0,ROUNDDOWN(G20*C20/100,1))</f>
        <v>15354</v>
      </c>
      <c r="I20" s="13">
        <v>0</v>
      </c>
      <c r="J20" s="76">
        <f>IF(C20=0,0,ROUNDDOWN(I20*C20/100,1))</f>
        <v>0</v>
      </c>
      <c r="K20" s="22">
        <v>0</v>
      </c>
      <c r="L20" s="76">
        <f>IF(C20=0,0,ROUNDDOWN(K20*C20/100,1))</f>
        <v>0</v>
      </c>
      <c r="M20" s="23"/>
      <c r="N20" s="17" t="s">
        <v>1235</v>
      </c>
      <c r="O20" s="7" t="s">
        <v>1236</v>
      </c>
      <c r="P20" s="7" t="s">
        <v>1209</v>
      </c>
    </row>
    <row r="21" spans="1:26" ht="28.7" customHeight="1" x14ac:dyDescent="0.3">
      <c r="A21" s="23" t="s">
        <v>6</v>
      </c>
      <c r="B21" s="74"/>
      <c r="C21" s="74"/>
      <c r="D21" s="74"/>
      <c r="E21" s="74"/>
      <c r="F21" s="47">
        <f>J21+H21+L21</f>
        <v>15354</v>
      </c>
      <c r="G21" s="74"/>
      <c r="H21" s="47">
        <f>ROUNDDOWN(SUMIF(P18:P20,O21,H18:H20),0)</f>
        <v>15354</v>
      </c>
      <c r="I21" s="74"/>
      <c r="J21" s="47">
        <f>ROUNDDOWN(SUMIF(P18:P20,O21,J18:J20),0)</f>
        <v>0</v>
      </c>
      <c r="K21" s="74"/>
      <c r="L21" s="47">
        <f>ROUNDDOWN(SUMIF(P18:P20,O21,L18:L20),0)</f>
        <v>0</v>
      </c>
      <c r="M21" s="74"/>
      <c r="O21" s="7" t="s">
        <v>1209</v>
      </c>
    </row>
    <row r="22" spans="1:26" ht="28.7" customHeight="1" x14ac:dyDescent="0.3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26" ht="28.7" customHeight="1" x14ac:dyDescent="0.3">
      <c r="A23" s="135" t="s">
        <v>24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49"/>
      <c r="M23" s="23" t="s">
        <v>1237</v>
      </c>
      <c r="N23" s="84" t="str">
        <f>HYPERLINK("#N"&amp;ROW(N24),"_x0005_`BDCOD|B06812_x0007_`POSS|"&amp;ROW(N24)&amp;"_x0007_`POSE|"&amp;ROW(N24)&amp;"_x0007_`")</f>
        <v>_x0005_`BDCOD|B06812_x0007_`POSS|24_x0007_`POSE|24_x0007_`</v>
      </c>
      <c r="O23" s="7" t="s">
        <v>1238</v>
      </c>
    </row>
    <row r="24" spans="1:26" ht="28.7" customHeight="1" x14ac:dyDescent="0.3">
      <c r="A24" s="10" t="s">
        <v>220</v>
      </c>
      <c r="B24" s="10" t="s">
        <v>220</v>
      </c>
      <c r="C24" s="75">
        <v>0.3</v>
      </c>
      <c r="D24" s="32" t="s">
        <v>221</v>
      </c>
      <c r="E24" s="54">
        <f>I24+G24+K24</f>
        <v>88211</v>
      </c>
      <c r="F24" s="76">
        <f>J24+H24+L24</f>
        <v>26463.3</v>
      </c>
      <c r="G24" s="78">
        <f>단가산출근거목록표!F35</f>
        <v>84688</v>
      </c>
      <c r="H24" s="80">
        <f>IF(C24=0,0,ROUNDDOWN(G24*C24,1))</f>
        <v>25406.400000000001</v>
      </c>
      <c r="I24" s="78">
        <f>단가산출근거목록표!G35</f>
        <v>1722</v>
      </c>
      <c r="J24" s="80">
        <f>IF(C24=0,0,ROUNDDOWN(I24*C24,1))</f>
        <v>516.6</v>
      </c>
      <c r="K24" s="78">
        <f>단가산출근거목록표!H35</f>
        <v>1801</v>
      </c>
      <c r="L24" s="80">
        <f>IF(C24=0,0,ROUNDDOWN(K24*C24,1))</f>
        <v>540.29999999999995</v>
      </c>
      <c r="M24" s="23" t="s">
        <v>1242</v>
      </c>
      <c r="N24" s="17" t="s">
        <v>1239</v>
      </c>
      <c r="O24" s="7" t="s">
        <v>1240</v>
      </c>
      <c r="P24" s="7" t="s">
        <v>1209</v>
      </c>
      <c r="Z24" s="3" t="str">
        <f ca="1">HYPERLINK("#"&amp;단가산출근거목록표!J2&amp;"!A"&amp;ROW(단가산출근거목록표!A35),"산근32 →")</f>
        <v>산근32 →</v>
      </c>
    </row>
    <row r="25" spans="1:26" ht="28.7" customHeight="1" x14ac:dyDescent="0.3">
      <c r="A25" s="23" t="s">
        <v>6</v>
      </c>
      <c r="B25" s="74"/>
      <c r="C25" s="74"/>
      <c r="D25" s="74"/>
      <c r="E25" s="74"/>
      <c r="F25" s="47">
        <f>J25+H25+L25</f>
        <v>26462</v>
      </c>
      <c r="G25" s="74"/>
      <c r="H25" s="47">
        <f>ROUNDDOWN(SUMIF(P24:P24,O25,H24:H24),0)</f>
        <v>25406</v>
      </c>
      <c r="I25" s="74"/>
      <c r="J25" s="47">
        <f>ROUNDDOWN(SUMIF(P24:P24,O25,J24:J24),0)</f>
        <v>516</v>
      </c>
      <c r="K25" s="74"/>
      <c r="L25" s="47">
        <f>ROUNDDOWN(SUMIF(P24:P24,O25,L24:L24),0)</f>
        <v>540</v>
      </c>
      <c r="M25" s="74"/>
      <c r="O25" s="7" t="s">
        <v>1209</v>
      </c>
    </row>
    <row r="26" spans="1:26" ht="28.7" customHeight="1" x14ac:dyDescent="0.3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</row>
    <row r="27" spans="1:26" ht="28.7" customHeight="1" x14ac:dyDescent="0.3">
      <c r="A27" s="135" t="s">
        <v>29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49"/>
      <c r="M27" s="23" t="s">
        <v>1241</v>
      </c>
      <c r="N27" s="84" t="str">
        <f>HYPERLINK("#N"&amp;ROW(N30),"_x0005_`BDCOD|B00196_x0007_`POSS|"&amp;ROW(N28)&amp;"_x0007_`POSE|"&amp;ROW(N30)&amp;"_x0007_`")</f>
        <v>_x0005_`BDCOD|B00196_x0007_`POSS|28_x0007_`POSE|30_x0007_`</v>
      </c>
      <c r="O27" s="7" t="s">
        <v>1243</v>
      </c>
    </row>
    <row r="28" spans="1:26" ht="28.7" customHeight="1" x14ac:dyDescent="0.3">
      <c r="A28" s="10" t="s">
        <v>1244</v>
      </c>
      <c r="B28" s="10"/>
      <c r="C28" s="75">
        <v>0</v>
      </c>
      <c r="D28" s="32"/>
      <c r="E28" s="22">
        <v>0</v>
      </c>
      <c r="F28" s="11">
        <v>0</v>
      </c>
      <c r="G28" s="41"/>
      <c r="H28" s="11">
        <v>0</v>
      </c>
      <c r="I28" s="41"/>
      <c r="J28" s="22">
        <v>0</v>
      </c>
      <c r="K28" s="45"/>
      <c r="L28" s="22">
        <v>0</v>
      </c>
      <c r="M28" s="23" t="s">
        <v>1247</v>
      </c>
      <c r="N28" s="17" t="s">
        <v>1245</v>
      </c>
      <c r="O28" s="7" t="s">
        <v>1246</v>
      </c>
      <c r="P28" s="7" t="s">
        <v>1246</v>
      </c>
    </row>
    <row r="29" spans="1:26" ht="28.7" customHeight="1" x14ac:dyDescent="0.3">
      <c r="A29" s="10" t="s">
        <v>31</v>
      </c>
      <c r="B29" s="10" t="s">
        <v>224</v>
      </c>
      <c r="C29" s="75">
        <v>1</v>
      </c>
      <c r="D29" s="32" t="s">
        <v>33</v>
      </c>
      <c r="E29" s="54">
        <f>I29+G29+K29</f>
        <v>149157</v>
      </c>
      <c r="F29" s="76">
        <f>J29+H29+L29</f>
        <v>149157</v>
      </c>
      <c r="G29" s="78">
        <f>단가산출근거목록표!F36</f>
        <v>109545</v>
      </c>
      <c r="H29" s="80">
        <f>IF(C29=0,0,ROUNDDOWN(G29*C29,1))</f>
        <v>109545</v>
      </c>
      <c r="I29" s="78">
        <f>단가산출근거목록표!G36</f>
        <v>17788</v>
      </c>
      <c r="J29" s="80">
        <f>IF(C29=0,0,ROUNDDOWN(I29*C29,1))</f>
        <v>17788</v>
      </c>
      <c r="K29" s="78">
        <f>단가산출근거목록표!H36</f>
        <v>21824</v>
      </c>
      <c r="L29" s="80">
        <f>IF(C29=0,0,ROUNDDOWN(K29*C29,1))</f>
        <v>21824</v>
      </c>
      <c r="M29" s="23" t="s">
        <v>1250</v>
      </c>
      <c r="N29" s="17" t="s">
        <v>1248</v>
      </c>
      <c r="O29" s="7" t="s">
        <v>1249</v>
      </c>
      <c r="P29" s="7" t="s">
        <v>1253</v>
      </c>
      <c r="Z29" s="3" t="str">
        <f ca="1">HYPERLINK("#"&amp;단가산출근거목록표!J2&amp;"!A"&amp;ROW(단가산출근거목록표!A36),"산근33 →")</f>
        <v>산근33 →</v>
      </c>
    </row>
    <row r="30" spans="1:26" ht="28.7" customHeight="1" x14ac:dyDescent="0.3">
      <c r="A30" s="10" t="s">
        <v>1251</v>
      </c>
      <c r="B30" s="10"/>
      <c r="C30" s="75">
        <v>0</v>
      </c>
      <c r="D30" s="32"/>
      <c r="E30" s="22">
        <v>0</v>
      </c>
      <c r="F30" s="77">
        <f>J30+H30+L30</f>
        <v>149157</v>
      </c>
      <c r="G30" s="41"/>
      <c r="H30" s="77">
        <f>SUMIF(P28:P29,O30,H28:H29)</f>
        <v>109545</v>
      </c>
      <c r="I30" s="41"/>
      <c r="J30" s="76">
        <f>SUMIF(P28:P29,O30,J28:J29)</f>
        <v>17788</v>
      </c>
      <c r="K30" s="45"/>
      <c r="L30" s="76">
        <f>SUMIF(P28:P29,O30,L28:L29)</f>
        <v>21824</v>
      </c>
      <c r="M30" s="23"/>
      <c r="N30" s="17" t="s">
        <v>1252</v>
      </c>
      <c r="O30" s="7" t="s">
        <v>1253</v>
      </c>
      <c r="P30" s="7" t="s">
        <v>1209</v>
      </c>
    </row>
    <row r="31" spans="1:26" ht="28.7" customHeight="1" x14ac:dyDescent="0.3">
      <c r="A31" s="23" t="s">
        <v>6</v>
      </c>
      <c r="B31" s="74"/>
      <c r="C31" s="74"/>
      <c r="D31" s="74"/>
      <c r="E31" s="74"/>
      <c r="F31" s="47">
        <f>J31+H31+L31</f>
        <v>149157</v>
      </c>
      <c r="G31" s="74"/>
      <c r="H31" s="47">
        <f>ROUNDDOWN(SUMIF(P28:P30,O31,H28:H30),0)</f>
        <v>109545</v>
      </c>
      <c r="I31" s="74"/>
      <c r="J31" s="47">
        <f>ROUNDDOWN(SUMIF(P28:P30,O31,J28:J30),0)</f>
        <v>17788</v>
      </c>
      <c r="K31" s="74"/>
      <c r="L31" s="47">
        <f>ROUNDDOWN(SUMIF(P28:P30,O31,L28:L30),0)</f>
        <v>21824</v>
      </c>
      <c r="M31" s="74"/>
      <c r="O31" s="7" t="s">
        <v>1209</v>
      </c>
    </row>
    <row r="32" spans="1:26" ht="28.7" customHeight="1" x14ac:dyDescent="0.3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</row>
    <row r="33" spans="1:26" ht="28.7" customHeight="1" x14ac:dyDescent="0.3">
      <c r="A33" s="135" t="s">
        <v>34</v>
      </c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49"/>
      <c r="M33" s="23" t="s">
        <v>1254</v>
      </c>
      <c r="N33" s="84" t="str">
        <f>HYPERLINK("#N"&amp;ROW(N36),"_x0005_`BDCOD|B06587_x0007_`POSS|"&amp;ROW(N34)&amp;"_x0007_`POSE|"&amp;ROW(N36)&amp;"_x0007_`")</f>
        <v>_x0005_`BDCOD|B06587_x0007_`POSS|34_x0007_`POSE|36_x0007_`</v>
      </c>
      <c r="O33" s="7" t="s">
        <v>1255</v>
      </c>
    </row>
    <row r="34" spans="1:26" ht="28.7" customHeight="1" x14ac:dyDescent="0.3">
      <c r="A34" s="10" t="s">
        <v>1244</v>
      </c>
      <c r="B34" s="10" t="s">
        <v>1256</v>
      </c>
      <c r="C34" s="75">
        <v>0</v>
      </c>
      <c r="D34" s="32"/>
      <c r="E34" s="22">
        <v>0</v>
      </c>
      <c r="F34" s="11">
        <v>0</v>
      </c>
      <c r="G34" s="41"/>
      <c r="H34" s="11">
        <v>0</v>
      </c>
      <c r="I34" s="41"/>
      <c r="J34" s="22">
        <v>0</v>
      </c>
      <c r="K34" s="45"/>
      <c r="L34" s="22">
        <v>0</v>
      </c>
      <c r="M34" s="23" t="s">
        <v>1247</v>
      </c>
      <c r="N34" s="17" t="s">
        <v>1245</v>
      </c>
      <c r="O34" s="7" t="s">
        <v>1246</v>
      </c>
      <c r="P34" s="7" t="s">
        <v>1246</v>
      </c>
    </row>
    <row r="35" spans="1:26" ht="28.7" customHeight="1" x14ac:dyDescent="0.3">
      <c r="A35" s="10" t="s">
        <v>227</v>
      </c>
      <c r="B35" s="10" t="s">
        <v>228</v>
      </c>
      <c r="C35" s="75">
        <v>1</v>
      </c>
      <c r="D35" s="32" t="s">
        <v>38</v>
      </c>
      <c r="E35" s="54">
        <f>I35+G35+K35</f>
        <v>74578</v>
      </c>
      <c r="F35" s="76">
        <f>J35+H35+L35</f>
        <v>74578</v>
      </c>
      <c r="G35" s="78">
        <f>단가산출근거목록표!F37</f>
        <v>54772</v>
      </c>
      <c r="H35" s="80">
        <f>IF(C35=0,0,ROUNDDOWN(G35*C35,1))</f>
        <v>54772</v>
      </c>
      <c r="I35" s="78">
        <f>단가산출근거목록표!G37</f>
        <v>8894</v>
      </c>
      <c r="J35" s="80">
        <f>IF(C35=0,0,ROUNDDOWN(I35*C35,1))</f>
        <v>8894</v>
      </c>
      <c r="K35" s="78">
        <f>단가산출근거목록표!H37</f>
        <v>10912</v>
      </c>
      <c r="L35" s="80">
        <f>IF(C35=0,0,ROUNDDOWN(K35*C35,1))</f>
        <v>10912</v>
      </c>
      <c r="M35" s="23" t="s">
        <v>1259</v>
      </c>
      <c r="N35" s="17" t="s">
        <v>1257</v>
      </c>
      <c r="O35" s="7" t="s">
        <v>1258</v>
      </c>
      <c r="P35" s="7" t="s">
        <v>1262</v>
      </c>
      <c r="Z35" s="3" t="str">
        <f ca="1">HYPERLINK("#"&amp;단가산출근거목록표!J2&amp;"!A"&amp;ROW(단가산출근거목록표!A37),"산근34 →")</f>
        <v>산근34 →</v>
      </c>
    </row>
    <row r="36" spans="1:26" ht="28.7" customHeight="1" x14ac:dyDescent="0.3">
      <c r="A36" s="10" t="s">
        <v>1260</v>
      </c>
      <c r="B36" s="10"/>
      <c r="C36" s="75">
        <v>0</v>
      </c>
      <c r="D36" s="32"/>
      <c r="E36" s="22">
        <v>0</v>
      </c>
      <c r="F36" s="77">
        <f>J36+H36+L36</f>
        <v>74578</v>
      </c>
      <c r="G36" s="41"/>
      <c r="H36" s="77">
        <f>SUMIF(P34:P35,O36,H34:H35)</f>
        <v>54772</v>
      </c>
      <c r="I36" s="41"/>
      <c r="J36" s="76">
        <f>SUMIF(P34:P35,O36,J34:J35)</f>
        <v>8894</v>
      </c>
      <c r="K36" s="45"/>
      <c r="L36" s="76">
        <f>SUMIF(P34:P35,O36,L34:L35)</f>
        <v>10912</v>
      </c>
      <c r="M36" s="23"/>
      <c r="N36" s="17" t="s">
        <v>1261</v>
      </c>
      <c r="O36" s="7" t="s">
        <v>1262</v>
      </c>
      <c r="P36" s="7" t="s">
        <v>1209</v>
      </c>
    </row>
    <row r="37" spans="1:26" ht="28.7" customHeight="1" x14ac:dyDescent="0.3">
      <c r="A37" s="23" t="s">
        <v>6</v>
      </c>
      <c r="B37" s="74"/>
      <c r="C37" s="74"/>
      <c r="D37" s="74"/>
      <c r="E37" s="74"/>
      <c r="F37" s="47">
        <f>J37+H37+L37</f>
        <v>74578</v>
      </c>
      <c r="G37" s="74"/>
      <c r="H37" s="47">
        <f>ROUNDDOWN(SUMIF(P34:P36,O37,H34:H36),0)</f>
        <v>54772</v>
      </c>
      <c r="I37" s="74"/>
      <c r="J37" s="47">
        <f>ROUNDDOWN(SUMIF(P34:P36,O37,J34:J36),0)</f>
        <v>8894</v>
      </c>
      <c r="K37" s="74"/>
      <c r="L37" s="47">
        <f>ROUNDDOWN(SUMIF(P34:P36,O37,L34:L36),0)</f>
        <v>10912</v>
      </c>
      <c r="M37" s="74"/>
      <c r="O37" s="7" t="s">
        <v>1209</v>
      </c>
    </row>
    <row r="38" spans="1:26" ht="28.7" customHeight="1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</row>
    <row r="39" spans="1:26" ht="28.7" customHeight="1" x14ac:dyDescent="0.3">
      <c r="A39" s="135" t="s">
        <v>39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49"/>
      <c r="M39" s="23" t="s">
        <v>1263</v>
      </c>
      <c r="N39" s="84" t="str">
        <f>HYPERLINK("#N"&amp;ROW(N42),"_x0005_`BDCOD|B02873_x0007_`POSS|"&amp;ROW(N40)&amp;"_x0007_`POSE|"&amp;ROW(N42)&amp;"_x0007_`")</f>
        <v>_x0005_`BDCOD|B02873_x0007_`POSS|40_x0007_`POSE|42_x0007_`</v>
      </c>
      <c r="O39" s="7" t="s">
        <v>1264</v>
      </c>
    </row>
    <row r="40" spans="1:26" ht="28.7" customHeight="1" x14ac:dyDescent="0.3">
      <c r="A40" s="10" t="s">
        <v>1265</v>
      </c>
      <c r="B40" s="10" t="s">
        <v>1266</v>
      </c>
      <c r="C40" s="75">
        <v>0</v>
      </c>
      <c r="D40" s="32"/>
      <c r="E40" s="22">
        <v>0</v>
      </c>
      <c r="F40" s="11">
        <v>0</v>
      </c>
      <c r="G40" s="41"/>
      <c r="H40" s="11">
        <v>0</v>
      </c>
      <c r="I40" s="41"/>
      <c r="J40" s="22">
        <v>0</v>
      </c>
      <c r="K40" s="45"/>
      <c r="L40" s="22">
        <v>0</v>
      </c>
      <c r="M40" s="23" t="s">
        <v>1247</v>
      </c>
      <c r="N40" s="17" t="s">
        <v>1245</v>
      </c>
      <c r="O40" s="7" t="s">
        <v>1246</v>
      </c>
      <c r="P40" s="7" t="s">
        <v>1246</v>
      </c>
    </row>
    <row r="41" spans="1:26" ht="28.7" customHeight="1" x14ac:dyDescent="0.3">
      <c r="A41" s="10" t="s">
        <v>227</v>
      </c>
      <c r="B41" s="10" t="s">
        <v>228</v>
      </c>
      <c r="C41" s="75">
        <v>0.6</v>
      </c>
      <c r="D41" s="32" t="s">
        <v>38</v>
      </c>
      <c r="E41" s="54">
        <f>I41+G41+K41</f>
        <v>74578</v>
      </c>
      <c r="F41" s="76">
        <f>J41+H41+L41</f>
        <v>44746.799999999996</v>
      </c>
      <c r="G41" s="78">
        <f>단가산출근거목록표!F37</f>
        <v>54772</v>
      </c>
      <c r="H41" s="80">
        <f>IF(C41=0,0,ROUNDDOWN(G41*C41,1))</f>
        <v>32863.199999999997</v>
      </c>
      <c r="I41" s="78">
        <f>단가산출근거목록표!G37</f>
        <v>8894</v>
      </c>
      <c r="J41" s="80">
        <f>IF(C41=0,0,ROUNDDOWN(I41*C41,1))</f>
        <v>5336.4</v>
      </c>
      <c r="K41" s="78">
        <f>단가산출근거목록표!H37</f>
        <v>10912</v>
      </c>
      <c r="L41" s="80">
        <f>IF(C41=0,0,ROUNDDOWN(K41*C41,1))</f>
        <v>6547.2</v>
      </c>
      <c r="M41" s="23" t="s">
        <v>1259</v>
      </c>
      <c r="N41" s="17" t="s">
        <v>1257</v>
      </c>
      <c r="O41" s="7" t="s">
        <v>1258</v>
      </c>
      <c r="P41" s="7" t="s">
        <v>1253</v>
      </c>
      <c r="Z41" s="3" t="str">
        <f ca="1">HYPERLINK("#"&amp;단가산출근거목록표!J2&amp;"!A"&amp;ROW(단가산출근거목록표!A37),"산근34 →")</f>
        <v>산근34 →</v>
      </c>
    </row>
    <row r="42" spans="1:26" ht="28.7" customHeight="1" x14ac:dyDescent="0.3">
      <c r="A42" s="10" t="s">
        <v>1251</v>
      </c>
      <c r="B42" s="10"/>
      <c r="C42" s="75">
        <v>0</v>
      </c>
      <c r="D42" s="32"/>
      <c r="E42" s="22">
        <v>0</v>
      </c>
      <c r="F42" s="77">
        <f>J42+H42+L42</f>
        <v>44746.799999999996</v>
      </c>
      <c r="G42" s="41"/>
      <c r="H42" s="77">
        <f>SUMIF(P40:P41,O42,H40:H41)</f>
        <v>32863.199999999997</v>
      </c>
      <c r="I42" s="41"/>
      <c r="J42" s="76">
        <f>SUMIF(P40:P41,O42,J40:J41)</f>
        <v>5336.4</v>
      </c>
      <c r="K42" s="45"/>
      <c r="L42" s="76">
        <f>SUMIF(P40:P41,O42,L40:L41)</f>
        <v>6547.2</v>
      </c>
      <c r="M42" s="23"/>
      <c r="N42" s="17" t="s">
        <v>1252</v>
      </c>
      <c r="O42" s="7" t="s">
        <v>1253</v>
      </c>
      <c r="P42" s="7" t="s">
        <v>1209</v>
      </c>
    </row>
    <row r="43" spans="1:26" ht="28.7" customHeight="1" x14ac:dyDescent="0.3">
      <c r="A43" s="23" t="s">
        <v>6</v>
      </c>
      <c r="B43" s="74"/>
      <c r="C43" s="74"/>
      <c r="D43" s="74"/>
      <c r="E43" s="74"/>
      <c r="F43" s="47">
        <f>J43+H43+L43</f>
        <v>44746</v>
      </c>
      <c r="G43" s="74"/>
      <c r="H43" s="47">
        <f>ROUNDDOWN(SUMIF(P40:P42,O43,H40:H42),0)</f>
        <v>32863</v>
      </c>
      <c r="I43" s="74"/>
      <c r="J43" s="47">
        <f>ROUNDDOWN(SUMIF(P40:P42,O43,J40:J42),0)</f>
        <v>5336</v>
      </c>
      <c r="K43" s="74"/>
      <c r="L43" s="47">
        <f>ROUNDDOWN(SUMIF(P40:P42,O43,L40:L42),0)</f>
        <v>6547</v>
      </c>
      <c r="M43" s="74"/>
      <c r="O43" s="7" t="s">
        <v>1209</v>
      </c>
    </row>
    <row r="44" spans="1:26" ht="28.7" customHeight="1" x14ac:dyDescent="0.3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</row>
    <row r="45" spans="1:26" ht="28.7" customHeight="1" x14ac:dyDescent="0.3">
      <c r="A45" s="135" t="s">
        <v>43</v>
      </c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49"/>
      <c r="M45" s="23" t="s">
        <v>1267</v>
      </c>
      <c r="N45" s="84" t="str">
        <f>HYPERLINK("#N"&amp;ROW(N46),"_x0005_`BDCOD|B01295_x0007_`POSS|"&amp;ROW(N46)&amp;"_x0007_`POSE|"&amp;ROW(N46)&amp;"_x0007_`")</f>
        <v>_x0005_`BDCOD|B01295_x0007_`POSS|46_x0007_`POSE|46_x0007_`</v>
      </c>
      <c r="O45" s="7" t="s">
        <v>1268</v>
      </c>
    </row>
    <row r="46" spans="1:26" ht="28.7" customHeight="1" x14ac:dyDescent="0.3">
      <c r="A46" s="10" t="s">
        <v>231</v>
      </c>
      <c r="B46" s="10" t="s">
        <v>232</v>
      </c>
      <c r="C46" s="75">
        <v>1</v>
      </c>
      <c r="D46" s="32" t="s">
        <v>38</v>
      </c>
      <c r="E46" s="54">
        <f>I46+G46+K46</f>
        <v>96952</v>
      </c>
      <c r="F46" s="76">
        <f>J46+H46+L46</f>
        <v>96952</v>
      </c>
      <c r="G46" s="78">
        <f>단가산출근거목록표!F38</f>
        <v>71204</v>
      </c>
      <c r="H46" s="80">
        <f>IF(C46=0,0,ROUNDDOWN(G46*C46,1))</f>
        <v>71204</v>
      </c>
      <c r="I46" s="78">
        <f>단가산출근거목록표!G38</f>
        <v>11562</v>
      </c>
      <c r="J46" s="80">
        <f>IF(C46=0,0,ROUNDDOWN(I46*C46,1))</f>
        <v>11562</v>
      </c>
      <c r="K46" s="78">
        <f>단가산출근거목록표!H38</f>
        <v>14186</v>
      </c>
      <c r="L46" s="80">
        <f>IF(C46=0,0,ROUNDDOWN(K46*C46,1))</f>
        <v>14186</v>
      </c>
      <c r="M46" s="23" t="s">
        <v>1271</v>
      </c>
      <c r="N46" s="17" t="s">
        <v>1269</v>
      </c>
      <c r="O46" s="7" t="s">
        <v>1270</v>
      </c>
      <c r="P46" s="7" t="s">
        <v>1209</v>
      </c>
      <c r="Z46" s="3" t="str">
        <f ca="1">HYPERLINK("#"&amp;단가산출근거목록표!J2&amp;"!A"&amp;ROW(단가산출근거목록표!A38),"산근35 →")</f>
        <v>산근35 →</v>
      </c>
    </row>
    <row r="47" spans="1:26" ht="28.7" customHeight="1" x14ac:dyDescent="0.3">
      <c r="A47" s="23" t="s">
        <v>6</v>
      </c>
      <c r="B47" s="74"/>
      <c r="C47" s="74"/>
      <c r="D47" s="74"/>
      <c r="E47" s="74"/>
      <c r="F47" s="47">
        <f>J47+H47+L47</f>
        <v>96952</v>
      </c>
      <c r="G47" s="74"/>
      <c r="H47" s="47">
        <f>ROUNDDOWN(SUMIF(P46:P46,O47,H46:H46),0)</f>
        <v>71204</v>
      </c>
      <c r="I47" s="74"/>
      <c r="J47" s="47">
        <f>ROUNDDOWN(SUMIF(P46:P46,O47,J46:J46),0)</f>
        <v>11562</v>
      </c>
      <c r="K47" s="74"/>
      <c r="L47" s="47">
        <f>ROUNDDOWN(SUMIF(P46:P46,O47,L46:L46),0)</f>
        <v>14186</v>
      </c>
      <c r="M47" s="74"/>
      <c r="O47" s="7" t="s">
        <v>1209</v>
      </c>
    </row>
    <row r="48" spans="1:26" ht="28.7" customHeight="1" x14ac:dyDescent="0.3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</row>
    <row r="49" spans="1:26" ht="28.7" customHeight="1" x14ac:dyDescent="0.3">
      <c r="A49" s="135" t="s">
        <v>47</v>
      </c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49"/>
      <c r="M49" s="23" t="s">
        <v>1272</v>
      </c>
      <c r="N49" s="84" t="str">
        <f>HYPERLINK("#N"&amp;ROW(N52),"_x0005_`BDCOD|B02633_x0007_`POSS|"&amp;ROW(N50)&amp;"_x0007_`POSE|"&amp;ROW(N52)&amp;"_x0007_`")</f>
        <v>_x0005_`BDCOD|B02633_x0007_`POSS|50_x0007_`POSE|52_x0007_`</v>
      </c>
      <c r="O49" s="7" t="s">
        <v>1273</v>
      </c>
    </row>
    <row r="50" spans="1:26" ht="28.7" customHeight="1" x14ac:dyDescent="0.3">
      <c r="A50" s="10" t="s">
        <v>1274</v>
      </c>
      <c r="B50" s="10" t="s">
        <v>1275</v>
      </c>
      <c r="C50" s="75">
        <v>0</v>
      </c>
      <c r="D50" s="32"/>
      <c r="E50" s="22">
        <v>0</v>
      </c>
      <c r="F50" s="11">
        <v>0</v>
      </c>
      <c r="G50" s="41"/>
      <c r="H50" s="11">
        <v>0</v>
      </c>
      <c r="I50" s="41"/>
      <c r="J50" s="22">
        <v>0</v>
      </c>
      <c r="K50" s="45"/>
      <c r="L50" s="22">
        <v>0</v>
      </c>
      <c r="M50" s="23" t="s">
        <v>1247</v>
      </c>
      <c r="N50" s="17" t="s">
        <v>1245</v>
      </c>
      <c r="O50" s="7" t="s">
        <v>1246</v>
      </c>
      <c r="P50" s="7" t="s">
        <v>1246</v>
      </c>
    </row>
    <row r="51" spans="1:26" ht="28.7" customHeight="1" x14ac:dyDescent="0.3">
      <c r="A51" s="10" t="s">
        <v>231</v>
      </c>
      <c r="B51" s="10" t="s">
        <v>232</v>
      </c>
      <c r="C51" s="75">
        <v>0.6</v>
      </c>
      <c r="D51" s="32" t="s">
        <v>38</v>
      </c>
      <c r="E51" s="54">
        <f>I51+G51+K51</f>
        <v>96952</v>
      </c>
      <c r="F51" s="76">
        <f>J51+H51+L51</f>
        <v>58171.199999999997</v>
      </c>
      <c r="G51" s="78">
        <f>단가산출근거목록표!F38</f>
        <v>71204</v>
      </c>
      <c r="H51" s="80">
        <f>IF(C51=0,0,ROUNDDOWN(G51*C51,1))</f>
        <v>42722.400000000001</v>
      </c>
      <c r="I51" s="78">
        <f>단가산출근거목록표!G38</f>
        <v>11562</v>
      </c>
      <c r="J51" s="80">
        <f>IF(C51=0,0,ROUNDDOWN(I51*C51,1))</f>
        <v>6937.2</v>
      </c>
      <c r="K51" s="78">
        <f>단가산출근거목록표!H38</f>
        <v>14186</v>
      </c>
      <c r="L51" s="80">
        <f>IF(C51=0,0,ROUNDDOWN(K51*C51,1))</f>
        <v>8511.6</v>
      </c>
      <c r="M51" s="23" t="s">
        <v>1271</v>
      </c>
      <c r="N51" s="17" t="s">
        <v>1269</v>
      </c>
      <c r="O51" s="7" t="s">
        <v>1270</v>
      </c>
      <c r="P51" s="7" t="s">
        <v>1253</v>
      </c>
      <c r="Z51" s="3" t="str">
        <f ca="1">HYPERLINK("#"&amp;단가산출근거목록표!J2&amp;"!A"&amp;ROW(단가산출근거목록표!A38),"산근35 →")</f>
        <v>산근35 →</v>
      </c>
    </row>
    <row r="52" spans="1:26" ht="28.7" customHeight="1" x14ac:dyDescent="0.3">
      <c r="A52" s="10" t="s">
        <v>1251</v>
      </c>
      <c r="B52" s="10"/>
      <c r="C52" s="75">
        <v>0</v>
      </c>
      <c r="D52" s="32"/>
      <c r="E52" s="22">
        <v>0</v>
      </c>
      <c r="F52" s="77">
        <f>J52+H52+L52</f>
        <v>58171.199999999997</v>
      </c>
      <c r="G52" s="41"/>
      <c r="H52" s="77">
        <f>SUMIF(P50:P51,O52,H50:H51)</f>
        <v>42722.400000000001</v>
      </c>
      <c r="I52" s="41"/>
      <c r="J52" s="76">
        <f>SUMIF(P50:P51,O52,J50:J51)</f>
        <v>6937.2</v>
      </c>
      <c r="K52" s="45"/>
      <c r="L52" s="76">
        <f>SUMIF(P50:P51,O52,L50:L51)</f>
        <v>8511.6</v>
      </c>
      <c r="M52" s="23"/>
      <c r="N52" s="17" t="s">
        <v>1252</v>
      </c>
      <c r="O52" s="7" t="s">
        <v>1253</v>
      </c>
      <c r="P52" s="7" t="s">
        <v>1209</v>
      </c>
    </row>
    <row r="53" spans="1:26" ht="28.7" customHeight="1" x14ac:dyDescent="0.3">
      <c r="A53" s="23" t="s">
        <v>6</v>
      </c>
      <c r="B53" s="74"/>
      <c r="C53" s="74"/>
      <c r="D53" s="74"/>
      <c r="E53" s="74"/>
      <c r="F53" s="47">
        <f>J53+H53+L53</f>
        <v>58170</v>
      </c>
      <c r="G53" s="74"/>
      <c r="H53" s="47">
        <f>ROUNDDOWN(SUMIF(P50:P52,O53,H50:H52),0)</f>
        <v>42722</v>
      </c>
      <c r="I53" s="74"/>
      <c r="J53" s="47">
        <f>ROUNDDOWN(SUMIF(P50:P52,O53,J50:J52),0)</f>
        <v>6937</v>
      </c>
      <c r="K53" s="74"/>
      <c r="L53" s="47">
        <f>ROUNDDOWN(SUMIF(P50:P52,O53,L50:L52),0)</f>
        <v>8511</v>
      </c>
      <c r="M53" s="74"/>
      <c r="O53" s="7" t="s">
        <v>1209</v>
      </c>
    </row>
    <row r="54" spans="1:26" ht="28.7" customHeight="1" x14ac:dyDescent="0.3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</row>
    <row r="55" spans="1:26" ht="28.7" customHeight="1" x14ac:dyDescent="0.3">
      <c r="A55" s="135" t="s">
        <v>51</v>
      </c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49"/>
      <c r="M55" s="23" t="s">
        <v>1276</v>
      </c>
      <c r="N55" s="84" t="str">
        <f>HYPERLINK("#N"&amp;ROW(N57),"_x0005_`BDCOD|B00207_x0007_`POSS|"&amp;ROW(N56)&amp;"_x0007_`POSE|"&amp;ROW(N57)&amp;"_x0007_`")</f>
        <v>_x0005_`BDCOD|B00207_x0007_`POSS|56_x0007_`POSE|57_x0007_`</v>
      </c>
      <c r="O55" s="7" t="s">
        <v>1277</v>
      </c>
    </row>
    <row r="56" spans="1:26" ht="28.7" customHeight="1" x14ac:dyDescent="0.3">
      <c r="A56" s="10" t="s">
        <v>593</v>
      </c>
      <c r="B56" s="10"/>
      <c r="C56" s="75">
        <v>0.14000000000000001</v>
      </c>
      <c r="D56" s="32" t="s">
        <v>587</v>
      </c>
      <c r="E56" s="54">
        <f>I56+G56+K56</f>
        <v>262580</v>
      </c>
      <c r="F56" s="76">
        <f>J56+H56+L56</f>
        <v>36761.199999999997</v>
      </c>
      <c r="G56" s="78">
        <f>노무비목록표!E7</f>
        <v>262580</v>
      </c>
      <c r="H56" s="81">
        <f>IF(C56=0,0,ROUNDDOWN(G56*C56,1))</f>
        <v>36761.199999999997</v>
      </c>
      <c r="I56" s="50">
        <v>0</v>
      </c>
      <c r="J56" s="77">
        <f>IF(C56=0,0,ROUNDDOWN(I56*C56,1))</f>
        <v>0</v>
      </c>
      <c r="K56" s="50">
        <v>0</v>
      </c>
      <c r="L56" s="76">
        <f>IF(C56=0,0,ROUNDDOWN(K56*C56,1))</f>
        <v>0</v>
      </c>
      <c r="M56" s="23" t="s">
        <v>1280</v>
      </c>
      <c r="N56" s="17" t="s">
        <v>1278</v>
      </c>
      <c r="O56" s="7" t="s">
        <v>1279</v>
      </c>
      <c r="P56" s="7" t="s">
        <v>1209</v>
      </c>
      <c r="Q56" s="7" t="s">
        <v>1214</v>
      </c>
      <c r="Z56" s="3" t="str">
        <f ca="1">HYPERLINK("#"&amp;노무비목록표!G2&amp;"!A"&amp;ROW(노무비목록표!A7),"노무4 →")</f>
        <v>노무4 →</v>
      </c>
    </row>
    <row r="57" spans="1:26" ht="28.7" customHeight="1" x14ac:dyDescent="0.3">
      <c r="A57" s="10" t="s">
        <v>1281</v>
      </c>
      <c r="B57" s="10" t="s">
        <v>617</v>
      </c>
      <c r="C57" s="75">
        <v>5</v>
      </c>
      <c r="D57" s="32" t="s">
        <v>539</v>
      </c>
      <c r="E57" s="54">
        <f>I57+G57+K57</f>
        <v>36761.199999999997</v>
      </c>
      <c r="F57" s="77">
        <f>J57+H57+L57</f>
        <v>1838</v>
      </c>
      <c r="G57" s="13">
        <v>0</v>
      </c>
      <c r="H57" s="77">
        <f>IF(C57=0,0,ROUNDDOWN(G57*C57/100,1))</f>
        <v>0</v>
      </c>
      <c r="I57" s="13">
        <v>0</v>
      </c>
      <c r="J57" s="76">
        <f>IF(C57=0,0,ROUNDDOWN(I57*C57/100,1))</f>
        <v>0</v>
      </c>
      <c r="K57" s="82">
        <f>H56</f>
        <v>36761.199999999997</v>
      </c>
      <c r="L57" s="76">
        <f>IF(C57=0,0,ROUNDDOWN(K57*C57/100,1))</f>
        <v>1838</v>
      </c>
      <c r="M57" s="23"/>
      <c r="N57" s="17" t="s">
        <v>1282</v>
      </c>
      <c r="O57" s="7" t="s">
        <v>1236</v>
      </c>
      <c r="P57" s="7" t="s">
        <v>1209</v>
      </c>
    </row>
    <row r="58" spans="1:26" ht="28.7" customHeight="1" x14ac:dyDescent="0.3">
      <c r="A58" s="23" t="s">
        <v>6</v>
      </c>
      <c r="B58" s="74"/>
      <c r="C58" s="74"/>
      <c r="D58" s="74"/>
      <c r="E58" s="74"/>
      <c r="F58" s="47">
        <f>J58+H58+L58</f>
        <v>38599</v>
      </c>
      <c r="G58" s="74"/>
      <c r="H58" s="47">
        <f>ROUNDDOWN(SUMIF(P56:P57,O58,H56:H57),0)</f>
        <v>36761</v>
      </c>
      <c r="I58" s="74"/>
      <c r="J58" s="47">
        <f>ROUNDDOWN(SUMIF(P56:P57,O58,J56:J57),0)</f>
        <v>0</v>
      </c>
      <c r="K58" s="74"/>
      <c r="L58" s="47">
        <f>ROUNDDOWN(SUMIF(P56:P57,O58,L56:L57),0)</f>
        <v>1838</v>
      </c>
      <c r="M58" s="74"/>
      <c r="O58" s="7" t="s">
        <v>1209</v>
      </c>
    </row>
    <row r="59" spans="1:26" ht="28.7" customHeight="1" x14ac:dyDescent="0.3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</row>
    <row r="60" spans="1:26" ht="28.7" customHeight="1" x14ac:dyDescent="0.3">
      <c r="A60" s="135" t="s">
        <v>55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49"/>
      <c r="M60" s="23" t="s">
        <v>1283</v>
      </c>
      <c r="N60" s="84" t="str">
        <f>HYPERLINK("#N"&amp;ROW(N64),"_x0005_`BDCOD|B00905_x0007_`POSS|"&amp;ROW(N61)&amp;"_x0007_`POSE|"&amp;ROW(N64)&amp;"_x0007_`")</f>
        <v>_x0005_`BDCOD|B00905_x0007_`POSS|61_x0007_`POSE|64_x0007_`</v>
      </c>
      <c r="O60" s="7" t="s">
        <v>1284</v>
      </c>
    </row>
    <row r="61" spans="1:26" ht="28.7" customHeight="1" x14ac:dyDescent="0.3">
      <c r="A61" s="10" t="s">
        <v>593</v>
      </c>
      <c r="B61" s="10"/>
      <c r="C61" s="75">
        <v>0.21</v>
      </c>
      <c r="D61" s="32" t="s">
        <v>587</v>
      </c>
      <c r="E61" s="54">
        <f t="shared" ref="E61:F64" si="1">I61+G61+K61</f>
        <v>262580</v>
      </c>
      <c r="F61" s="76">
        <f t="shared" si="1"/>
        <v>55141.8</v>
      </c>
      <c r="G61" s="78">
        <f>노무비목록표!E7</f>
        <v>262580</v>
      </c>
      <c r="H61" s="81">
        <f>IF(C61=0,0,ROUNDDOWN(G61*C61,1))</f>
        <v>55141.8</v>
      </c>
      <c r="I61" s="50">
        <v>0</v>
      </c>
      <c r="J61" s="77">
        <f>IF(C61=0,0,ROUNDDOWN(I61*C61,1))</f>
        <v>0</v>
      </c>
      <c r="K61" s="50">
        <v>0</v>
      </c>
      <c r="L61" s="76">
        <f>IF(C61=0,0,ROUNDDOWN(K61*C61,1))</f>
        <v>0</v>
      </c>
      <c r="M61" s="23" t="s">
        <v>1280</v>
      </c>
      <c r="N61" s="17" t="s">
        <v>1278</v>
      </c>
      <c r="O61" s="7" t="s">
        <v>1279</v>
      </c>
      <c r="P61" s="7" t="s">
        <v>1209</v>
      </c>
      <c r="Q61" s="7" t="s">
        <v>1214</v>
      </c>
      <c r="Z61" s="3" t="str">
        <f ca="1">HYPERLINK("#"&amp;노무비목록표!G2&amp;"!A"&amp;ROW(노무비목록표!A7),"노무4 →")</f>
        <v>노무4 →</v>
      </c>
    </row>
    <row r="62" spans="1:26" ht="28.7" customHeight="1" x14ac:dyDescent="0.3">
      <c r="A62" s="10" t="s">
        <v>595</v>
      </c>
      <c r="B62" s="10"/>
      <c r="C62" s="75">
        <v>0.11</v>
      </c>
      <c r="D62" s="32" t="s">
        <v>587</v>
      </c>
      <c r="E62" s="54">
        <f t="shared" si="1"/>
        <v>172068</v>
      </c>
      <c r="F62" s="76">
        <f t="shared" si="1"/>
        <v>18927.400000000001</v>
      </c>
      <c r="G62" s="78">
        <f>노무비목록표!E8</f>
        <v>172068</v>
      </c>
      <c r="H62" s="81">
        <f>IF(C62=0,0,ROUNDDOWN(G62*C62,1))</f>
        <v>18927.400000000001</v>
      </c>
      <c r="I62" s="50">
        <v>0</v>
      </c>
      <c r="J62" s="77">
        <f>IF(C62=0,0,ROUNDDOWN(I62*C62,1))</f>
        <v>0</v>
      </c>
      <c r="K62" s="50">
        <v>0</v>
      </c>
      <c r="L62" s="76">
        <f>IF(C62=0,0,ROUNDDOWN(K62*C62,1))</f>
        <v>0</v>
      </c>
      <c r="M62" s="23" t="s">
        <v>1220</v>
      </c>
      <c r="N62" s="17" t="s">
        <v>1218</v>
      </c>
      <c r="O62" s="7" t="s">
        <v>1219</v>
      </c>
      <c r="P62" s="7" t="s">
        <v>1209</v>
      </c>
      <c r="Q62" s="7" t="s">
        <v>1214</v>
      </c>
      <c r="Z62" s="3" t="str">
        <f ca="1">HYPERLINK("#"&amp;노무비목록표!G2&amp;"!A"&amp;ROW(노무비목록표!A8),"노무5 →")</f>
        <v>노무5 →</v>
      </c>
    </row>
    <row r="63" spans="1:26" ht="28.7" customHeight="1" x14ac:dyDescent="0.3">
      <c r="A63" s="10" t="s">
        <v>368</v>
      </c>
      <c r="B63" s="10" t="s">
        <v>371</v>
      </c>
      <c r="C63" s="75">
        <v>0.67</v>
      </c>
      <c r="D63" s="32" t="s">
        <v>261</v>
      </c>
      <c r="E63" s="54">
        <f t="shared" si="1"/>
        <v>71904</v>
      </c>
      <c r="F63" s="76">
        <f t="shared" si="1"/>
        <v>48175.5</v>
      </c>
      <c r="G63" s="78">
        <f>중기목록표!F35</f>
        <v>49778</v>
      </c>
      <c r="H63" s="80">
        <f>IF(C63=0,0,ROUNDDOWN(G63*C63,1))</f>
        <v>33351.199999999997</v>
      </c>
      <c r="I63" s="78">
        <f>중기목록표!G35</f>
        <v>11009</v>
      </c>
      <c r="J63" s="80">
        <f>IF(C63=0,0,ROUNDDOWN(I63*C63,1))</f>
        <v>7376</v>
      </c>
      <c r="K63" s="78">
        <f>중기목록표!H35</f>
        <v>11117</v>
      </c>
      <c r="L63" s="80">
        <f>IF(C63=0,0,ROUNDDOWN(K63*C63,1))</f>
        <v>7448.3</v>
      </c>
      <c r="M63" s="23" t="s">
        <v>1287</v>
      </c>
      <c r="N63" s="17" t="s">
        <v>1285</v>
      </c>
      <c r="O63" s="7" t="s">
        <v>1286</v>
      </c>
      <c r="P63" s="7" t="s">
        <v>1209</v>
      </c>
      <c r="Q63" s="7" t="s">
        <v>1214</v>
      </c>
      <c r="Z63" s="3" t="str">
        <f ca="1">HYPERLINK("#"&amp;중기목록표!J2&amp;"!A"&amp;ROW(중기목록표!A35),"중기32 →")</f>
        <v>중기32 →</v>
      </c>
    </row>
    <row r="64" spans="1:26" ht="28.7" customHeight="1" x14ac:dyDescent="0.3">
      <c r="A64" s="10" t="s">
        <v>1288</v>
      </c>
      <c r="B64" s="10" t="s">
        <v>617</v>
      </c>
      <c r="C64" s="75">
        <v>2</v>
      </c>
      <c r="D64" s="32" t="s">
        <v>539</v>
      </c>
      <c r="E64" s="54">
        <f t="shared" si="1"/>
        <v>107420.40000000001</v>
      </c>
      <c r="F64" s="77">
        <f t="shared" si="1"/>
        <v>2148.4</v>
      </c>
      <c r="G64" s="13">
        <v>0</v>
      </c>
      <c r="H64" s="77">
        <f>IF(C64=0,0,ROUNDDOWN(G64*C64/100,1))</f>
        <v>0</v>
      </c>
      <c r="I64" s="13">
        <v>0</v>
      </c>
      <c r="J64" s="76">
        <f>IF(C64=0,0,ROUNDDOWN(I64*C64/100,1))</f>
        <v>0</v>
      </c>
      <c r="K64" s="82">
        <f>H61+H62+H63</f>
        <v>107420.40000000001</v>
      </c>
      <c r="L64" s="76">
        <f>IF(C64=0,0,ROUNDDOWN(K64*C64/100,1))</f>
        <v>2148.4</v>
      </c>
      <c r="M64" s="23"/>
      <c r="N64" s="17" t="s">
        <v>1282</v>
      </c>
      <c r="O64" s="7" t="s">
        <v>1236</v>
      </c>
      <c r="P64" s="7" t="s">
        <v>1209</v>
      </c>
    </row>
    <row r="65" spans="1:26" ht="28.7" customHeight="1" x14ac:dyDescent="0.3">
      <c r="A65" s="23" t="s">
        <v>6</v>
      </c>
      <c r="B65" s="74"/>
      <c r="C65" s="74"/>
      <c r="D65" s="74"/>
      <c r="E65" s="74"/>
      <c r="F65" s="47">
        <f>J65+H65+L65</f>
        <v>124392</v>
      </c>
      <c r="G65" s="74"/>
      <c r="H65" s="47">
        <f>ROUNDDOWN(SUMIF(P61:P64,O65,H61:H64),0)</f>
        <v>107420</v>
      </c>
      <c r="I65" s="74"/>
      <c r="J65" s="47">
        <f>ROUNDDOWN(SUMIF(P61:P64,O65,J61:J64),0)</f>
        <v>7376</v>
      </c>
      <c r="K65" s="74"/>
      <c r="L65" s="47">
        <f>ROUNDDOWN(SUMIF(P61:P64,O65,L61:L64),0)</f>
        <v>9596</v>
      </c>
      <c r="M65" s="74"/>
      <c r="O65" s="7" t="s">
        <v>1209</v>
      </c>
    </row>
    <row r="66" spans="1:26" ht="28.7" customHeight="1" x14ac:dyDescent="0.3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</row>
    <row r="67" spans="1:26" ht="28.7" customHeight="1" x14ac:dyDescent="0.3">
      <c r="A67" s="135" t="s">
        <v>59</v>
      </c>
      <c r="B67" s="136"/>
      <c r="C67" s="136"/>
      <c r="D67" s="136"/>
      <c r="E67" s="136"/>
      <c r="F67" s="136"/>
      <c r="G67" s="136"/>
      <c r="H67" s="136"/>
      <c r="I67" s="136"/>
      <c r="J67" s="136"/>
      <c r="K67" s="136"/>
      <c r="L67" s="149"/>
      <c r="M67" s="23" t="s">
        <v>1289</v>
      </c>
      <c r="N67" s="84" t="str">
        <f>HYPERLINK("#N"&amp;ROW(N71),"_x0005_`BDCOD|B03108_x0007_`POSS|"&amp;ROW(N68)&amp;"_x0007_`POSE|"&amp;ROW(N71)&amp;"_x0007_`")</f>
        <v>_x0005_`BDCOD|B03108_x0007_`POSS|68_x0007_`POSE|71_x0007_`</v>
      </c>
      <c r="O67" s="7" t="s">
        <v>1290</v>
      </c>
    </row>
    <row r="68" spans="1:26" ht="28.7" customHeight="1" x14ac:dyDescent="0.3">
      <c r="A68" s="10" t="s">
        <v>593</v>
      </c>
      <c r="B68" s="10"/>
      <c r="C68" s="75">
        <v>0.21</v>
      </c>
      <c r="D68" s="32" t="s">
        <v>587</v>
      </c>
      <c r="E68" s="54">
        <f t="shared" ref="E68:F71" si="2">I68+G68+K68</f>
        <v>262580</v>
      </c>
      <c r="F68" s="76">
        <f t="shared" si="2"/>
        <v>55141.8</v>
      </c>
      <c r="G68" s="78">
        <f>노무비목록표!E7</f>
        <v>262580</v>
      </c>
      <c r="H68" s="81">
        <f>IF(C68=0,0,ROUNDDOWN(G68*C68,1))</f>
        <v>55141.8</v>
      </c>
      <c r="I68" s="50">
        <v>0</v>
      </c>
      <c r="J68" s="77">
        <f>IF(C68=0,0,ROUNDDOWN(I68*C68,1))</f>
        <v>0</v>
      </c>
      <c r="K68" s="50">
        <v>0</v>
      </c>
      <c r="L68" s="76">
        <f>IF(C68=0,0,ROUNDDOWN(K68*C68,1))</f>
        <v>0</v>
      </c>
      <c r="M68" s="23" t="s">
        <v>1280</v>
      </c>
      <c r="N68" s="17" t="s">
        <v>1278</v>
      </c>
      <c r="O68" s="7" t="s">
        <v>1279</v>
      </c>
      <c r="P68" s="7" t="s">
        <v>1209</v>
      </c>
      <c r="Q68" s="7" t="s">
        <v>1214</v>
      </c>
      <c r="Z68" s="3" t="str">
        <f ca="1">HYPERLINK("#"&amp;노무비목록표!G2&amp;"!A"&amp;ROW(노무비목록표!A7),"노무4 →")</f>
        <v>노무4 →</v>
      </c>
    </row>
    <row r="69" spans="1:26" ht="28.7" customHeight="1" x14ac:dyDescent="0.3">
      <c r="A69" s="10" t="s">
        <v>595</v>
      </c>
      <c r="B69" s="10"/>
      <c r="C69" s="75">
        <v>0.09</v>
      </c>
      <c r="D69" s="32" t="s">
        <v>587</v>
      </c>
      <c r="E69" s="54">
        <f t="shared" si="2"/>
        <v>172068</v>
      </c>
      <c r="F69" s="76">
        <f t="shared" si="2"/>
        <v>15486.1</v>
      </c>
      <c r="G69" s="78">
        <f>노무비목록표!E8</f>
        <v>172068</v>
      </c>
      <c r="H69" s="81">
        <f>IF(C69=0,0,ROUNDDOWN(G69*C69,1))</f>
        <v>15486.1</v>
      </c>
      <c r="I69" s="50">
        <v>0</v>
      </c>
      <c r="J69" s="77">
        <f>IF(C69=0,0,ROUNDDOWN(I69*C69,1))</f>
        <v>0</v>
      </c>
      <c r="K69" s="50">
        <v>0</v>
      </c>
      <c r="L69" s="76">
        <f>IF(C69=0,0,ROUNDDOWN(K69*C69,1))</f>
        <v>0</v>
      </c>
      <c r="M69" s="23" t="s">
        <v>1220</v>
      </c>
      <c r="N69" s="17" t="s">
        <v>1218</v>
      </c>
      <c r="O69" s="7" t="s">
        <v>1219</v>
      </c>
      <c r="P69" s="7" t="s">
        <v>1209</v>
      </c>
      <c r="Q69" s="7" t="s">
        <v>1214</v>
      </c>
      <c r="Z69" s="3" t="str">
        <f ca="1">HYPERLINK("#"&amp;노무비목록표!G2&amp;"!A"&amp;ROW(노무비목록표!A8),"노무5 →")</f>
        <v>노무5 →</v>
      </c>
    </row>
    <row r="70" spans="1:26" ht="28.7" customHeight="1" x14ac:dyDescent="0.3">
      <c r="A70" s="10" t="s">
        <v>1288</v>
      </c>
      <c r="B70" s="10" t="s">
        <v>617</v>
      </c>
      <c r="C70" s="75">
        <v>2</v>
      </c>
      <c r="D70" s="32" t="s">
        <v>539</v>
      </c>
      <c r="E70" s="54">
        <f t="shared" si="2"/>
        <v>70627.900000000009</v>
      </c>
      <c r="F70" s="77">
        <f t="shared" si="2"/>
        <v>1412.5</v>
      </c>
      <c r="G70" s="13">
        <v>0</v>
      </c>
      <c r="H70" s="77">
        <f>IF(C70=0,0,ROUNDDOWN(G70*C70/100,1))</f>
        <v>0</v>
      </c>
      <c r="I70" s="13">
        <v>0</v>
      </c>
      <c r="J70" s="76">
        <f>IF(C70=0,0,ROUNDDOWN(I70*C70/100,1))</f>
        <v>0</v>
      </c>
      <c r="K70" s="82">
        <f>H68+H69</f>
        <v>70627.900000000009</v>
      </c>
      <c r="L70" s="76">
        <f>IF(C70=0,0,ROUNDDOWN(K70*C70/100,1))</f>
        <v>1412.5</v>
      </c>
      <c r="M70" s="23"/>
      <c r="N70" s="17" t="s">
        <v>1282</v>
      </c>
      <c r="O70" s="7" t="s">
        <v>1236</v>
      </c>
      <c r="P70" s="7" t="s">
        <v>1209</v>
      </c>
    </row>
    <row r="71" spans="1:26" ht="28.7" customHeight="1" x14ac:dyDescent="0.3">
      <c r="A71" s="10" t="s">
        <v>368</v>
      </c>
      <c r="B71" s="10" t="s">
        <v>371</v>
      </c>
      <c r="C71" s="75">
        <v>0.16</v>
      </c>
      <c r="D71" s="32" t="s">
        <v>261</v>
      </c>
      <c r="E71" s="54">
        <f t="shared" si="2"/>
        <v>71904</v>
      </c>
      <c r="F71" s="76">
        <f t="shared" si="2"/>
        <v>11504.5</v>
      </c>
      <c r="G71" s="78">
        <f>중기목록표!F35</f>
        <v>49778</v>
      </c>
      <c r="H71" s="80">
        <f>IF(C71=0,0,ROUNDDOWN(G71*C71,1))</f>
        <v>7964.4</v>
      </c>
      <c r="I71" s="78">
        <f>중기목록표!G35</f>
        <v>11009</v>
      </c>
      <c r="J71" s="80">
        <f>IF(C71=0,0,ROUNDDOWN(I71*C71,1))</f>
        <v>1761.4</v>
      </c>
      <c r="K71" s="78">
        <f>중기목록표!H35</f>
        <v>11117</v>
      </c>
      <c r="L71" s="80">
        <f>IF(C71=0,0,ROUNDDOWN(K71*C71,1))</f>
        <v>1778.7</v>
      </c>
      <c r="M71" s="23" t="s">
        <v>1287</v>
      </c>
      <c r="N71" s="17" t="s">
        <v>1291</v>
      </c>
      <c r="O71" s="7" t="s">
        <v>1286</v>
      </c>
      <c r="P71" s="7" t="s">
        <v>1209</v>
      </c>
      <c r="Z71" s="3" t="str">
        <f ca="1">HYPERLINK("#"&amp;중기목록표!J2&amp;"!A"&amp;ROW(중기목록표!A35),"중기32 →")</f>
        <v>중기32 →</v>
      </c>
    </row>
    <row r="72" spans="1:26" ht="28.7" customHeight="1" x14ac:dyDescent="0.3">
      <c r="A72" s="23" t="s">
        <v>6</v>
      </c>
      <c r="B72" s="74"/>
      <c r="C72" s="74"/>
      <c r="D72" s="74"/>
      <c r="E72" s="74"/>
      <c r="F72" s="47">
        <f>J72+H72+L72</f>
        <v>83544</v>
      </c>
      <c r="G72" s="74"/>
      <c r="H72" s="47">
        <f>ROUNDDOWN(SUMIF(P68:P71,O72,H68:H71),0)</f>
        <v>78592</v>
      </c>
      <c r="I72" s="74"/>
      <c r="J72" s="47">
        <f>ROUNDDOWN(SUMIF(P68:P71,O72,J68:J71),0)</f>
        <v>1761</v>
      </c>
      <c r="K72" s="74"/>
      <c r="L72" s="47">
        <f>ROUNDDOWN(SUMIF(P68:P71,O72,L68:L71),0)</f>
        <v>3191</v>
      </c>
      <c r="M72" s="74"/>
      <c r="O72" s="7" t="s">
        <v>1209</v>
      </c>
    </row>
    <row r="73" spans="1:26" ht="28.7" customHeight="1" x14ac:dyDescent="0.3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</row>
    <row r="74" spans="1:26" ht="28.7" customHeight="1" x14ac:dyDescent="0.3">
      <c r="A74" s="135" t="s">
        <v>63</v>
      </c>
      <c r="B74" s="136"/>
      <c r="C74" s="136"/>
      <c r="D74" s="136"/>
      <c r="E74" s="136"/>
      <c r="F74" s="136"/>
      <c r="G74" s="136"/>
      <c r="H74" s="136"/>
      <c r="I74" s="136"/>
      <c r="J74" s="136"/>
      <c r="K74" s="136"/>
      <c r="L74" s="149"/>
      <c r="M74" s="23" t="s">
        <v>1292</v>
      </c>
      <c r="N74" s="84" t="str">
        <f>HYPERLINK("#N"&amp;ROW(N78),"_x0005_`BDCOD|B03086_x0007_`POSS|"&amp;ROW(N75)&amp;"_x0007_`POSE|"&amp;ROW(N78)&amp;"_x0007_`")</f>
        <v>_x0005_`BDCOD|B03086_x0007_`POSS|75_x0007_`POSE|78_x0007_`</v>
      </c>
      <c r="O74" s="7" t="s">
        <v>1293</v>
      </c>
    </row>
    <row r="75" spans="1:26" ht="28.7" customHeight="1" x14ac:dyDescent="0.3">
      <c r="A75" s="10" t="s">
        <v>593</v>
      </c>
      <c r="B75" s="10"/>
      <c r="C75" s="75">
        <v>0.5</v>
      </c>
      <c r="D75" s="32" t="s">
        <v>587</v>
      </c>
      <c r="E75" s="54">
        <f t="shared" ref="E75:F78" si="3">I75+G75+K75</f>
        <v>262580</v>
      </c>
      <c r="F75" s="76">
        <f t="shared" si="3"/>
        <v>131290</v>
      </c>
      <c r="G75" s="78">
        <f>노무비목록표!E7</f>
        <v>262580</v>
      </c>
      <c r="H75" s="81">
        <f>IF(C75=0,0,ROUNDDOWN(G75*C75,1))</f>
        <v>131290</v>
      </c>
      <c r="I75" s="50">
        <v>0</v>
      </c>
      <c r="J75" s="77">
        <f>IF(C75=0,0,ROUNDDOWN(I75*C75,1))</f>
        <v>0</v>
      </c>
      <c r="K75" s="50">
        <v>0</v>
      </c>
      <c r="L75" s="76">
        <f>IF(C75=0,0,ROUNDDOWN(K75*C75,1))</f>
        <v>0</v>
      </c>
      <c r="M75" s="23" t="s">
        <v>1280</v>
      </c>
      <c r="N75" s="17" t="s">
        <v>1278</v>
      </c>
      <c r="O75" s="7" t="s">
        <v>1279</v>
      </c>
      <c r="P75" s="7" t="s">
        <v>1209</v>
      </c>
      <c r="Q75" s="7" t="s">
        <v>1214</v>
      </c>
      <c r="Z75" s="3" t="str">
        <f ca="1">HYPERLINK("#"&amp;노무비목록표!G2&amp;"!A"&amp;ROW(노무비목록표!A7),"노무4 →")</f>
        <v>노무4 →</v>
      </c>
    </row>
    <row r="76" spans="1:26" ht="28.7" customHeight="1" x14ac:dyDescent="0.3">
      <c r="A76" s="10" t="s">
        <v>595</v>
      </c>
      <c r="B76" s="10"/>
      <c r="C76" s="75">
        <v>0.25</v>
      </c>
      <c r="D76" s="32" t="s">
        <v>587</v>
      </c>
      <c r="E76" s="54">
        <f t="shared" si="3"/>
        <v>172068</v>
      </c>
      <c r="F76" s="76">
        <f t="shared" si="3"/>
        <v>43017</v>
      </c>
      <c r="G76" s="78">
        <f>노무비목록표!E8</f>
        <v>172068</v>
      </c>
      <c r="H76" s="81">
        <f>IF(C76=0,0,ROUNDDOWN(G76*C76,1))</f>
        <v>43017</v>
      </c>
      <c r="I76" s="50">
        <v>0</v>
      </c>
      <c r="J76" s="77">
        <f>IF(C76=0,0,ROUNDDOWN(I76*C76,1))</f>
        <v>0</v>
      </c>
      <c r="K76" s="50">
        <v>0</v>
      </c>
      <c r="L76" s="76">
        <f>IF(C76=0,0,ROUNDDOWN(K76*C76,1))</f>
        <v>0</v>
      </c>
      <c r="M76" s="23" t="s">
        <v>1220</v>
      </c>
      <c r="N76" s="17" t="s">
        <v>1218</v>
      </c>
      <c r="O76" s="7" t="s">
        <v>1219</v>
      </c>
      <c r="P76" s="7" t="s">
        <v>1209</v>
      </c>
      <c r="Q76" s="7" t="s">
        <v>1214</v>
      </c>
      <c r="Z76" s="3" t="str">
        <f ca="1">HYPERLINK("#"&amp;노무비목록표!G2&amp;"!A"&amp;ROW(노무비목록표!A8),"노무5 →")</f>
        <v>노무5 →</v>
      </c>
    </row>
    <row r="77" spans="1:26" ht="28.7" customHeight="1" x14ac:dyDescent="0.3">
      <c r="A77" s="10" t="s">
        <v>1294</v>
      </c>
      <c r="B77" s="10" t="s">
        <v>617</v>
      </c>
      <c r="C77" s="75">
        <v>7</v>
      </c>
      <c r="D77" s="32" t="s">
        <v>539</v>
      </c>
      <c r="E77" s="54">
        <f t="shared" si="3"/>
        <v>174307</v>
      </c>
      <c r="F77" s="77">
        <f t="shared" si="3"/>
        <v>12201.4</v>
      </c>
      <c r="G77" s="13">
        <v>0</v>
      </c>
      <c r="H77" s="77">
        <f>IF(C77=0,0,ROUNDDOWN(G77*C77/100,1))</f>
        <v>0</v>
      </c>
      <c r="I77" s="13">
        <v>0</v>
      </c>
      <c r="J77" s="76">
        <f>IF(C77=0,0,ROUNDDOWN(I77*C77/100,1))</f>
        <v>0</v>
      </c>
      <c r="K77" s="82">
        <f>H75+H76</f>
        <v>174307</v>
      </c>
      <c r="L77" s="76">
        <f>IF(C77=0,0,ROUNDDOWN(K77*C77/100,1))</f>
        <v>12201.4</v>
      </c>
      <c r="M77" s="23"/>
      <c r="N77" s="17" t="s">
        <v>1295</v>
      </c>
      <c r="O77" s="7" t="s">
        <v>1236</v>
      </c>
      <c r="P77" s="7" t="s">
        <v>1209</v>
      </c>
      <c r="Q77" s="7" t="s">
        <v>1214</v>
      </c>
    </row>
    <row r="78" spans="1:26" ht="28.7" customHeight="1" x14ac:dyDescent="0.3">
      <c r="A78" s="10" t="s">
        <v>368</v>
      </c>
      <c r="B78" s="10" t="s">
        <v>371</v>
      </c>
      <c r="C78" s="75">
        <v>1.51</v>
      </c>
      <c r="D78" s="32" t="s">
        <v>261</v>
      </c>
      <c r="E78" s="54">
        <f t="shared" si="3"/>
        <v>71904</v>
      </c>
      <c r="F78" s="76">
        <f t="shared" si="3"/>
        <v>108574.79999999999</v>
      </c>
      <c r="G78" s="78">
        <f>중기목록표!F35</f>
        <v>49778</v>
      </c>
      <c r="H78" s="80">
        <f>IF(C78=0,0,ROUNDDOWN(G78*C78,1))</f>
        <v>75164.7</v>
      </c>
      <c r="I78" s="78">
        <f>중기목록표!G35</f>
        <v>11009</v>
      </c>
      <c r="J78" s="80">
        <f>IF(C78=0,0,ROUNDDOWN(I78*C78,1))</f>
        <v>16623.5</v>
      </c>
      <c r="K78" s="78">
        <f>중기목록표!H35</f>
        <v>11117</v>
      </c>
      <c r="L78" s="80">
        <f>IF(C78=0,0,ROUNDDOWN(K78*C78,1))</f>
        <v>16786.599999999999</v>
      </c>
      <c r="M78" s="23" t="s">
        <v>1287</v>
      </c>
      <c r="N78" s="17" t="s">
        <v>1285</v>
      </c>
      <c r="O78" s="7" t="s">
        <v>1286</v>
      </c>
      <c r="P78" s="7" t="s">
        <v>1209</v>
      </c>
      <c r="Q78" s="7" t="s">
        <v>1214</v>
      </c>
      <c r="Z78" s="3" t="str">
        <f ca="1">HYPERLINK("#"&amp;중기목록표!J2&amp;"!A"&amp;ROW(중기목록표!A35),"중기32 →")</f>
        <v>중기32 →</v>
      </c>
    </row>
    <row r="79" spans="1:26" ht="28.7" customHeight="1" x14ac:dyDescent="0.3">
      <c r="A79" s="23" t="s">
        <v>6</v>
      </c>
      <c r="B79" s="74"/>
      <c r="C79" s="74"/>
      <c r="D79" s="74"/>
      <c r="E79" s="74"/>
      <c r="F79" s="47">
        <f>J79+H79+L79</f>
        <v>295082</v>
      </c>
      <c r="G79" s="74"/>
      <c r="H79" s="47">
        <f>ROUNDDOWN(SUMIF(P75:P78,O79,H75:H78),0)</f>
        <v>249471</v>
      </c>
      <c r="I79" s="74"/>
      <c r="J79" s="47">
        <f>ROUNDDOWN(SUMIF(P75:P78,O79,J75:J78),0)</f>
        <v>16623</v>
      </c>
      <c r="K79" s="74"/>
      <c r="L79" s="47">
        <f>ROUNDDOWN(SUMIF(P75:P78,O79,L75:L78),0)</f>
        <v>28988</v>
      </c>
      <c r="M79" s="74"/>
      <c r="O79" s="7" t="s">
        <v>1209</v>
      </c>
    </row>
    <row r="80" spans="1:26" ht="28.7" customHeight="1" x14ac:dyDescent="0.3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</row>
    <row r="81" spans="1:26" ht="28.7" customHeight="1" x14ac:dyDescent="0.3">
      <c r="A81" s="135" t="s">
        <v>67</v>
      </c>
      <c r="B81" s="136"/>
      <c r="C81" s="136"/>
      <c r="D81" s="136"/>
      <c r="E81" s="136"/>
      <c r="F81" s="136"/>
      <c r="G81" s="136"/>
      <c r="H81" s="136"/>
      <c r="I81" s="136"/>
      <c r="J81" s="136"/>
      <c r="K81" s="136"/>
      <c r="L81" s="149"/>
      <c r="M81" s="23" t="s">
        <v>1296</v>
      </c>
      <c r="N81" s="84" t="str">
        <f>HYPERLINK("#N"&amp;ROW(N85),"_x0005_`BDCOD|B00790_x0007_`POSS|"&amp;ROW(N82)&amp;"_x0007_`POSE|"&amp;ROW(N85)&amp;"_x0007_`")</f>
        <v>_x0005_`BDCOD|B00790_x0007_`POSS|82_x0007_`POSE|85_x0007_`</v>
      </c>
      <c r="O81" s="7" t="s">
        <v>1297</v>
      </c>
    </row>
    <row r="82" spans="1:26" ht="28.7" customHeight="1" x14ac:dyDescent="0.3">
      <c r="A82" s="10" t="s">
        <v>567</v>
      </c>
      <c r="B82" s="10" t="s">
        <v>390</v>
      </c>
      <c r="C82" s="75">
        <v>1</v>
      </c>
      <c r="D82" s="32" t="s">
        <v>156</v>
      </c>
      <c r="E82" s="54">
        <f t="shared" ref="E82:F85" si="4">I82+G82+K82</f>
        <v>25010</v>
      </c>
      <c r="F82" s="77">
        <f t="shared" si="4"/>
        <v>25010</v>
      </c>
      <c r="G82" s="50">
        <v>0</v>
      </c>
      <c r="H82" s="76">
        <f>IF(C82=0,0,ROUNDDOWN(G82*C82,1))</f>
        <v>0</v>
      </c>
      <c r="I82" s="78">
        <f>재료비목록표!E52</f>
        <v>25010</v>
      </c>
      <c r="J82" s="81">
        <f>IF(C82=0,0,ROUNDDOWN(I82*C82,1))</f>
        <v>25010</v>
      </c>
      <c r="K82" s="50">
        <v>0</v>
      </c>
      <c r="L82" s="76">
        <f>IF(C82=0,0,ROUNDDOWN(K82*C82,1))</f>
        <v>0</v>
      </c>
      <c r="M82" s="23" t="s">
        <v>1300</v>
      </c>
      <c r="N82" s="17" t="s">
        <v>1298</v>
      </c>
      <c r="O82" s="7" t="s">
        <v>1299</v>
      </c>
      <c r="P82" s="7" t="s">
        <v>1209</v>
      </c>
      <c r="Q82" s="7" t="s">
        <v>1214</v>
      </c>
      <c r="Z82" s="3" t="str">
        <f ca="1">HYPERLINK("#"&amp;재료비목록표!G2&amp;"!A"&amp;ROW(재료비목록표!A52),"자재49 →")</f>
        <v>자재49 →</v>
      </c>
    </row>
    <row r="83" spans="1:26" ht="28.7" customHeight="1" x14ac:dyDescent="0.3">
      <c r="A83" s="10" t="s">
        <v>593</v>
      </c>
      <c r="B83" s="10"/>
      <c r="C83" s="75">
        <v>0.14000000000000001</v>
      </c>
      <c r="D83" s="32" t="s">
        <v>587</v>
      </c>
      <c r="E83" s="54">
        <f t="shared" si="4"/>
        <v>262580</v>
      </c>
      <c r="F83" s="76">
        <f t="shared" si="4"/>
        <v>36761.199999999997</v>
      </c>
      <c r="G83" s="78">
        <f>노무비목록표!E7</f>
        <v>262580</v>
      </c>
      <c r="H83" s="81">
        <f>IF(C83=0,0,ROUNDDOWN(G83*C83,1))</f>
        <v>36761.199999999997</v>
      </c>
      <c r="I83" s="50">
        <v>0</v>
      </c>
      <c r="J83" s="77">
        <f>IF(C83=0,0,ROUNDDOWN(I83*C83,1))</f>
        <v>0</v>
      </c>
      <c r="K83" s="50">
        <v>0</v>
      </c>
      <c r="L83" s="76">
        <f>IF(C83=0,0,ROUNDDOWN(K83*C83,1))</f>
        <v>0</v>
      </c>
      <c r="M83" s="23" t="s">
        <v>1280</v>
      </c>
      <c r="N83" s="17" t="s">
        <v>1278</v>
      </c>
      <c r="O83" s="7" t="s">
        <v>1279</v>
      </c>
      <c r="P83" s="7" t="s">
        <v>1209</v>
      </c>
      <c r="Q83" s="7" t="s">
        <v>1214</v>
      </c>
      <c r="Z83" s="3" t="str">
        <f ca="1">HYPERLINK("#"&amp;노무비목록표!G2&amp;"!A"&amp;ROW(노무비목록표!A7),"노무4 →")</f>
        <v>노무4 →</v>
      </c>
    </row>
    <row r="84" spans="1:26" ht="28.7" customHeight="1" x14ac:dyDescent="0.3">
      <c r="A84" s="10" t="s">
        <v>595</v>
      </c>
      <c r="B84" s="10"/>
      <c r="C84" s="75">
        <v>7.0000000000000007E-2</v>
      </c>
      <c r="D84" s="32" t="s">
        <v>587</v>
      </c>
      <c r="E84" s="54">
        <f t="shared" si="4"/>
        <v>172068</v>
      </c>
      <c r="F84" s="76">
        <f t="shared" si="4"/>
        <v>12044.7</v>
      </c>
      <c r="G84" s="78">
        <f>노무비목록표!E8</f>
        <v>172068</v>
      </c>
      <c r="H84" s="81">
        <f>IF(C84=0,0,ROUNDDOWN(G84*C84,1))</f>
        <v>12044.7</v>
      </c>
      <c r="I84" s="50">
        <v>0</v>
      </c>
      <c r="J84" s="77">
        <f>IF(C84=0,0,ROUNDDOWN(I84*C84,1))</f>
        <v>0</v>
      </c>
      <c r="K84" s="50">
        <v>0</v>
      </c>
      <c r="L84" s="76">
        <f>IF(C84=0,0,ROUNDDOWN(K84*C84,1))</f>
        <v>0</v>
      </c>
      <c r="M84" s="23" t="s">
        <v>1220</v>
      </c>
      <c r="N84" s="17" t="s">
        <v>1218</v>
      </c>
      <c r="O84" s="7" t="s">
        <v>1219</v>
      </c>
      <c r="P84" s="7" t="s">
        <v>1209</v>
      </c>
      <c r="Q84" s="7" t="s">
        <v>1214</v>
      </c>
      <c r="Z84" s="3" t="str">
        <f ca="1">HYPERLINK("#"&amp;노무비목록표!G2&amp;"!A"&amp;ROW(노무비목록표!A8),"노무5 →")</f>
        <v>노무5 →</v>
      </c>
    </row>
    <row r="85" spans="1:26" ht="28.7" customHeight="1" x14ac:dyDescent="0.3">
      <c r="A85" s="10" t="s">
        <v>1281</v>
      </c>
      <c r="B85" s="10" t="s">
        <v>617</v>
      </c>
      <c r="C85" s="75">
        <v>2</v>
      </c>
      <c r="D85" s="32" t="s">
        <v>539</v>
      </c>
      <c r="E85" s="54">
        <f t="shared" si="4"/>
        <v>48805.899999999994</v>
      </c>
      <c r="F85" s="77">
        <f t="shared" si="4"/>
        <v>976.1</v>
      </c>
      <c r="G85" s="13">
        <v>0</v>
      </c>
      <c r="H85" s="77">
        <f>IF(C85=0,0,ROUNDDOWN(G85*C85/100,1))</f>
        <v>0</v>
      </c>
      <c r="I85" s="13">
        <v>0</v>
      </c>
      <c r="J85" s="76">
        <f>IF(C85=0,0,ROUNDDOWN(I85*C85/100,1))</f>
        <v>0</v>
      </c>
      <c r="K85" s="82">
        <f>H82+H83+H84</f>
        <v>48805.899999999994</v>
      </c>
      <c r="L85" s="76">
        <f>IF(C85=0,0,ROUNDDOWN(K85*C85/100,1))</f>
        <v>976.1</v>
      </c>
      <c r="M85" s="23"/>
      <c r="N85" s="17" t="s">
        <v>1295</v>
      </c>
      <c r="O85" s="7" t="s">
        <v>1236</v>
      </c>
      <c r="P85" s="7" t="s">
        <v>1209</v>
      </c>
      <c r="Q85" s="7" t="s">
        <v>1214</v>
      </c>
    </row>
    <row r="86" spans="1:26" ht="28.7" customHeight="1" x14ac:dyDescent="0.3">
      <c r="A86" s="23" t="s">
        <v>6</v>
      </c>
      <c r="B86" s="74"/>
      <c r="C86" s="74"/>
      <c r="D86" s="74"/>
      <c r="E86" s="74"/>
      <c r="F86" s="47">
        <f>J86+H86+L86</f>
        <v>74791</v>
      </c>
      <c r="G86" s="74"/>
      <c r="H86" s="47">
        <f>ROUNDDOWN(SUMIF(P82:P85,O86,H82:H85),0)</f>
        <v>48805</v>
      </c>
      <c r="I86" s="74"/>
      <c r="J86" s="47">
        <f>ROUNDDOWN(SUMIF(P82:P85,O86,J82:J85),0)</f>
        <v>25010</v>
      </c>
      <c r="K86" s="74"/>
      <c r="L86" s="47">
        <f>ROUNDDOWN(SUMIF(P82:P85,O86,L82:L85),0)</f>
        <v>976</v>
      </c>
      <c r="M86" s="74"/>
      <c r="O86" s="7" t="s">
        <v>1209</v>
      </c>
    </row>
    <row r="87" spans="1:26" ht="28.7" customHeight="1" x14ac:dyDescent="0.3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</row>
    <row r="88" spans="1:26" ht="28.7" customHeight="1" x14ac:dyDescent="0.3">
      <c r="A88" s="135" t="s">
        <v>70</v>
      </c>
      <c r="B88" s="136"/>
      <c r="C88" s="136"/>
      <c r="D88" s="136"/>
      <c r="E88" s="136"/>
      <c r="F88" s="136"/>
      <c r="G88" s="136"/>
      <c r="H88" s="136"/>
      <c r="I88" s="136"/>
      <c r="J88" s="136"/>
      <c r="K88" s="136"/>
      <c r="L88" s="149"/>
      <c r="M88" s="23" t="s">
        <v>1301</v>
      </c>
      <c r="N88" s="84" t="str">
        <f>HYPERLINK("#N"&amp;ROW(N90),"_x0005_`BDCOD|B05653_x0007_`POSS|"&amp;ROW(N89)&amp;"_x0007_`POSE|"&amp;ROW(N90)&amp;"_x0007_`")</f>
        <v>_x0005_`BDCOD|B05653_x0007_`POSS|89_x0007_`POSE|90_x0007_`</v>
      </c>
      <c r="O88" s="7" t="s">
        <v>1302</v>
      </c>
    </row>
    <row r="89" spans="1:26" ht="28.7" customHeight="1" x14ac:dyDescent="0.3">
      <c r="A89" s="10" t="s">
        <v>72</v>
      </c>
      <c r="B89" s="10" t="s">
        <v>235</v>
      </c>
      <c r="C89" s="75">
        <v>1</v>
      </c>
      <c r="D89" s="32" t="s">
        <v>33</v>
      </c>
      <c r="E89" s="54">
        <f>I89+G89+K89</f>
        <v>48891</v>
      </c>
      <c r="F89" s="76">
        <f>J89+H89+L89</f>
        <v>48891</v>
      </c>
      <c r="G89" s="78">
        <f>단가산출근거목록표!F39</f>
        <v>38000</v>
      </c>
      <c r="H89" s="80">
        <f>IF(C89=0,0,ROUNDDOWN(G89*C89,1))</f>
        <v>38000</v>
      </c>
      <c r="I89" s="78">
        <f>단가산출근거목록표!G39</f>
        <v>2533</v>
      </c>
      <c r="J89" s="80">
        <f>IF(C89=0,0,ROUNDDOWN(I89*C89,1))</f>
        <v>2533</v>
      </c>
      <c r="K89" s="78">
        <f>단가산출근거목록표!H39</f>
        <v>8358</v>
      </c>
      <c r="L89" s="80">
        <f>IF(C89=0,0,ROUNDDOWN(K89*C89,1))</f>
        <v>8358</v>
      </c>
      <c r="M89" s="23" t="s">
        <v>1305</v>
      </c>
      <c r="N89" s="17" t="s">
        <v>1303</v>
      </c>
      <c r="O89" s="7" t="s">
        <v>1304</v>
      </c>
      <c r="P89" s="7" t="s">
        <v>1253</v>
      </c>
      <c r="Z89" s="3" t="str">
        <f ca="1">HYPERLINK("#"&amp;단가산출근거목록표!J2&amp;"!A"&amp;ROW(단가산출근거목록표!A39),"산근36 →")</f>
        <v>산근36 →</v>
      </c>
    </row>
    <row r="90" spans="1:26" ht="28.7" customHeight="1" x14ac:dyDescent="0.3">
      <c r="A90" s="10" t="s">
        <v>1251</v>
      </c>
      <c r="B90" s="10"/>
      <c r="C90" s="75">
        <v>0</v>
      </c>
      <c r="D90" s="32"/>
      <c r="E90" s="22">
        <v>0</v>
      </c>
      <c r="F90" s="77">
        <f>J90+H90+L90</f>
        <v>48891</v>
      </c>
      <c r="G90" s="41"/>
      <c r="H90" s="77">
        <f>SUMIF(P89:P89,O90,H89:H89)</f>
        <v>38000</v>
      </c>
      <c r="I90" s="41"/>
      <c r="J90" s="76">
        <f>SUMIF(P89:P89,O90,J89:J89)</f>
        <v>2533</v>
      </c>
      <c r="K90" s="45"/>
      <c r="L90" s="76">
        <f>SUMIF(P89:P89,O90,L89:L89)</f>
        <v>8358</v>
      </c>
      <c r="M90" s="23"/>
      <c r="N90" s="17" t="s">
        <v>1252</v>
      </c>
      <c r="O90" s="7" t="s">
        <v>1253</v>
      </c>
      <c r="P90" s="7" t="s">
        <v>1209</v>
      </c>
    </row>
    <row r="91" spans="1:26" ht="28.7" customHeight="1" x14ac:dyDescent="0.3">
      <c r="A91" s="23" t="s">
        <v>6</v>
      </c>
      <c r="B91" s="74"/>
      <c r="C91" s="74"/>
      <c r="D91" s="74"/>
      <c r="E91" s="74"/>
      <c r="F91" s="47">
        <f>J91+H91+L91</f>
        <v>48891</v>
      </c>
      <c r="G91" s="74"/>
      <c r="H91" s="47">
        <f>ROUNDDOWN(SUMIF(P89:P90,O91,H89:H90),0)</f>
        <v>38000</v>
      </c>
      <c r="I91" s="74"/>
      <c r="J91" s="47">
        <f>ROUNDDOWN(SUMIF(P89:P90,O91,J89:J90),0)</f>
        <v>2533</v>
      </c>
      <c r="K91" s="74"/>
      <c r="L91" s="47">
        <f>ROUNDDOWN(SUMIF(P89:P90,O91,L89:L90),0)</f>
        <v>8358</v>
      </c>
      <c r="M91" s="74"/>
      <c r="O91" s="7" t="s">
        <v>1209</v>
      </c>
    </row>
    <row r="92" spans="1:26" ht="28.7" customHeight="1" x14ac:dyDescent="0.3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</row>
    <row r="93" spans="1:26" ht="28.7" customHeight="1" x14ac:dyDescent="0.3">
      <c r="A93" s="135" t="s">
        <v>74</v>
      </c>
      <c r="B93" s="136"/>
      <c r="C93" s="136"/>
      <c r="D93" s="136"/>
      <c r="E93" s="136"/>
      <c r="F93" s="136"/>
      <c r="G93" s="136"/>
      <c r="H93" s="136"/>
      <c r="I93" s="136"/>
      <c r="J93" s="136"/>
      <c r="K93" s="136"/>
      <c r="L93" s="149"/>
      <c r="M93" s="23" t="s">
        <v>1306</v>
      </c>
      <c r="N93" s="84" t="str">
        <f>HYPERLINK("#N"&amp;ROW(N99),"_x0005_`BDCOD|B03724_x0007_`POSS|"&amp;ROW(N94)&amp;"_x0007_`POSE|"&amp;ROW(N99)&amp;"_x0007_`")</f>
        <v>_x0005_`BDCOD|B03724_x0007_`POSS|94_x0007_`POSE|99_x0007_`</v>
      </c>
      <c r="O93" s="7" t="s">
        <v>1307</v>
      </c>
    </row>
    <row r="94" spans="1:26" ht="28.7" customHeight="1" x14ac:dyDescent="0.3">
      <c r="A94" s="10" t="s">
        <v>609</v>
      </c>
      <c r="B94" s="10"/>
      <c r="C94" s="75">
        <v>1.15E-2</v>
      </c>
      <c r="D94" s="32" t="s">
        <v>587</v>
      </c>
      <c r="E94" s="54">
        <f t="shared" ref="E94:F99" si="5">I94+G94+K94</f>
        <v>273308</v>
      </c>
      <c r="F94" s="76">
        <f t="shared" si="5"/>
        <v>3143</v>
      </c>
      <c r="G94" s="78">
        <f>노무비목록표!E15</f>
        <v>273308</v>
      </c>
      <c r="H94" s="81">
        <f>IF(C94=0,0,ROUNDDOWN(G94*C94,1))</f>
        <v>3143</v>
      </c>
      <c r="I94" s="50">
        <v>0</v>
      </c>
      <c r="J94" s="77">
        <f>IF(C94=0,0,ROUNDDOWN(I94*C94,1))</f>
        <v>0</v>
      </c>
      <c r="K94" s="50">
        <v>0</v>
      </c>
      <c r="L94" s="76">
        <f>IF(C94=0,0,ROUNDDOWN(K94*C94,1))</f>
        <v>0</v>
      </c>
      <c r="M94" s="23" t="s">
        <v>1310</v>
      </c>
      <c r="N94" s="17" t="s">
        <v>1308</v>
      </c>
      <c r="O94" s="7" t="s">
        <v>1309</v>
      </c>
      <c r="P94" s="7" t="s">
        <v>1209</v>
      </c>
      <c r="Q94" s="7" t="s">
        <v>1214</v>
      </c>
      <c r="Z94" s="3" t="str">
        <f ca="1">HYPERLINK("#"&amp;노무비목록표!G2&amp;"!A"&amp;ROW(노무비목록표!A15),"노무12 →")</f>
        <v>노무12 →</v>
      </c>
    </row>
    <row r="95" spans="1:26" ht="28.7" customHeight="1" x14ac:dyDescent="0.3">
      <c r="A95" s="10" t="s">
        <v>605</v>
      </c>
      <c r="B95" s="10"/>
      <c r="C95" s="75">
        <v>1.15E-2</v>
      </c>
      <c r="D95" s="32" t="s">
        <v>587</v>
      </c>
      <c r="E95" s="54">
        <f t="shared" si="5"/>
        <v>226122</v>
      </c>
      <c r="F95" s="76">
        <f t="shared" si="5"/>
        <v>2600.4</v>
      </c>
      <c r="G95" s="78">
        <f>노무비목록표!E13</f>
        <v>226122</v>
      </c>
      <c r="H95" s="81">
        <f>IF(C95=0,0,ROUNDDOWN(G95*C95,1))</f>
        <v>2600.4</v>
      </c>
      <c r="I95" s="50">
        <v>0</v>
      </c>
      <c r="J95" s="77">
        <f>IF(C95=0,0,ROUNDDOWN(I95*C95,1))</f>
        <v>0</v>
      </c>
      <c r="K95" s="50">
        <v>0</v>
      </c>
      <c r="L95" s="76">
        <f>IF(C95=0,0,ROUNDDOWN(K95*C95,1))</f>
        <v>0</v>
      </c>
      <c r="M95" s="23" t="s">
        <v>1217</v>
      </c>
      <c r="N95" s="17" t="s">
        <v>1213</v>
      </c>
      <c r="O95" s="7" t="s">
        <v>1215</v>
      </c>
      <c r="P95" s="7" t="s">
        <v>1209</v>
      </c>
      <c r="Q95" s="7" t="s">
        <v>1214</v>
      </c>
      <c r="Z95" s="3" t="str">
        <f ca="1">HYPERLINK("#"&amp;노무비목록표!G2&amp;"!A"&amp;ROW(노무비목록표!A13),"노무10 →")</f>
        <v>노무10 →</v>
      </c>
    </row>
    <row r="96" spans="1:26" ht="28.7" customHeight="1" x14ac:dyDescent="0.3">
      <c r="A96" s="10" t="s">
        <v>595</v>
      </c>
      <c r="B96" s="10"/>
      <c r="C96" s="75">
        <v>4.6800000000000001E-2</v>
      </c>
      <c r="D96" s="32" t="s">
        <v>587</v>
      </c>
      <c r="E96" s="54">
        <f t="shared" si="5"/>
        <v>172068</v>
      </c>
      <c r="F96" s="76">
        <f t="shared" si="5"/>
        <v>8052.7</v>
      </c>
      <c r="G96" s="78">
        <f>노무비목록표!E8</f>
        <v>172068</v>
      </c>
      <c r="H96" s="81">
        <f>IF(C96=0,0,ROUNDDOWN(G96*C96,1))</f>
        <v>8052.7</v>
      </c>
      <c r="I96" s="50">
        <v>0</v>
      </c>
      <c r="J96" s="77">
        <f>IF(C96=0,0,ROUNDDOWN(I96*C96,1))</f>
        <v>0</v>
      </c>
      <c r="K96" s="50">
        <v>0</v>
      </c>
      <c r="L96" s="76">
        <f>IF(C96=0,0,ROUNDDOWN(K96*C96,1))</f>
        <v>0</v>
      </c>
      <c r="M96" s="23" t="s">
        <v>1220</v>
      </c>
      <c r="N96" s="17" t="s">
        <v>1218</v>
      </c>
      <c r="O96" s="7" t="s">
        <v>1219</v>
      </c>
      <c r="P96" s="7" t="s">
        <v>1209</v>
      </c>
      <c r="Q96" s="7" t="s">
        <v>1214</v>
      </c>
      <c r="Z96" s="3" t="str">
        <f ca="1">HYPERLINK("#"&amp;노무비목록표!G2&amp;"!A"&amp;ROW(노무비목록표!A8),"노무5 →")</f>
        <v>노무5 →</v>
      </c>
    </row>
    <row r="97" spans="1:26" ht="28.7" customHeight="1" x14ac:dyDescent="0.3">
      <c r="A97" s="10" t="s">
        <v>1311</v>
      </c>
      <c r="B97" s="10" t="s">
        <v>617</v>
      </c>
      <c r="C97" s="75">
        <v>5</v>
      </c>
      <c r="D97" s="32" t="s">
        <v>539</v>
      </c>
      <c r="E97" s="54">
        <f t="shared" si="5"/>
        <v>13796.099999999999</v>
      </c>
      <c r="F97" s="77">
        <f t="shared" si="5"/>
        <v>689.8</v>
      </c>
      <c r="G97" s="13">
        <v>0</v>
      </c>
      <c r="H97" s="77">
        <f>IF(C97=0,0,ROUNDDOWN(G97*C97/100,1))</f>
        <v>0</v>
      </c>
      <c r="I97" s="13">
        <v>0</v>
      </c>
      <c r="J97" s="76">
        <f>IF(C97=0,0,ROUNDDOWN(I97*C97/100,1))</f>
        <v>0</v>
      </c>
      <c r="K97" s="82">
        <f>H94+H95+H96</f>
        <v>13796.099999999999</v>
      </c>
      <c r="L97" s="76">
        <f>IF(C97=0,0,ROUNDDOWN(K97*C97/100,1))</f>
        <v>689.8</v>
      </c>
      <c r="M97" s="23"/>
      <c r="N97" s="17" t="s">
        <v>1282</v>
      </c>
      <c r="O97" s="7" t="s">
        <v>1236</v>
      </c>
      <c r="P97" s="7" t="s">
        <v>1209</v>
      </c>
    </row>
    <row r="98" spans="1:26" ht="28.7" customHeight="1" x14ac:dyDescent="0.3">
      <c r="A98" s="10" t="s">
        <v>374</v>
      </c>
      <c r="B98" s="10" t="s">
        <v>375</v>
      </c>
      <c r="C98" s="75">
        <v>4.6800000000000001E-2</v>
      </c>
      <c r="D98" s="32" t="s">
        <v>261</v>
      </c>
      <c r="E98" s="54">
        <f t="shared" si="5"/>
        <v>39034</v>
      </c>
      <c r="F98" s="76">
        <f t="shared" si="5"/>
        <v>1826.7</v>
      </c>
      <c r="G98" s="78">
        <f>중기목록표!F36</f>
        <v>36248</v>
      </c>
      <c r="H98" s="80">
        <f>IF(C98=0,0,ROUNDDOWN(G98*C98,1))</f>
        <v>1696.4</v>
      </c>
      <c r="I98" s="78">
        <f>중기목록표!G36</f>
        <v>2166</v>
      </c>
      <c r="J98" s="80">
        <f>IF(C98=0,0,ROUNDDOWN(I98*C98,1))</f>
        <v>101.3</v>
      </c>
      <c r="K98" s="78">
        <f>중기목록표!H36</f>
        <v>620</v>
      </c>
      <c r="L98" s="80">
        <f>IF(C98=0,0,ROUNDDOWN(K98*C98,1))</f>
        <v>29</v>
      </c>
      <c r="M98" s="23" t="s">
        <v>1314</v>
      </c>
      <c r="N98" s="17" t="s">
        <v>1312</v>
      </c>
      <c r="O98" s="7" t="s">
        <v>1313</v>
      </c>
      <c r="P98" s="7" t="s">
        <v>1209</v>
      </c>
      <c r="Z98" s="3" t="str">
        <f ca="1">HYPERLINK("#"&amp;중기목록표!J2&amp;"!A"&amp;ROW(중기목록표!A36),"중기33 →")</f>
        <v>중기33 →</v>
      </c>
    </row>
    <row r="99" spans="1:26" ht="28.7" customHeight="1" x14ac:dyDescent="0.3">
      <c r="A99" s="10" t="s">
        <v>280</v>
      </c>
      <c r="B99" s="10" t="s">
        <v>277</v>
      </c>
      <c r="C99" s="75">
        <v>4.6800000000000001E-2</v>
      </c>
      <c r="D99" s="32" t="s">
        <v>261</v>
      </c>
      <c r="E99" s="54">
        <f t="shared" si="5"/>
        <v>112016</v>
      </c>
      <c r="F99" s="76">
        <f t="shared" si="5"/>
        <v>5242.2</v>
      </c>
      <c r="G99" s="78">
        <f>중기목록표!F10</f>
        <v>59020</v>
      </c>
      <c r="H99" s="80">
        <f>IF(C99=0,0,ROUNDDOWN(G99*C99,1))</f>
        <v>2762.1</v>
      </c>
      <c r="I99" s="78">
        <f>중기목록표!G10</f>
        <v>25876</v>
      </c>
      <c r="J99" s="80">
        <f>IF(C99=0,0,ROUNDDOWN(I99*C99,1))</f>
        <v>1210.9000000000001</v>
      </c>
      <c r="K99" s="78">
        <f>중기목록표!H10</f>
        <v>27120</v>
      </c>
      <c r="L99" s="80">
        <f>IF(C99=0,0,ROUNDDOWN(K99*C99,1))</f>
        <v>1269.2</v>
      </c>
      <c r="M99" s="23" t="s">
        <v>1317</v>
      </c>
      <c r="N99" s="17" t="s">
        <v>1315</v>
      </c>
      <c r="O99" s="7" t="s">
        <v>1316</v>
      </c>
      <c r="P99" s="7" t="s">
        <v>1209</v>
      </c>
      <c r="Z99" s="3" t="str">
        <f ca="1">HYPERLINK("#"&amp;중기목록표!J2&amp;"!A"&amp;ROW(중기목록표!A10),"중기7 →")</f>
        <v>중기7 →</v>
      </c>
    </row>
    <row r="100" spans="1:26" ht="28.7" customHeight="1" x14ac:dyDescent="0.3">
      <c r="A100" s="23" t="s">
        <v>6</v>
      </c>
      <c r="B100" s="74"/>
      <c r="C100" s="74"/>
      <c r="D100" s="74"/>
      <c r="E100" s="74"/>
      <c r="F100" s="47">
        <f>J100+H100+L100</f>
        <v>21554</v>
      </c>
      <c r="G100" s="74"/>
      <c r="H100" s="47">
        <f>ROUNDDOWN(SUMIF(P94:P99,O100,H94:H99),0)</f>
        <v>18254</v>
      </c>
      <c r="I100" s="74"/>
      <c r="J100" s="47">
        <f>ROUNDDOWN(SUMIF(P94:P99,O100,J94:J99),0)</f>
        <v>1312</v>
      </c>
      <c r="K100" s="74"/>
      <c r="L100" s="47">
        <f>ROUNDDOWN(SUMIF(P94:P99,O100,L94:L99),0)</f>
        <v>1988</v>
      </c>
      <c r="M100" s="74"/>
      <c r="O100" s="7" t="s">
        <v>1209</v>
      </c>
    </row>
    <row r="101" spans="1:26" ht="28.7" customHeight="1" x14ac:dyDescent="0.3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</row>
    <row r="102" spans="1:26" ht="28.7" customHeight="1" x14ac:dyDescent="0.3">
      <c r="A102" s="135" t="s">
        <v>78</v>
      </c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49"/>
      <c r="M102" s="23" t="s">
        <v>1318</v>
      </c>
      <c r="N102" s="84" t="str">
        <f>HYPERLINK("#N"&amp;ROW(N111),"_x0005_`BDCOD|B06814_x0007_`POSS|"&amp;ROW(N103)&amp;"_x0007_`POSE|"&amp;ROW(N111)&amp;"_x0007_`")</f>
        <v>_x0005_`BDCOD|B06814_x0007_`POSS|103_x0007_`POSE|111_x0007_`</v>
      </c>
      <c r="O102" s="7" t="s">
        <v>1319</v>
      </c>
    </row>
    <row r="103" spans="1:26" ht="28.7" customHeight="1" x14ac:dyDescent="0.3">
      <c r="A103" s="10"/>
      <c r="B103" s="10" t="s">
        <v>1320</v>
      </c>
      <c r="C103" s="75">
        <v>0</v>
      </c>
      <c r="D103" s="32"/>
      <c r="E103" s="22">
        <v>0</v>
      </c>
      <c r="F103" s="11">
        <v>0</v>
      </c>
      <c r="G103" s="41"/>
      <c r="H103" s="11">
        <v>0</v>
      </c>
      <c r="I103" s="41"/>
      <c r="J103" s="22">
        <v>0</v>
      </c>
      <c r="K103" s="45"/>
      <c r="L103" s="22">
        <v>0</v>
      </c>
      <c r="M103" s="23" t="s">
        <v>1247</v>
      </c>
      <c r="N103" s="17" t="s">
        <v>1245</v>
      </c>
      <c r="O103" s="7" t="s">
        <v>1246</v>
      </c>
      <c r="P103" s="7" t="s">
        <v>1246</v>
      </c>
    </row>
    <row r="104" spans="1:26" ht="28.7" customHeight="1" x14ac:dyDescent="0.3">
      <c r="A104" s="10" t="s">
        <v>605</v>
      </c>
      <c r="B104" s="10"/>
      <c r="C104" s="75">
        <v>1.7999999999999999E-2</v>
      </c>
      <c r="D104" s="32" t="s">
        <v>587</v>
      </c>
      <c r="E104" s="54">
        <f t="shared" ref="E104:F111" si="6">I104+G104+K104</f>
        <v>226122</v>
      </c>
      <c r="F104" s="76">
        <f t="shared" si="6"/>
        <v>4070.1</v>
      </c>
      <c r="G104" s="78">
        <f>노무비목록표!E13</f>
        <v>226122</v>
      </c>
      <c r="H104" s="81">
        <f>IF(C104=0,0,ROUNDDOWN(G104*C104,1))</f>
        <v>4070.1</v>
      </c>
      <c r="I104" s="50">
        <v>0</v>
      </c>
      <c r="J104" s="77">
        <f>IF(C104=0,0,ROUNDDOWN(I104*C104,1))</f>
        <v>0</v>
      </c>
      <c r="K104" s="50">
        <v>0</v>
      </c>
      <c r="L104" s="76">
        <f>IF(C104=0,0,ROUNDDOWN(K104*C104,1))</f>
        <v>0</v>
      </c>
      <c r="M104" s="23" t="s">
        <v>1217</v>
      </c>
      <c r="N104" s="17" t="s">
        <v>1213</v>
      </c>
      <c r="O104" s="7" t="s">
        <v>1215</v>
      </c>
      <c r="P104" s="7" t="s">
        <v>1209</v>
      </c>
      <c r="Q104" s="7" t="s">
        <v>1214</v>
      </c>
      <c r="Z104" s="3" t="str">
        <f ca="1">HYPERLINK("#"&amp;노무비목록표!G2&amp;"!A"&amp;ROW(노무비목록표!A13),"노무10 →")</f>
        <v>노무10 →</v>
      </c>
    </row>
    <row r="105" spans="1:26" ht="28.7" customHeight="1" x14ac:dyDescent="0.3">
      <c r="A105" s="10" t="s">
        <v>595</v>
      </c>
      <c r="B105" s="10"/>
      <c r="C105" s="75">
        <v>9.1000000000000004E-3</v>
      </c>
      <c r="D105" s="32" t="s">
        <v>587</v>
      </c>
      <c r="E105" s="54">
        <f t="shared" si="6"/>
        <v>172068</v>
      </c>
      <c r="F105" s="76">
        <f t="shared" si="6"/>
        <v>1565.8</v>
      </c>
      <c r="G105" s="78">
        <f>노무비목록표!E8</f>
        <v>172068</v>
      </c>
      <c r="H105" s="81">
        <f>IF(C105=0,0,ROUNDDOWN(G105*C105,1))</f>
        <v>1565.8</v>
      </c>
      <c r="I105" s="50">
        <v>0</v>
      </c>
      <c r="J105" s="77">
        <f>IF(C105=0,0,ROUNDDOWN(I105*C105,1))</f>
        <v>0</v>
      </c>
      <c r="K105" s="50">
        <v>0</v>
      </c>
      <c r="L105" s="76">
        <f>IF(C105=0,0,ROUNDDOWN(K105*C105,1))</f>
        <v>0</v>
      </c>
      <c r="M105" s="23" t="s">
        <v>1220</v>
      </c>
      <c r="N105" s="17" t="s">
        <v>1218</v>
      </c>
      <c r="O105" s="7" t="s">
        <v>1219</v>
      </c>
      <c r="P105" s="7" t="s">
        <v>1209</v>
      </c>
      <c r="Q105" s="7" t="s">
        <v>1214</v>
      </c>
      <c r="Z105" s="3" t="str">
        <f ca="1">HYPERLINK("#"&amp;노무비목록표!G2&amp;"!A"&amp;ROW(노무비목록표!A8),"노무5 →")</f>
        <v>노무5 →</v>
      </c>
    </row>
    <row r="106" spans="1:26" ht="28.7" customHeight="1" x14ac:dyDescent="0.3">
      <c r="A106" s="10" t="s">
        <v>1294</v>
      </c>
      <c r="B106" s="10" t="s">
        <v>617</v>
      </c>
      <c r="C106" s="75">
        <v>2</v>
      </c>
      <c r="D106" s="32" t="s">
        <v>539</v>
      </c>
      <c r="E106" s="54">
        <f t="shared" si="6"/>
        <v>5635.9</v>
      </c>
      <c r="F106" s="77">
        <f t="shared" si="6"/>
        <v>112.7</v>
      </c>
      <c r="G106" s="79">
        <f>H104+H105</f>
        <v>5635.9</v>
      </c>
      <c r="H106" s="77">
        <f>IF(C106=0,0,ROUNDDOWN(G106*C106/100,1))</f>
        <v>112.7</v>
      </c>
      <c r="I106" s="13">
        <v>0</v>
      </c>
      <c r="J106" s="76">
        <f>IF(C106=0,0,ROUNDDOWN(I106*C106/100,1))</f>
        <v>0</v>
      </c>
      <c r="K106" s="22">
        <v>0</v>
      </c>
      <c r="L106" s="76">
        <f>IF(C106=0,0,ROUNDDOWN(K106*C106/100,1))</f>
        <v>0</v>
      </c>
      <c r="M106" s="23"/>
      <c r="N106" s="17" t="s">
        <v>1235</v>
      </c>
      <c r="O106" s="7" t="s">
        <v>1236</v>
      </c>
      <c r="P106" s="7" t="s">
        <v>1209</v>
      </c>
    </row>
    <row r="107" spans="1:26" ht="28.7" customHeight="1" x14ac:dyDescent="0.3">
      <c r="A107" s="10" t="s">
        <v>264</v>
      </c>
      <c r="B107" s="10" t="s">
        <v>265</v>
      </c>
      <c r="C107" s="75">
        <v>9.1000000000000004E-3</v>
      </c>
      <c r="D107" s="32" t="s">
        <v>261</v>
      </c>
      <c r="E107" s="54">
        <f t="shared" si="6"/>
        <v>83776</v>
      </c>
      <c r="F107" s="76">
        <f t="shared" si="6"/>
        <v>762.2</v>
      </c>
      <c r="G107" s="78">
        <f>중기목록표!F5</f>
        <v>59020</v>
      </c>
      <c r="H107" s="80">
        <f>IF(C107=0,0,ROUNDDOWN(G107*C107,1))</f>
        <v>537</v>
      </c>
      <c r="I107" s="78">
        <f>중기목록표!G5</f>
        <v>10883</v>
      </c>
      <c r="J107" s="80">
        <f>IF(C107=0,0,ROUNDDOWN(I107*C107,1))</f>
        <v>99</v>
      </c>
      <c r="K107" s="78">
        <f>중기목록표!H5</f>
        <v>13873</v>
      </c>
      <c r="L107" s="80">
        <f>IF(C107=0,0,ROUNDDOWN(K107*C107,1))</f>
        <v>126.2</v>
      </c>
      <c r="M107" s="23" t="s">
        <v>1223</v>
      </c>
      <c r="N107" s="17" t="s">
        <v>1321</v>
      </c>
      <c r="O107" s="7" t="s">
        <v>1222</v>
      </c>
      <c r="P107" s="7" t="s">
        <v>1209</v>
      </c>
      <c r="Z107" s="3" t="str">
        <f ca="1">HYPERLINK("#"&amp;중기목록표!J2&amp;"!A"&amp;ROW(중기목록표!A5),"중기2 →")</f>
        <v>중기2 →</v>
      </c>
    </row>
    <row r="108" spans="1:26" ht="28.7" customHeight="1" x14ac:dyDescent="0.3">
      <c r="A108" s="10" t="s">
        <v>290</v>
      </c>
      <c r="B108" s="10" t="s">
        <v>294</v>
      </c>
      <c r="C108" s="75">
        <v>9.1000000000000004E-3</v>
      </c>
      <c r="D108" s="32" t="s">
        <v>261</v>
      </c>
      <c r="E108" s="54">
        <f t="shared" si="6"/>
        <v>63499</v>
      </c>
      <c r="F108" s="76">
        <f t="shared" si="6"/>
        <v>577.69999999999993</v>
      </c>
      <c r="G108" s="78">
        <f>중기목록표!F14</f>
        <v>49778</v>
      </c>
      <c r="H108" s="80">
        <f>IF(C108=0,0,ROUNDDOWN(G108*C108,1))</f>
        <v>452.9</v>
      </c>
      <c r="I108" s="78">
        <f>중기목록표!G14</f>
        <v>7199</v>
      </c>
      <c r="J108" s="80">
        <f>IF(C108=0,0,ROUNDDOWN(I108*C108,1))</f>
        <v>65.5</v>
      </c>
      <c r="K108" s="78">
        <f>중기목록표!H14</f>
        <v>6522</v>
      </c>
      <c r="L108" s="80">
        <f>IF(C108=0,0,ROUNDDOWN(K108*C108,1))</f>
        <v>59.3</v>
      </c>
      <c r="M108" s="23" t="s">
        <v>1226</v>
      </c>
      <c r="N108" s="17" t="s">
        <v>1322</v>
      </c>
      <c r="O108" s="7" t="s">
        <v>1225</v>
      </c>
      <c r="P108" s="7" t="s">
        <v>1209</v>
      </c>
      <c r="Z108" s="3" t="str">
        <f ca="1">HYPERLINK("#"&amp;중기목록표!J2&amp;"!A"&amp;ROW(중기목록표!A14),"중기11 →")</f>
        <v>중기11 →</v>
      </c>
    </row>
    <row r="109" spans="1:26" ht="28.7" customHeight="1" x14ac:dyDescent="0.3">
      <c r="A109" s="10" t="s">
        <v>113</v>
      </c>
      <c r="B109" s="10" t="s">
        <v>114</v>
      </c>
      <c r="C109" s="75">
        <v>0.153</v>
      </c>
      <c r="D109" s="32" t="s">
        <v>115</v>
      </c>
      <c r="E109" s="54">
        <f t="shared" si="6"/>
        <v>59284</v>
      </c>
      <c r="F109" s="76">
        <f t="shared" si="6"/>
        <v>9070.3000000000011</v>
      </c>
      <c r="G109" s="78">
        <f>일위대가목록표!F28</f>
        <v>58122</v>
      </c>
      <c r="H109" s="80">
        <f>IF(C109=0,0,ROUNDDOWN(G109*C109,1))</f>
        <v>8892.6</v>
      </c>
      <c r="I109" s="78">
        <f>일위대가목록표!G28</f>
        <v>0</v>
      </c>
      <c r="J109" s="80">
        <f>IF(C109=0,0,ROUNDDOWN(I109*C109,1))</f>
        <v>0</v>
      </c>
      <c r="K109" s="78">
        <f>일위대가목록표!H28</f>
        <v>1162</v>
      </c>
      <c r="L109" s="80">
        <f>IF(C109=0,0,ROUNDDOWN(K109*C109,1))</f>
        <v>177.7</v>
      </c>
      <c r="M109" s="23" t="s">
        <v>1325</v>
      </c>
      <c r="N109" s="17" t="s">
        <v>1323</v>
      </c>
      <c r="O109" s="7" t="s">
        <v>1324</v>
      </c>
      <c r="P109" s="7" t="s">
        <v>1209</v>
      </c>
      <c r="Z109" s="3" t="str">
        <f ca="1">HYPERLINK("#"&amp;일위대가목록표!J2&amp;"!A"&amp;ROW(일위대가목록표!A28),"대가25 →")</f>
        <v>대가25 →</v>
      </c>
    </row>
    <row r="110" spans="1:26" ht="28.7" customHeight="1" x14ac:dyDescent="0.3">
      <c r="A110" s="10" t="s">
        <v>238</v>
      </c>
      <c r="B110" s="10" t="s">
        <v>239</v>
      </c>
      <c r="C110" s="75">
        <v>0.44</v>
      </c>
      <c r="D110" s="32" t="s">
        <v>14</v>
      </c>
      <c r="E110" s="54">
        <f t="shared" si="6"/>
        <v>36258</v>
      </c>
      <c r="F110" s="76">
        <f t="shared" si="6"/>
        <v>15953.400000000001</v>
      </c>
      <c r="G110" s="78">
        <f>단가산출근거목록표!F40</f>
        <v>31880</v>
      </c>
      <c r="H110" s="80">
        <f>IF(C110=0,0,ROUNDDOWN(G110*C110,1))</f>
        <v>14027.2</v>
      </c>
      <c r="I110" s="78">
        <f>단가산출근거목록표!G40</f>
        <v>3422</v>
      </c>
      <c r="J110" s="80">
        <f>IF(C110=0,0,ROUNDDOWN(I110*C110,1))</f>
        <v>1505.6</v>
      </c>
      <c r="K110" s="78">
        <f>단가산출근거목록표!H40</f>
        <v>956</v>
      </c>
      <c r="L110" s="80">
        <f>IF(C110=0,0,ROUNDDOWN(K110*C110,1))</f>
        <v>420.6</v>
      </c>
      <c r="M110" s="23" t="s">
        <v>1328</v>
      </c>
      <c r="N110" s="17" t="s">
        <v>1326</v>
      </c>
      <c r="O110" s="7" t="s">
        <v>1327</v>
      </c>
      <c r="P110" s="7" t="s">
        <v>1209</v>
      </c>
      <c r="Z110" s="3" t="str">
        <f ca="1">HYPERLINK("#"&amp;단가산출근거목록표!J2&amp;"!A"&amp;ROW(단가산출근거목록표!A40),"산근37 →")</f>
        <v>산근37 →</v>
      </c>
    </row>
    <row r="111" spans="1:26" ht="28.7" customHeight="1" x14ac:dyDescent="0.3">
      <c r="A111" s="10" t="s">
        <v>118</v>
      </c>
      <c r="B111" s="10" t="s">
        <v>119</v>
      </c>
      <c r="C111" s="75">
        <v>5.0000000000000001E-4</v>
      </c>
      <c r="D111" s="32" t="s">
        <v>115</v>
      </c>
      <c r="E111" s="54">
        <f t="shared" si="6"/>
        <v>285632</v>
      </c>
      <c r="F111" s="76">
        <f t="shared" si="6"/>
        <v>142.80000000000001</v>
      </c>
      <c r="G111" s="78">
        <f>일위대가목록표!F29</f>
        <v>285632</v>
      </c>
      <c r="H111" s="80">
        <f>IF(C111=0,0,ROUNDDOWN(G111*C111,1))</f>
        <v>142.80000000000001</v>
      </c>
      <c r="I111" s="78">
        <f>일위대가목록표!G29</f>
        <v>0</v>
      </c>
      <c r="J111" s="80">
        <f>IF(C111=0,0,ROUNDDOWN(I111*C111,1))</f>
        <v>0</v>
      </c>
      <c r="K111" s="78">
        <f>일위대가목록표!H29</f>
        <v>0</v>
      </c>
      <c r="L111" s="80">
        <f>IF(C111=0,0,ROUNDDOWN(K111*C111,1))</f>
        <v>0</v>
      </c>
      <c r="M111" s="23" t="s">
        <v>1331</v>
      </c>
      <c r="N111" s="17" t="s">
        <v>1329</v>
      </c>
      <c r="O111" s="7" t="s">
        <v>1330</v>
      </c>
      <c r="P111" s="7" t="s">
        <v>1209</v>
      </c>
      <c r="Z111" s="3" t="str">
        <f ca="1">HYPERLINK("#"&amp;일위대가목록표!J2&amp;"!A"&amp;ROW(일위대가목록표!A29),"대가26 →")</f>
        <v>대가26 →</v>
      </c>
    </row>
    <row r="112" spans="1:26" ht="28.7" customHeight="1" x14ac:dyDescent="0.3">
      <c r="A112" s="23" t="s">
        <v>6</v>
      </c>
      <c r="B112" s="74"/>
      <c r="C112" s="74"/>
      <c r="D112" s="74"/>
      <c r="E112" s="74"/>
      <c r="F112" s="47">
        <f>J112+H112+L112</f>
        <v>32254</v>
      </c>
      <c r="G112" s="74"/>
      <c r="H112" s="47">
        <f>ROUNDDOWN(SUMIF(P103:P111,O112,H103:H111),0)</f>
        <v>29801</v>
      </c>
      <c r="I112" s="74"/>
      <c r="J112" s="47">
        <f>ROUNDDOWN(SUMIF(P103:P111,O112,J103:J111),0)</f>
        <v>1670</v>
      </c>
      <c r="K112" s="74"/>
      <c r="L112" s="47">
        <f>ROUNDDOWN(SUMIF(P103:P111,O112,L103:L111),0)</f>
        <v>783</v>
      </c>
      <c r="M112" s="74"/>
      <c r="O112" s="7" t="s">
        <v>1209</v>
      </c>
    </row>
    <row r="113" spans="1:26" ht="28.7" customHeight="1" x14ac:dyDescent="0.3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</row>
    <row r="114" spans="1:26" ht="28.7" customHeight="1" x14ac:dyDescent="0.3">
      <c r="A114" s="135" t="s">
        <v>82</v>
      </c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49"/>
      <c r="M114" s="23" t="s">
        <v>1332</v>
      </c>
      <c r="N114" s="84" t="str">
        <f>HYPERLINK("#N"&amp;ROW(N123),"_x0005_`BDCOD|B06813_x0007_`POSS|"&amp;ROW(N115)&amp;"_x0007_`POSE|"&amp;ROW(N123)&amp;"_x0007_`")</f>
        <v>_x0005_`BDCOD|B06813_x0007_`POSS|115_x0007_`POSE|123_x0007_`</v>
      </c>
      <c r="O114" s="7" t="s">
        <v>1333</v>
      </c>
    </row>
    <row r="115" spans="1:26" ht="28.7" customHeight="1" x14ac:dyDescent="0.3">
      <c r="A115" s="10"/>
      <c r="B115" s="10" t="s">
        <v>1320</v>
      </c>
      <c r="C115" s="75">
        <v>0</v>
      </c>
      <c r="D115" s="32"/>
      <c r="E115" s="22">
        <v>0</v>
      </c>
      <c r="F115" s="11">
        <v>0</v>
      </c>
      <c r="G115" s="41"/>
      <c r="H115" s="11">
        <v>0</v>
      </c>
      <c r="I115" s="41"/>
      <c r="J115" s="22">
        <v>0</v>
      </c>
      <c r="K115" s="45"/>
      <c r="L115" s="22">
        <v>0</v>
      </c>
      <c r="M115" s="23" t="s">
        <v>1247</v>
      </c>
      <c r="N115" s="17" t="s">
        <v>1245</v>
      </c>
      <c r="O115" s="7" t="s">
        <v>1246</v>
      </c>
      <c r="P115" s="7" t="s">
        <v>1246</v>
      </c>
    </row>
    <row r="116" spans="1:26" ht="28.7" customHeight="1" x14ac:dyDescent="0.3">
      <c r="A116" s="10" t="s">
        <v>605</v>
      </c>
      <c r="B116" s="10"/>
      <c r="C116" s="75">
        <v>1.8200000000000001E-2</v>
      </c>
      <c r="D116" s="32" t="s">
        <v>587</v>
      </c>
      <c r="E116" s="54">
        <f t="shared" ref="E116:F123" si="7">I116+G116+K116</f>
        <v>226122</v>
      </c>
      <c r="F116" s="76">
        <f t="shared" si="7"/>
        <v>4115.3999999999996</v>
      </c>
      <c r="G116" s="78">
        <f>노무비목록표!E13</f>
        <v>226122</v>
      </c>
      <c r="H116" s="81">
        <f>IF(C116=0,0,ROUNDDOWN(G116*C116,1))</f>
        <v>4115.3999999999996</v>
      </c>
      <c r="I116" s="50">
        <v>0</v>
      </c>
      <c r="J116" s="77">
        <f>IF(C116=0,0,ROUNDDOWN(I116*C116,1))</f>
        <v>0</v>
      </c>
      <c r="K116" s="50">
        <v>0</v>
      </c>
      <c r="L116" s="76">
        <f>IF(C116=0,0,ROUNDDOWN(K116*C116,1))</f>
        <v>0</v>
      </c>
      <c r="M116" s="23" t="s">
        <v>1217</v>
      </c>
      <c r="N116" s="17" t="s">
        <v>1213</v>
      </c>
      <c r="O116" s="7" t="s">
        <v>1215</v>
      </c>
      <c r="P116" s="7" t="s">
        <v>1209</v>
      </c>
      <c r="Q116" s="7" t="s">
        <v>1214</v>
      </c>
      <c r="Z116" s="3" t="str">
        <f ca="1">HYPERLINK("#"&amp;노무비목록표!G2&amp;"!A"&amp;ROW(노무비목록표!A13),"노무10 →")</f>
        <v>노무10 →</v>
      </c>
    </row>
    <row r="117" spans="1:26" ht="28.7" customHeight="1" x14ac:dyDescent="0.3">
      <c r="A117" s="10" t="s">
        <v>595</v>
      </c>
      <c r="B117" s="10"/>
      <c r="C117" s="75">
        <v>9.1000000000000004E-3</v>
      </c>
      <c r="D117" s="32" t="s">
        <v>587</v>
      </c>
      <c r="E117" s="54">
        <f t="shared" si="7"/>
        <v>172068</v>
      </c>
      <c r="F117" s="76">
        <f t="shared" si="7"/>
        <v>1565.8</v>
      </c>
      <c r="G117" s="78">
        <f>노무비목록표!E8</f>
        <v>172068</v>
      </c>
      <c r="H117" s="81">
        <f>IF(C117=0,0,ROUNDDOWN(G117*C117,1))</f>
        <v>1565.8</v>
      </c>
      <c r="I117" s="50">
        <v>0</v>
      </c>
      <c r="J117" s="77">
        <f>IF(C117=0,0,ROUNDDOWN(I117*C117,1))</f>
        <v>0</v>
      </c>
      <c r="K117" s="50">
        <v>0</v>
      </c>
      <c r="L117" s="76">
        <f>IF(C117=0,0,ROUNDDOWN(K117*C117,1))</f>
        <v>0</v>
      </c>
      <c r="M117" s="23" t="s">
        <v>1220</v>
      </c>
      <c r="N117" s="17" t="s">
        <v>1218</v>
      </c>
      <c r="O117" s="7" t="s">
        <v>1219</v>
      </c>
      <c r="P117" s="7" t="s">
        <v>1209</v>
      </c>
      <c r="Q117" s="7" t="s">
        <v>1214</v>
      </c>
      <c r="Z117" s="3" t="str">
        <f ca="1">HYPERLINK("#"&amp;노무비목록표!G2&amp;"!A"&amp;ROW(노무비목록표!A8),"노무5 →")</f>
        <v>노무5 →</v>
      </c>
    </row>
    <row r="118" spans="1:26" ht="28.7" customHeight="1" x14ac:dyDescent="0.3">
      <c r="A118" s="10" t="s">
        <v>1294</v>
      </c>
      <c r="B118" s="10" t="s">
        <v>617</v>
      </c>
      <c r="C118" s="75">
        <v>2</v>
      </c>
      <c r="D118" s="32" t="s">
        <v>539</v>
      </c>
      <c r="E118" s="54">
        <f t="shared" si="7"/>
        <v>5681.2</v>
      </c>
      <c r="F118" s="77">
        <f t="shared" si="7"/>
        <v>113.6</v>
      </c>
      <c r="G118" s="79">
        <f>H116+H117</f>
        <v>5681.2</v>
      </c>
      <c r="H118" s="77">
        <f>IF(C118=0,0,ROUNDDOWN(G118*C118/100,1))</f>
        <v>113.6</v>
      </c>
      <c r="I118" s="13">
        <v>0</v>
      </c>
      <c r="J118" s="76">
        <f>IF(C118=0,0,ROUNDDOWN(I118*C118/100,1))</f>
        <v>0</v>
      </c>
      <c r="K118" s="22">
        <v>0</v>
      </c>
      <c r="L118" s="76">
        <f>IF(C118=0,0,ROUNDDOWN(K118*C118/100,1))</f>
        <v>0</v>
      </c>
      <c r="M118" s="23"/>
      <c r="N118" s="17" t="s">
        <v>1235</v>
      </c>
      <c r="O118" s="7" t="s">
        <v>1236</v>
      </c>
      <c r="P118" s="7" t="s">
        <v>1209</v>
      </c>
    </row>
    <row r="119" spans="1:26" ht="28.7" customHeight="1" x14ac:dyDescent="0.3">
      <c r="A119" s="10" t="s">
        <v>264</v>
      </c>
      <c r="B119" s="10" t="s">
        <v>265</v>
      </c>
      <c r="C119" s="75">
        <v>9.1000000000000004E-3</v>
      </c>
      <c r="D119" s="32" t="s">
        <v>261</v>
      </c>
      <c r="E119" s="54">
        <f t="shared" si="7"/>
        <v>83776</v>
      </c>
      <c r="F119" s="76">
        <f t="shared" si="7"/>
        <v>762.2</v>
      </c>
      <c r="G119" s="78">
        <f>중기목록표!F5</f>
        <v>59020</v>
      </c>
      <c r="H119" s="80">
        <f>IF(C119=0,0,ROUNDDOWN(G119*C119,1))</f>
        <v>537</v>
      </c>
      <c r="I119" s="78">
        <f>중기목록표!G5</f>
        <v>10883</v>
      </c>
      <c r="J119" s="80">
        <f>IF(C119=0,0,ROUNDDOWN(I119*C119,1))</f>
        <v>99</v>
      </c>
      <c r="K119" s="78">
        <f>중기목록표!H5</f>
        <v>13873</v>
      </c>
      <c r="L119" s="80">
        <f>IF(C119=0,0,ROUNDDOWN(K119*C119,1))</f>
        <v>126.2</v>
      </c>
      <c r="M119" s="23" t="s">
        <v>1223</v>
      </c>
      <c r="N119" s="17" t="s">
        <v>1321</v>
      </c>
      <c r="O119" s="7" t="s">
        <v>1222</v>
      </c>
      <c r="P119" s="7" t="s">
        <v>1209</v>
      </c>
      <c r="Z119" s="3" t="str">
        <f ca="1">HYPERLINK("#"&amp;중기목록표!J2&amp;"!A"&amp;ROW(중기목록표!A5),"중기2 →")</f>
        <v>중기2 →</v>
      </c>
    </row>
    <row r="120" spans="1:26" ht="28.7" customHeight="1" x14ac:dyDescent="0.3">
      <c r="A120" s="10" t="s">
        <v>290</v>
      </c>
      <c r="B120" s="10" t="s">
        <v>294</v>
      </c>
      <c r="C120" s="75">
        <v>9.1000000000000004E-3</v>
      </c>
      <c r="D120" s="32" t="s">
        <v>261</v>
      </c>
      <c r="E120" s="54">
        <f t="shared" si="7"/>
        <v>63499</v>
      </c>
      <c r="F120" s="76">
        <f t="shared" si="7"/>
        <v>577.69999999999993</v>
      </c>
      <c r="G120" s="78">
        <f>중기목록표!F14</f>
        <v>49778</v>
      </c>
      <c r="H120" s="80">
        <f>IF(C120=0,0,ROUNDDOWN(G120*C120,1))</f>
        <v>452.9</v>
      </c>
      <c r="I120" s="78">
        <f>중기목록표!G14</f>
        <v>7199</v>
      </c>
      <c r="J120" s="80">
        <f>IF(C120=0,0,ROUNDDOWN(I120*C120,1))</f>
        <v>65.5</v>
      </c>
      <c r="K120" s="78">
        <f>중기목록표!H14</f>
        <v>6522</v>
      </c>
      <c r="L120" s="80">
        <f>IF(C120=0,0,ROUNDDOWN(K120*C120,1))</f>
        <v>59.3</v>
      </c>
      <c r="M120" s="23" t="s">
        <v>1226</v>
      </c>
      <c r="N120" s="17" t="s">
        <v>1322</v>
      </c>
      <c r="O120" s="7" t="s">
        <v>1225</v>
      </c>
      <c r="P120" s="7" t="s">
        <v>1209</v>
      </c>
      <c r="Z120" s="3" t="str">
        <f ca="1">HYPERLINK("#"&amp;중기목록표!J2&amp;"!A"&amp;ROW(중기목록표!A14),"중기11 →")</f>
        <v>중기11 →</v>
      </c>
    </row>
    <row r="121" spans="1:26" ht="28.7" customHeight="1" x14ac:dyDescent="0.3">
      <c r="A121" s="10" t="s">
        <v>113</v>
      </c>
      <c r="B121" s="10" t="s">
        <v>114</v>
      </c>
      <c r="C121" s="75">
        <v>0.153</v>
      </c>
      <c r="D121" s="32" t="s">
        <v>115</v>
      </c>
      <c r="E121" s="54">
        <f t="shared" si="7"/>
        <v>59284</v>
      </c>
      <c r="F121" s="76">
        <f t="shared" si="7"/>
        <v>9070.3000000000011</v>
      </c>
      <c r="G121" s="78">
        <f>일위대가목록표!F28</f>
        <v>58122</v>
      </c>
      <c r="H121" s="80">
        <f>IF(C121=0,0,ROUNDDOWN(G121*C121,1))</f>
        <v>8892.6</v>
      </c>
      <c r="I121" s="78">
        <f>일위대가목록표!G28</f>
        <v>0</v>
      </c>
      <c r="J121" s="80">
        <f>IF(C121=0,0,ROUNDDOWN(I121*C121,1))</f>
        <v>0</v>
      </c>
      <c r="K121" s="78">
        <f>일위대가목록표!H28</f>
        <v>1162</v>
      </c>
      <c r="L121" s="80">
        <f>IF(C121=0,0,ROUNDDOWN(K121*C121,1))</f>
        <v>177.7</v>
      </c>
      <c r="M121" s="23" t="s">
        <v>1325</v>
      </c>
      <c r="N121" s="17" t="s">
        <v>1323</v>
      </c>
      <c r="O121" s="7" t="s">
        <v>1324</v>
      </c>
      <c r="P121" s="7" t="s">
        <v>1209</v>
      </c>
      <c r="Z121" s="3" t="str">
        <f ca="1">HYPERLINK("#"&amp;일위대가목록표!J2&amp;"!A"&amp;ROW(일위대가목록표!A28),"대가25 →")</f>
        <v>대가25 →</v>
      </c>
    </row>
    <row r="122" spans="1:26" ht="28.7" customHeight="1" x14ac:dyDescent="0.3">
      <c r="A122" s="10" t="s">
        <v>238</v>
      </c>
      <c r="B122" s="10" t="s">
        <v>239</v>
      </c>
      <c r="C122" s="75">
        <v>0.44</v>
      </c>
      <c r="D122" s="32" t="s">
        <v>14</v>
      </c>
      <c r="E122" s="54">
        <f t="shared" si="7"/>
        <v>36258</v>
      </c>
      <c r="F122" s="76">
        <f t="shared" si="7"/>
        <v>15953.400000000001</v>
      </c>
      <c r="G122" s="78">
        <f>단가산출근거목록표!F40</f>
        <v>31880</v>
      </c>
      <c r="H122" s="80">
        <f>IF(C122=0,0,ROUNDDOWN(G122*C122,1))</f>
        <v>14027.2</v>
      </c>
      <c r="I122" s="78">
        <f>단가산출근거목록표!G40</f>
        <v>3422</v>
      </c>
      <c r="J122" s="80">
        <f>IF(C122=0,0,ROUNDDOWN(I122*C122,1))</f>
        <v>1505.6</v>
      </c>
      <c r="K122" s="78">
        <f>단가산출근거목록표!H40</f>
        <v>956</v>
      </c>
      <c r="L122" s="80">
        <f>IF(C122=0,0,ROUNDDOWN(K122*C122,1))</f>
        <v>420.6</v>
      </c>
      <c r="M122" s="23" t="s">
        <v>1328</v>
      </c>
      <c r="N122" s="17" t="s">
        <v>1326</v>
      </c>
      <c r="O122" s="7" t="s">
        <v>1327</v>
      </c>
      <c r="P122" s="7" t="s">
        <v>1209</v>
      </c>
      <c r="Z122" s="3" t="str">
        <f ca="1">HYPERLINK("#"&amp;단가산출근거목록표!J2&amp;"!A"&amp;ROW(단가산출근거목록표!A40),"산근37 →")</f>
        <v>산근37 →</v>
      </c>
    </row>
    <row r="123" spans="1:26" ht="28.7" customHeight="1" x14ac:dyDescent="0.3">
      <c r="A123" s="10" t="s">
        <v>118</v>
      </c>
      <c r="B123" s="10" t="s">
        <v>119</v>
      </c>
      <c r="C123" s="75">
        <v>5.0000000000000002E-5</v>
      </c>
      <c r="D123" s="32" t="s">
        <v>115</v>
      </c>
      <c r="E123" s="54">
        <f t="shared" si="7"/>
        <v>285632</v>
      </c>
      <c r="F123" s="76">
        <f t="shared" si="7"/>
        <v>14.2</v>
      </c>
      <c r="G123" s="78">
        <f>일위대가목록표!F29</f>
        <v>285632</v>
      </c>
      <c r="H123" s="80">
        <f>IF(C123=0,0,ROUNDDOWN(G123*C123,1))</f>
        <v>14.2</v>
      </c>
      <c r="I123" s="78">
        <f>일위대가목록표!G29</f>
        <v>0</v>
      </c>
      <c r="J123" s="80">
        <f>IF(C123=0,0,ROUNDDOWN(I123*C123,1))</f>
        <v>0</v>
      </c>
      <c r="K123" s="78">
        <f>일위대가목록표!H29</f>
        <v>0</v>
      </c>
      <c r="L123" s="80">
        <f>IF(C123=0,0,ROUNDDOWN(K123*C123,1))</f>
        <v>0</v>
      </c>
      <c r="M123" s="23" t="s">
        <v>1331</v>
      </c>
      <c r="N123" s="17" t="s">
        <v>1329</v>
      </c>
      <c r="O123" s="7" t="s">
        <v>1330</v>
      </c>
      <c r="P123" s="7" t="s">
        <v>1209</v>
      </c>
      <c r="Z123" s="3" t="str">
        <f ca="1">HYPERLINK("#"&amp;일위대가목록표!J2&amp;"!A"&amp;ROW(일위대가목록표!A29),"대가26 →")</f>
        <v>대가26 →</v>
      </c>
    </row>
    <row r="124" spans="1:26" ht="28.7" customHeight="1" x14ac:dyDescent="0.3">
      <c r="A124" s="23" t="s">
        <v>6</v>
      </c>
      <c r="B124" s="74"/>
      <c r="C124" s="74"/>
      <c r="D124" s="74"/>
      <c r="E124" s="74"/>
      <c r="F124" s="47">
        <f>J124+H124+L124</f>
        <v>32171</v>
      </c>
      <c r="G124" s="74"/>
      <c r="H124" s="47">
        <f>ROUNDDOWN(SUMIF(P115:P123,O124,H115:H123),0)</f>
        <v>29718</v>
      </c>
      <c r="I124" s="74"/>
      <c r="J124" s="47">
        <f>ROUNDDOWN(SUMIF(P115:P123,O124,J115:J123),0)</f>
        <v>1670</v>
      </c>
      <c r="K124" s="74"/>
      <c r="L124" s="47">
        <f>ROUNDDOWN(SUMIF(P115:P123,O124,L115:L123),0)</f>
        <v>783</v>
      </c>
      <c r="M124" s="74"/>
      <c r="O124" s="7" t="s">
        <v>1209</v>
      </c>
    </row>
    <row r="125" spans="1:26" ht="28.7" customHeight="1" x14ac:dyDescent="0.3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</row>
    <row r="126" spans="1:26" ht="28.7" customHeight="1" x14ac:dyDescent="0.3">
      <c r="A126" s="135" t="s">
        <v>85</v>
      </c>
      <c r="B126" s="136"/>
      <c r="C126" s="136"/>
      <c r="D126" s="136"/>
      <c r="E126" s="136"/>
      <c r="F126" s="136"/>
      <c r="G126" s="136"/>
      <c r="H126" s="136"/>
      <c r="I126" s="136"/>
      <c r="J126" s="136"/>
      <c r="K126" s="136"/>
      <c r="L126" s="149"/>
      <c r="M126" s="23" t="s">
        <v>1334</v>
      </c>
      <c r="N126" s="84" t="str">
        <f>HYPERLINK("#N"&amp;ROW(N127),"_x0005_`BDCOD|B03895_x0007_`POSS|"&amp;ROW(N127)&amp;"_x0007_`POSE|"&amp;ROW(N127)&amp;"_x0007_`")</f>
        <v>_x0005_`BDCOD|B03895_x0007_`POSS|127_x0007_`POSE|127_x0007_`</v>
      </c>
      <c r="O126" s="7" t="s">
        <v>1335</v>
      </c>
    </row>
    <row r="127" spans="1:26" ht="28.7" customHeight="1" x14ac:dyDescent="0.3">
      <c r="A127" s="10" t="s">
        <v>175</v>
      </c>
      <c r="B127" s="10" t="s">
        <v>176</v>
      </c>
      <c r="C127" s="75">
        <v>0.5</v>
      </c>
      <c r="D127" s="32" t="s">
        <v>38</v>
      </c>
      <c r="E127" s="54">
        <f>I127+G127+K127</f>
        <v>50425</v>
      </c>
      <c r="F127" s="76">
        <f>J127+H127+L127</f>
        <v>25212.5</v>
      </c>
      <c r="G127" s="78">
        <f>단가산출근거목록표!F20</f>
        <v>48024</v>
      </c>
      <c r="H127" s="80">
        <f>IF(C127=0,0,ROUNDDOWN(G127*C127,1))</f>
        <v>24012</v>
      </c>
      <c r="I127" s="78">
        <f>단가산출근거목록표!G20</f>
        <v>0</v>
      </c>
      <c r="J127" s="80">
        <f>IF(C127=0,0,ROUNDDOWN(I127*C127,1))</f>
        <v>0</v>
      </c>
      <c r="K127" s="78">
        <f>단가산출근거목록표!H20</f>
        <v>2401</v>
      </c>
      <c r="L127" s="80">
        <f>IF(C127=0,0,ROUNDDOWN(K127*C127,1))</f>
        <v>1200.5</v>
      </c>
      <c r="M127" s="23" t="s">
        <v>930</v>
      </c>
      <c r="N127" s="17" t="s">
        <v>1336</v>
      </c>
      <c r="O127" s="7" t="s">
        <v>928</v>
      </c>
      <c r="P127" s="7" t="s">
        <v>1209</v>
      </c>
      <c r="Z127" s="3" t="str">
        <f ca="1">HYPERLINK("#"&amp;단가산출근거목록표!J2&amp;"!A"&amp;ROW(단가산출근거목록표!A20),"산근17 →")</f>
        <v>산근17 →</v>
      </c>
    </row>
    <row r="128" spans="1:26" ht="28.7" customHeight="1" x14ac:dyDescent="0.3">
      <c r="A128" s="23" t="s">
        <v>6</v>
      </c>
      <c r="B128" s="74"/>
      <c r="C128" s="74"/>
      <c r="D128" s="74"/>
      <c r="E128" s="74"/>
      <c r="F128" s="47">
        <f>J128+H128+L128</f>
        <v>25212</v>
      </c>
      <c r="G128" s="74"/>
      <c r="H128" s="47">
        <f>ROUNDDOWN(SUMIF(P127:P127,O128,H127:H127),0)</f>
        <v>24012</v>
      </c>
      <c r="I128" s="74"/>
      <c r="J128" s="47">
        <f>ROUNDDOWN(SUMIF(P127:P127,O128,J127:J127),0)</f>
        <v>0</v>
      </c>
      <c r="K128" s="74"/>
      <c r="L128" s="47">
        <f>ROUNDDOWN(SUMIF(P127:P127,O128,L127:L127),0)</f>
        <v>1200</v>
      </c>
      <c r="M128" s="74"/>
      <c r="O128" s="7" t="s">
        <v>1209</v>
      </c>
    </row>
    <row r="129" spans="1:26" ht="28.7" customHeight="1" x14ac:dyDescent="0.3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</row>
    <row r="130" spans="1:26" ht="28.7" customHeight="1" x14ac:dyDescent="0.3">
      <c r="A130" s="135" t="s">
        <v>89</v>
      </c>
      <c r="B130" s="136"/>
      <c r="C130" s="136"/>
      <c r="D130" s="136"/>
      <c r="E130" s="136"/>
      <c r="F130" s="136"/>
      <c r="G130" s="136"/>
      <c r="H130" s="136"/>
      <c r="I130" s="136"/>
      <c r="J130" s="136"/>
      <c r="K130" s="136"/>
      <c r="L130" s="149"/>
      <c r="M130" s="23" t="s">
        <v>1337</v>
      </c>
      <c r="N130" s="84" t="str">
        <f>HYPERLINK("#N"&amp;ROW(N131),"_x0005_`BDCOD|B03637_x0007_`POSS|"&amp;ROW(N131)&amp;"_x0007_`POSE|"&amp;ROW(N131)&amp;"_x0007_`")</f>
        <v>_x0005_`BDCOD|B03637_x0007_`POSS|131_x0007_`POSE|131_x0007_`</v>
      </c>
      <c r="O130" s="7" t="s">
        <v>1338</v>
      </c>
    </row>
    <row r="131" spans="1:26" ht="28.7" customHeight="1" x14ac:dyDescent="0.3">
      <c r="A131" s="10" t="s">
        <v>242</v>
      </c>
      <c r="B131" s="10"/>
      <c r="C131" s="75">
        <v>1</v>
      </c>
      <c r="D131" s="32" t="s">
        <v>28</v>
      </c>
      <c r="E131" s="54">
        <f>I131+G131+K131</f>
        <v>103287</v>
      </c>
      <c r="F131" s="76">
        <f>J131+H131+L131</f>
        <v>103287</v>
      </c>
      <c r="G131" s="78">
        <f>단가산출근거목록표!F41</f>
        <v>75097</v>
      </c>
      <c r="H131" s="80">
        <f>IF(C131=0,0,ROUNDDOWN(G131*C131,1))</f>
        <v>75097</v>
      </c>
      <c r="I131" s="78">
        <f>단가산출근거목록표!G41</f>
        <v>13776</v>
      </c>
      <c r="J131" s="80">
        <f>IF(C131=0,0,ROUNDDOWN(I131*C131,1))</f>
        <v>13776</v>
      </c>
      <c r="K131" s="78">
        <f>단가산출근거목록표!H41</f>
        <v>14414</v>
      </c>
      <c r="L131" s="80">
        <f>IF(C131=0,0,ROUNDDOWN(K131*C131,1))</f>
        <v>14414</v>
      </c>
      <c r="M131" s="23" t="s">
        <v>1341</v>
      </c>
      <c r="N131" s="17" t="s">
        <v>1339</v>
      </c>
      <c r="O131" s="7" t="s">
        <v>1340</v>
      </c>
      <c r="P131" s="7" t="s">
        <v>1209</v>
      </c>
      <c r="Z131" s="3" t="str">
        <f ca="1">HYPERLINK("#"&amp;단가산출근거목록표!J2&amp;"!A"&amp;ROW(단가산출근거목록표!A41),"산근38 →")</f>
        <v>산근38 →</v>
      </c>
    </row>
    <row r="132" spans="1:26" ht="28.7" customHeight="1" x14ac:dyDescent="0.3">
      <c r="A132" s="23" t="s">
        <v>6</v>
      </c>
      <c r="B132" s="74"/>
      <c r="C132" s="74"/>
      <c r="D132" s="74"/>
      <c r="E132" s="74"/>
      <c r="F132" s="47">
        <f>J132+H132+L132</f>
        <v>103287</v>
      </c>
      <c r="G132" s="74"/>
      <c r="H132" s="47">
        <f>ROUNDDOWN(SUMIF(P131:P131,O132,H131:H131),0)</f>
        <v>75097</v>
      </c>
      <c r="I132" s="74"/>
      <c r="J132" s="47">
        <f>ROUNDDOWN(SUMIF(P131:P131,O132,J131:J131),0)</f>
        <v>13776</v>
      </c>
      <c r="K132" s="74"/>
      <c r="L132" s="47">
        <f>ROUNDDOWN(SUMIF(P131:P131,O132,L131:L131),0)</f>
        <v>14414</v>
      </c>
      <c r="M132" s="74"/>
      <c r="O132" s="7" t="s">
        <v>1209</v>
      </c>
    </row>
    <row r="133" spans="1:26" ht="28.7" customHeight="1" x14ac:dyDescent="0.3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</row>
    <row r="134" spans="1:26" ht="28.7" customHeight="1" x14ac:dyDescent="0.3">
      <c r="A134" s="135" t="s">
        <v>93</v>
      </c>
      <c r="B134" s="136"/>
      <c r="C134" s="136"/>
      <c r="D134" s="136"/>
      <c r="E134" s="136"/>
      <c r="F134" s="136"/>
      <c r="G134" s="136"/>
      <c r="H134" s="136"/>
      <c r="I134" s="136"/>
      <c r="J134" s="136"/>
      <c r="K134" s="136"/>
      <c r="L134" s="149"/>
      <c r="M134" s="23" t="s">
        <v>1342</v>
      </c>
      <c r="N134" s="84" t="str">
        <f>HYPERLINK("#N"&amp;ROW(N140),"_x0005_`BDCOD|B01892_x0007_`POSS|"&amp;ROW(N135)&amp;"_x0007_`POSE|"&amp;ROW(N140)&amp;"_x0007_`")</f>
        <v>_x0005_`BDCOD|B01892_x0007_`POSS|135_x0007_`POSE|140_x0007_`</v>
      </c>
      <c r="O134" s="7" t="s">
        <v>1343</v>
      </c>
    </row>
    <row r="135" spans="1:26" ht="28.7" customHeight="1" x14ac:dyDescent="0.3">
      <c r="A135" s="10" t="s">
        <v>126</v>
      </c>
      <c r="B135" s="10" t="s">
        <v>127</v>
      </c>
      <c r="C135" s="75">
        <v>6</v>
      </c>
      <c r="D135" s="32" t="s">
        <v>128</v>
      </c>
      <c r="E135" s="54">
        <f t="shared" ref="E135:F140" si="8">I135+G135+K135</f>
        <v>2661</v>
      </c>
      <c r="F135" s="76">
        <f t="shared" si="8"/>
        <v>15966</v>
      </c>
      <c r="G135" s="78">
        <f>단가산출근거목록표!F4</f>
        <v>1376</v>
      </c>
      <c r="H135" s="80">
        <f t="shared" ref="H135:H140" si="9">IF(C135=0,0,ROUNDDOWN(G135*C135,1))</f>
        <v>8256</v>
      </c>
      <c r="I135" s="78">
        <f>단가산출근거목록표!G4</f>
        <v>216</v>
      </c>
      <c r="J135" s="80">
        <f t="shared" ref="J135:J140" si="10">IF(C135=0,0,ROUNDDOWN(I135*C135,1))</f>
        <v>1296</v>
      </c>
      <c r="K135" s="78">
        <f>단가산출근거목록표!H4</f>
        <v>1069</v>
      </c>
      <c r="L135" s="80">
        <f t="shared" ref="L135:L140" si="11">IF(C135=0,0,ROUNDDOWN(K135*C135,1))</f>
        <v>6414</v>
      </c>
      <c r="M135" s="23" t="s">
        <v>802</v>
      </c>
      <c r="N135" s="17" t="s">
        <v>1344</v>
      </c>
      <c r="O135" s="7" t="s">
        <v>799</v>
      </c>
      <c r="P135" s="7" t="s">
        <v>1209</v>
      </c>
      <c r="Z135" s="3" t="str">
        <f ca="1">HYPERLINK("#"&amp;단가산출근거목록표!J2&amp;"!A"&amp;ROW(단가산출근거목록표!A4),"산근1 →")</f>
        <v>산근1 →</v>
      </c>
    </row>
    <row r="136" spans="1:26" ht="28.7" customHeight="1" x14ac:dyDescent="0.3">
      <c r="A136" s="10" t="s">
        <v>130</v>
      </c>
      <c r="B136" s="10" t="s">
        <v>245</v>
      </c>
      <c r="C136" s="75">
        <v>0.3</v>
      </c>
      <c r="D136" s="32" t="s">
        <v>115</v>
      </c>
      <c r="E136" s="54">
        <f t="shared" si="8"/>
        <v>8336</v>
      </c>
      <c r="F136" s="76">
        <f t="shared" si="8"/>
        <v>2500.7999999999997</v>
      </c>
      <c r="G136" s="78">
        <f>단가산출근거목록표!F42</f>
        <v>5032</v>
      </c>
      <c r="H136" s="80">
        <f t="shared" si="9"/>
        <v>1509.6</v>
      </c>
      <c r="I136" s="78">
        <f>단가산출근거목록표!G42</f>
        <v>1256</v>
      </c>
      <c r="J136" s="80">
        <f t="shared" si="10"/>
        <v>376.8</v>
      </c>
      <c r="K136" s="78">
        <f>단가산출근거목록표!H42</f>
        <v>2048</v>
      </c>
      <c r="L136" s="80">
        <f t="shared" si="11"/>
        <v>614.4</v>
      </c>
      <c r="M136" s="23" t="s">
        <v>1347</v>
      </c>
      <c r="N136" s="17" t="s">
        <v>1345</v>
      </c>
      <c r="O136" s="7" t="s">
        <v>1346</v>
      </c>
      <c r="P136" s="7" t="s">
        <v>1209</v>
      </c>
      <c r="Z136" s="3" t="str">
        <f ca="1">HYPERLINK("#"&amp;단가산출근거목록표!J2&amp;"!A"&amp;ROW(단가산출근거목록표!A42),"산근39 →")</f>
        <v>산근39 →</v>
      </c>
    </row>
    <row r="137" spans="1:26" ht="28.7" customHeight="1" x14ac:dyDescent="0.3">
      <c r="A137" s="10" t="s">
        <v>248</v>
      </c>
      <c r="B137" s="10" t="s">
        <v>249</v>
      </c>
      <c r="C137" s="75">
        <v>2.7</v>
      </c>
      <c r="D137" s="32" t="s">
        <v>115</v>
      </c>
      <c r="E137" s="54">
        <f t="shared" si="8"/>
        <v>8345</v>
      </c>
      <c r="F137" s="76">
        <f t="shared" si="8"/>
        <v>22531.5</v>
      </c>
      <c r="G137" s="78">
        <f>단가산출근거목록표!F43</f>
        <v>7443</v>
      </c>
      <c r="H137" s="80">
        <f t="shared" si="9"/>
        <v>20096.099999999999</v>
      </c>
      <c r="I137" s="78">
        <f>단가산출근거목록표!G43</f>
        <v>441</v>
      </c>
      <c r="J137" s="80">
        <f t="shared" si="10"/>
        <v>1190.7</v>
      </c>
      <c r="K137" s="78">
        <f>단가산출근거목록표!H43</f>
        <v>461</v>
      </c>
      <c r="L137" s="80">
        <f t="shared" si="11"/>
        <v>1244.7</v>
      </c>
      <c r="M137" s="23" t="s">
        <v>1350</v>
      </c>
      <c r="N137" s="17" t="s">
        <v>1348</v>
      </c>
      <c r="O137" s="7" t="s">
        <v>1349</v>
      </c>
      <c r="P137" s="7" t="s">
        <v>1209</v>
      </c>
      <c r="Z137" s="3" t="str">
        <f ca="1">HYPERLINK("#"&amp;단가산출근거목록표!J2&amp;"!A"&amp;ROW(단가산출근거목록표!A43),"산근40 →")</f>
        <v>산근40 →</v>
      </c>
    </row>
    <row r="138" spans="1:26" ht="28.7" customHeight="1" x14ac:dyDescent="0.3">
      <c r="A138" s="10" t="s">
        <v>252</v>
      </c>
      <c r="B138" s="10" t="s">
        <v>253</v>
      </c>
      <c r="C138" s="75">
        <v>2.7</v>
      </c>
      <c r="D138" s="32" t="s">
        <v>115</v>
      </c>
      <c r="E138" s="54">
        <f t="shared" si="8"/>
        <v>3302</v>
      </c>
      <c r="F138" s="76">
        <f t="shared" si="8"/>
        <v>8915.4</v>
      </c>
      <c r="G138" s="78">
        <f>단가산출근거목록표!F44</f>
        <v>2439</v>
      </c>
      <c r="H138" s="80">
        <f t="shared" si="9"/>
        <v>6585.3</v>
      </c>
      <c r="I138" s="78">
        <f>단가산출근거목록표!G44</f>
        <v>485</v>
      </c>
      <c r="J138" s="80">
        <f t="shared" si="10"/>
        <v>1309.5</v>
      </c>
      <c r="K138" s="78">
        <f>단가산출근거목록표!H44</f>
        <v>378</v>
      </c>
      <c r="L138" s="80">
        <f t="shared" si="11"/>
        <v>1020.6</v>
      </c>
      <c r="M138" s="23" t="s">
        <v>1353</v>
      </c>
      <c r="N138" s="17" t="s">
        <v>1351</v>
      </c>
      <c r="O138" s="7" t="s">
        <v>1352</v>
      </c>
      <c r="P138" s="7" t="s">
        <v>1209</v>
      </c>
      <c r="Z138" s="3" t="str">
        <f ca="1">HYPERLINK("#"&amp;단가산출근거목록표!J2&amp;"!A"&amp;ROW(단가산출근거목록표!A44),"산근41 →")</f>
        <v>산근41 →</v>
      </c>
    </row>
    <row r="139" spans="1:26" ht="28.7" customHeight="1" x14ac:dyDescent="0.3">
      <c r="A139" s="10" t="s">
        <v>160</v>
      </c>
      <c r="B139" s="10" t="s">
        <v>161</v>
      </c>
      <c r="C139" s="75">
        <v>2</v>
      </c>
      <c r="D139" s="32" t="s">
        <v>14</v>
      </c>
      <c r="E139" s="54">
        <f t="shared" si="8"/>
        <v>6290</v>
      </c>
      <c r="F139" s="76">
        <f t="shared" si="8"/>
        <v>12580</v>
      </c>
      <c r="G139" s="78">
        <f>단가산출근거목록표!F15</f>
        <v>5249</v>
      </c>
      <c r="H139" s="80">
        <f t="shared" si="9"/>
        <v>10498</v>
      </c>
      <c r="I139" s="78">
        <f>단가산출근거목록표!G15</f>
        <v>664</v>
      </c>
      <c r="J139" s="80">
        <f t="shared" si="10"/>
        <v>1328</v>
      </c>
      <c r="K139" s="78">
        <f>단가산출근거목록표!H15</f>
        <v>377</v>
      </c>
      <c r="L139" s="80">
        <f t="shared" si="11"/>
        <v>754</v>
      </c>
      <c r="M139" s="23" t="s">
        <v>893</v>
      </c>
      <c r="N139" s="17" t="s">
        <v>1354</v>
      </c>
      <c r="O139" s="7" t="s">
        <v>891</v>
      </c>
      <c r="P139" s="7" t="s">
        <v>1209</v>
      </c>
      <c r="Z139" s="3" t="str">
        <f ca="1">HYPERLINK("#"&amp;단가산출근거목록표!J2&amp;"!A"&amp;ROW(단가산출근거목록표!A15),"산근12 →")</f>
        <v>산근12 →</v>
      </c>
    </row>
    <row r="140" spans="1:26" ht="28.7" customHeight="1" x14ac:dyDescent="0.3">
      <c r="A140" s="10" t="s">
        <v>506</v>
      </c>
      <c r="B140" s="10" t="s">
        <v>507</v>
      </c>
      <c r="C140" s="75">
        <v>0.69</v>
      </c>
      <c r="D140" s="32" t="s">
        <v>508</v>
      </c>
      <c r="E140" s="54">
        <f t="shared" si="8"/>
        <v>93170</v>
      </c>
      <c r="F140" s="77">
        <f t="shared" si="8"/>
        <v>64287.3</v>
      </c>
      <c r="G140" s="50">
        <v>0</v>
      </c>
      <c r="H140" s="76">
        <f t="shared" si="9"/>
        <v>0</v>
      </c>
      <c r="I140" s="78">
        <f>재료비목록표!E36</f>
        <v>93170</v>
      </c>
      <c r="J140" s="81">
        <f t="shared" si="10"/>
        <v>64287.3</v>
      </c>
      <c r="K140" s="50">
        <v>0</v>
      </c>
      <c r="L140" s="76">
        <f t="shared" si="11"/>
        <v>0</v>
      </c>
      <c r="M140" s="23" t="s">
        <v>1356</v>
      </c>
      <c r="N140" s="17" t="s">
        <v>1355</v>
      </c>
      <c r="O140" s="7" t="s">
        <v>967</v>
      </c>
      <c r="P140" s="7" t="s">
        <v>1209</v>
      </c>
      <c r="Z140" s="3" t="str">
        <f ca="1">HYPERLINK("#"&amp;재료비목록표!G2&amp;"!A"&amp;ROW(재료비목록표!A36),"자재33 →")</f>
        <v>자재33 →</v>
      </c>
    </row>
    <row r="141" spans="1:26" ht="28.7" customHeight="1" x14ac:dyDescent="0.3">
      <c r="A141" s="23" t="s">
        <v>6</v>
      </c>
      <c r="B141" s="74"/>
      <c r="C141" s="74"/>
      <c r="D141" s="74"/>
      <c r="E141" s="74"/>
      <c r="F141" s="47">
        <f>J141+H141+L141</f>
        <v>126780</v>
      </c>
      <c r="G141" s="74"/>
      <c r="H141" s="47">
        <f>ROUNDDOWN(SUMIF(P135:P140,O141,H135:H140),0)</f>
        <v>46945</v>
      </c>
      <c r="I141" s="74"/>
      <c r="J141" s="47">
        <f>ROUNDDOWN(SUMIF(P135:P140,O141,J135:J140),0)</f>
        <v>69788</v>
      </c>
      <c r="K141" s="74"/>
      <c r="L141" s="47">
        <f>ROUNDDOWN(SUMIF(P135:P140,O141,L135:L140),0)</f>
        <v>10047</v>
      </c>
      <c r="M141" s="74"/>
      <c r="O141" s="7" t="s">
        <v>1209</v>
      </c>
    </row>
    <row r="142" spans="1:26" ht="28.7" customHeight="1" x14ac:dyDescent="0.3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</row>
    <row r="143" spans="1:26" ht="28.7" customHeight="1" x14ac:dyDescent="0.3">
      <c r="A143" s="135" t="s">
        <v>97</v>
      </c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49"/>
      <c r="M143" s="23" t="s">
        <v>1357</v>
      </c>
      <c r="N143" s="84" t="str">
        <f>HYPERLINK("#N"&amp;ROW(N146),"_x0005_`BDCOD|B02657_x0007_`POSS|"&amp;ROW(N144)&amp;"_x0007_`POSE|"&amp;ROW(N146)&amp;"_x0007_`")</f>
        <v>_x0005_`BDCOD|B02657_x0007_`POSS|144_x0007_`POSE|146_x0007_`</v>
      </c>
      <c r="O143" s="7" t="s">
        <v>1358</v>
      </c>
    </row>
    <row r="144" spans="1:26" ht="28.7" customHeight="1" x14ac:dyDescent="0.3">
      <c r="A144" s="10" t="s">
        <v>589</v>
      </c>
      <c r="B144" s="10"/>
      <c r="C144" s="75">
        <v>2</v>
      </c>
      <c r="D144" s="32" t="s">
        <v>587</v>
      </c>
      <c r="E144" s="54">
        <f>I144+G144+K144</f>
        <v>173784</v>
      </c>
      <c r="F144" s="76">
        <f>J144+H144+L144</f>
        <v>347568</v>
      </c>
      <c r="G144" s="78">
        <f>노무비목록표!E5</f>
        <v>173784</v>
      </c>
      <c r="H144" s="81">
        <f>IF(C144=0,0,ROUNDDOWN(G144*C144,1))</f>
        <v>347568</v>
      </c>
      <c r="I144" s="50">
        <v>0</v>
      </c>
      <c r="J144" s="77">
        <f>IF(C144=0,0,ROUNDDOWN(I144*C144,1))</f>
        <v>0</v>
      </c>
      <c r="K144" s="50">
        <v>0</v>
      </c>
      <c r="L144" s="76">
        <f>IF(C144=0,0,ROUNDDOWN(K144*C144,1))</f>
        <v>0</v>
      </c>
      <c r="M144" s="23" t="s">
        <v>1361</v>
      </c>
      <c r="N144" s="17" t="s">
        <v>1359</v>
      </c>
      <c r="O144" s="7" t="s">
        <v>1360</v>
      </c>
      <c r="P144" s="7" t="s">
        <v>1230</v>
      </c>
      <c r="Q144" s="7" t="s">
        <v>1214</v>
      </c>
      <c r="Z144" s="3" t="str">
        <f ca="1">HYPERLINK("#"&amp;노무비목록표!G2&amp;"!A"&amp;ROW(노무비목록표!A5),"노무2 →")</f>
        <v>노무2 →</v>
      </c>
    </row>
    <row r="145" spans="1:26" ht="28.7" customHeight="1" x14ac:dyDescent="0.3">
      <c r="A145" s="10" t="s">
        <v>1232</v>
      </c>
      <c r="B145" s="10"/>
      <c r="C145" s="75">
        <v>0</v>
      </c>
      <c r="D145" s="32"/>
      <c r="E145" s="22">
        <v>0</v>
      </c>
      <c r="F145" s="77">
        <f>J145+H145+L145</f>
        <v>347568</v>
      </c>
      <c r="G145" s="41"/>
      <c r="H145" s="77">
        <f>SUMIF(P144:P144,O145,H144:H144)</f>
        <v>347568</v>
      </c>
      <c r="I145" s="41"/>
      <c r="J145" s="76">
        <f>SUMIF(P144:P144,O145,J144:J144)</f>
        <v>0</v>
      </c>
      <c r="K145" s="45"/>
      <c r="L145" s="76">
        <f>SUMIF(P144:P144,O145,L144:L144)</f>
        <v>0</v>
      </c>
      <c r="M145" s="23"/>
      <c r="N145" s="17" t="s">
        <v>1233</v>
      </c>
      <c r="O145" s="7" t="s">
        <v>1230</v>
      </c>
    </row>
    <row r="146" spans="1:26" ht="28.7" customHeight="1" x14ac:dyDescent="0.3">
      <c r="A146" s="10" t="s">
        <v>1362</v>
      </c>
      <c r="B146" s="10" t="s">
        <v>617</v>
      </c>
      <c r="C146" s="75">
        <v>100</v>
      </c>
      <c r="D146" s="32" t="s">
        <v>539</v>
      </c>
      <c r="E146" s="54">
        <f>I146+G146+K146</f>
        <v>347568</v>
      </c>
      <c r="F146" s="77">
        <f>J146+H146+L146</f>
        <v>347568</v>
      </c>
      <c r="G146" s="13">
        <v>0</v>
      </c>
      <c r="H146" s="77">
        <f>IF(C146=0,0,ROUNDDOWN(G146*C146/100,1))</f>
        <v>0</v>
      </c>
      <c r="I146" s="13">
        <v>0</v>
      </c>
      <c r="J146" s="76">
        <f>IF(C146=0,0,ROUNDDOWN(I146*C146/100,1))</f>
        <v>0</v>
      </c>
      <c r="K146" s="82">
        <f>H144</f>
        <v>347568</v>
      </c>
      <c r="L146" s="76">
        <f>IF(C146=0,0,ROUNDDOWN(K146*C146/100,1))</f>
        <v>347568</v>
      </c>
      <c r="M146" s="23"/>
      <c r="N146" s="17" t="s">
        <v>1282</v>
      </c>
      <c r="O146" s="7" t="s">
        <v>1236</v>
      </c>
      <c r="P146" s="7" t="s">
        <v>1209</v>
      </c>
    </row>
    <row r="147" spans="1:26" ht="28.7" customHeight="1" x14ac:dyDescent="0.3">
      <c r="A147" s="23" t="s">
        <v>6</v>
      </c>
      <c r="B147" s="74"/>
      <c r="C147" s="74"/>
      <c r="D147" s="74"/>
      <c r="E147" s="74"/>
      <c r="F147" s="47">
        <f>J147+H147+L147</f>
        <v>347568</v>
      </c>
      <c r="G147" s="74"/>
      <c r="H147" s="47">
        <f>ROUNDDOWN(SUMIF(P144:P146,O147,H144:H146),0)</f>
        <v>0</v>
      </c>
      <c r="I147" s="74"/>
      <c r="J147" s="47">
        <f>ROUNDDOWN(SUMIF(P144:P146,O147,J144:J146),0)</f>
        <v>0</v>
      </c>
      <c r="K147" s="74"/>
      <c r="L147" s="47">
        <f>ROUNDDOWN(SUMIF(P144:P146,O147,L144:L146),0)</f>
        <v>347568</v>
      </c>
      <c r="M147" s="74"/>
      <c r="O147" s="7" t="s">
        <v>1209</v>
      </c>
    </row>
    <row r="148" spans="1:26" ht="28.7" customHeight="1" x14ac:dyDescent="0.3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</row>
    <row r="149" spans="1:26" ht="28.7" customHeight="1" x14ac:dyDescent="0.3">
      <c r="A149" s="135" t="s">
        <v>102</v>
      </c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49"/>
      <c r="M149" s="23" t="s">
        <v>1363</v>
      </c>
      <c r="N149" s="84" t="str">
        <f>HYPERLINK("#N"&amp;ROW(N151),"_x0005_`BDCOD|B04012_x0007_`POSS|"&amp;ROW(N150)&amp;"_x0007_`POSE|"&amp;ROW(N151)&amp;"_x0007_`")</f>
        <v>_x0005_`BDCOD|B04012_x0007_`POSS|150_x0007_`POSE|151_x0007_`</v>
      </c>
      <c r="O149" s="7" t="s">
        <v>1364</v>
      </c>
    </row>
    <row r="150" spans="1:26" ht="28.7" customHeight="1" x14ac:dyDescent="0.3">
      <c r="A150" s="10" t="s">
        <v>256</v>
      </c>
      <c r="B150" s="10"/>
      <c r="C150" s="75">
        <v>1</v>
      </c>
      <c r="D150" s="32" t="s">
        <v>180</v>
      </c>
      <c r="E150" s="54">
        <f>I150+G150+K150</f>
        <v>97935</v>
      </c>
      <c r="F150" s="76">
        <f>J150+H150+L150</f>
        <v>97935</v>
      </c>
      <c r="G150" s="78">
        <f>단가산출근거목록표!F45</f>
        <v>4663</v>
      </c>
      <c r="H150" s="80">
        <f>IF(C150=0,0,ROUNDDOWN(G150*C150,1))</f>
        <v>4663</v>
      </c>
      <c r="I150" s="78">
        <f>단가산출근거목록표!G45</f>
        <v>93272</v>
      </c>
      <c r="J150" s="80">
        <f>IF(C150=0,0,ROUNDDOWN(I150*C150,1))</f>
        <v>93272</v>
      </c>
      <c r="K150" s="78">
        <f>단가산출근거목록표!H45</f>
        <v>0</v>
      </c>
      <c r="L150" s="80">
        <f>IF(C150=0,0,ROUNDDOWN(K150*C150,1))</f>
        <v>0</v>
      </c>
      <c r="M150" s="23" t="s">
        <v>1367</v>
      </c>
      <c r="N150" s="17" t="s">
        <v>1365</v>
      </c>
      <c r="O150" s="7" t="s">
        <v>1366</v>
      </c>
      <c r="P150" s="7" t="s">
        <v>1209</v>
      </c>
      <c r="Z150" s="3" t="str">
        <f ca="1">HYPERLINK("#"&amp;단가산출근거목록표!J2&amp;"!A"&amp;ROW(단가산출근거목록표!A45),"산근42 →")</f>
        <v>산근42 →</v>
      </c>
    </row>
    <row r="151" spans="1:26" ht="28.7" customHeight="1" x14ac:dyDescent="0.3">
      <c r="A151" s="10" t="s">
        <v>570</v>
      </c>
      <c r="B151" s="10" t="s">
        <v>571</v>
      </c>
      <c r="C151" s="75">
        <v>1</v>
      </c>
      <c r="D151" s="32" t="s">
        <v>106</v>
      </c>
      <c r="E151" s="54">
        <f>I151+G151+K151</f>
        <v>59000</v>
      </c>
      <c r="F151" s="77">
        <f>J151+H151+L151</f>
        <v>59000</v>
      </c>
      <c r="G151" s="50">
        <v>0</v>
      </c>
      <c r="H151" s="76">
        <f>IF(C151=0,0,ROUNDDOWN(G151*C151,1))</f>
        <v>0</v>
      </c>
      <c r="I151" s="78">
        <f>재료비목록표!E53</f>
        <v>59000</v>
      </c>
      <c r="J151" s="81">
        <f>IF(C151=0,0,ROUNDDOWN(I151*C151,1))</f>
        <v>59000</v>
      </c>
      <c r="K151" s="50">
        <v>0</v>
      </c>
      <c r="L151" s="76">
        <f>IF(C151=0,0,ROUNDDOWN(K151*C151,1))</f>
        <v>0</v>
      </c>
      <c r="M151" s="23" t="s">
        <v>1370</v>
      </c>
      <c r="N151" s="17" t="s">
        <v>1368</v>
      </c>
      <c r="O151" s="7" t="s">
        <v>1369</v>
      </c>
      <c r="P151" s="7" t="s">
        <v>1209</v>
      </c>
      <c r="Z151" s="3" t="str">
        <f ca="1">HYPERLINK("#"&amp;재료비목록표!G2&amp;"!A"&amp;ROW(재료비목록표!A53),"자재50 →")</f>
        <v>자재50 →</v>
      </c>
    </row>
    <row r="152" spans="1:26" ht="28.7" customHeight="1" x14ac:dyDescent="0.3">
      <c r="A152" s="23" t="s">
        <v>6</v>
      </c>
      <c r="B152" s="74"/>
      <c r="C152" s="74"/>
      <c r="D152" s="74"/>
      <c r="E152" s="74"/>
      <c r="F152" s="47">
        <f>J152+H152+L152</f>
        <v>156935</v>
      </c>
      <c r="G152" s="74"/>
      <c r="H152" s="47">
        <f>ROUNDDOWN(SUMIF(P150:P151,O152,H150:H151),0)</f>
        <v>4663</v>
      </c>
      <c r="I152" s="74"/>
      <c r="J152" s="47">
        <f>ROUNDDOWN(SUMIF(P150:P151,O152,J150:J151),0)</f>
        <v>152272</v>
      </c>
      <c r="K152" s="74"/>
      <c r="L152" s="47">
        <f>ROUNDDOWN(SUMIF(P150:P151,O152,L150:L151),0)</f>
        <v>0</v>
      </c>
      <c r="M152" s="74"/>
      <c r="O152" s="7" t="s">
        <v>1209</v>
      </c>
    </row>
    <row r="153" spans="1:26" ht="28.7" customHeight="1" x14ac:dyDescent="0.3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</row>
    <row r="154" spans="1:26" ht="28.7" customHeight="1" x14ac:dyDescent="0.3">
      <c r="A154" s="135" t="s">
        <v>107</v>
      </c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49"/>
      <c r="M154" s="23" t="s">
        <v>1371</v>
      </c>
      <c r="N154" s="84" t="str">
        <f>HYPERLINK("#N"&amp;ROW(N155),"_x0005_`BDCOD|B00401_x0007_`POSS|"&amp;ROW(N155)&amp;"_x0007_`POSE|"&amp;ROW(N155)&amp;"_x0007_`")</f>
        <v>_x0005_`BDCOD|B00401_x0007_`POSS|155_x0007_`POSE|155_x0007_`</v>
      </c>
      <c r="O154" s="7" t="s">
        <v>1372</v>
      </c>
    </row>
    <row r="155" spans="1:26" ht="28.7" customHeight="1" x14ac:dyDescent="0.3">
      <c r="A155" s="10" t="s">
        <v>172</v>
      </c>
      <c r="B155" s="10" t="s">
        <v>209</v>
      </c>
      <c r="C155" s="75">
        <v>1</v>
      </c>
      <c r="D155" s="32" t="s">
        <v>128</v>
      </c>
      <c r="E155" s="54">
        <f>I155+G155+K155</f>
        <v>36170</v>
      </c>
      <c r="F155" s="76">
        <f>J155+H155+L155</f>
        <v>36170</v>
      </c>
      <c r="G155" s="78">
        <f>단가산출근거목록표!F32</f>
        <v>30708</v>
      </c>
      <c r="H155" s="80">
        <f>IF(C155=0,0,ROUNDDOWN(G155*C155,1))</f>
        <v>30708</v>
      </c>
      <c r="I155" s="78">
        <f>단가산출근거목록표!G32</f>
        <v>4689</v>
      </c>
      <c r="J155" s="80">
        <f>IF(C155=0,0,ROUNDDOWN(I155*C155,1))</f>
        <v>4689</v>
      </c>
      <c r="K155" s="78">
        <f>단가산출근거목록표!H32</f>
        <v>773</v>
      </c>
      <c r="L155" s="80">
        <f>IF(C155=0,0,ROUNDDOWN(K155*C155,1))</f>
        <v>773</v>
      </c>
      <c r="M155" s="23" t="s">
        <v>1375</v>
      </c>
      <c r="N155" s="17" t="s">
        <v>1373</v>
      </c>
      <c r="O155" s="7" t="s">
        <v>1374</v>
      </c>
      <c r="P155" s="7" t="s">
        <v>1209</v>
      </c>
      <c r="Z155" s="3" t="str">
        <f ca="1">HYPERLINK("#"&amp;단가산출근거목록표!J2&amp;"!A"&amp;ROW(단가산출근거목록표!A32),"산근29 →")</f>
        <v>산근29 →</v>
      </c>
    </row>
    <row r="156" spans="1:26" ht="28.7" customHeight="1" x14ac:dyDescent="0.3">
      <c r="A156" s="23" t="s">
        <v>6</v>
      </c>
      <c r="B156" s="74"/>
      <c r="C156" s="74"/>
      <c r="D156" s="74"/>
      <c r="E156" s="74"/>
      <c r="F156" s="47">
        <f>J156+H156+L156</f>
        <v>36170</v>
      </c>
      <c r="G156" s="74"/>
      <c r="H156" s="47">
        <f>ROUNDDOWN(SUMIF(P155:P155,O156,H155:H155),0)</f>
        <v>30708</v>
      </c>
      <c r="I156" s="74"/>
      <c r="J156" s="47">
        <f>ROUNDDOWN(SUMIF(P155:P155,O156,J155:J155),0)</f>
        <v>4689</v>
      </c>
      <c r="K156" s="74"/>
      <c r="L156" s="47">
        <f>ROUNDDOWN(SUMIF(P155:P155,O156,L155:L155),0)</f>
        <v>773</v>
      </c>
      <c r="M156" s="74"/>
      <c r="O156" s="7" t="s">
        <v>1209</v>
      </c>
    </row>
    <row r="157" spans="1:26" ht="28.7" customHeight="1" x14ac:dyDescent="0.3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</row>
    <row r="158" spans="1:26" ht="28.7" customHeight="1" x14ac:dyDescent="0.3">
      <c r="A158" s="135" t="s">
        <v>111</v>
      </c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49"/>
      <c r="M158" s="23" t="s">
        <v>1376</v>
      </c>
      <c r="N158" s="84" t="str">
        <f>HYPERLINK("#N"&amp;ROW(N160),"_x0005_`BDCOD|B04067_x0007_`POSS|"&amp;ROW(N159)&amp;"_x0007_`POSE|"&amp;ROW(N160)&amp;"_x0007_`")</f>
        <v>_x0005_`BDCOD|B04067_x0007_`POSS|159_x0007_`POSE|160_x0007_`</v>
      </c>
      <c r="O158" s="7" t="s">
        <v>1377</v>
      </c>
    </row>
    <row r="159" spans="1:26" ht="28.7" customHeight="1" x14ac:dyDescent="0.3">
      <c r="A159" s="10" t="s">
        <v>456</v>
      </c>
      <c r="B159" s="10" t="s">
        <v>460</v>
      </c>
      <c r="C159" s="75">
        <v>1</v>
      </c>
      <c r="D159" s="32" t="s">
        <v>115</v>
      </c>
      <c r="E159" s="54">
        <f>I159+G159+K159</f>
        <v>0</v>
      </c>
      <c r="F159" s="77">
        <f>J159+H159+L159</f>
        <v>0</v>
      </c>
      <c r="G159" s="50">
        <v>0</v>
      </c>
      <c r="H159" s="76">
        <f>IF(C159=0,0,ROUNDDOWN(G159*C159,1))</f>
        <v>0</v>
      </c>
      <c r="I159" s="78">
        <f>재료비목록표!E24</f>
        <v>0</v>
      </c>
      <c r="J159" s="81">
        <f>IF(C159=0,0,ROUNDDOWN(I159*C159,1))</f>
        <v>0</v>
      </c>
      <c r="K159" s="50">
        <v>0</v>
      </c>
      <c r="L159" s="76">
        <f>IF(C159=0,0,ROUNDDOWN(K159*C159,1))</f>
        <v>0</v>
      </c>
      <c r="M159" s="23" t="s">
        <v>1380</v>
      </c>
      <c r="N159" s="17" t="s">
        <v>1378</v>
      </c>
      <c r="O159" s="7" t="s">
        <v>1379</v>
      </c>
      <c r="P159" s="7" t="s">
        <v>1209</v>
      </c>
      <c r="Z159" s="3" t="str">
        <f ca="1">HYPERLINK("#"&amp;재료비목록표!G2&amp;"!A"&amp;ROW(재료비목록표!A24),"자재21 →")</f>
        <v>자재21 →</v>
      </c>
    </row>
    <row r="160" spans="1:26" ht="28.7" customHeight="1" x14ac:dyDescent="0.3">
      <c r="A160" s="10" t="s">
        <v>212</v>
      </c>
      <c r="B160" s="10" t="s">
        <v>213</v>
      </c>
      <c r="C160" s="75">
        <v>1</v>
      </c>
      <c r="D160" s="32" t="s">
        <v>115</v>
      </c>
      <c r="E160" s="54">
        <f>I160+G160+K160</f>
        <v>59284</v>
      </c>
      <c r="F160" s="76">
        <f>J160+H160+L160</f>
        <v>59284</v>
      </c>
      <c r="G160" s="78">
        <f>단가산출근거목록표!F33</f>
        <v>58122</v>
      </c>
      <c r="H160" s="80">
        <f>IF(C160=0,0,ROUNDDOWN(G160*C160,1))</f>
        <v>58122</v>
      </c>
      <c r="I160" s="78">
        <f>단가산출근거목록표!G33</f>
        <v>0</v>
      </c>
      <c r="J160" s="80">
        <f>IF(C160=0,0,ROUNDDOWN(I160*C160,1))</f>
        <v>0</v>
      </c>
      <c r="K160" s="78">
        <f>단가산출근거목록표!H33</f>
        <v>1162</v>
      </c>
      <c r="L160" s="80">
        <f>IF(C160=0,0,ROUNDDOWN(K160*C160,1))</f>
        <v>1162</v>
      </c>
      <c r="M160" s="23" t="s">
        <v>1383</v>
      </c>
      <c r="N160" s="17" t="s">
        <v>1381</v>
      </c>
      <c r="O160" s="7" t="s">
        <v>1382</v>
      </c>
      <c r="P160" s="7" t="s">
        <v>1209</v>
      </c>
      <c r="Z160" s="3" t="str">
        <f ca="1">HYPERLINK("#"&amp;단가산출근거목록표!J2&amp;"!A"&amp;ROW(단가산출근거목록표!A33),"산근30 →")</f>
        <v>산근30 →</v>
      </c>
    </row>
    <row r="161" spans="1:26" ht="28.7" customHeight="1" x14ac:dyDescent="0.3">
      <c r="A161" s="23" t="s">
        <v>6</v>
      </c>
      <c r="B161" s="74"/>
      <c r="C161" s="74"/>
      <c r="D161" s="74"/>
      <c r="E161" s="74"/>
      <c r="F161" s="47">
        <f>J161+H161+L161</f>
        <v>59284</v>
      </c>
      <c r="G161" s="74"/>
      <c r="H161" s="47">
        <f>ROUNDDOWN(SUMIF(P159:P160,O161,H159:H160),0)</f>
        <v>58122</v>
      </c>
      <c r="I161" s="74"/>
      <c r="J161" s="47">
        <f>ROUNDDOWN(SUMIF(P159:P160,O161,J159:J160),0)</f>
        <v>0</v>
      </c>
      <c r="K161" s="74"/>
      <c r="L161" s="47">
        <f>ROUNDDOWN(SUMIF(P159:P160,O161,L159:L160),0)</f>
        <v>1162</v>
      </c>
      <c r="M161" s="74"/>
      <c r="O161" s="7" t="s">
        <v>1209</v>
      </c>
    </row>
    <row r="162" spans="1:26" ht="28.7" customHeight="1" x14ac:dyDescent="0.3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</row>
    <row r="163" spans="1:26" ht="28.7" customHeight="1" x14ac:dyDescent="0.3">
      <c r="A163" s="135" t="s">
        <v>116</v>
      </c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49"/>
      <c r="M163" s="23" t="s">
        <v>1384</v>
      </c>
      <c r="N163" s="84" t="str">
        <f>HYPERLINK("#N"&amp;ROW(N165),"_x0005_`BDCOD|B00235_x0007_`POSS|"&amp;ROW(N164)&amp;"_x0007_`POSE|"&amp;ROW(N165)&amp;"_x0007_`")</f>
        <v>_x0005_`BDCOD|B00235_x0007_`POSS|164_x0007_`POSE|165_x0007_`</v>
      </c>
      <c r="O163" s="7" t="s">
        <v>1385</v>
      </c>
    </row>
    <row r="164" spans="1:26" ht="28.7" customHeight="1" x14ac:dyDescent="0.3">
      <c r="A164" s="10" t="s">
        <v>122</v>
      </c>
      <c r="B164" s="10" t="s">
        <v>119</v>
      </c>
      <c r="C164" s="75">
        <v>1</v>
      </c>
      <c r="D164" s="32" t="s">
        <v>115</v>
      </c>
      <c r="E164" s="54">
        <f>I164+G164+K164</f>
        <v>113564</v>
      </c>
      <c r="F164" s="76">
        <f>J164+H164+L164</f>
        <v>113564</v>
      </c>
      <c r="G164" s="78">
        <f>일위대가목록표!F30</f>
        <v>113564</v>
      </c>
      <c r="H164" s="80">
        <f>IF(C164=0,0,ROUNDDOWN(G164*C164,1))</f>
        <v>113564</v>
      </c>
      <c r="I164" s="78">
        <f>일위대가목록표!G30</f>
        <v>0</v>
      </c>
      <c r="J164" s="80">
        <f>IF(C164=0,0,ROUNDDOWN(I164*C164,1))</f>
        <v>0</v>
      </c>
      <c r="K164" s="78">
        <f>일위대가목록표!H30</f>
        <v>0</v>
      </c>
      <c r="L164" s="80">
        <f>IF(C164=0,0,ROUNDDOWN(K164*C164,1))</f>
        <v>0</v>
      </c>
      <c r="M164" s="23" t="s">
        <v>1388</v>
      </c>
      <c r="N164" s="17" t="s">
        <v>1386</v>
      </c>
      <c r="O164" s="7" t="s">
        <v>1387</v>
      </c>
      <c r="P164" s="7" t="s">
        <v>1209</v>
      </c>
      <c r="Z164" s="3" t="str">
        <f ca="1">HYPERLINK("#"&amp;일위대가목록표!J2&amp;"!A"&amp;ROW(일위대가목록표!A30),"대가27 →")</f>
        <v>대가27 →</v>
      </c>
    </row>
    <row r="165" spans="1:26" ht="28.7" customHeight="1" x14ac:dyDescent="0.3">
      <c r="A165" s="10" t="s">
        <v>595</v>
      </c>
      <c r="B165" s="10"/>
      <c r="C165" s="75">
        <v>1</v>
      </c>
      <c r="D165" s="32" t="s">
        <v>587</v>
      </c>
      <c r="E165" s="54">
        <f>I165+G165+K165</f>
        <v>172068</v>
      </c>
      <c r="F165" s="76">
        <f>J165+H165+L165</f>
        <v>172068</v>
      </c>
      <c r="G165" s="78">
        <f>노무비목록표!E8</f>
        <v>172068</v>
      </c>
      <c r="H165" s="81">
        <f>IF(C165=0,0,ROUNDDOWN(G165*C165,1))</f>
        <v>172068</v>
      </c>
      <c r="I165" s="50">
        <v>0</v>
      </c>
      <c r="J165" s="77">
        <f>IF(C165=0,0,ROUNDDOWN(I165*C165,1))</f>
        <v>0</v>
      </c>
      <c r="K165" s="50">
        <v>0</v>
      </c>
      <c r="L165" s="76">
        <f>IF(C165=0,0,ROUNDDOWN(K165*C165,1))</f>
        <v>0</v>
      </c>
      <c r="M165" s="23" t="s">
        <v>1220</v>
      </c>
      <c r="N165" s="17" t="s">
        <v>1389</v>
      </c>
      <c r="O165" s="7" t="s">
        <v>1219</v>
      </c>
      <c r="P165" s="7" t="s">
        <v>1209</v>
      </c>
      <c r="Z165" s="3" t="str">
        <f ca="1">HYPERLINK("#"&amp;노무비목록표!G2&amp;"!A"&amp;ROW(노무비목록표!A8),"노무5 →")</f>
        <v>노무5 →</v>
      </c>
    </row>
    <row r="166" spans="1:26" ht="28.7" customHeight="1" x14ac:dyDescent="0.3">
      <c r="A166" s="23" t="s">
        <v>6</v>
      </c>
      <c r="B166" s="74"/>
      <c r="C166" s="74"/>
      <c r="D166" s="74"/>
      <c r="E166" s="74"/>
      <c r="F166" s="47">
        <f>J166+H166+L166</f>
        <v>285632</v>
      </c>
      <c r="G166" s="74"/>
      <c r="H166" s="47">
        <f>ROUNDDOWN(SUMIF(P164:P165,O166,H164:H165),0)</f>
        <v>285632</v>
      </c>
      <c r="I166" s="74"/>
      <c r="J166" s="47">
        <f>ROUNDDOWN(SUMIF(P164:P165,O166,J164:J165),0)</f>
        <v>0</v>
      </c>
      <c r="K166" s="74"/>
      <c r="L166" s="47">
        <f>ROUNDDOWN(SUMIF(P164:P165,O166,L164:L165),0)</f>
        <v>0</v>
      </c>
      <c r="M166" s="74"/>
      <c r="O166" s="7" t="s">
        <v>1209</v>
      </c>
    </row>
    <row r="167" spans="1:26" ht="28.7" customHeight="1" x14ac:dyDescent="0.3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</row>
    <row r="168" spans="1:26" ht="28.7" customHeight="1" x14ac:dyDescent="0.3">
      <c r="A168" s="135" t="s">
        <v>120</v>
      </c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49"/>
      <c r="M168" s="23" t="s">
        <v>1390</v>
      </c>
      <c r="N168" s="84" t="str">
        <f>HYPERLINK("#N"&amp;ROW(N171),"_x0005_`BDCOD|B00025_x0007_`POSS|"&amp;ROW(N169)&amp;"_x0007_`POSE|"&amp;ROW(N171)&amp;"_x0007_`")</f>
        <v>_x0005_`BDCOD|B00025_x0007_`POSS|169_x0007_`POSE|171_x0007_`</v>
      </c>
      <c r="O168" s="7" t="s">
        <v>1391</v>
      </c>
    </row>
    <row r="169" spans="1:26" ht="28.7" customHeight="1" x14ac:dyDescent="0.3">
      <c r="A169" s="10" t="s">
        <v>497</v>
      </c>
      <c r="B169" s="10" t="s">
        <v>498</v>
      </c>
      <c r="C169" s="75">
        <v>510</v>
      </c>
      <c r="D169" s="32" t="s">
        <v>499</v>
      </c>
      <c r="E169" s="54">
        <f t="shared" ref="E169:F171" si="12">I169+G169+K169</f>
        <v>0</v>
      </c>
      <c r="F169" s="77">
        <f t="shared" si="12"/>
        <v>0</v>
      </c>
      <c r="G169" s="50">
        <v>0</v>
      </c>
      <c r="H169" s="76">
        <f>IF(C169=0,0,ROUNDDOWN(G169*C169,1))</f>
        <v>0</v>
      </c>
      <c r="I169" s="78">
        <f>재료비목록표!E34</f>
        <v>0</v>
      </c>
      <c r="J169" s="81">
        <f>IF(C169=0,0,ROUNDDOWN(I169*C169,1))</f>
        <v>0</v>
      </c>
      <c r="K169" s="50">
        <v>0</v>
      </c>
      <c r="L169" s="76">
        <f>IF(C169=0,0,ROUNDDOWN(K169*C169,1))</f>
        <v>0</v>
      </c>
      <c r="M169" s="23" t="s">
        <v>1394</v>
      </c>
      <c r="N169" s="17" t="s">
        <v>1392</v>
      </c>
      <c r="O169" s="7" t="s">
        <v>1393</v>
      </c>
      <c r="P169" s="7" t="s">
        <v>1209</v>
      </c>
      <c r="Z169" s="3" t="str">
        <f ca="1">HYPERLINK("#"&amp;재료비목록표!G2&amp;"!A"&amp;ROW(재료비목록표!A34),"자재31 →")</f>
        <v>자재31 →</v>
      </c>
    </row>
    <row r="170" spans="1:26" ht="28.7" customHeight="1" x14ac:dyDescent="0.3">
      <c r="A170" s="10" t="s">
        <v>467</v>
      </c>
      <c r="B170" s="10" t="s">
        <v>471</v>
      </c>
      <c r="C170" s="75">
        <v>1.1000000000000001</v>
      </c>
      <c r="D170" s="32" t="s">
        <v>115</v>
      </c>
      <c r="E170" s="54">
        <f t="shared" si="12"/>
        <v>0</v>
      </c>
      <c r="F170" s="77">
        <f t="shared" si="12"/>
        <v>0</v>
      </c>
      <c r="G170" s="50">
        <v>0</v>
      </c>
      <c r="H170" s="76">
        <f>IF(C170=0,0,ROUNDDOWN(G170*C170,1))</f>
        <v>0</v>
      </c>
      <c r="I170" s="78">
        <f>재료비목록표!E27</f>
        <v>0</v>
      </c>
      <c r="J170" s="81">
        <f>IF(C170=0,0,ROUNDDOWN(I170*C170,1))</f>
        <v>0</v>
      </c>
      <c r="K170" s="50">
        <v>0</v>
      </c>
      <c r="L170" s="76">
        <f>IF(C170=0,0,ROUNDDOWN(K170*C170,1))</f>
        <v>0</v>
      </c>
      <c r="M170" s="23" t="s">
        <v>1397</v>
      </c>
      <c r="N170" s="17" t="s">
        <v>1395</v>
      </c>
      <c r="O170" s="7" t="s">
        <v>1396</v>
      </c>
      <c r="P170" s="7" t="s">
        <v>1209</v>
      </c>
      <c r="Z170" s="3" t="str">
        <f ca="1">HYPERLINK("#"&amp;재료비목록표!G2&amp;"!A"&amp;ROW(재료비목록표!A27),"자재24 →")</f>
        <v>자재24 →</v>
      </c>
    </row>
    <row r="171" spans="1:26" ht="28.7" customHeight="1" x14ac:dyDescent="0.3">
      <c r="A171" s="10" t="s">
        <v>595</v>
      </c>
      <c r="B171" s="10"/>
      <c r="C171" s="75">
        <v>0.66</v>
      </c>
      <c r="D171" s="32" t="s">
        <v>587</v>
      </c>
      <c r="E171" s="54">
        <f t="shared" si="12"/>
        <v>172068</v>
      </c>
      <c r="F171" s="76">
        <f t="shared" si="12"/>
        <v>113564.8</v>
      </c>
      <c r="G171" s="78">
        <f>노무비목록표!E8</f>
        <v>172068</v>
      </c>
      <c r="H171" s="81">
        <f>IF(C171=0,0,ROUNDDOWN(G171*C171,1))</f>
        <v>113564.8</v>
      </c>
      <c r="I171" s="50">
        <v>0</v>
      </c>
      <c r="J171" s="77">
        <f>IF(C171=0,0,ROUNDDOWN(I171*C171,1))</f>
        <v>0</v>
      </c>
      <c r="K171" s="50">
        <v>0</v>
      </c>
      <c r="L171" s="76">
        <f>IF(C171=0,0,ROUNDDOWN(K171*C171,1))</f>
        <v>0</v>
      </c>
      <c r="M171" s="23" t="s">
        <v>1220</v>
      </c>
      <c r="N171" s="17" t="s">
        <v>1389</v>
      </c>
      <c r="O171" s="7" t="s">
        <v>1219</v>
      </c>
      <c r="P171" s="7" t="s">
        <v>1209</v>
      </c>
      <c r="Z171" s="3" t="str">
        <f ca="1">HYPERLINK("#"&amp;노무비목록표!G2&amp;"!A"&amp;ROW(노무비목록표!A8),"노무5 →")</f>
        <v>노무5 →</v>
      </c>
    </row>
    <row r="172" spans="1:26" ht="28.7" customHeight="1" x14ac:dyDescent="0.3">
      <c r="A172" s="23" t="s">
        <v>6</v>
      </c>
      <c r="B172" s="74"/>
      <c r="C172" s="74"/>
      <c r="D172" s="74"/>
      <c r="E172" s="74"/>
      <c r="F172" s="47">
        <f>J172+H172+L172</f>
        <v>113564</v>
      </c>
      <c r="G172" s="74"/>
      <c r="H172" s="47">
        <f>ROUNDDOWN(SUMIF(P169:P171,O172,H169:H171),0)</f>
        <v>113564</v>
      </c>
      <c r="I172" s="74"/>
      <c r="J172" s="47">
        <f>ROUNDDOWN(SUMIF(P169:P171,O172,J169:J171),0)</f>
        <v>0</v>
      </c>
      <c r="K172" s="74"/>
      <c r="L172" s="47">
        <f>ROUNDDOWN(SUMIF(P169:P171,O172,L169:L171),0)</f>
        <v>0</v>
      </c>
      <c r="M172" s="74"/>
      <c r="O172" s="7" t="s">
        <v>1209</v>
      </c>
    </row>
  </sheetData>
  <mergeCells count="37">
    <mergeCell ref="A33:L33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A6:L6"/>
    <mergeCell ref="A10:L10"/>
    <mergeCell ref="A17:L17"/>
    <mergeCell ref="A23:L23"/>
    <mergeCell ref="A27:L27"/>
    <mergeCell ref="A114:L114"/>
    <mergeCell ref="A39:L39"/>
    <mergeCell ref="A45:L45"/>
    <mergeCell ref="A49:L49"/>
    <mergeCell ref="A55:L55"/>
    <mergeCell ref="A60:L60"/>
    <mergeCell ref="A67:L67"/>
    <mergeCell ref="A74:L74"/>
    <mergeCell ref="A81:L81"/>
    <mergeCell ref="A88:L88"/>
    <mergeCell ref="A93:L93"/>
    <mergeCell ref="A102:L102"/>
    <mergeCell ref="A158:L158"/>
    <mergeCell ref="A163:L163"/>
    <mergeCell ref="A168:L168"/>
    <mergeCell ref="A126:L126"/>
    <mergeCell ref="A130:L130"/>
    <mergeCell ref="A134:L134"/>
    <mergeCell ref="A143:L143"/>
    <mergeCell ref="A149:L149"/>
    <mergeCell ref="A154:L154"/>
  </mergeCells>
  <phoneticPr fontId="25" type="noConversion"/>
  <conditionalFormatting sqref="C5:M172">
    <cfRule type="expression" dxfId="3" priority="1" stopIfTrue="1">
      <formula>AND(C5&lt;&gt;0,INT(C5)=C5)</formula>
    </cfRule>
  </conditionalFormatting>
  <hyperlinks>
    <hyperlink ref="Z1" r:id="rId1" tooltip="설계예산시스템(STmate w26.05)으로 작성 하였으며,_x000a_엑셀 인쇄품질 600 dpi에 최적화 되어 있습니다._x000a_경영정보(주) http://www.stma.co.kr_x000a_Tel) 070-4350-0040_x000a_Fax) 0505-300-3948" xr:uid="{680F358D-D1A8-4261-9514-FA08085FE1C9}"/>
    <hyperlink ref="N1" r:id="rId2" tooltip="설계예산시스템(STmate w26.05)으로 작성 하였으며,_x000a_엑셀 인쇄품질 600 dpi에 최적화 되어 있습니다._x000a_경영정보(주) http://www.stma.co.kr_x000a_Tel) 070-4350-0040_x000a_Fax) 0505-300-3948" xr:uid="{BECE56B4-0D69-44F9-A5D7-D6DD23EB98BB}"/>
  </hyperlinks>
  <printOptions horizontalCentered="1"/>
  <pageMargins left="0.78740157480314965" right="0.78740157480314965" top="0.59055118110236215" bottom="0.59055118110236215" header="0" footer="0.39370078740157477"/>
  <pageSetup paperSize="9" scale="73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66FCB-A2D9-4E14-9ABE-AE8DCC12D5CF}">
  <dimension ref="A1:K45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0" t="s">
        <v>125</v>
      </c>
      <c r="B1" s="126"/>
      <c r="C1" s="126"/>
      <c r="D1" s="126"/>
      <c r="E1" s="126"/>
      <c r="F1" s="126"/>
      <c r="G1" s="126"/>
      <c r="H1" s="126"/>
      <c r="I1" s="126"/>
      <c r="J1" s="5" t="s">
        <v>124</v>
      </c>
      <c r="K1" s="19" t="s">
        <v>124</v>
      </c>
    </row>
    <row r="2" spans="1:11" ht="23.1" customHeight="1" x14ac:dyDescent="0.3">
      <c r="A2" s="1" t="s">
        <v>1</v>
      </c>
      <c r="J2" s="20" t="str">
        <f ca="1">MID(CELL("filename",$A$1),FIND("]",CELL("filename",$A$1))+1,LEN(CELL("filename",$A$1)))</f>
        <v>단가산출근거목록표</v>
      </c>
    </row>
    <row r="3" spans="1:11" ht="23.1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14" t="s">
        <v>10</v>
      </c>
      <c r="K3" s="3" t="str">
        <f>HYPERLINK("#'〓 목 차 〓'!B2","목차 →")</f>
        <v>목차 →</v>
      </c>
    </row>
    <row r="4" spans="1:11" ht="23.1" customHeight="1" x14ac:dyDescent="0.3">
      <c r="A4" s="9" t="s">
        <v>11</v>
      </c>
      <c r="B4" s="10" t="s">
        <v>126</v>
      </c>
      <c r="C4" s="10" t="s">
        <v>127</v>
      </c>
      <c r="D4" s="9" t="s">
        <v>128</v>
      </c>
      <c r="E4" s="47">
        <f>단가산출근거!C104</f>
        <v>2661</v>
      </c>
      <c r="F4" s="46">
        <f>단가산출근거!D104</f>
        <v>1376</v>
      </c>
      <c r="G4" s="55">
        <f>단가산출근거!E104</f>
        <v>216</v>
      </c>
      <c r="H4" s="47">
        <f>단가산출근거!F104</f>
        <v>1069</v>
      </c>
      <c r="I4" s="15" t="s">
        <v>11</v>
      </c>
      <c r="J4" s="17" t="str">
        <f>"_x0007_`COD|D01375_x0005_`QTY1|1_x0005_`BQC|_x0005_`EQC|_x0005_`JDC|_x0005_`WQC|_x0005_`EDT|_x0005_`ADJ|F_x0005_`DET|"&amp;ROW(단가산출근거!A5)&amp;"_x0005_`"</f>
        <v>_x0007_`COD|D01375_x0005_`QTY1|1_x0005_`BQC|_x0005_`EQC|_x0005_`JDC|_x0005_`WQC|_x0005_`EDT|_x0005_`ADJ|F_x0005_`DET|5_x0005_`</v>
      </c>
      <c r="K4" s="3" t="str">
        <f ca="1">HYPERLINK("#"&amp;단가산출근거!G2&amp;"!A"&amp;ROW(단가산출근거!A5),"산근1 →")</f>
        <v>산근1 →</v>
      </c>
    </row>
    <row r="5" spans="1:11" ht="23.1" customHeight="1" x14ac:dyDescent="0.3">
      <c r="A5" s="9" t="s">
        <v>16</v>
      </c>
      <c r="B5" s="10" t="s">
        <v>130</v>
      </c>
      <c r="C5" s="10" t="s">
        <v>131</v>
      </c>
      <c r="D5" s="9" t="s">
        <v>115</v>
      </c>
      <c r="E5" s="47">
        <f>단가산출근거!C154</f>
        <v>18065</v>
      </c>
      <c r="F5" s="46">
        <f>단가산출근거!D154</f>
        <v>11670</v>
      </c>
      <c r="G5" s="55">
        <f>단가산출근거!E154</f>
        <v>3058</v>
      </c>
      <c r="H5" s="47">
        <f>단가산출근거!F154</f>
        <v>3337</v>
      </c>
      <c r="I5" s="15" t="s">
        <v>16</v>
      </c>
      <c r="J5" s="17" t="str">
        <f>"_x0007_`COD|D00265_x0005_`QTY1|1_x0005_`BQC|_x0005_`EQC|_x0005_`JDC|_x0005_`WQC|_x0005_`EDT|_x0005_`ADJ|F_x0005_`DET|"&amp;ROW(단가산출근거!A105)&amp;"_x0005_`"</f>
        <v>_x0007_`COD|D00265_x0005_`QTY1|1_x0005_`BQC|_x0005_`EQC|_x0005_`JDC|_x0005_`WQC|_x0005_`EDT|_x0005_`ADJ|F_x0005_`DET|105_x0005_`</v>
      </c>
      <c r="K5" s="3" t="str">
        <f ca="1">HYPERLINK("#"&amp;단가산출근거!G2&amp;"!A"&amp;ROW(단가산출근거!A105),"산근2 →")</f>
        <v>산근2 →</v>
      </c>
    </row>
    <row r="6" spans="1:11" ht="23.1" customHeight="1" x14ac:dyDescent="0.3">
      <c r="A6" s="9" t="s">
        <v>21</v>
      </c>
      <c r="B6" s="10" t="s">
        <v>133</v>
      </c>
      <c r="C6" s="10" t="s">
        <v>134</v>
      </c>
      <c r="D6" s="9" t="s">
        <v>115</v>
      </c>
      <c r="E6" s="47">
        <f>단가산출근거!C204</f>
        <v>37775</v>
      </c>
      <c r="F6" s="46">
        <f>단가산출근거!D204</f>
        <v>24402</v>
      </c>
      <c r="G6" s="55">
        <f>단가산출근거!E204</f>
        <v>6396</v>
      </c>
      <c r="H6" s="47">
        <f>단가산출근거!F204</f>
        <v>6977</v>
      </c>
      <c r="I6" s="15" t="s">
        <v>21</v>
      </c>
      <c r="J6" s="17" t="str">
        <f>"_x0007_`COD|D02950_x0005_`QTY1|1_x0005_`BQC|_x0005_`EQC|도로_x0005_`JDC|_x0005_`WQC|_x0005_`EDT|_x0005_`ADJ|F_x0005_`DET|"&amp;ROW(단가산출근거!A155)&amp;"_x0005_`"</f>
        <v>_x0007_`COD|D02950_x0005_`QTY1|1_x0005_`BQC|_x0005_`EQC|도로_x0005_`JDC|_x0005_`WQC|_x0005_`EDT|_x0005_`ADJ|F_x0005_`DET|155_x0005_`</v>
      </c>
      <c r="K6" s="3" t="str">
        <f ca="1">HYPERLINK("#"&amp;단가산출근거!G2&amp;"!A"&amp;ROW(단가산출근거!A155),"산근3 →")</f>
        <v>산근3 →</v>
      </c>
    </row>
    <row r="7" spans="1:11" ht="23.1" customHeight="1" x14ac:dyDescent="0.3">
      <c r="A7" s="9" t="s">
        <v>25</v>
      </c>
      <c r="B7" s="10" t="s">
        <v>136</v>
      </c>
      <c r="C7" s="10" t="s">
        <v>137</v>
      </c>
      <c r="D7" s="9" t="s">
        <v>115</v>
      </c>
      <c r="E7" s="47">
        <f>단가산출근거!C254</f>
        <v>16712</v>
      </c>
      <c r="F7" s="46">
        <f>단가산출근거!D254</f>
        <v>15861</v>
      </c>
      <c r="G7" s="55">
        <f>단가산출근거!E254</f>
        <v>471</v>
      </c>
      <c r="H7" s="47">
        <f>단가산출근거!F254</f>
        <v>380</v>
      </c>
      <c r="I7" s="15" t="s">
        <v>25</v>
      </c>
      <c r="J7" s="17" t="str">
        <f>"_x0007_`COD|D02305_x0005_`QTY1|1_x0005_`BQC|_x0005_`EQC|_x0005_`JDC|_x0005_`WQC|_x0005_`EDT|_x0005_`ADJ|F_x0005_`DET|"&amp;ROW(단가산출근거!A205)&amp;"_x0005_`"</f>
        <v>_x0007_`COD|D02305_x0005_`QTY1|1_x0005_`BQC|_x0005_`EQC|_x0005_`JDC|_x0005_`WQC|_x0005_`EDT|_x0005_`ADJ|F_x0005_`DET|205_x0005_`</v>
      </c>
      <c r="K7" s="3" t="str">
        <f ca="1">HYPERLINK("#"&amp;단가산출근거!G2&amp;"!A"&amp;ROW(단가산출근거!A205),"산근4 →")</f>
        <v>산근4 →</v>
      </c>
    </row>
    <row r="8" spans="1:11" ht="23.1" customHeight="1" x14ac:dyDescent="0.3">
      <c r="A8" s="9" t="s">
        <v>30</v>
      </c>
      <c r="B8" s="10" t="s">
        <v>139</v>
      </c>
      <c r="C8" s="10" t="s">
        <v>140</v>
      </c>
      <c r="D8" s="9" t="s">
        <v>115</v>
      </c>
      <c r="E8" s="47">
        <f>단가산출근거!C304</f>
        <v>4262</v>
      </c>
      <c r="F8" s="46">
        <f>단가산출근거!D304</f>
        <v>2818</v>
      </c>
      <c r="G8" s="55">
        <f>단가산출근거!E304</f>
        <v>900</v>
      </c>
      <c r="H8" s="47">
        <f>단가산출근거!F304</f>
        <v>544</v>
      </c>
      <c r="I8" s="15" t="s">
        <v>30</v>
      </c>
      <c r="J8" s="17" t="str">
        <f>"_x0007_`COD|D02638_x0005_`QTY1|1_x0005_`BQC|_x0005_`EQC|_x0005_`JDC|_x0005_`WQC|_x0005_`EDT|_x0005_`ADJ|F_x0005_`DET|"&amp;ROW(단가산출근거!A255)&amp;"_x0005_`"</f>
        <v>_x0007_`COD|D02638_x0005_`QTY1|1_x0005_`BQC|_x0005_`EQC|_x0005_`JDC|_x0005_`WQC|_x0005_`EDT|_x0005_`ADJ|F_x0005_`DET|255_x0005_`</v>
      </c>
      <c r="K8" s="3" t="str">
        <f ca="1">HYPERLINK("#"&amp;단가산출근거!G2&amp;"!A"&amp;ROW(단가산출근거!A255),"산근5 →")</f>
        <v>산근5 →</v>
      </c>
    </row>
    <row r="9" spans="1:11" ht="23.1" customHeight="1" x14ac:dyDescent="0.3">
      <c r="A9" s="9" t="s">
        <v>35</v>
      </c>
      <c r="B9" s="10" t="s">
        <v>142</v>
      </c>
      <c r="C9" s="10" t="s">
        <v>143</v>
      </c>
      <c r="D9" s="9" t="s">
        <v>115</v>
      </c>
      <c r="E9" s="47">
        <f>단가산출근거!C354</f>
        <v>5664</v>
      </c>
      <c r="F9" s="46">
        <f>단가산출근거!D354</f>
        <v>4928</v>
      </c>
      <c r="G9" s="55">
        <f>단가산출근거!E354</f>
        <v>477</v>
      </c>
      <c r="H9" s="47">
        <f>단가산출근거!F354</f>
        <v>259</v>
      </c>
      <c r="I9" s="15" t="s">
        <v>35</v>
      </c>
      <c r="J9" s="17" t="str">
        <f>"_x0007_`COD|D03713_x0005_`QTY1|1_x0005_`BQC|_x0005_`EQC|_x0005_`JDC|_x0005_`WQC|_x0005_`EDT|_x0005_`ADJ|F_x0005_`DET|"&amp;ROW(단가산출근거!A305)&amp;"_x0005_`"</f>
        <v>_x0007_`COD|D03713_x0005_`QTY1|1_x0005_`BQC|_x0005_`EQC|_x0005_`JDC|_x0005_`WQC|_x0005_`EDT|_x0005_`ADJ|F_x0005_`DET|305_x0005_`</v>
      </c>
      <c r="K9" s="3" t="str">
        <f ca="1">HYPERLINK("#"&amp;단가산출근거!G2&amp;"!A"&amp;ROW(단가산출근거!A305),"산근6 →")</f>
        <v>산근6 →</v>
      </c>
    </row>
    <row r="10" spans="1:11" ht="23.1" customHeight="1" x14ac:dyDescent="0.3">
      <c r="A10" s="9" t="s">
        <v>40</v>
      </c>
      <c r="B10" s="10" t="s">
        <v>145</v>
      </c>
      <c r="C10" s="10" t="s">
        <v>146</v>
      </c>
      <c r="D10" s="9" t="s">
        <v>115</v>
      </c>
      <c r="E10" s="47">
        <f>단가산출근거!C404</f>
        <v>6200</v>
      </c>
      <c r="F10" s="46">
        <f>단가산출근거!D404</f>
        <v>3724</v>
      </c>
      <c r="G10" s="55">
        <f>단가산출근거!E404</f>
        <v>1371</v>
      </c>
      <c r="H10" s="47">
        <f>단가산출근거!F404</f>
        <v>1105</v>
      </c>
      <c r="I10" s="15" t="s">
        <v>40</v>
      </c>
      <c r="J10" s="17" t="str">
        <f>"_x0007_`COD|D00785_x0005_`QTY1|1_x0005_`BQC|_x0005_`EQC|_x0005_`JDC|_x0005_`WQC|_x0005_`EDT|_x0005_`ADJ|F_x0005_`DET|"&amp;ROW(단가산출근거!A355)&amp;"_x0005_`"</f>
        <v>_x0007_`COD|D00785_x0005_`QTY1|1_x0005_`BQC|_x0005_`EQC|_x0005_`JDC|_x0005_`WQC|_x0005_`EDT|_x0005_`ADJ|F_x0005_`DET|355_x0005_`</v>
      </c>
      <c r="K10" s="3" t="str">
        <f ca="1">HYPERLINK("#"&amp;단가산출근거!G2&amp;"!A"&amp;ROW(단가산출근거!A355),"산근7 →")</f>
        <v>산근7 →</v>
      </c>
    </row>
    <row r="11" spans="1:11" ht="23.1" customHeight="1" x14ac:dyDescent="0.3">
      <c r="A11" s="9" t="s">
        <v>44</v>
      </c>
      <c r="B11" s="10" t="s">
        <v>148</v>
      </c>
      <c r="C11" s="10" t="s">
        <v>149</v>
      </c>
      <c r="D11" s="9" t="s">
        <v>115</v>
      </c>
      <c r="E11" s="47">
        <f>단가산출근거!C504</f>
        <v>11517</v>
      </c>
      <c r="F11" s="46">
        <f>단가산출근거!D504</f>
        <v>0</v>
      </c>
      <c r="G11" s="55">
        <f>단가산출근거!E504</f>
        <v>0</v>
      </c>
      <c r="H11" s="47">
        <f>단가산출근거!F504</f>
        <v>11517</v>
      </c>
      <c r="I11" s="15" t="s">
        <v>44</v>
      </c>
      <c r="J11" s="17" t="str">
        <f>"_x0007_`COD|D04064_x0005_`QTY1|1_x0005_`BQC|_x0005_`EQC|_x0005_`JDC|_x0005_`WQC|_x0005_`EDT|_x0005_`ADJ|F_x0005_`DET|"&amp;ROW(단가산출근거!A405)&amp;"_x0005_`"</f>
        <v>_x0007_`COD|D04064_x0005_`QTY1|1_x0005_`BQC|_x0005_`EQC|_x0005_`JDC|_x0005_`WQC|_x0005_`EDT|_x0005_`ADJ|F_x0005_`DET|405_x0005_`</v>
      </c>
      <c r="K11" s="3" t="str">
        <f ca="1">HYPERLINK("#"&amp;단가산출근거!G2&amp;"!A"&amp;ROW(단가산출근거!A405),"산근8 →")</f>
        <v>산근8 →</v>
      </c>
    </row>
    <row r="12" spans="1:11" ht="23.1" customHeight="1" x14ac:dyDescent="0.3">
      <c r="A12" s="9" t="s">
        <v>48</v>
      </c>
      <c r="B12" s="10" t="s">
        <v>151</v>
      </c>
      <c r="C12" s="10" t="s">
        <v>152</v>
      </c>
      <c r="D12" s="9" t="s">
        <v>38</v>
      </c>
      <c r="E12" s="47">
        <f>단가산출근거!C554</f>
        <v>335510</v>
      </c>
      <c r="F12" s="46">
        <f>단가산출근거!D554</f>
        <v>251342</v>
      </c>
      <c r="G12" s="55">
        <f>단가산출근거!E554</f>
        <v>16203</v>
      </c>
      <c r="H12" s="47">
        <f>단가산출근거!F554</f>
        <v>67965</v>
      </c>
      <c r="I12" s="15" t="s">
        <v>48</v>
      </c>
      <c r="J12" s="17" t="str">
        <f>"_x0007_`COD|D03180_x0005_`QTY1|1_x0005_`BQC|_x0005_`EQC|_x0005_`JDC|_x0005_`WQC|_x0005_`EDT|_x0005_`ADJ|F_x0005_`DET|"&amp;ROW(단가산출근거!A505)&amp;"_x0005_`"</f>
        <v>_x0007_`COD|D03180_x0005_`QTY1|1_x0005_`BQC|_x0005_`EQC|_x0005_`JDC|_x0005_`WQC|_x0005_`EDT|_x0005_`ADJ|F_x0005_`DET|505_x0005_`</v>
      </c>
      <c r="K12" s="3" t="str">
        <f ca="1">HYPERLINK("#"&amp;단가산출근거!G2&amp;"!A"&amp;ROW(단가산출근거!A505),"산근9 →")</f>
        <v>산근9 →</v>
      </c>
    </row>
    <row r="13" spans="1:11" ht="23.1" customHeight="1" x14ac:dyDescent="0.3">
      <c r="A13" s="9" t="s">
        <v>52</v>
      </c>
      <c r="B13" s="10" t="s">
        <v>154</v>
      </c>
      <c r="C13" s="10" t="s">
        <v>155</v>
      </c>
      <c r="D13" s="9" t="s">
        <v>156</v>
      </c>
      <c r="E13" s="47">
        <f>단가산출근거!C604</f>
        <v>27750</v>
      </c>
      <c r="F13" s="46">
        <f>단가산출근거!D604</f>
        <v>27750</v>
      </c>
      <c r="G13" s="55">
        <f>단가산출근거!E604</f>
        <v>0</v>
      </c>
      <c r="H13" s="47">
        <f>단가산출근거!F604</f>
        <v>0</v>
      </c>
      <c r="I13" s="15" t="s">
        <v>52</v>
      </c>
      <c r="J13" s="17" t="str">
        <f>"_x0007_`COD|D02908_x0005_`QTY1|1_x0005_`BQC|_x0005_`EQC|_x0005_`JDC|_x0005_`WQC|_x0005_`EDT|_x0005_`ADJ|F_x0005_`DET|"&amp;ROW(단가산출근거!A555)&amp;"_x0005_`"</f>
        <v>_x0007_`COD|D02908_x0005_`QTY1|1_x0005_`BQC|_x0005_`EQC|_x0005_`JDC|_x0005_`WQC|_x0005_`EDT|_x0005_`ADJ|F_x0005_`DET|555_x0005_`</v>
      </c>
      <c r="K13" s="3" t="str">
        <f ca="1">HYPERLINK("#"&amp;단가산출근거!G2&amp;"!A"&amp;ROW(단가산출근거!A555),"산근10 →")</f>
        <v>산근10 →</v>
      </c>
    </row>
    <row r="14" spans="1:11" ht="23.1" customHeight="1" x14ac:dyDescent="0.3">
      <c r="A14" s="9" t="s">
        <v>56</v>
      </c>
      <c r="B14" s="10" t="s">
        <v>158</v>
      </c>
      <c r="C14" s="10"/>
      <c r="D14" s="9" t="s">
        <v>14</v>
      </c>
      <c r="E14" s="47">
        <f>단가산출근거!C654</f>
        <v>81</v>
      </c>
      <c r="F14" s="46">
        <f>단가산출근거!D654</f>
        <v>79</v>
      </c>
      <c r="G14" s="55">
        <f>단가산출근거!E654</f>
        <v>2</v>
      </c>
      <c r="H14" s="47">
        <f>단가산출근거!F654</f>
        <v>0</v>
      </c>
      <c r="I14" s="15" t="s">
        <v>56</v>
      </c>
      <c r="J14" s="17" t="str">
        <f>"_x0007_`COD|D01361_x0005_`QTY1|1_x0005_`BQC|_x0005_`EQC|_x0005_`JDC|_x0005_`WQC|_x0005_`EDT|_x0005_`ADJ|F_x0005_`DET|"&amp;ROW(단가산출근거!A605)&amp;"_x0005_`"</f>
        <v>_x0007_`COD|D01361_x0005_`QTY1|1_x0005_`BQC|_x0005_`EQC|_x0005_`JDC|_x0005_`WQC|_x0005_`EDT|_x0005_`ADJ|F_x0005_`DET|605_x0005_`</v>
      </c>
      <c r="K14" s="3" t="str">
        <f ca="1">HYPERLINK("#"&amp;단가산출근거!G2&amp;"!A"&amp;ROW(단가산출근거!A605),"산근11 →")</f>
        <v>산근11 →</v>
      </c>
    </row>
    <row r="15" spans="1:11" ht="23.1" customHeight="1" x14ac:dyDescent="0.3">
      <c r="A15" s="9" t="s">
        <v>60</v>
      </c>
      <c r="B15" s="10" t="s">
        <v>160</v>
      </c>
      <c r="C15" s="10" t="s">
        <v>161</v>
      </c>
      <c r="D15" s="9" t="s">
        <v>14</v>
      </c>
      <c r="E15" s="47">
        <f>단가산출근거!C754</f>
        <v>6290</v>
      </c>
      <c r="F15" s="46">
        <f>단가산출근거!D754</f>
        <v>5249</v>
      </c>
      <c r="G15" s="55">
        <f>단가산출근거!E754</f>
        <v>664</v>
      </c>
      <c r="H15" s="47">
        <f>단가산출근거!F754</f>
        <v>377</v>
      </c>
      <c r="I15" s="15" t="s">
        <v>60</v>
      </c>
      <c r="J15" s="17" t="str">
        <f>"_x0007_`COD|D01503_x0005_`QTY1|1_x0005_`BQC|_x0005_`EQC|_x0005_`JDC|_x0005_`WQC|_x0005_`EDT|_x0005_`ADJ|F_x0005_`DET|"&amp;ROW(단가산출근거!A655)&amp;"_x0005_`"</f>
        <v>_x0007_`COD|D01503_x0005_`QTY1|1_x0005_`BQC|_x0005_`EQC|_x0005_`JDC|_x0005_`WQC|_x0005_`EDT|_x0005_`ADJ|F_x0005_`DET|655_x0005_`</v>
      </c>
      <c r="K15" s="3" t="str">
        <f ca="1">HYPERLINK("#"&amp;단가산출근거!G2&amp;"!A"&amp;ROW(단가산출근거!A655),"산근12 →")</f>
        <v>산근12 →</v>
      </c>
    </row>
    <row r="16" spans="1:11" ht="23.1" customHeight="1" x14ac:dyDescent="0.3">
      <c r="A16" s="9" t="s">
        <v>64</v>
      </c>
      <c r="B16" s="10" t="s">
        <v>163</v>
      </c>
      <c r="C16" s="10" t="s">
        <v>164</v>
      </c>
      <c r="D16" s="9" t="s">
        <v>14</v>
      </c>
      <c r="E16" s="47">
        <f>단가산출근거!C904</f>
        <v>4269</v>
      </c>
      <c r="F16" s="46">
        <f>단가산출근거!D904</f>
        <v>1928</v>
      </c>
      <c r="G16" s="55">
        <f>단가산출근거!E904</f>
        <v>1105</v>
      </c>
      <c r="H16" s="47">
        <f>단가산출근거!F904</f>
        <v>1236</v>
      </c>
      <c r="I16" s="15" t="s">
        <v>64</v>
      </c>
      <c r="J16" s="17" t="str">
        <f>"_x0007_`COD|D03372_x0005_`QTY1|1_x0005_`BQC|_x0005_`EQC|_x0005_`JDC|_x0005_`WQC|_x0005_`EDT|_x0005_`ADJ|F_x0005_`DET|"&amp;ROW(단가산출근거!A755)&amp;"_x0005_`"</f>
        <v>_x0007_`COD|D03372_x0005_`QTY1|1_x0005_`BQC|_x0005_`EQC|_x0005_`JDC|_x0005_`WQC|_x0005_`EDT|_x0005_`ADJ|F_x0005_`DET|755_x0005_`</v>
      </c>
      <c r="K16" s="3" t="str">
        <f ca="1">HYPERLINK("#"&amp;단가산출근거!G2&amp;"!A"&amp;ROW(단가산출근거!A755),"산근13 →")</f>
        <v>산근13 →</v>
      </c>
    </row>
    <row r="17" spans="1:11" ht="23.1" customHeight="1" x14ac:dyDescent="0.3">
      <c r="A17" s="9" t="s">
        <v>68</v>
      </c>
      <c r="B17" s="10" t="s">
        <v>166</v>
      </c>
      <c r="C17" s="10" t="s">
        <v>167</v>
      </c>
      <c r="D17" s="9" t="s">
        <v>115</v>
      </c>
      <c r="E17" s="47">
        <f>단가산출근거!C1004</f>
        <v>13348</v>
      </c>
      <c r="F17" s="46">
        <f>단가산출근거!D1004</f>
        <v>9716</v>
      </c>
      <c r="G17" s="55">
        <f>단가산출근거!E1004</f>
        <v>2012</v>
      </c>
      <c r="H17" s="47">
        <f>단가산출근거!F1004</f>
        <v>1620</v>
      </c>
      <c r="I17" s="15" t="s">
        <v>68</v>
      </c>
      <c r="J17" s="17" t="str">
        <f>"_x0007_`COD|D01352_x0005_`QTY1|1_x0005_`BQC|_x0005_`EQC|_x0005_`JDC|_x0005_`WQC|_x0005_`EDT|_x0005_`ADJ|F_x0005_`DET|"&amp;ROW(단가산출근거!A905)&amp;"_x0005_`"</f>
        <v>_x0007_`COD|D01352_x0005_`QTY1|1_x0005_`BQC|_x0005_`EQC|_x0005_`JDC|_x0005_`WQC|_x0005_`EDT|_x0005_`ADJ|F_x0005_`DET|905_x0005_`</v>
      </c>
      <c r="K17" s="3" t="str">
        <f ca="1">HYPERLINK("#"&amp;단가산출근거!G2&amp;"!A"&amp;ROW(단가산출근거!A905),"산근14 →")</f>
        <v>산근14 →</v>
      </c>
    </row>
    <row r="18" spans="1:11" ht="23.1" customHeight="1" x14ac:dyDescent="0.3">
      <c r="A18" s="9" t="s">
        <v>71</v>
      </c>
      <c r="B18" s="10" t="s">
        <v>169</v>
      </c>
      <c r="C18" s="10" t="s">
        <v>170</v>
      </c>
      <c r="D18" s="9" t="s">
        <v>14</v>
      </c>
      <c r="E18" s="47">
        <f>단가산출근거!C1104</f>
        <v>8051</v>
      </c>
      <c r="F18" s="46">
        <f>단가산출근거!D1104</f>
        <v>6719</v>
      </c>
      <c r="G18" s="55">
        <f>단가산출근거!E1104</f>
        <v>850</v>
      </c>
      <c r="H18" s="47">
        <f>단가산출근거!F1104</f>
        <v>482</v>
      </c>
      <c r="I18" s="15" t="s">
        <v>71</v>
      </c>
      <c r="J18" s="17" t="str">
        <f>"_x0007_`COD|D03304_x0005_`QTY1|1_x0005_`BQC|_x0005_`EQC|_x0005_`JDC|_x0005_`WQC|_x0005_`EDT|_x0005_`ADJ|F_x0005_`DET|"&amp;ROW(단가산출근거!A1005)&amp;"_x0005_`"</f>
        <v>_x0007_`COD|D03304_x0005_`QTY1|1_x0005_`BQC|_x0005_`EQC|_x0005_`JDC|_x0005_`WQC|_x0005_`EDT|_x0005_`ADJ|F_x0005_`DET|1005_x0005_`</v>
      </c>
      <c r="K18" s="3" t="str">
        <f ca="1">HYPERLINK("#"&amp;단가산출근거!G2&amp;"!A"&amp;ROW(단가산출근거!A1005),"산근15 →")</f>
        <v>산근15 →</v>
      </c>
    </row>
    <row r="19" spans="1:11" ht="23.1" customHeight="1" x14ac:dyDescent="0.3">
      <c r="A19" s="9" t="s">
        <v>75</v>
      </c>
      <c r="B19" s="10" t="s">
        <v>172</v>
      </c>
      <c r="C19" s="10" t="s">
        <v>173</v>
      </c>
      <c r="D19" s="9" t="s">
        <v>128</v>
      </c>
      <c r="E19" s="47">
        <f>단가산출근거!C1154</f>
        <v>30791</v>
      </c>
      <c r="F19" s="46">
        <f>단가산출근거!D1154</f>
        <v>27994</v>
      </c>
      <c r="G19" s="55">
        <f>단가산출근거!E1154</f>
        <v>1314</v>
      </c>
      <c r="H19" s="47">
        <f>단가산출근거!F1154</f>
        <v>1483</v>
      </c>
      <c r="I19" s="15" t="s">
        <v>75</v>
      </c>
      <c r="J19" s="17" t="str">
        <f>"_x0007_`COD|D04433_x0005_`QTY1|1_x0005_`BQC|_x0005_`EQC|_x0005_`JDC|_x0005_`WQC|_x0005_`EDT|_x0005_`ADJ|F_x0005_`DET|"&amp;ROW(단가산출근거!A1105)&amp;"_x0005_`"</f>
        <v>_x0007_`COD|D04433_x0005_`QTY1|1_x0005_`BQC|_x0005_`EQC|_x0005_`JDC|_x0005_`WQC|_x0005_`EDT|_x0005_`ADJ|F_x0005_`DET|1105_x0005_`</v>
      </c>
      <c r="K19" s="3" t="str">
        <f ca="1">HYPERLINK("#"&amp;단가산출근거!G2&amp;"!A"&amp;ROW(단가산출근거!A1105),"산근16 →")</f>
        <v>산근16 →</v>
      </c>
    </row>
    <row r="20" spans="1:11" ht="23.1" customHeight="1" x14ac:dyDescent="0.3">
      <c r="A20" s="9" t="s">
        <v>79</v>
      </c>
      <c r="B20" s="10" t="s">
        <v>175</v>
      </c>
      <c r="C20" s="10" t="s">
        <v>176</v>
      </c>
      <c r="D20" s="9" t="s">
        <v>38</v>
      </c>
      <c r="E20" s="47">
        <f>단가산출근거!C1204</f>
        <v>50425</v>
      </c>
      <c r="F20" s="46">
        <f>단가산출근거!D1204</f>
        <v>48024</v>
      </c>
      <c r="G20" s="55">
        <f>단가산출근거!E1204</f>
        <v>0</v>
      </c>
      <c r="H20" s="47">
        <f>단가산출근거!F1204</f>
        <v>2401</v>
      </c>
      <c r="I20" s="15" t="s">
        <v>79</v>
      </c>
      <c r="J20" s="17" t="str">
        <f>"_x0007_`COD|D02768_x0005_`QTY1|1_x0005_`BQC|_x0005_`EQC|_x0005_`JDC|_x0005_`WQC|_x0005_`EDT|_x0005_`ADJ|F_x0005_`DET|"&amp;ROW(단가산출근거!A1155)&amp;"_x0005_`"</f>
        <v>_x0007_`COD|D02768_x0005_`QTY1|1_x0005_`BQC|_x0005_`EQC|_x0005_`JDC|_x0005_`WQC|_x0005_`EDT|_x0005_`ADJ|F_x0005_`DET|1155_x0005_`</v>
      </c>
      <c r="K20" s="3" t="str">
        <f ca="1">HYPERLINK("#"&amp;단가산출근거!G2&amp;"!A"&amp;ROW(단가산출근거!A1155),"산근17 →")</f>
        <v>산근17 →</v>
      </c>
    </row>
    <row r="21" spans="1:11" ht="23.1" customHeight="1" x14ac:dyDescent="0.3">
      <c r="A21" s="9" t="s">
        <v>83</v>
      </c>
      <c r="B21" s="10" t="s">
        <v>178</v>
      </c>
      <c r="C21" s="10" t="s">
        <v>179</v>
      </c>
      <c r="D21" s="9" t="s">
        <v>180</v>
      </c>
      <c r="E21" s="47">
        <f>단가산출근거!C1304</f>
        <v>870233</v>
      </c>
      <c r="F21" s="46">
        <f>단가산출근거!D1304</f>
        <v>0</v>
      </c>
      <c r="G21" s="55">
        <f>단가산출근거!E1304</f>
        <v>0</v>
      </c>
      <c r="H21" s="47">
        <f>단가산출근거!F1304</f>
        <v>870233</v>
      </c>
      <c r="I21" s="15" t="s">
        <v>83</v>
      </c>
      <c r="J21" s="17" t="str">
        <f>"_x0007_`COD|D03917_x0005_`QTY1|1_x0005_`BQC|_x0005_`EQC|_x0005_`JDC|_x0005_`WQC|_x0005_`EDT|_x0005_`ADJ|F_x0005_`DET|"&amp;ROW(단가산출근거!A1205)&amp;"_x0005_`"</f>
        <v>_x0007_`COD|D03917_x0005_`QTY1|1_x0005_`BQC|_x0005_`EQC|_x0005_`JDC|_x0005_`WQC|_x0005_`EDT|_x0005_`ADJ|F_x0005_`DET|1205_x0005_`</v>
      </c>
      <c r="K21" s="3" t="str">
        <f ca="1">HYPERLINK("#"&amp;단가산출근거!G2&amp;"!A"&amp;ROW(단가산출근거!A1205),"산근18 →")</f>
        <v>산근18 →</v>
      </c>
    </row>
    <row r="22" spans="1:11" ht="23.1" customHeight="1" x14ac:dyDescent="0.3">
      <c r="A22" s="9" t="s">
        <v>86</v>
      </c>
      <c r="B22" s="10" t="s">
        <v>182</v>
      </c>
      <c r="C22" s="10" t="s">
        <v>183</v>
      </c>
      <c r="D22" s="9" t="s">
        <v>14</v>
      </c>
      <c r="E22" s="47">
        <f>단가산출근거!C1354</f>
        <v>19887</v>
      </c>
      <c r="F22" s="46">
        <f>단가산출근거!D1354</f>
        <v>2275</v>
      </c>
      <c r="G22" s="55">
        <f>단가산출근거!E1354</f>
        <v>17337</v>
      </c>
      <c r="H22" s="47">
        <f>단가산출근거!F1354</f>
        <v>275</v>
      </c>
      <c r="I22" s="15" t="s">
        <v>86</v>
      </c>
      <c r="J22" s="17" t="str">
        <f>"_x0007_`COD|D02956_x0005_`QTY1|1_x0005_`BQC|24_x0005_`EQC|도로_x0005_`JDC|_x0005_`WQC|_x0005_`EDT|_x0005_`ADJ|F_x0005_`DET|"&amp;ROW(단가산출근거!A1305)&amp;"_x0005_`"</f>
        <v>_x0007_`COD|D02956_x0005_`QTY1|1_x0005_`BQC|24_x0005_`EQC|도로_x0005_`JDC|_x0005_`WQC|_x0005_`EDT|_x0005_`ADJ|F_x0005_`DET|1305_x0005_`</v>
      </c>
      <c r="K22" s="3" t="str">
        <f ca="1">HYPERLINK("#"&amp;단가산출근거!G2&amp;"!A"&amp;ROW(단가산출근거!A1305),"산근19 →")</f>
        <v>산근19 →</v>
      </c>
    </row>
    <row r="23" spans="1:11" ht="23.1" customHeight="1" x14ac:dyDescent="0.3">
      <c r="A23" s="9" t="s">
        <v>90</v>
      </c>
      <c r="B23" s="10" t="s">
        <v>185</v>
      </c>
      <c r="C23" s="10" t="s">
        <v>183</v>
      </c>
      <c r="D23" s="9" t="s">
        <v>14</v>
      </c>
      <c r="E23" s="47">
        <f>단가산출근거!C1454</f>
        <v>19887</v>
      </c>
      <c r="F23" s="46">
        <f>단가산출근거!D1454</f>
        <v>2275</v>
      </c>
      <c r="G23" s="55">
        <f>단가산출근거!E1454</f>
        <v>17337</v>
      </c>
      <c r="H23" s="47">
        <f>단가산출근거!F1454</f>
        <v>275</v>
      </c>
      <c r="I23" s="15" t="s">
        <v>90</v>
      </c>
      <c r="J23" s="17" t="str">
        <f>"_x0007_`COD|D02954_x0005_`QTY1|1_x0005_`BQC|24_x0005_`EQC|도로_x0005_`JDC|_x0005_`WQC|_x0005_`EDT|_x0005_`ADJ|F_x0005_`DET|"&amp;ROW(단가산출근거!A1355)&amp;"_x0005_`"</f>
        <v>_x0007_`COD|D02954_x0005_`QTY1|1_x0005_`BQC|24_x0005_`EQC|도로_x0005_`JDC|_x0005_`WQC|_x0005_`EDT|_x0005_`ADJ|F_x0005_`DET|1355_x0005_`</v>
      </c>
      <c r="K23" s="3" t="str">
        <f ca="1">HYPERLINK("#"&amp;단가산출근거!G2&amp;"!A"&amp;ROW(단가산출근거!A1355),"산근20 →")</f>
        <v>산근20 →</v>
      </c>
    </row>
    <row r="24" spans="1:11" ht="23.1" customHeight="1" x14ac:dyDescent="0.3">
      <c r="A24" s="9" t="s">
        <v>94</v>
      </c>
      <c r="B24" s="10" t="s">
        <v>187</v>
      </c>
      <c r="C24" s="10" t="s">
        <v>188</v>
      </c>
      <c r="D24" s="9" t="s">
        <v>14</v>
      </c>
      <c r="E24" s="47">
        <f>단가산출근거!C1504</f>
        <v>24414</v>
      </c>
      <c r="F24" s="46">
        <f>단가산출근거!D1504</f>
        <v>5987</v>
      </c>
      <c r="G24" s="55">
        <f>단가산출근거!E1504</f>
        <v>17703</v>
      </c>
      <c r="H24" s="47">
        <f>단가산출근거!F1504</f>
        <v>724</v>
      </c>
      <c r="I24" s="15" t="s">
        <v>94</v>
      </c>
      <c r="J24" s="17" t="str">
        <f>"_x0007_`COD|D03552_x0005_`QTY1|1_x0005_`BQC|24_x0005_`EQC|상수도_x0005_`JDC|_x0005_`WQC|_x0005_`EDT|_x0005_`ADJ|F_x0005_`DET|"&amp;ROW(단가산출근거!A1455)&amp;"_x0005_`"</f>
        <v>_x0007_`COD|D03552_x0005_`QTY1|1_x0005_`BQC|24_x0005_`EQC|상수도_x0005_`JDC|_x0005_`WQC|_x0005_`EDT|_x0005_`ADJ|F_x0005_`DET|1455_x0005_`</v>
      </c>
      <c r="K24" s="3" t="str">
        <f ca="1">HYPERLINK("#"&amp;단가산출근거!G2&amp;"!A"&amp;ROW(단가산출근거!A1455),"산근21 →")</f>
        <v>산근21 →</v>
      </c>
    </row>
    <row r="25" spans="1:11" ht="23.1" customHeight="1" x14ac:dyDescent="0.3">
      <c r="A25" s="9" t="s">
        <v>98</v>
      </c>
      <c r="B25" s="10" t="s">
        <v>190</v>
      </c>
      <c r="C25" s="10" t="s">
        <v>191</v>
      </c>
      <c r="D25" s="9" t="s">
        <v>192</v>
      </c>
      <c r="E25" s="47">
        <f>단가산출근거!C1554</f>
        <v>42141</v>
      </c>
      <c r="F25" s="46">
        <f>단가산출근거!D1554</f>
        <v>0</v>
      </c>
      <c r="G25" s="55">
        <f>단가산출근거!E1554</f>
        <v>0</v>
      </c>
      <c r="H25" s="47">
        <f>단가산출근거!F1554</f>
        <v>42141</v>
      </c>
      <c r="I25" s="15" t="s">
        <v>98</v>
      </c>
      <c r="J25" s="17" t="str">
        <f>"_x0007_`COD|D04342_x0005_`QTY1|1_x0005_`BQC|_x0005_`EQC|_x0005_`JDC|_x0005_`WQC|_x0005_`EDT|_x0005_`ADJ|F_x0005_`DET|"&amp;ROW(단가산출근거!A1505)&amp;"_x0005_`"</f>
        <v>_x0007_`COD|D04342_x0005_`QTY1|1_x0005_`BQC|_x0005_`EQC|_x0005_`JDC|_x0005_`WQC|_x0005_`EDT|_x0005_`ADJ|F_x0005_`DET|1505_x0005_`</v>
      </c>
      <c r="K25" s="3" t="str">
        <f ca="1">HYPERLINK("#"&amp;단가산출근거!G2&amp;"!A"&amp;ROW(단가산출근거!A1505),"산근22 →")</f>
        <v>산근22 →</v>
      </c>
    </row>
    <row r="26" spans="1:11" ht="23.1" customHeight="1" x14ac:dyDescent="0.3">
      <c r="A26" s="9" t="s">
        <v>103</v>
      </c>
      <c r="B26" s="10" t="s">
        <v>190</v>
      </c>
      <c r="C26" s="10" t="s">
        <v>194</v>
      </c>
      <c r="D26" s="9" t="s">
        <v>192</v>
      </c>
      <c r="E26" s="47">
        <f>단가산출근거!C1604</f>
        <v>17052</v>
      </c>
      <c r="F26" s="46">
        <f>단가산출근거!D1604</f>
        <v>0</v>
      </c>
      <c r="G26" s="55">
        <f>단가산출근거!E1604</f>
        <v>0</v>
      </c>
      <c r="H26" s="47">
        <f>단가산출근거!F1604</f>
        <v>17052</v>
      </c>
      <c r="I26" s="15" t="s">
        <v>103</v>
      </c>
      <c r="J26" s="17" t="str">
        <f>"_x0007_`COD|D04343_x0005_`QTY1|1_x0005_`BQC|_x0005_`EQC|_x0005_`JDC|_x0005_`WQC|_x0005_`EDT|_x0005_`ADJ|F_x0005_`DET|"&amp;ROW(단가산출근거!A1555)&amp;"_x0005_`"</f>
        <v>_x0007_`COD|D04343_x0005_`QTY1|1_x0005_`BQC|_x0005_`EQC|_x0005_`JDC|_x0005_`WQC|_x0005_`EDT|_x0005_`ADJ|F_x0005_`DET|1555_x0005_`</v>
      </c>
      <c r="K26" s="3" t="str">
        <f ca="1">HYPERLINK("#"&amp;단가산출근거!G2&amp;"!A"&amp;ROW(단가산출근거!A1555),"산근23 →")</f>
        <v>산근23 →</v>
      </c>
    </row>
    <row r="27" spans="1:11" ht="23.1" customHeight="1" x14ac:dyDescent="0.3">
      <c r="A27" s="9" t="s">
        <v>108</v>
      </c>
      <c r="B27" s="10" t="s">
        <v>196</v>
      </c>
      <c r="C27" s="10" t="s">
        <v>191</v>
      </c>
      <c r="D27" s="9" t="s">
        <v>192</v>
      </c>
      <c r="E27" s="47">
        <f>단가산출근거!C1654</f>
        <v>8603</v>
      </c>
      <c r="F27" s="46">
        <f>단가산출근거!D1654</f>
        <v>0</v>
      </c>
      <c r="G27" s="55">
        <f>단가산출근거!E1654</f>
        <v>0</v>
      </c>
      <c r="H27" s="47">
        <f>단가산출근거!F1654</f>
        <v>8603</v>
      </c>
      <c r="I27" s="15" t="s">
        <v>108</v>
      </c>
      <c r="J27" s="17" t="str">
        <f>"_x0007_`COD|D04344_x0005_`QTY1|1_x0005_`BQC|_x0005_`EQC|_x0005_`JDC|_x0005_`WQC|_x0005_`EDT|_x0005_`ADJ|F_x0005_`DET|"&amp;ROW(단가산출근거!A1605)&amp;"_x0005_`"</f>
        <v>_x0007_`COD|D04344_x0005_`QTY1|1_x0005_`BQC|_x0005_`EQC|_x0005_`JDC|_x0005_`WQC|_x0005_`EDT|_x0005_`ADJ|F_x0005_`DET|1605_x0005_`</v>
      </c>
      <c r="K27" s="3" t="str">
        <f ca="1">HYPERLINK("#"&amp;단가산출근거!G2&amp;"!A"&amp;ROW(단가산출근거!A1605),"산근24 →")</f>
        <v>산근24 →</v>
      </c>
    </row>
    <row r="28" spans="1:11" ht="23.1" customHeight="1" x14ac:dyDescent="0.3">
      <c r="A28" s="9" t="s">
        <v>112</v>
      </c>
      <c r="B28" s="10" t="s">
        <v>196</v>
      </c>
      <c r="C28" s="10" t="s">
        <v>194</v>
      </c>
      <c r="D28" s="9" t="s">
        <v>192</v>
      </c>
      <c r="E28" s="47">
        <f>단가산출근거!C1704</f>
        <v>8603</v>
      </c>
      <c r="F28" s="46">
        <f>단가산출근거!D1704</f>
        <v>0</v>
      </c>
      <c r="G28" s="55">
        <f>단가산출근거!E1704</f>
        <v>0</v>
      </c>
      <c r="H28" s="47">
        <f>단가산출근거!F1704</f>
        <v>8603</v>
      </c>
      <c r="I28" s="15" t="s">
        <v>112</v>
      </c>
      <c r="J28" s="17" t="str">
        <f>"_x0007_`COD|D04345_x0005_`QTY1|1_x0005_`BQC|_x0005_`EQC|_x0005_`JDC|_x0005_`WQC|_x0005_`EDT|_x0005_`ADJ|F_x0005_`DET|"&amp;ROW(단가산출근거!A1655)&amp;"_x0005_`"</f>
        <v>_x0007_`COD|D04345_x0005_`QTY1|1_x0005_`BQC|_x0005_`EQC|_x0005_`JDC|_x0005_`WQC|_x0005_`EDT|_x0005_`ADJ|F_x0005_`DET|1655_x0005_`</v>
      </c>
      <c r="K28" s="3" t="str">
        <f ca="1">HYPERLINK("#"&amp;단가산출근거!G2&amp;"!A"&amp;ROW(단가산출근거!A1655),"산근25 →")</f>
        <v>산근25 →</v>
      </c>
    </row>
    <row r="29" spans="1:11" ht="23.1" customHeight="1" x14ac:dyDescent="0.3">
      <c r="A29" s="9" t="s">
        <v>117</v>
      </c>
      <c r="B29" s="10" t="s">
        <v>199</v>
      </c>
      <c r="C29" s="10" t="s">
        <v>200</v>
      </c>
      <c r="D29" s="9" t="s">
        <v>115</v>
      </c>
      <c r="E29" s="47">
        <f>단가산출근거!C1754</f>
        <v>1026</v>
      </c>
      <c r="F29" s="46">
        <f>단가산출근거!D1754</f>
        <v>412</v>
      </c>
      <c r="G29" s="55">
        <f>단가산출근거!E1754</f>
        <v>364</v>
      </c>
      <c r="H29" s="47">
        <f>단가산출근거!F1754</f>
        <v>250</v>
      </c>
      <c r="I29" s="15" t="s">
        <v>117</v>
      </c>
      <c r="J29" s="17" t="str">
        <f>"_x0007_`COD|D00022_x0005_`QTY1|1_x0005_`BQC|_x0005_`EQC|_x0005_`JDC|_x0005_`WQC|_x0005_`EDT|_x0005_`ADJ|F_x0005_`DET|"&amp;ROW(단가산출근거!A1705)&amp;"_x0005_`"</f>
        <v>_x0007_`COD|D00022_x0005_`QTY1|1_x0005_`BQC|_x0005_`EQC|_x0005_`JDC|_x0005_`WQC|_x0005_`EDT|_x0005_`ADJ|F_x0005_`DET|1705_x0005_`</v>
      </c>
      <c r="K29" s="3" t="str">
        <f ca="1">HYPERLINK("#"&amp;단가산출근거!G2&amp;"!A"&amp;ROW(단가산출근거!A1705),"산근26 →")</f>
        <v>산근26 →</v>
      </c>
    </row>
    <row r="30" spans="1:11" ht="23.1" customHeight="1" x14ac:dyDescent="0.3">
      <c r="A30" s="9" t="s">
        <v>121</v>
      </c>
      <c r="B30" s="10" t="s">
        <v>202</v>
      </c>
      <c r="C30" s="10"/>
      <c r="D30" s="9" t="s">
        <v>115</v>
      </c>
      <c r="E30" s="47">
        <f>단가산출근거!C1804</f>
        <v>73989</v>
      </c>
      <c r="F30" s="46">
        <f>단가산출근거!D1804</f>
        <v>73989</v>
      </c>
      <c r="G30" s="55">
        <f>단가산출근거!E1804</f>
        <v>0</v>
      </c>
      <c r="H30" s="47">
        <f>단가산출근거!F1804</f>
        <v>0</v>
      </c>
      <c r="I30" s="15" t="s">
        <v>121</v>
      </c>
      <c r="J30" s="17" t="str">
        <f>"_x0007_`COD|D00492_x0005_`QTY1|1_x0005_`BQC|_x0005_`EQC|_x0005_`JDC|_x0005_`WQC|_x0005_`EDT|_x0005_`ADJ|F_x0005_`DET|"&amp;ROW(단가산출근거!A1755)&amp;"_x0005_`"</f>
        <v>_x0007_`COD|D00492_x0005_`QTY1|1_x0005_`BQC|_x0005_`EQC|_x0005_`JDC|_x0005_`WQC|_x0005_`EDT|_x0005_`ADJ|F_x0005_`DET|1755_x0005_`</v>
      </c>
      <c r="K30" s="3" t="str">
        <f ca="1">HYPERLINK("#"&amp;단가산출근거!G2&amp;"!A"&amp;ROW(단가산출근거!A1755),"산근27 →")</f>
        <v>산근27 →</v>
      </c>
    </row>
    <row r="31" spans="1:11" ht="23.1" customHeight="1" x14ac:dyDescent="0.3">
      <c r="A31" s="9" t="s">
        <v>204</v>
      </c>
      <c r="B31" s="10" t="s">
        <v>205</v>
      </c>
      <c r="C31" s="10" t="s">
        <v>206</v>
      </c>
      <c r="D31" s="9" t="s">
        <v>14</v>
      </c>
      <c r="E31" s="47">
        <f>단가산출근거!C1904</f>
        <v>13611</v>
      </c>
      <c r="F31" s="46">
        <f>단가산출근거!D1904</f>
        <v>11304</v>
      </c>
      <c r="G31" s="55">
        <f>단가산출근거!E1904</f>
        <v>1117</v>
      </c>
      <c r="H31" s="47">
        <f>단가산출근거!F1904</f>
        <v>1190</v>
      </c>
      <c r="I31" s="15" t="s">
        <v>204</v>
      </c>
      <c r="J31" s="17" t="str">
        <f>"_x0007_`COD|D03666_x0005_`QTY1|1_x0005_`BQC|_x0005_`EQC|_x0005_`JDC|_x0005_`WQC|_x0005_`EDT|_x0005_`ADJ|F_x0005_`DET|"&amp;ROW(단가산출근거!A1805)&amp;"_x0005_`"</f>
        <v>_x0007_`COD|D03666_x0005_`QTY1|1_x0005_`BQC|_x0005_`EQC|_x0005_`JDC|_x0005_`WQC|_x0005_`EDT|_x0005_`ADJ|F_x0005_`DET|1805_x0005_`</v>
      </c>
      <c r="K31" s="3" t="str">
        <f ca="1">HYPERLINK("#"&amp;단가산출근거!G2&amp;"!A"&amp;ROW(단가산출근거!A1805),"산근28 →")</f>
        <v>산근28 →</v>
      </c>
    </row>
    <row r="32" spans="1:11" ht="23.1" customHeight="1" x14ac:dyDescent="0.3">
      <c r="A32" s="9" t="s">
        <v>208</v>
      </c>
      <c r="B32" s="10" t="s">
        <v>172</v>
      </c>
      <c r="C32" s="10" t="s">
        <v>209</v>
      </c>
      <c r="D32" s="9" t="s">
        <v>128</v>
      </c>
      <c r="E32" s="47">
        <f>단가산출근거!C1954</f>
        <v>36170</v>
      </c>
      <c r="F32" s="46">
        <f>단가산출근거!D1954</f>
        <v>30708</v>
      </c>
      <c r="G32" s="55">
        <f>단가산출근거!E1954</f>
        <v>4689</v>
      </c>
      <c r="H32" s="47">
        <f>단가산출근거!F1954</f>
        <v>773</v>
      </c>
      <c r="I32" s="15" t="s">
        <v>208</v>
      </c>
      <c r="J32" s="17" t="str">
        <f>"_x0007_`COD|D01383_x0005_`QTY1|1_x0005_`BQC|_x0005_`EQC|_x0005_`JDC|_x0005_`WQC|_x0005_`EDT|_x0005_`ADJ|F_x0005_`DET|"&amp;ROW(단가산출근거!A1905)&amp;"_x0005_`"</f>
        <v>_x0007_`COD|D01383_x0005_`QTY1|1_x0005_`BQC|_x0005_`EQC|_x0005_`JDC|_x0005_`WQC|_x0005_`EDT|_x0005_`ADJ|F_x0005_`DET|1905_x0005_`</v>
      </c>
      <c r="K32" s="3" t="str">
        <f ca="1">HYPERLINK("#"&amp;단가산출근거!G2&amp;"!A"&amp;ROW(단가산출근거!A1905),"산근29 →")</f>
        <v>산근29 →</v>
      </c>
    </row>
    <row r="33" spans="1:11" ht="23.1" customHeight="1" x14ac:dyDescent="0.3">
      <c r="A33" s="9" t="s">
        <v>211</v>
      </c>
      <c r="B33" s="10" t="s">
        <v>212</v>
      </c>
      <c r="C33" s="10" t="s">
        <v>213</v>
      </c>
      <c r="D33" s="9" t="s">
        <v>115</v>
      </c>
      <c r="E33" s="47">
        <f>단가산출근거!C2004</f>
        <v>59284</v>
      </c>
      <c r="F33" s="46">
        <f>단가산출근거!D2004</f>
        <v>58122</v>
      </c>
      <c r="G33" s="55">
        <f>단가산출근거!E2004</f>
        <v>0</v>
      </c>
      <c r="H33" s="47">
        <f>단가산출근거!F2004</f>
        <v>1162</v>
      </c>
      <c r="I33" s="15" t="s">
        <v>211</v>
      </c>
      <c r="J33" s="17" t="str">
        <f>"_x0007_`COD|D00368_x0005_`QTY1|1_x0005_`BQC|_x0005_`EQC|_x0005_`JDC|_x0005_`WQC|_x0005_`EDT|_x0005_`ADJ|F_x0005_`DET|"&amp;ROW(단가산출근거!A1955)&amp;"_x0005_`"</f>
        <v>_x0007_`COD|D00368_x0005_`QTY1|1_x0005_`BQC|_x0005_`EQC|_x0005_`JDC|_x0005_`WQC|_x0005_`EDT|_x0005_`ADJ|F_x0005_`DET|1955_x0005_`</v>
      </c>
      <c r="K33" s="3" t="str">
        <f ca="1">HYPERLINK("#"&amp;단가산출근거!G2&amp;"!A"&amp;ROW(단가산출근거!A1955),"산근30 →")</f>
        <v>산근30 →</v>
      </c>
    </row>
    <row r="34" spans="1:11" ht="23.1" customHeight="1" x14ac:dyDescent="0.3">
      <c r="A34" s="9" t="s">
        <v>215</v>
      </c>
      <c r="B34" s="10" t="s">
        <v>216</v>
      </c>
      <c r="C34" s="10" t="s">
        <v>217</v>
      </c>
      <c r="D34" s="9" t="s">
        <v>14</v>
      </c>
      <c r="E34" s="47">
        <f>단가산출근거!C2054</f>
        <v>48340</v>
      </c>
      <c r="F34" s="46">
        <f>단가산출근거!D2054</f>
        <v>34461</v>
      </c>
      <c r="G34" s="55">
        <f>단가산출근거!E2054</f>
        <v>13535</v>
      </c>
      <c r="H34" s="47">
        <f>단가산출근거!F2054</f>
        <v>344</v>
      </c>
      <c r="I34" s="15" t="s">
        <v>215</v>
      </c>
      <c r="J34" s="17" t="str">
        <f>"_x0007_`COD|D00362_x0005_`QTY1|1_x0005_`BQC|_x0005_`EQC|도로_x0005_`JDC|_x0005_`WQC|_x0005_`EDT|_x0005_`ADJ|F_x0005_`DET|"&amp;ROW(단가산출근거!A2005)&amp;"_x0005_`"</f>
        <v>_x0007_`COD|D00362_x0005_`QTY1|1_x0005_`BQC|_x0005_`EQC|도로_x0005_`JDC|_x0005_`WQC|_x0005_`EDT|_x0005_`ADJ|F_x0005_`DET|2005_x0005_`</v>
      </c>
      <c r="K34" s="3" t="str">
        <f ca="1">HYPERLINK("#"&amp;단가산출근거!G2&amp;"!A"&amp;ROW(단가산출근거!A2005),"산근31 →")</f>
        <v>산근31 →</v>
      </c>
    </row>
    <row r="35" spans="1:11" ht="23.1" customHeight="1" x14ac:dyDescent="0.3">
      <c r="A35" s="9" t="s">
        <v>219</v>
      </c>
      <c r="B35" s="10" t="s">
        <v>220</v>
      </c>
      <c r="C35" s="10" t="s">
        <v>220</v>
      </c>
      <c r="D35" s="9" t="s">
        <v>221</v>
      </c>
      <c r="E35" s="47">
        <f>단가산출근거!C2104</f>
        <v>88211</v>
      </c>
      <c r="F35" s="46">
        <f>단가산출근거!D2104</f>
        <v>84688</v>
      </c>
      <c r="G35" s="55">
        <f>단가산출근거!E2104</f>
        <v>1722</v>
      </c>
      <c r="H35" s="47">
        <f>단가산출근거!F2104</f>
        <v>1801</v>
      </c>
      <c r="I35" s="15" t="s">
        <v>219</v>
      </c>
      <c r="J35" s="17" t="str">
        <f>"_x0007_`COD|D04424_x0005_`QTY1|1_x0005_`BQC|_x0005_`EQC|_x0005_`JDC|_x0005_`WQC|_x0005_`EDT|_x0005_`ADJ|F_x0005_`DET|"&amp;ROW(단가산출근거!A2055)&amp;"_x0005_`"</f>
        <v>_x0007_`COD|D04424_x0005_`QTY1|1_x0005_`BQC|_x0005_`EQC|_x0005_`JDC|_x0005_`WQC|_x0005_`EDT|_x0005_`ADJ|F_x0005_`DET|2055_x0005_`</v>
      </c>
      <c r="K35" s="3" t="str">
        <f ca="1">HYPERLINK("#"&amp;단가산출근거!G2&amp;"!A"&amp;ROW(단가산출근거!A2055),"산근32 →")</f>
        <v>산근32 →</v>
      </c>
    </row>
    <row r="36" spans="1:11" ht="23.1" customHeight="1" x14ac:dyDescent="0.3">
      <c r="A36" s="9" t="s">
        <v>223</v>
      </c>
      <c r="B36" s="10" t="s">
        <v>31</v>
      </c>
      <c r="C36" s="10" t="s">
        <v>224</v>
      </c>
      <c r="D36" s="9" t="s">
        <v>33</v>
      </c>
      <c r="E36" s="47">
        <f>단가산출근거!C2154</f>
        <v>149157</v>
      </c>
      <c r="F36" s="46">
        <f>단가산출근거!D2154</f>
        <v>109545</v>
      </c>
      <c r="G36" s="55">
        <f>단가산출근거!E2154</f>
        <v>17788</v>
      </c>
      <c r="H36" s="47">
        <f>단가산출근거!F2154</f>
        <v>21824</v>
      </c>
      <c r="I36" s="15" t="s">
        <v>223</v>
      </c>
      <c r="J36" s="17" t="str">
        <f>"_x0007_`COD|D00589_x0005_`QTY1|1_x0005_`BQC|_x0005_`EQC|_x0005_`JDC|_x0005_`WQC|_x0005_`EDT|_x0005_`ADJ|F_x0005_`DET|"&amp;ROW(단가산출근거!A2105)&amp;"_x0005_`"</f>
        <v>_x0007_`COD|D00589_x0005_`QTY1|1_x0005_`BQC|_x0005_`EQC|_x0005_`JDC|_x0005_`WQC|_x0005_`EDT|_x0005_`ADJ|F_x0005_`DET|2105_x0005_`</v>
      </c>
      <c r="K36" s="3" t="str">
        <f ca="1">HYPERLINK("#"&amp;단가산출근거!G2&amp;"!A"&amp;ROW(단가산출근거!A2105),"산근33 →")</f>
        <v>산근33 →</v>
      </c>
    </row>
    <row r="37" spans="1:11" ht="23.1" customHeight="1" x14ac:dyDescent="0.3">
      <c r="A37" s="9" t="s">
        <v>226</v>
      </c>
      <c r="B37" s="10" t="s">
        <v>227</v>
      </c>
      <c r="C37" s="10" t="s">
        <v>228</v>
      </c>
      <c r="D37" s="9" t="s">
        <v>38</v>
      </c>
      <c r="E37" s="47">
        <f>단가산출근거!C2204</f>
        <v>74578</v>
      </c>
      <c r="F37" s="46">
        <f>단가산출근거!D2204</f>
        <v>54772</v>
      </c>
      <c r="G37" s="55">
        <f>단가산출근거!E2204</f>
        <v>8894</v>
      </c>
      <c r="H37" s="47">
        <f>단가산출근거!F2204</f>
        <v>10912</v>
      </c>
      <c r="I37" s="15" t="s">
        <v>226</v>
      </c>
      <c r="J37" s="17" t="str">
        <f>"_x0007_`COD|D00591_x0005_`QTY1|1_x0005_`BQC|_x0005_`EQC|_x0005_`JDC|_x0005_`WQC|_x0005_`EDT|_x0005_`ADJ|F_x0005_`DET|"&amp;ROW(단가산출근거!A2155)&amp;"_x0005_`"</f>
        <v>_x0007_`COD|D00591_x0005_`QTY1|1_x0005_`BQC|_x0005_`EQC|_x0005_`JDC|_x0005_`WQC|_x0005_`EDT|_x0005_`ADJ|F_x0005_`DET|2155_x0005_`</v>
      </c>
      <c r="K37" s="3" t="str">
        <f ca="1">HYPERLINK("#"&amp;단가산출근거!G2&amp;"!A"&amp;ROW(단가산출근거!A2155),"산근34 →")</f>
        <v>산근34 →</v>
      </c>
    </row>
    <row r="38" spans="1:11" ht="23.1" customHeight="1" x14ac:dyDescent="0.3">
      <c r="A38" s="9" t="s">
        <v>230</v>
      </c>
      <c r="B38" s="10" t="s">
        <v>231</v>
      </c>
      <c r="C38" s="10" t="s">
        <v>232</v>
      </c>
      <c r="D38" s="9" t="s">
        <v>38</v>
      </c>
      <c r="E38" s="47">
        <f>단가산출근거!C2254</f>
        <v>96952</v>
      </c>
      <c r="F38" s="46">
        <f>단가산출근거!D2254</f>
        <v>71204</v>
      </c>
      <c r="G38" s="55">
        <f>단가산출근거!E2254</f>
        <v>11562</v>
      </c>
      <c r="H38" s="47">
        <f>단가산출근거!F2254</f>
        <v>14186</v>
      </c>
      <c r="I38" s="15" t="s">
        <v>230</v>
      </c>
      <c r="J38" s="17" t="str">
        <f>"_x0007_`COD|D04252_x0005_`QTY1|1_x0005_`BQC|_x0005_`EQC|_x0005_`JDC|_x0005_`WQC|_x0005_`EDT|_x0005_`ADJ|F_x0005_`DET|"&amp;ROW(단가산출근거!A2205)&amp;"_x0005_`"</f>
        <v>_x0007_`COD|D04252_x0005_`QTY1|1_x0005_`BQC|_x0005_`EQC|_x0005_`JDC|_x0005_`WQC|_x0005_`EDT|_x0005_`ADJ|F_x0005_`DET|2205_x0005_`</v>
      </c>
      <c r="K38" s="3" t="str">
        <f ca="1">HYPERLINK("#"&amp;단가산출근거!G2&amp;"!A"&amp;ROW(단가산출근거!A2205),"산근35 →")</f>
        <v>산근35 →</v>
      </c>
    </row>
    <row r="39" spans="1:11" ht="23.1" customHeight="1" x14ac:dyDescent="0.3">
      <c r="A39" s="9" t="s">
        <v>234</v>
      </c>
      <c r="B39" s="10" t="s">
        <v>72</v>
      </c>
      <c r="C39" s="10" t="s">
        <v>235</v>
      </c>
      <c r="D39" s="9" t="s">
        <v>33</v>
      </c>
      <c r="E39" s="47">
        <f>단가산출근거!C2304</f>
        <v>48891</v>
      </c>
      <c r="F39" s="46">
        <f>단가산출근거!D2304</f>
        <v>38000</v>
      </c>
      <c r="G39" s="55">
        <f>단가산출근거!E2304</f>
        <v>2533</v>
      </c>
      <c r="H39" s="47">
        <f>단가산출근거!F2304</f>
        <v>8358</v>
      </c>
      <c r="I39" s="15" t="s">
        <v>234</v>
      </c>
      <c r="J39" s="17" t="str">
        <f>"_x0007_`COD|D03799_x0005_`QTY1|1_x0005_`BQC|_x0005_`EQC|_x0005_`JDC|_x0005_`WQC|_x0005_`EDT|_x0005_`ADJ|F_x0005_`DET|"&amp;ROW(단가산출근거!A2255)&amp;"_x0005_`"</f>
        <v>_x0007_`COD|D03799_x0005_`QTY1|1_x0005_`BQC|_x0005_`EQC|_x0005_`JDC|_x0005_`WQC|_x0005_`EDT|_x0005_`ADJ|F_x0005_`DET|2255_x0005_`</v>
      </c>
      <c r="K39" s="3" t="str">
        <f ca="1">HYPERLINK("#"&amp;단가산출근거!G2&amp;"!A"&amp;ROW(단가산출근거!A2255),"산근36 →")</f>
        <v>산근36 →</v>
      </c>
    </row>
    <row r="40" spans="1:11" ht="23.1" customHeight="1" x14ac:dyDescent="0.3">
      <c r="A40" s="9" t="s">
        <v>237</v>
      </c>
      <c r="B40" s="10" t="s">
        <v>238</v>
      </c>
      <c r="C40" s="10" t="s">
        <v>239</v>
      </c>
      <c r="D40" s="9" t="s">
        <v>14</v>
      </c>
      <c r="E40" s="47">
        <f>단가산출근거!C2354</f>
        <v>36258</v>
      </c>
      <c r="F40" s="46">
        <f>단가산출근거!D2354</f>
        <v>31880</v>
      </c>
      <c r="G40" s="55">
        <f>단가산출근거!E2354</f>
        <v>3422</v>
      </c>
      <c r="H40" s="47">
        <f>단가산출근거!F2354</f>
        <v>956</v>
      </c>
      <c r="I40" s="15" t="s">
        <v>237</v>
      </c>
      <c r="J40" s="17" t="str">
        <f>"_x0007_`COD|D04373_x0005_`QTY1|1_x0005_`BQC|_x0005_`EQC|하수도보수_x0005_`JDC|_x0005_`WQC|_x0005_`EDT|_x0005_`ADJ|F_x0005_`DET|"&amp;ROW(단가산출근거!A2305)&amp;"_x0005_`"</f>
        <v>_x0007_`COD|D04373_x0005_`QTY1|1_x0005_`BQC|_x0005_`EQC|하수도보수_x0005_`JDC|_x0005_`WQC|_x0005_`EDT|_x0005_`ADJ|F_x0005_`DET|2305_x0005_`</v>
      </c>
      <c r="K40" s="3" t="str">
        <f ca="1">HYPERLINK("#"&amp;단가산출근거!G2&amp;"!A"&amp;ROW(단가산출근거!A2305),"산근37 →")</f>
        <v>산근37 →</v>
      </c>
    </row>
    <row r="41" spans="1:11" ht="23.1" customHeight="1" x14ac:dyDescent="0.3">
      <c r="A41" s="9" t="s">
        <v>241</v>
      </c>
      <c r="B41" s="10" t="s">
        <v>242</v>
      </c>
      <c r="C41" s="10"/>
      <c r="D41" s="9" t="s">
        <v>28</v>
      </c>
      <c r="E41" s="47">
        <f>단가산출근거!C2404</f>
        <v>103287</v>
      </c>
      <c r="F41" s="46">
        <f>단가산출근거!D2404</f>
        <v>75097</v>
      </c>
      <c r="G41" s="55">
        <f>단가산출근거!E2404</f>
        <v>13776</v>
      </c>
      <c r="H41" s="47">
        <f>단가산출근거!F2404</f>
        <v>14414</v>
      </c>
      <c r="I41" s="15" t="s">
        <v>241</v>
      </c>
      <c r="J41" s="17" t="str">
        <f>"_x0007_`COD|D03924_x0005_`QTY1|1_x0005_`BQC|_x0005_`EQC|_x0005_`JDC|_x0005_`WQC|_x0005_`EDT|_x0005_`ADJ|F_x0005_`DET|"&amp;ROW(단가산출근거!A2355)&amp;"_x0005_`"</f>
        <v>_x0007_`COD|D03924_x0005_`QTY1|1_x0005_`BQC|_x0005_`EQC|_x0005_`JDC|_x0005_`WQC|_x0005_`EDT|_x0005_`ADJ|F_x0005_`DET|2355_x0005_`</v>
      </c>
      <c r="K41" s="3" t="str">
        <f ca="1">HYPERLINK("#"&amp;단가산출근거!G2&amp;"!A"&amp;ROW(단가산출근거!A2355),"산근38 →")</f>
        <v>산근38 →</v>
      </c>
    </row>
    <row r="42" spans="1:11" ht="23.1" customHeight="1" x14ac:dyDescent="0.3">
      <c r="A42" s="9" t="s">
        <v>244</v>
      </c>
      <c r="B42" s="10" t="s">
        <v>130</v>
      </c>
      <c r="C42" s="10" t="s">
        <v>245</v>
      </c>
      <c r="D42" s="9" t="s">
        <v>115</v>
      </c>
      <c r="E42" s="47">
        <f>단가산출근거!C2454</f>
        <v>8336</v>
      </c>
      <c r="F42" s="46">
        <f>단가산출근거!D2454</f>
        <v>5032</v>
      </c>
      <c r="G42" s="55">
        <f>단가산출근거!E2454</f>
        <v>1256</v>
      </c>
      <c r="H42" s="47">
        <f>단가산출근거!F2454</f>
        <v>2048</v>
      </c>
      <c r="I42" s="15" t="s">
        <v>244</v>
      </c>
      <c r="J42" s="17" t="str">
        <f>"_x0007_`COD|D02702_x0005_`QTY1|1_x0005_`BQC|_x0005_`EQC|_x0005_`JDC|_x0005_`WQC|_x0005_`EDT|_x0005_`ADJ|F_x0005_`DET|"&amp;ROW(단가산출근거!A2405)&amp;"_x0005_`"</f>
        <v>_x0007_`COD|D02702_x0005_`QTY1|1_x0005_`BQC|_x0005_`EQC|_x0005_`JDC|_x0005_`WQC|_x0005_`EDT|_x0005_`ADJ|F_x0005_`DET|2405_x0005_`</v>
      </c>
      <c r="K42" s="3" t="str">
        <f ca="1">HYPERLINK("#"&amp;단가산출근거!G2&amp;"!A"&amp;ROW(단가산출근거!A2405),"산근39 →")</f>
        <v>산근39 →</v>
      </c>
    </row>
    <row r="43" spans="1:11" ht="23.1" customHeight="1" x14ac:dyDescent="0.3">
      <c r="A43" s="9" t="s">
        <v>247</v>
      </c>
      <c r="B43" s="10" t="s">
        <v>248</v>
      </c>
      <c r="C43" s="10" t="s">
        <v>249</v>
      </c>
      <c r="D43" s="9" t="s">
        <v>115</v>
      </c>
      <c r="E43" s="47">
        <f>단가산출근거!C2504</f>
        <v>8345</v>
      </c>
      <c r="F43" s="46">
        <f>단가산출근거!D2504</f>
        <v>7443</v>
      </c>
      <c r="G43" s="55">
        <f>단가산출근거!E2504</f>
        <v>441</v>
      </c>
      <c r="H43" s="47">
        <f>단가산출근거!F2504</f>
        <v>461</v>
      </c>
      <c r="I43" s="15" t="s">
        <v>247</v>
      </c>
      <c r="J43" s="17" t="str">
        <f>"_x0007_`COD|D03839_x0005_`QTY1|1_x0005_`BQC|_x0005_`EQC|상수도_x0005_`JDC|_x0005_`WQC|_x0005_`EDT|_x0005_`ADJ|F_x0005_`DET|"&amp;ROW(단가산출근거!A2455)&amp;"_x0005_`"</f>
        <v>_x0007_`COD|D03839_x0005_`QTY1|1_x0005_`BQC|_x0005_`EQC|상수도_x0005_`JDC|_x0005_`WQC|_x0005_`EDT|_x0005_`ADJ|F_x0005_`DET|2455_x0005_`</v>
      </c>
      <c r="K43" s="3" t="str">
        <f ca="1">HYPERLINK("#"&amp;단가산출근거!G2&amp;"!A"&amp;ROW(단가산출근거!A2455),"산근40 →")</f>
        <v>산근40 →</v>
      </c>
    </row>
    <row r="44" spans="1:11" ht="23.1" customHeight="1" x14ac:dyDescent="0.3">
      <c r="A44" s="9" t="s">
        <v>251</v>
      </c>
      <c r="B44" s="10" t="s">
        <v>252</v>
      </c>
      <c r="C44" s="10" t="s">
        <v>253</v>
      </c>
      <c r="D44" s="9" t="s">
        <v>115</v>
      </c>
      <c r="E44" s="47">
        <f>단가산출근거!C2554</f>
        <v>3302</v>
      </c>
      <c r="F44" s="46">
        <f>단가산출근거!D2554</f>
        <v>2439</v>
      </c>
      <c r="G44" s="55">
        <f>단가산출근거!E2554</f>
        <v>485</v>
      </c>
      <c r="H44" s="47">
        <f>단가산출근거!F2554</f>
        <v>378</v>
      </c>
      <c r="I44" s="15" t="s">
        <v>251</v>
      </c>
      <c r="J44" s="17" t="str">
        <f>"_x0007_`COD|D03840_x0005_`QTY1|1_x0005_`BQC|_x0005_`EQC|_x0005_`JDC|_x0005_`WQC|_x0005_`EDT|_x0005_`ADJ|F_x0005_`DET|"&amp;ROW(단가산출근거!A2505)&amp;"_x0005_`"</f>
        <v>_x0007_`COD|D03840_x0005_`QTY1|1_x0005_`BQC|_x0005_`EQC|_x0005_`JDC|_x0005_`WQC|_x0005_`EDT|_x0005_`ADJ|F_x0005_`DET|2505_x0005_`</v>
      </c>
      <c r="K44" s="3" t="str">
        <f ca="1">HYPERLINK("#"&amp;단가산출근거!G2&amp;"!A"&amp;ROW(단가산출근거!A2505),"산근41 →")</f>
        <v>산근41 →</v>
      </c>
    </row>
    <row r="45" spans="1:11" ht="23.1" customHeight="1" x14ac:dyDescent="0.3">
      <c r="A45" s="9" t="s">
        <v>255</v>
      </c>
      <c r="B45" s="10" t="s">
        <v>256</v>
      </c>
      <c r="C45" s="10"/>
      <c r="D45" s="9" t="s">
        <v>180</v>
      </c>
      <c r="E45" s="47">
        <f>단가산출근거!C2604</f>
        <v>97935</v>
      </c>
      <c r="F45" s="46">
        <f>단가산출근거!D2604</f>
        <v>4663</v>
      </c>
      <c r="G45" s="55">
        <f>단가산출근거!E2604</f>
        <v>93272</v>
      </c>
      <c r="H45" s="47">
        <f>단가산출근거!F2604</f>
        <v>0</v>
      </c>
      <c r="I45" s="15" t="s">
        <v>255</v>
      </c>
      <c r="J45" s="17" t="str">
        <f>"_x0007_`COD|D03940_x0005_`QTY1|1_x0005_`BQC|_x0005_`EQC|_x0005_`JDC|_x0005_`WQC|_x0005_`EDT|_x0005_`ADJ|F_x0005_`DET|"&amp;ROW(단가산출근거!A2555)&amp;"_x0005_`"</f>
        <v>_x0007_`COD|D03940_x0005_`QTY1|1_x0005_`BQC|_x0005_`EQC|_x0005_`JDC|_x0005_`WQC|_x0005_`EDT|_x0005_`ADJ|F_x0005_`DET|2555_x0005_`</v>
      </c>
      <c r="K45" s="3" t="str">
        <f ca="1">HYPERLINK("#"&amp;단가산출근거!G2&amp;"!A"&amp;ROW(단가산출근거!A2555),"산근42 →")</f>
        <v>산근42 →</v>
      </c>
    </row>
  </sheetData>
  <mergeCells count="1">
    <mergeCell ref="A1:I1"/>
  </mergeCells>
  <phoneticPr fontId="25" type="noConversion"/>
  <hyperlinks>
    <hyperlink ref="K1" r:id="rId1" tooltip="설계예산시스템(STmate w26.05)으로 작성 하였으며,_x000a_엑셀 인쇄품질 600 dpi에 최적화 되어 있습니다._x000a_경영정보(주) http://www.stma.co.kr_x000a_Tel) 070-4350-0040_x000a_Fax) 0505-300-3948" xr:uid="{191C8F8B-42E2-4331-A796-C4228085053D}"/>
    <hyperlink ref="J1" r:id="rId2" tooltip="설계예산시스템(STmate w26.05)으로 작성 하였으며,_x000a_엑셀 인쇄품질 600 dpi에 최적화 되어 있습니다._x000a_경영정보(주) http://www.stma.co.kr_x000a_Tel) 070-4350-0040_x000a_Fax) 0505-300-3948" xr:uid="{C19F894C-2D3B-4B2A-A9D6-A6680056A7FF}"/>
  </hyperlinks>
  <printOptions horizontalCentered="1"/>
  <pageMargins left="0.39370078740157483" right="0.78740157480314954" top="0.78740157480314965" bottom="0.82677165354330706" header="0" footer="0.62992125984251968"/>
  <pageSetup paperSize="9" scale="72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021AF-123D-474B-B94E-760739BD2003}">
  <dimension ref="A1:AN2604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1" width="10" style="6" customWidth="1"/>
    <col min="2" max="2" width="53.5" style="6" customWidth="1"/>
    <col min="3" max="6" width="10" style="6" customWidth="1"/>
    <col min="7" max="7" width="9.125" style="83" hidden="1" customWidth="1"/>
    <col min="8" max="23" width="2.5" style="6" customWidth="1"/>
    <col min="24" max="24" width="9.125" style="6" customWidth="1"/>
    <col min="25" max="25" width="9.125" style="18" customWidth="1"/>
    <col min="26" max="40" width="4" style="6" customWidth="1"/>
    <col min="41" max="16384" width="9.125" style="6"/>
  </cols>
  <sheetData>
    <row r="1" spans="1:40" ht="24.95" customHeight="1" x14ac:dyDescent="0.3">
      <c r="A1" s="130" t="s">
        <v>123</v>
      </c>
      <c r="B1" s="126"/>
      <c r="C1" s="126"/>
      <c r="D1" s="126"/>
      <c r="E1" s="126"/>
      <c r="F1" s="126"/>
      <c r="G1" s="5" t="s">
        <v>124</v>
      </c>
      <c r="Y1" s="19" t="s">
        <v>124</v>
      </c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</row>
    <row r="2" spans="1:40" ht="16.5" customHeight="1" x14ac:dyDescent="0.3">
      <c r="A2" s="1" t="s">
        <v>1</v>
      </c>
      <c r="G2" s="20" t="str">
        <f ca="1">MID(CELL("filename",$A$1),FIND("]",CELL("filename",$A$1))+1,LEN(CELL("filename",$A$1)))</f>
        <v>단가산출근거</v>
      </c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</row>
    <row r="3" spans="1:40" ht="16.5" customHeight="1" x14ac:dyDescent="0.3">
      <c r="A3" s="147" t="s">
        <v>1398</v>
      </c>
      <c r="B3" s="147" t="s">
        <v>1399</v>
      </c>
      <c r="C3" s="147" t="s">
        <v>6</v>
      </c>
      <c r="D3" s="147" t="s">
        <v>7</v>
      </c>
      <c r="E3" s="147" t="s">
        <v>8</v>
      </c>
      <c r="F3" s="133" t="s">
        <v>9</v>
      </c>
      <c r="Z3" s="146" t="s">
        <v>257</v>
      </c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</row>
    <row r="4" spans="1:40" ht="16.5" customHeight="1" x14ac:dyDescent="0.3">
      <c r="A4" s="148"/>
      <c r="B4" s="148"/>
      <c r="C4" s="148"/>
      <c r="D4" s="148"/>
      <c r="E4" s="148"/>
      <c r="F4" s="134"/>
      <c r="H4" s="35" t="s">
        <v>1400</v>
      </c>
      <c r="I4" s="35" t="s">
        <v>1401</v>
      </c>
      <c r="J4" s="35" t="s">
        <v>417</v>
      </c>
      <c r="K4" s="35" t="s">
        <v>19</v>
      </c>
      <c r="L4" s="35" t="s">
        <v>1402</v>
      </c>
      <c r="Y4" s="3" t="str">
        <f>HYPERLINK("#'〓 목 차 〓'!B2","목차 →")</f>
        <v>목차 →</v>
      </c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  <c r="AK4" s="152"/>
      <c r="AL4" s="152"/>
      <c r="AM4" s="152"/>
      <c r="AN4" s="152"/>
    </row>
    <row r="5" spans="1:40" ht="16.5" customHeight="1" x14ac:dyDescent="0.3">
      <c r="A5" s="86" t="s">
        <v>11</v>
      </c>
      <c r="B5" s="88" t="s">
        <v>11</v>
      </c>
      <c r="C5" s="151">
        <f>C104</f>
        <v>2661</v>
      </c>
      <c r="D5" s="151">
        <f>D104</f>
        <v>1376</v>
      </c>
      <c r="E5" s="151">
        <f>E104</f>
        <v>216</v>
      </c>
      <c r="F5" s="151">
        <f>F104</f>
        <v>1069</v>
      </c>
      <c r="G5" s="84" t="str">
        <f>HYPERLINK("#G"&amp;ROW(G80),"_x0005_`BDCOD|D01375_x0007_`POSS|"&amp;ROW(G7)&amp;"_x0007_`POSE|"&amp;ROW(G80)&amp;"_x0007_`")</f>
        <v>_x0005_`BDCOD|D01375_x0007_`POSS|7_x0007_`POSE|80_x0007_`</v>
      </c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</row>
    <row r="6" spans="1:40" ht="16.5" customHeight="1" x14ac:dyDescent="0.3">
      <c r="A6" s="87"/>
      <c r="B6" s="88" t="s">
        <v>1403</v>
      </c>
      <c r="C6" s="136"/>
      <c r="D6" s="136"/>
      <c r="E6" s="136"/>
      <c r="F6" s="136"/>
      <c r="M6" s="35" t="s">
        <v>1404</v>
      </c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</row>
    <row r="7" spans="1:40" ht="16.5" customHeight="1" x14ac:dyDescent="0.3">
      <c r="A7" s="69"/>
      <c r="B7" s="69"/>
      <c r="C7" s="90"/>
      <c r="D7" s="90"/>
      <c r="E7" s="90"/>
      <c r="F7" s="90"/>
      <c r="G7" s="17" t="s">
        <v>1405</v>
      </c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</row>
    <row r="8" spans="1:40" ht="16.5" customHeight="1" x14ac:dyDescent="0.3">
      <c r="A8" s="59"/>
      <c r="B8" s="68" t="s">
        <v>1407</v>
      </c>
      <c r="C8" s="69"/>
      <c r="D8" s="69"/>
      <c r="E8" s="69"/>
      <c r="F8" s="69"/>
      <c r="G8" s="17" t="s">
        <v>1406</v>
      </c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</row>
    <row r="9" spans="1:40" ht="16.5" customHeight="1" x14ac:dyDescent="0.3">
      <c r="A9" s="69"/>
      <c r="B9" s="69"/>
      <c r="C9" s="69"/>
      <c r="D9" s="69"/>
      <c r="E9" s="69"/>
      <c r="F9" s="69"/>
      <c r="G9" s="17" t="s">
        <v>1405</v>
      </c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  <c r="AN9" s="101"/>
    </row>
    <row r="10" spans="1:40" ht="16.5" customHeight="1" x14ac:dyDescent="0.3">
      <c r="A10" s="59"/>
      <c r="B10" s="68" t="str">
        <f>" Q1 = "&amp;Z10&amp;" m/일 = "&amp;AB10&amp;" m/일 "</f>
        <v xml:space="preserve"> Q1 = 500 m/일 = 500.000 m/일 </v>
      </c>
      <c r="C10" s="69"/>
      <c r="D10" s="69"/>
      <c r="E10" s="69"/>
      <c r="F10" s="69"/>
      <c r="G10" s="17" t="s">
        <v>1408</v>
      </c>
      <c r="Z10" s="102">
        <v>500</v>
      </c>
      <c r="AA10" s="35" t="s">
        <v>1410</v>
      </c>
      <c r="AB10" s="103" t="str">
        <f>TEXT(ROUND(Z10,3),"#,0.000")</f>
        <v>500.000</v>
      </c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</row>
    <row r="11" spans="1:40" ht="16.5" customHeight="1" x14ac:dyDescent="0.3">
      <c r="A11" s="59"/>
      <c r="B11" s="68" t="str">
        <f>" Q2 = "&amp;Z11&amp;" m/일 = "&amp;AB11&amp;" m/일 "</f>
        <v xml:space="preserve"> Q2 = 500 m/일 = 500.000 m/일 </v>
      </c>
      <c r="C11" s="69"/>
      <c r="D11" s="69"/>
      <c r="E11" s="69"/>
      <c r="F11" s="69"/>
      <c r="G11" s="17" t="s">
        <v>1409</v>
      </c>
      <c r="Z11" s="102">
        <v>500</v>
      </c>
      <c r="AA11" s="35" t="s">
        <v>1410</v>
      </c>
      <c r="AB11" s="103" t="str">
        <f>TEXT(ROUND(Z11,3),"#,0.000")</f>
        <v>500.000</v>
      </c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</row>
    <row r="12" spans="1:40" ht="16.5" customHeight="1" x14ac:dyDescent="0.3">
      <c r="A12" s="59"/>
      <c r="B12" s="68" t="str">
        <f>" Q = "&amp;Z12&amp;" m/일 /"&amp;AB12&amp;" hr/일 = "&amp;AD12&amp;" m/hr "</f>
        <v xml:space="preserve"> Q = 500 m/일 /8 hr/일 = 62.500 m/hr </v>
      </c>
      <c r="C12" s="69"/>
      <c r="D12" s="69"/>
      <c r="E12" s="69"/>
      <c r="F12" s="69"/>
      <c r="G12" s="17" t="s">
        <v>1411</v>
      </c>
      <c r="Z12" s="102">
        <v>500</v>
      </c>
      <c r="AA12" s="35" t="s">
        <v>1413</v>
      </c>
      <c r="AB12" s="102">
        <v>8</v>
      </c>
      <c r="AC12" s="35" t="s">
        <v>1410</v>
      </c>
      <c r="AD12" s="103" t="str">
        <f>TEXT(ROUND(Z12/AB12,3),"#,0.000")</f>
        <v>62.500</v>
      </c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</row>
    <row r="13" spans="1:40" ht="16.5" customHeight="1" x14ac:dyDescent="0.3">
      <c r="A13" s="69"/>
      <c r="B13" s="69"/>
      <c r="C13" s="69"/>
      <c r="D13" s="69"/>
      <c r="E13" s="69"/>
      <c r="F13" s="69"/>
      <c r="G13" s="17" t="s">
        <v>1405</v>
      </c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</row>
    <row r="14" spans="1:40" ht="16.5" customHeight="1" x14ac:dyDescent="0.3">
      <c r="A14" s="59"/>
      <c r="B14" s="68" t="s">
        <v>1414</v>
      </c>
      <c r="C14" s="69"/>
      <c r="D14" s="69"/>
      <c r="E14" s="69"/>
      <c r="F14" s="69"/>
      <c r="G14" s="17" t="s">
        <v>1412</v>
      </c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</row>
    <row r="15" spans="1:40" ht="16.5" customHeight="1" x14ac:dyDescent="0.3">
      <c r="A15" s="69"/>
      <c r="B15" s="69"/>
      <c r="C15" s="69"/>
      <c r="D15" s="69"/>
      <c r="E15" s="69"/>
      <c r="F15" s="69"/>
      <c r="G15" s="17" t="s">
        <v>1405</v>
      </c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</row>
    <row r="16" spans="1:40" ht="16.5" customHeight="1" x14ac:dyDescent="0.3">
      <c r="A16" s="59" t="s">
        <v>1416</v>
      </c>
      <c r="B16" s="89" t="str">
        <f>" 특별인부 : "&amp;TEXT(I16,"#,##0"&amp;IF(I16&lt;&gt;INT(I16),".###",""))&amp;" / Q1 = "&amp;TEXT(C16,"#,##0.0")&amp;""</f>
        <v xml:space="preserve"> 특별인부 : 226,122 / Q1 = 452.2</v>
      </c>
      <c r="C16" s="91">
        <f>E16+D16+F16</f>
        <v>452.2</v>
      </c>
      <c r="D16" s="91">
        <f>IF(H16=0,0,ROUNDDOWN(J16*H16,1))</f>
        <v>452.2</v>
      </c>
      <c r="E16" s="91">
        <f>IF(H16=0,0,ROUNDDOWN(K16*H16,1))</f>
        <v>0</v>
      </c>
      <c r="F16" s="91">
        <f>IF(H16=0,0,ROUNDDOWN(L16*H16,1))</f>
        <v>0</v>
      </c>
      <c r="G16" s="17" t="s">
        <v>1415</v>
      </c>
      <c r="H16" s="97">
        <f>ROUNDUP(AC16,14-LEN(ABS(INT(AC16))))</f>
        <v>2E-3</v>
      </c>
      <c r="I16" s="98">
        <f>K16+J16+L16</f>
        <v>226122</v>
      </c>
      <c r="J16" s="38">
        <f>노무비목록표!E13</f>
        <v>226122</v>
      </c>
      <c r="M16" s="35" t="s">
        <v>1215</v>
      </c>
      <c r="N16" s="35" t="s">
        <v>1262</v>
      </c>
      <c r="O16" s="35" t="s">
        <v>1214</v>
      </c>
      <c r="X16" s="100" t="str">
        <f>노무비목록표!B13&amp;" / "&amp;노무비목록표!C13</f>
        <v xml:space="preserve">특별인부 / </v>
      </c>
      <c r="Y16" s="3" t="str">
        <f ca="1">HYPERLINK("#"&amp;노무비목록표!G2&amp;"!A"&amp;ROW(노무비목록표!A13),"노무10 →")</f>
        <v>노무10 →</v>
      </c>
      <c r="Z16" s="35" t="s">
        <v>1417</v>
      </c>
      <c r="AA16" s="103" t="str">
        <f>AB10</f>
        <v>500.000</v>
      </c>
      <c r="AB16" s="35" t="s">
        <v>1410</v>
      </c>
      <c r="AC16" s="103">
        <f>1/AB10</f>
        <v>2E-3</v>
      </c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</row>
    <row r="17" spans="1:40" ht="16.5" customHeight="1" x14ac:dyDescent="0.3">
      <c r="A17" s="69"/>
      <c r="B17" s="69"/>
      <c r="C17" s="69"/>
      <c r="D17" s="69"/>
      <c r="E17" s="69"/>
      <c r="F17" s="69"/>
      <c r="G17" s="17" t="s">
        <v>1405</v>
      </c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</row>
    <row r="18" spans="1:40" ht="16.5" customHeight="1" x14ac:dyDescent="0.3">
      <c r="A18" s="59" t="s">
        <v>1419</v>
      </c>
      <c r="B18" s="89" t="str">
        <f>" 보통인부: "&amp;TEXT(I18,"#,##0"&amp;IF(I18&lt;&gt;INT(I18),".###",""))&amp;" / Q2 = "&amp;TEXT(C18,"#,##0.0")&amp;""</f>
        <v xml:space="preserve"> 보통인부: 172,068 / Q2 = 344.1</v>
      </c>
      <c r="C18" s="91">
        <f>E18+D18+F18</f>
        <v>344.1</v>
      </c>
      <c r="D18" s="91">
        <f>IF(H18=0,0,ROUNDDOWN(J18*H18,1))</f>
        <v>344.1</v>
      </c>
      <c r="E18" s="91">
        <f>IF(H18=0,0,ROUNDDOWN(K18*H18,1))</f>
        <v>0</v>
      </c>
      <c r="F18" s="91">
        <f>IF(H18=0,0,ROUNDDOWN(L18*H18,1))</f>
        <v>0</v>
      </c>
      <c r="G18" s="17" t="s">
        <v>1418</v>
      </c>
      <c r="H18" s="97">
        <f>ROUNDUP(AC18,14-LEN(ABS(INT(AC18))))</f>
        <v>2E-3</v>
      </c>
      <c r="I18" s="98">
        <f>K18+J18+L18</f>
        <v>172068</v>
      </c>
      <c r="J18" s="38">
        <f>노무비목록표!E8</f>
        <v>172068</v>
      </c>
      <c r="M18" s="35" t="s">
        <v>1219</v>
      </c>
      <c r="N18" s="35" t="s">
        <v>1262</v>
      </c>
      <c r="O18" s="35" t="s">
        <v>1214</v>
      </c>
      <c r="X18" s="100" t="str">
        <f>노무비목록표!B8&amp;" / "&amp;노무비목록표!C8</f>
        <v xml:space="preserve">보통인부 / </v>
      </c>
      <c r="Y18" s="3" t="str">
        <f ca="1">HYPERLINK("#"&amp;노무비목록표!G2&amp;"!A"&amp;ROW(노무비목록표!A8),"노무5 →")</f>
        <v>노무5 →</v>
      </c>
      <c r="Z18" s="35" t="s">
        <v>1417</v>
      </c>
      <c r="AA18" s="103" t="str">
        <f>AB11</f>
        <v>500.000</v>
      </c>
      <c r="AB18" s="35" t="s">
        <v>1410</v>
      </c>
      <c r="AC18" s="103">
        <f>1/AB11</f>
        <v>2E-3</v>
      </c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</row>
    <row r="19" spans="1:40" ht="16.5" customHeight="1" x14ac:dyDescent="0.3">
      <c r="A19" s="59"/>
      <c r="B19" s="68" t="s">
        <v>1260</v>
      </c>
      <c r="C19" s="92">
        <f>E19+D19+F19</f>
        <v>796.3</v>
      </c>
      <c r="D19" s="92">
        <f>SUMIF(N7:N18,M19,D7:D18)</f>
        <v>796.3</v>
      </c>
      <c r="E19" s="92">
        <f>SUMIF(N7:N18,M19,E7:E18)</f>
        <v>0</v>
      </c>
      <c r="F19" s="92">
        <f>SUMIF(N7:N18,M19,F7:F18)</f>
        <v>0</v>
      </c>
      <c r="G19" s="17" t="s">
        <v>1420</v>
      </c>
      <c r="M19" s="35" t="s">
        <v>1262</v>
      </c>
      <c r="N19" s="35" t="s">
        <v>1253</v>
      </c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</row>
    <row r="20" spans="1:40" ht="16.5" customHeight="1" x14ac:dyDescent="0.3">
      <c r="A20" s="69"/>
      <c r="B20" s="69"/>
      <c r="C20" s="90"/>
      <c r="D20" s="90"/>
      <c r="E20" s="90"/>
      <c r="F20" s="90"/>
      <c r="G20" s="17" t="s">
        <v>1405</v>
      </c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</row>
    <row r="21" spans="1:40" ht="16.5" customHeight="1" x14ac:dyDescent="0.3">
      <c r="A21" s="59"/>
      <c r="B21" s="68" t="s">
        <v>1422</v>
      </c>
      <c r="C21" s="69"/>
      <c r="D21" s="69"/>
      <c r="E21" s="69"/>
      <c r="F21" s="69"/>
      <c r="G21" s="17" t="s">
        <v>1421</v>
      </c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101"/>
      <c r="AK21" s="101"/>
      <c r="AL21" s="101"/>
      <c r="AM21" s="101"/>
      <c r="AN21" s="101"/>
    </row>
    <row r="22" spans="1:40" ht="16.5" customHeight="1" x14ac:dyDescent="0.3">
      <c r="A22" s="69"/>
      <c r="B22" s="69"/>
      <c r="C22" s="69"/>
      <c r="D22" s="69"/>
      <c r="E22" s="69"/>
      <c r="F22" s="69"/>
      <c r="G22" s="17" t="s">
        <v>1405</v>
      </c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</row>
    <row r="23" spans="1:40" ht="16.5" customHeight="1" x14ac:dyDescent="0.3">
      <c r="A23" s="69"/>
      <c r="B23" s="69"/>
      <c r="C23" s="69"/>
      <c r="D23" s="69"/>
      <c r="E23" s="69"/>
      <c r="F23" s="69"/>
      <c r="G23" s="17" t="s">
        <v>1405</v>
      </c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</row>
    <row r="24" spans="1:40" ht="16.5" customHeight="1" x14ac:dyDescent="0.3">
      <c r="A24" s="59" t="s">
        <v>1424</v>
      </c>
      <c r="B24" s="89" t="str">
        <f>"  노무비: "&amp;TEXT(I24,"#,##0"&amp;IF(I24&lt;&gt;INT(I24),".###",""))&amp;" / Q = "&amp;TEXT(C24,"#,##0.0")&amp;""</f>
        <v xml:space="preserve">  노무비: 36,248 / Q = 579.9</v>
      </c>
      <c r="C24" s="91">
        <f>E24+D24+F24</f>
        <v>579.9</v>
      </c>
      <c r="D24" s="91">
        <f>IF(H24=0,0,ROUNDDOWN(J24*H24,1))</f>
        <v>579.9</v>
      </c>
      <c r="E24" s="91">
        <f>IF(H24=0,0,ROUNDDOWN(K24*H24,1))</f>
        <v>0</v>
      </c>
      <c r="F24" s="91">
        <f>IF(H24=0,0,ROUNDDOWN(L24*H24,1))</f>
        <v>0</v>
      </c>
      <c r="G24" s="17" t="s">
        <v>1423</v>
      </c>
      <c r="H24" s="97">
        <f>ROUNDUP(AC24,14-LEN(ABS(INT(AC24))))</f>
        <v>1.6E-2</v>
      </c>
      <c r="I24" s="98">
        <f>K24+J24+L24</f>
        <v>36248</v>
      </c>
      <c r="J24" s="38">
        <f>중기목록표!F28</f>
        <v>36248</v>
      </c>
      <c r="M24" s="35" t="s">
        <v>1425</v>
      </c>
      <c r="N24" s="35" t="s">
        <v>1262</v>
      </c>
      <c r="X24" s="100" t="str">
        <f>중기목록표!B28&amp;" / "&amp;중기목록표!C28</f>
        <v>커터(콘크리트 및 아스팔트용) / 320-440mm</v>
      </c>
      <c r="Y24" s="3" t="str">
        <f ca="1">HYPERLINK("#"&amp;중기목록표!J2&amp;"!A"&amp;ROW(중기목록표!A28),"중기25 →")</f>
        <v>중기25 →</v>
      </c>
      <c r="Z24" s="35" t="s">
        <v>1417</v>
      </c>
      <c r="AA24" s="103" t="str">
        <f>AD12</f>
        <v>62.500</v>
      </c>
      <c r="AB24" s="35" t="s">
        <v>1410</v>
      </c>
      <c r="AC24" s="103">
        <f>1/AD12</f>
        <v>1.6E-2</v>
      </c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</row>
    <row r="25" spans="1:40" ht="16.5" customHeight="1" x14ac:dyDescent="0.3">
      <c r="A25" s="69"/>
      <c r="B25" s="69"/>
      <c r="C25" s="69"/>
      <c r="D25" s="69"/>
      <c r="E25" s="69"/>
      <c r="F25" s="69"/>
      <c r="G25" s="17" t="s">
        <v>1405</v>
      </c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</row>
    <row r="26" spans="1:40" ht="16.5" customHeight="1" x14ac:dyDescent="0.3">
      <c r="A26" s="59" t="s">
        <v>1427</v>
      </c>
      <c r="B26" s="89" t="str">
        <f>"  재료비: "&amp;TEXT(I26,"#,##0"&amp;IF(I26&lt;&gt;INT(I26),".###",""))&amp;" / Q = "&amp;TEXT(C26,"#,##0.0")&amp;""</f>
        <v xml:space="preserve">  재료비: 12,129 / Q = 194.0</v>
      </c>
      <c r="C26" s="91">
        <f>E26+D26+F26</f>
        <v>194</v>
      </c>
      <c r="D26" s="91">
        <f>IF(H26=0,0,ROUNDDOWN(J26*H26,1))</f>
        <v>0</v>
      </c>
      <c r="E26" s="91">
        <f>IF(H26=0,0,ROUNDDOWN(K26*H26,1))</f>
        <v>194</v>
      </c>
      <c r="F26" s="91">
        <f>IF(H26=0,0,ROUNDDOWN(L26*H26,1))</f>
        <v>0</v>
      </c>
      <c r="G26" s="17" t="s">
        <v>1426</v>
      </c>
      <c r="H26" s="97">
        <f>ROUNDUP(AC26,14-LEN(ABS(INT(AC26))))</f>
        <v>1.6E-2</v>
      </c>
      <c r="I26" s="98">
        <f>K26+J26+L26</f>
        <v>12129</v>
      </c>
      <c r="K26" s="38">
        <f>중기목록표!G28</f>
        <v>12129</v>
      </c>
      <c r="M26" s="35" t="s">
        <v>1425</v>
      </c>
      <c r="N26" s="35" t="s">
        <v>1262</v>
      </c>
      <c r="X26" s="100" t="str">
        <f>중기목록표!B28&amp;" / "&amp;중기목록표!C28</f>
        <v>커터(콘크리트 및 아스팔트용) / 320-440mm</v>
      </c>
      <c r="Y26" s="3" t="str">
        <f ca="1">HYPERLINK("#"&amp;중기목록표!J2&amp;"!A"&amp;ROW(중기목록표!A28),"중기25 →")</f>
        <v>중기25 →</v>
      </c>
      <c r="Z26" s="35" t="s">
        <v>1417</v>
      </c>
      <c r="AA26" s="103" t="str">
        <f>AD12</f>
        <v>62.500</v>
      </c>
      <c r="AB26" s="35" t="s">
        <v>1410</v>
      </c>
      <c r="AC26" s="103">
        <f>1/AD12</f>
        <v>1.6E-2</v>
      </c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</row>
    <row r="27" spans="1:40" ht="16.5" customHeight="1" x14ac:dyDescent="0.3">
      <c r="A27" s="69"/>
      <c r="B27" s="69"/>
      <c r="C27" s="69"/>
      <c r="D27" s="69"/>
      <c r="E27" s="69"/>
      <c r="F27" s="69"/>
      <c r="G27" s="17" t="s">
        <v>1405</v>
      </c>
      <c r="Z27" s="101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</row>
    <row r="28" spans="1:40" ht="16.5" customHeight="1" x14ac:dyDescent="0.3">
      <c r="A28" s="59" t="s">
        <v>1429</v>
      </c>
      <c r="B28" s="89" t="str">
        <f>"  경  비: "&amp;TEXT(I28,"#,##0"&amp;IF(I28&lt;&gt;INT(I28),".###",""))&amp;" / Q = "&amp;TEXT(C28,"#,##0.0")&amp;""</f>
        <v xml:space="preserve">  경  비: 2,064 / Q = 33.0</v>
      </c>
      <c r="C28" s="91">
        <f>E28+D28+F28</f>
        <v>33</v>
      </c>
      <c r="D28" s="91">
        <f>IF(H28=0,0,ROUNDDOWN(J28*H28,1))</f>
        <v>0</v>
      </c>
      <c r="E28" s="91">
        <f>IF(H28=0,0,ROUNDDOWN(K28*H28,1))</f>
        <v>0</v>
      </c>
      <c r="F28" s="91">
        <f>IF(H28=0,0,ROUNDDOWN(L28*H28,1))</f>
        <v>33</v>
      </c>
      <c r="G28" s="17" t="s">
        <v>1428</v>
      </c>
      <c r="H28" s="97">
        <f>ROUNDUP(AC28,14-LEN(ABS(INT(AC28))))</f>
        <v>1.6E-2</v>
      </c>
      <c r="I28" s="98">
        <f>K28+J28+L28</f>
        <v>2064</v>
      </c>
      <c r="L28" s="38">
        <f>중기목록표!H28</f>
        <v>2064</v>
      </c>
      <c r="M28" s="35" t="s">
        <v>1425</v>
      </c>
      <c r="N28" s="35" t="s">
        <v>1262</v>
      </c>
      <c r="X28" s="100" t="str">
        <f>중기목록표!B28&amp;" / "&amp;중기목록표!C28</f>
        <v>커터(콘크리트 및 아스팔트용) / 320-440mm</v>
      </c>
      <c r="Y28" s="3" t="str">
        <f ca="1">HYPERLINK("#"&amp;중기목록표!J2&amp;"!A"&amp;ROW(중기목록표!A28),"중기25 →")</f>
        <v>중기25 →</v>
      </c>
      <c r="Z28" s="35" t="s">
        <v>1417</v>
      </c>
      <c r="AA28" s="103" t="str">
        <f>AD12</f>
        <v>62.500</v>
      </c>
      <c r="AB28" s="35" t="s">
        <v>1410</v>
      </c>
      <c r="AC28" s="103">
        <f>1/AD12</f>
        <v>1.6E-2</v>
      </c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</row>
    <row r="29" spans="1:40" ht="16.5" customHeight="1" x14ac:dyDescent="0.3">
      <c r="A29" s="69"/>
      <c r="B29" s="69"/>
      <c r="C29" s="69"/>
      <c r="D29" s="69"/>
      <c r="E29" s="69"/>
      <c r="F29" s="69"/>
      <c r="G29" s="17" t="s">
        <v>1405</v>
      </c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</row>
    <row r="30" spans="1:40" ht="16.5" customHeight="1" x14ac:dyDescent="0.3">
      <c r="A30" s="59"/>
      <c r="B30" s="68" t="s">
        <v>1260</v>
      </c>
      <c r="C30" s="92">
        <f>E30+D30+F30</f>
        <v>806.9</v>
      </c>
      <c r="D30" s="92">
        <f>SUMIF(N20:N29,M30,D20:D29)</f>
        <v>579.9</v>
      </c>
      <c r="E30" s="92">
        <f>SUMIF(N20:N29,M30,E20:E29)</f>
        <v>194</v>
      </c>
      <c r="F30" s="92">
        <f>SUMIF(N20:N29,M30,F20:F29)</f>
        <v>33</v>
      </c>
      <c r="G30" s="17" t="s">
        <v>1430</v>
      </c>
      <c r="M30" s="35" t="s">
        <v>1262</v>
      </c>
      <c r="N30" s="35" t="s">
        <v>1253</v>
      </c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</row>
    <row r="31" spans="1:40" ht="16.5" customHeight="1" x14ac:dyDescent="0.3">
      <c r="A31" s="69"/>
      <c r="B31" s="69"/>
      <c r="C31" s="90"/>
      <c r="D31" s="90"/>
      <c r="E31" s="90"/>
      <c r="F31" s="90"/>
      <c r="G31" s="17" t="s">
        <v>1405</v>
      </c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</row>
    <row r="32" spans="1:40" ht="16.5" customHeight="1" x14ac:dyDescent="0.3">
      <c r="A32" s="59"/>
      <c r="B32" s="68" t="s">
        <v>1432</v>
      </c>
      <c r="C32" s="69"/>
      <c r="D32" s="69"/>
      <c r="E32" s="69"/>
      <c r="F32" s="69"/>
      <c r="G32" s="17" t="s">
        <v>1431</v>
      </c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</row>
    <row r="33" spans="1:40" ht="16.5" customHeight="1" x14ac:dyDescent="0.3">
      <c r="A33" s="69"/>
      <c r="B33" s="69"/>
      <c r="C33" s="69"/>
      <c r="D33" s="69"/>
      <c r="E33" s="69"/>
      <c r="F33" s="69"/>
      <c r="G33" s="17" t="s">
        <v>1405</v>
      </c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</row>
    <row r="34" spans="1:40" ht="16.5" customHeight="1" x14ac:dyDescent="0.3">
      <c r="A34" s="59" t="s">
        <v>1434</v>
      </c>
      <c r="B34" s="89" t="str">
        <f>"  노 무 비 :  "&amp;TEXT(I34,"#,##0"&amp;IF(I34&lt;&gt;INT(I34),".###",""))&amp;" / Q * "&amp;AC34&amp;" 대 = "&amp;TEXT(C34,"#,##0.0")&amp;""</f>
        <v xml:space="preserve">  노 무 비 :  0 / Q * 0.5 대 = 0.0</v>
      </c>
      <c r="C34" s="91">
        <f>E34+D34+F34</f>
        <v>0</v>
      </c>
      <c r="D34" s="91">
        <f>IF(H34=0,0,ROUNDDOWN(J34*H34,1))</f>
        <v>0</v>
      </c>
      <c r="E34" s="91">
        <f>IF(H34=0,0,ROUNDDOWN(K34*H34,1))</f>
        <v>0</v>
      </c>
      <c r="F34" s="91">
        <f>IF(H34=0,0,ROUNDDOWN(L34*H34,1))</f>
        <v>0</v>
      </c>
      <c r="G34" s="17" t="s">
        <v>1433</v>
      </c>
      <c r="H34" s="97">
        <f>ROUNDUP(AE34,14-LEN(ABS(INT(AE34))))</f>
        <v>8.0000000000000002E-3</v>
      </c>
      <c r="I34" s="98">
        <f>K34+J34+L34</f>
        <v>0</v>
      </c>
      <c r="J34" s="38">
        <f>중기목록표!F16</f>
        <v>0</v>
      </c>
      <c r="M34" s="35" t="s">
        <v>1435</v>
      </c>
      <c r="N34" s="35" t="s">
        <v>1262</v>
      </c>
      <c r="X34" s="100" t="str">
        <f>중기목록표!B16&amp;" / "&amp;중기목록표!C16</f>
        <v>동력분무기 / 4.85㎾</v>
      </c>
      <c r="Y34" s="3" t="str">
        <f ca="1">HYPERLINK("#"&amp;중기목록표!J2&amp;"!A"&amp;ROW(중기목록표!A16),"중기13 →")</f>
        <v>중기13 →</v>
      </c>
      <c r="Z34" s="35" t="s">
        <v>1417</v>
      </c>
      <c r="AA34" s="103" t="str">
        <f>AD12</f>
        <v>62.500</v>
      </c>
      <c r="AB34" s="35" t="s">
        <v>1436</v>
      </c>
      <c r="AC34" s="104">
        <v>0.5</v>
      </c>
      <c r="AD34" s="35" t="s">
        <v>1410</v>
      </c>
      <c r="AE34" s="103">
        <f>1/AD12*AC34</f>
        <v>8.0000000000000002E-3</v>
      </c>
      <c r="AF34" s="101"/>
      <c r="AG34" s="101"/>
      <c r="AH34" s="101"/>
      <c r="AI34" s="101"/>
      <c r="AJ34" s="101"/>
      <c r="AK34" s="101"/>
      <c r="AL34" s="101"/>
      <c r="AM34" s="101"/>
      <c r="AN34" s="101"/>
    </row>
    <row r="35" spans="1:40" ht="16.5" customHeight="1" x14ac:dyDescent="0.3">
      <c r="A35" s="69"/>
      <c r="B35" s="69"/>
      <c r="C35" s="69"/>
      <c r="D35" s="69"/>
      <c r="E35" s="69"/>
      <c r="F35" s="69"/>
      <c r="G35" s="17" t="s">
        <v>1405</v>
      </c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</row>
    <row r="36" spans="1:40" ht="16.5" customHeight="1" x14ac:dyDescent="0.3">
      <c r="A36" s="59" t="s">
        <v>1438</v>
      </c>
      <c r="B36" s="89" t="str">
        <f>"  재 료 비 :  "&amp;TEXT(I36,"#,##0"&amp;IF(I36&lt;&gt;INT(I36),".###",""))&amp;" / Q  * "&amp;AC36&amp;" 대 = "&amp;TEXT(C36,"#,##0.0")&amp;""</f>
        <v xml:space="preserve">  재 료 비 :  2,815 / Q  * 0.5 대 = 22.5</v>
      </c>
      <c r="C36" s="91">
        <f>E36+D36+F36</f>
        <v>22.5</v>
      </c>
      <c r="D36" s="91">
        <f>IF(H36=0,0,ROUNDDOWN(J36*H36,1))</f>
        <v>0</v>
      </c>
      <c r="E36" s="91">
        <f>IF(H36=0,0,ROUNDDOWN(K36*H36,1))</f>
        <v>22.5</v>
      </c>
      <c r="F36" s="91">
        <f>IF(H36=0,0,ROUNDDOWN(L36*H36,1))</f>
        <v>0</v>
      </c>
      <c r="G36" s="17" t="s">
        <v>1437</v>
      </c>
      <c r="H36" s="97">
        <f>ROUNDUP(AE36,14-LEN(ABS(INT(AE36))))</f>
        <v>8.0000000000000002E-3</v>
      </c>
      <c r="I36" s="98">
        <f>K36+J36+L36</f>
        <v>2815</v>
      </c>
      <c r="K36" s="38">
        <f>중기목록표!G16</f>
        <v>2815</v>
      </c>
      <c r="M36" s="35" t="s">
        <v>1435</v>
      </c>
      <c r="N36" s="35" t="s">
        <v>1262</v>
      </c>
      <c r="X36" s="100" t="str">
        <f>중기목록표!B16&amp;" / "&amp;중기목록표!C16</f>
        <v>동력분무기 / 4.85㎾</v>
      </c>
      <c r="Y36" s="3" t="str">
        <f ca="1">HYPERLINK("#"&amp;중기목록표!J2&amp;"!A"&amp;ROW(중기목록표!A16),"중기13 →")</f>
        <v>중기13 →</v>
      </c>
      <c r="Z36" s="35" t="s">
        <v>1417</v>
      </c>
      <c r="AA36" s="103" t="str">
        <f>AD12</f>
        <v>62.500</v>
      </c>
      <c r="AB36" s="35" t="s">
        <v>1436</v>
      </c>
      <c r="AC36" s="104">
        <v>0.5</v>
      </c>
      <c r="AD36" s="35" t="s">
        <v>1410</v>
      </c>
      <c r="AE36" s="103">
        <f>1/AD12*AC36</f>
        <v>8.0000000000000002E-3</v>
      </c>
      <c r="AF36" s="101"/>
      <c r="AG36" s="101"/>
      <c r="AH36" s="101"/>
      <c r="AI36" s="101"/>
      <c r="AJ36" s="101"/>
      <c r="AK36" s="101"/>
      <c r="AL36" s="101"/>
      <c r="AM36" s="101"/>
      <c r="AN36" s="101"/>
    </row>
    <row r="37" spans="1:40" ht="16.5" customHeight="1" x14ac:dyDescent="0.3">
      <c r="A37" s="69"/>
      <c r="B37" s="69"/>
      <c r="C37" s="69"/>
      <c r="D37" s="69"/>
      <c r="E37" s="69"/>
      <c r="F37" s="69"/>
      <c r="G37" s="17" t="s">
        <v>1405</v>
      </c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</row>
    <row r="38" spans="1:40" ht="16.5" customHeight="1" x14ac:dyDescent="0.3">
      <c r="A38" s="59" t="s">
        <v>1440</v>
      </c>
      <c r="B38" s="89" t="str">
        <f>"  경    비 :  "&amp;TEXT(I38,"#,##0"&amp;IF(I38&lt;&gt;INT(I38),".###",""))&amp;" / Q  * "&amp;AC38&amp;" 대 = "&amp;TEXT(C38,"#,##0.0")&amp;""</f>
        <v xml:space="preserve">  경    비 :  258 / Q  * 0.5 대 = 2.0</v>
      </c>
      <c r="C38" s="91">
        <f>E38+D38+F38</f>
        <v>2</v>
      </c>
      <c r="D38" s="91">
        <f>IF(H38=0,0,ROUNDDOWN(J38*H38,1))</f>
        <v>0</v>
      </c>
      <c r="E38" s="91">
        <f>IF(H38=0,0,ROUNDDOWN(K38*H38,1))</f>
        <v>0</v>
      </c>
      <c r="F38" s="91">
        <f>IF(H38=0,0,ROUNDDOWN(L38*H38,1))</f>
        <v>2</v>
      </c>
      <c r="G38" s="17" t="s">
        <v>1439</v>
      </c>
      <c r="H38" s="97">
        <f>ROUNDUP(AE38,14-LEN(ABS(INT(AE38))))</f>
        <v>8.0000000000000002E-3</v>
      </c>
      <c r="I38" s="98">
        <f>K38+J38+L38</f>
        <v>258</v>
      </c>
      <c r="L38" s="38">
        <f>중기목록표!H16</f>
        <v>258</v>
      </c>
      <c r="M38" s="35" t="s">
        <v>1435</v>
      </c>
      <c r="N38" s="35" t="s">
        <v>1262</v>
      </c>
      <c r="X38" s="100" t="str">
        <f>중기목록표!B16&amp;" / "&amp;중기목록표!C16</f>
        <v>동력분무기 / 4.85㎾</v>
      </c>
      <c r="Y38" s="3" t="str">
        <f ca="1">HYPERLINK("#"&amp;중기목록표!J2&amp;"!A"&amp;ROW(중기목록표!A16),"중기13 →")</f>
        <v>중기13 →</v>
      </c>
      <c r="Z38" s="35" t="s">
        <v>1417</v>
      </c>
      <c r="AA38" s="103" t="str">
        <f>AD12</f>
        <v>62.500</v>
      </c>
      <c r="AB38" s="35" t="s">
        <v>1436</v>
      </c>
      <c r="AC38" s="104">
        <v>0.5</v>
      </c>
      <c r="AD38" s="35" t="s">
        <v>1410</v>
      </c>
      <c r="AE38" s="103">
        <f>1/AD12*AC38</f>
        <v>8.0000000000000002E-3</v>
      </c>
      <c r="AF38" s="101"/>
      <c r="AG38" s="101"/>
      <c r="AH38" s="101"/>
      <c r="AI38" s="101"/>
      <c r="AJ38" s="101"/>
      <c r="AK38" s="101"/>
      <c r="AL38" s="101"/>
      <c r="AM38" s="101"/>
      <c r="AN38" s="101"/>
    </row>
    <row r="39" spans="1:40" ht="16.5" customHeight="1" x14ac:dyDescent="0.3">
      <c r="A39" s="69"/>
      <c r="B39" s="69"/>
      <c r="C39" s="69"/>
      <c r="D39" s="69"/>
      <c r="E39" s="69"/>
      <c r="F39" s="69"/>
      <c r="G39" s="17" t="s">
        <v>1405</v>
      </c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</row>
    <row r="40" spans="1:40" ht="16.5" customHeight="1" x14ac:dyDescent="0.3">
      <c r="A40" s="59"/>
      <c r="B40" s="68" t="s">
        <v>1260</v>
      </c>
      <c r="C40" s="92">
        <f>E40+D40+F40</f>
        <v>24.5</v>
      </c>
      <c r="D40" s="92">
        <f>SUMIF(N31:N39,M40,D31:D39)</f>
        <v>0</v>
      </c>
      <c r="E40" s="92">
        <f>SUMIF(N31:N39,M40,E31:E39)</f>
        <v>22.5</v>
      </c>
      <c r="F40" s="92">
        <f>SUMIF(N31:N39,M40,F31:F39)</f>
        <v>2</v>
      </c>
      <c r="G40" s="17" t="s">
        <v>1430</v>
      </c>
      <c r="M40" s="35" t="s">
        <v>1262</v>
      </c>
      <c r="N40" s="35" t="s">
        <v>1253</v>
      </c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</row>
    <row r="41" spans="1:40" ht="16.5" customHeight="1" x14ac:dyDescent="0.3">
      <c r="A41" s="69"/>
      <c r="B41" s="69"/>
      <c r="C41" s="90"/>
      <c r="D41" s="90"/>
      <c r="E41" s="90"/>
      <c r="F41" s="90"/>
      <c r="G41" s="17" t="s">
        <v>1405</v>
      </c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</row>
    <row r="42" spans="1:40" ht="16.5" customHeight="1" x14ac:dyDescent="0.3">
      <c r="A42" s="59"/>
      <c r="B42" s="68" t="s">
        <v>1442</v>
      </c>
      <c r="C42" s="69"/>
      <c r="D42" s="69"/>
      <c r="E42" s="69"/>
      <c r="F42" s="69"/>
      <c r="G42" s="17" t="s">
        <v>1441</v>
      </c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</row>
    <row r="43" spans="1:40" ht="16.5" customHeight="1" x14ac:dyDescent="0.3">
      <c r="A43" s="69"/>
      <c r="B43" s="69"/>
      <c r="C43" s="69"/>
      <c r="D43" s="69"/>
      <c r="E43" s="69"/>
      <c r="F43" s="69"/>
      <c r="G43" s="17" t="s">
        <v>1405</v>
      </c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</row>
    <row r="44" spans="1:40" ht="16.5" customHeight="1" x14ac:dyDescent="0.3">
      <c r="A44" s="59" t="s">
        <v>1444</v>
      </c>
      <c r="B44" s="89" t="str">
        <f>"   블레이드:  "&amp;TEXT(I44,"#,##0"&amp;IF(I44&lt;&gt;INT(I44),".###",""))&amp;"*"&amp;AA44&amp;"/"&amp;AC44&amp;" = "&amp;TEXT(C44,"#,##0.0")&amp;""</f>
        <v xml:space="preserve">   블레이드:  160,000*0.27/100 = 432.0</v>
      </c>
      <c r="C44" s="91">
        <f>E44+D44+F44</f>
        <v>432</v>
      </c>
      <c r="D44" s="91">
        <f>IF(H44=0,0,ROUNDDOWN(J44*H44,1))</f>
        <v>0</v>
      </c>
      <c r="E44" s="91">
        <f>IF(H44=0,0,ROUNDDOWN(K44*H44,1))</f>
        <v>432</v>
      </c>
      <c r="F44" s="91">
        <f>IF(H44=0,0,ROUNDDOWN(L44*H44,1))</f>
        <v>0</v>
      </c>
      <c r="G44" s="17" t="s">
        <v>1443</v>
      </c>
      <c r="H44" s="97">
        <f>ROUNDUP(AE44,14-LEN(ABS(INT(AE44))))</f>
        <v>2.7000000000000001E-3</v>
      </c>
      <c r="I44" s="98">
        <f>K44+J44+L44</f>
        <v>160000</v>
      </c>
      <c r="K44" s="38">
        <f>재료비목록표!E32</f>
        <v>160000</v>
      </c>
      <c r="M44" s="35" t="s">
        <v>1445</v>
      </c>
      <c r="N44" s="35" t="s">
        <v>1230</v>
      </c>
      <c r="X44" s="100" t="str">
        <f>재료비목록표!B32&amp;" / "&amp;재료비목록표!C32</f>
        <v>블레이드 / D=320-400㎜,t=3.2㎜</v>
      </c>
      <c r="Y44" s="3" t="str">
        <f ca="1">HYPERLINK("#"&amp;재료비목록표!G2&amp;"!A"&amp;ROW(재료비목록표!A32),"자재29 →")</f>
        <v>자재29 →</v>
      </c>
      <c r="Z44" s="35" t="s">
        <v>1446</v>
      </c>
      <c r="AA44" s="104">
        <v>0.27</v>
      </c>
      <c r="AB44" s="35" t="s">
        <v>1413</v>
      </c>
      <c r="AC44" s="102">
        <v>100</v>
      </c>
      <c r="AD44" s="35" t="s">
        <v>1410</v>
      </c>
      <c r="AE44" s="103">
        <f>1*AA44/AC44</f>
        <v>2.7000000000000001E-3</v>
      </c>
      <c r="AF44" s="101"/>
      <c r="AG44" s="101"/>
      <c r="AH44" s="101"/>
      <c r="AI44" s="101"/>
      <c r="AJ44" s="101"/>
      <c r="AK44" s="101"/>
      <c r="AL44" s="101"/>
      <c r="AM44" s="101"/>
      <c r="AN44" s="101"/>
    </row>
    <row r="45" spans="1:40" ht="16.5" customHeight="1" x14ac:dyDescent="0.3">
      <c r="A45" s="69"/>
      <c r="B45" s="69"/>
      <c r="C45" s="69"/>
      <c r="D45" s="69"/>
      <c r="E45" s="69"/>
      <c r="F45" s="69"/>
      <c r="G45" s="17" t="s">
        <v>1405</v>
      </c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</row>
    <row r="46" spans="1:40" ht="16.5" customHeight="1" x14ac:dyDescent="0.3">
      <c r="A46" s="69"/>
      <c r="B46" s="69"/>
      <c r="C46" s="69"/>
      <c r="D46" s="69"/>
      <c r="E46" s="69"/>
      <c r="F46" s="69"/>
      <c r="G46" s="17" t="s">
        <v>1405</v>
      </c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</row>
    <row r="47" spans="1:40" ht="16.5" customHeight="1" x14ac:dyDescent="0.3">
      <c r="A47" s="59"/>
      <c r="B47" s="68" t="s">
        <v>1448</v>
      </c>
      <c r="C47" s="69"/>
      <c r="D47" s="69"/>
      <c r="E47" s="69"/>
      <c r="F47" s="69"/>
      <c r="G47" s="17" t="s">
        <v>1447</v>
      </c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</row>
    <row r="48" spans="1:40" ht="16.5" customHeight="1" x14ac:dyDescent="0.3">
      <c r="A48" s="69"/>
      <c r="B48" s="69"/>
      <c r="C48" s="69"/>
      <c r="D48" s="69"/>
      <c r="E48" s="69"/>
      <c r="F48" s="69"/>
      <c r="G48" s="17" t="s">
        <v>1405</v>
      </c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</row>
    <row r="49" spans="1:40" ht="16.5" customHeight="1" x14ac:dyDescent="0.3">
      <c r="A49" s="69"/>
      <c r="B49" s="69"/>
      <c r="C49" s="69"/>
      <c r="D49" s="69"/>
      <c r="E49" s="69"/>
      <c r="F49" s="69"/>
      <c r="G49" s="17" t="s">
        <v>1405</v>
      </c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</row>
    <row r="50" spans="1:40" ht="16.5" customHeight="1" x14ac:dyDescent="0.3">
      <c r="A50" s="59"/>
      <c r="B50" s="68" t="s">
        <v>1450</v>
      </c>
      <c r="C50" s="69"/>
      <c r="D50" s="69"/>
      <c r="E50" s="69"/>
      <c r="F50" s="69"/>
      <c r="G50" s="17" t="s">
        <v>1449</v>
      </c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</row>
    <row r="51" spans="1:40" ht="16.5" customHeight="1" x14ac:dyDescent="0.3">
      <c r="A51" s="69"/>
      <c r="B51" s="69"/>
      <c r="C51" s="69"/>
      <c r="D51" s="69"/>
      <c r="E51" s="69"/>
      <c r="F51" s="69"/>
      <c r="G51" s="17" t="s">
        <v>1405</v>
      </c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</row>
    <row r="52" spans="1:40" ht="16.5" customHeight="1" x14ac:dyDescent="0.3">
      <c r="A52" s="59"/>
      <c r="B52" s="68" t="str">
        <f>" D = "&amp;Z52&amp;",  V = "&amp;AD52&amp;",  E = "&amp;AH52&amp;""</f>
        <v xml:space="preserve"> D = 1,  V = 20,  E = 0.9</v>
      </c>
      <c r="C52" s="69"/>
      <c r="D52" s="69"/>
      <c r="E52" s="69"/>
      <c r="F52" s="69"/>
      <c r="G52" s="17" t="s">
        <v>1451</v>
      </c>
      <c r="Z52" s="102">
        <v>1</v>
      </c>
      <c r="AA52" s="35" t="s">
        <v>1410</v>
      </c>
      <c r="AB52" s="103">
        <f>Z52</f>
        <v>1</v>
      </c>
      <c r="AC52" s="105" t="s">
        <v>1453</v>
      </c>
      <c r="AD52" s="102">
        <v>20</v>
      </c>
      <c r="AE52" s="35" t="s">
        <v>1410</v>
      </c>
      <c r="AF52" s="103">
        <f>AD52</f>
        <v>20</v>
      </c>
      <c r="AG52" s="105" t="s">
        <v>1453</v>
      </c>
      <c r="AH52" s="104">
        <v>0.9</v>
      </c>
      <c r="AI52" s="35" t="s">
        <v>1410</v>
      </c>
      <c r="AJ52" s="103">
        <f>AH52</f>
        <v>0.9</v>
      </c>
      <c r="AK52" s="101"/>
      <c r="AL52" s="101"/>
      <c r="AM52" s="101"/>
      <c r="AN52" s="101"/>
    </row>
    <row r="53" spans="1:40" ht="16.5" customHeight="1" x14ac:dyDescent="0.3">
      <c r="A53" s="69"/>
      <c r="B53" s="69"/>
      <c r="C53" s="69"/>
      <c r="D53" s="69"/>
      <c r="E53" s="69"/>
      <c r="F53" s="69"/>
      <c r="G53" s="17" t="s">
        <v>1405</v>
      </c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</row>
    <row r="54" spans="1:40" ht="16.5" customHeight="1" x14ac:dyDescent="0.3">
      <c r="A54" s="59"/>
      <c r="B54" s="68" t="s">
        <v>1454</v>
      </c>
      <c r="C54" s="69"/>
      <c r="D54" s="69"/>
      <c r="E54" s="69"/>
      <c r="F54" s="69"/>
      <c r="G54" s="17" t="s">
        <v>1452</v>
      </c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</row>
    <row r="55" spans="1:40" ht="16.5" customHeight="1" x14ac:dyDescent="0.3">
      <c r="A55" s="69"/>
      <c r="B55" s="69"/>
      <c r="C55" s="69"/>
      <c r="D55" s="69"/>
      <c r="E55" s="69"/>
      <c r="F55" s="69"/>
      <c r="G55" s="17" t="s">
        <v>1405</v>
      </c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</row>
    <row r="56" spans="1:40" ht="16.5" customHeight="1" x14ac:dyDescent="0.3">
      <c r="A56" s="59"/>
      <c r="B56" s="68" t="str">
        <f>"  t1 (흡입준비) ="&amp;Z56&amp;", t2 (운반비) =(D/V)*"&amp;AI56&amp;"*"&amp;AK56&amp;" = "&amp;AM56&amp;""</f>
        <v xml:space="preserve">  t1 (흡입준비) =5, t2 (운반비) =(D/V)*2*60 = 6.000</v>
      </c>
      <c r="C56" s="69"/>
      <c r="D56" s="69"/>
      <c r="E56" s="69"/>
      <c r="F56" s="69"/>
      <c r="G56" s="17" t="s">
        <v>1455</v>
      </c>
      <c r="Z56" s="102">
        <v>5</v>
      </c>
      <c r="AA56" s="35" t="s">
        <v>1410</v>
      </c>
      <c r="AB56" s="103">
        <f>Z56</f>
        <v>5</v>
      </c>
      <c r="AC56" s="105" t="s">
        <v>1453</v>
      </c>
      <c r="AD56" s="35" t="s">
        <v>1457</v>
      </c>
      <c r="AE56" s="103">
        <f>AB52</f>
        <v>1</v>
      </c>
      <c r="AF56" s="35" t="s">
        <v>1413</v>
      </c>
      <c r="AG56" s="103">
        <f>AF52</f>
        <v>20</v>
      </c>
      <c r="AH56" s="35" t="s">
        <v>1458</v>
      </c>
      <c r="AI56" s="102">
        <v>2</v>
      </c>
      <c r="AJ56" s="35" t="s">
        <v>1436</v>
      </c>
      <c r="AK56" s="102">
        <v>60</v>
      </c>
      <c r="AL56" s="35" t="s">
        <v>1410</v>
      </c>
      <c r="AM56" s="103" t="str">
        <f>TEXT(ROUND((AB52/AF52)*AI56*AK56,3),"#,0.000")</f>
        <v>6.000</v>
      </c>
      <c r="AN56" s="101"/>
    </row>
    <row r="57" spans="1:40" ht="16.5" customHeight="1" x14ac:dyDescent="0.3">
      <c r="A57" s="69"/>
      <c r="B57" s="69"/>
      <c r="C57" s="69"/>
      <c r="D57" s="69"/>
      <c r="E57" s="69"/>
      <c r="F57" s="69"/>
      <c r="G57" s="17" t="s">
        <v>1405</v>
      </c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</row>
    <row r="58" spans="1:40" ht="16.5" customHeight="1" x14ac:dyDescent="0.3">
      <c r="A58" s="59"/>
      <c r="B58" s="68" t="str">
        <f>"  t3 (흡입)  = "&amp;Z58&amp;", t4 (살수대기)  = "&amp;AD58&amp;""</f>
        <v xml:space="preserve">  t3 (흡입)  = 10, t4 (살수대기)  = 5</v>
      </c>
      <c r="C58" s="69"/>
      <c r="D58" s="69"/>
      <c r="E58" s="69"/>
      <c r="F58" s="69"/>
      <c r="G58" s="17" t="s">
        <v>1456</v>
      </c>
      <c r="Z58" s="102">
        <v>10</v>
      </c>
      <c r="AA58" s="35" t="s">
        <v>1410</v>
      </c>
      <c r="AB58" s="103">
        <f>Z58</f>
        <v>10</v>
      </c>
      <c r="AC58" s="105" t="s">
        <v>1453</v>
      </c>
      <c r="AD58" s="102">
        <v>5</v>
      </c>
      <c r="AE58" s="35" t="s">
        <v>1410</v>
      </c>
      <c r="AF58" s="103">
        <f>AD58</f>
        <v>5</v>
      </c>
      <c r="AG58" s="101"/>
      <c r="AH58" s="101"/>
      <c r="AI58" s="101"/>
      <c r="AJ58" s="101"/>
      <c r="AK58" s="101"/>
      <c r="AL58" s="101"/>
      <c r="AM58" s="101"/>
      <c r="AN58" s="101"/>
    </row>
    <row r="59" spans="1:40" ht="16.5" customHeight="1" x14ac:dyDescent="0.3">
      <c r="A59" s="69"/>
      <c r="B59" s="69"/>
      <c r="C59" s="69"/>
      <c r="D59" s="69"/>
      <c r="E59" s="69"/>
      <c r="F59" s="69"/>
      <c r="G59" s="17" t="s">
        <v>1405</v>
      </c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</row>
    <row r="60" spans="1:40" ht="16.5" customHeight="1" x14ac:dyDescent="0.3">
      <c r="A60" s="59"/>
      <c r="B60" s="68" t="str">
        <f>"  t5 (살수)  = "&amp;Z60&amp;""</f>
        <v xml:space="preserve">  t5 (살수)  = 20</v>
      </c>
      <c r="C60" s="69"/>
      <c r="D60" s="69"/>
      <c r="E60" s="69"/>
      <c r="F60" s="69"/>
      <c r="G60" s="17" t="s">
        <v>1459</v>
      </c>
      <c r="Z60" s="102">
        <v>20</v>
      </c>
      <c r="AA60" s="35" t="s">
        <v>1410</v>
      </c>
      <c r="AB60" s="103">
        <f>Z60</f>
        <v>20</v>
      </c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</row>
    <row r="61" spans="1:40" ht="16.5" customHeight="1" x14ac:dyDescent="0.3">
      <c r="A61" s="69"/>
      <c r="B61" s="69"/>
      <c r="C61" s="69"/>
      <c r="D61" s="69"/>
      <c r="E61" s="69"/>
      <c r="F61" s="69"/>
      <c r="G61" s="17" t="s">
        <v>1405</v>
      </c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</row>
    <row r="62" spans="1:40" ht="16.5" customHeight="1" x14ac:dyDescent="0.3">
      <c r="A62" s="59"/>
      <c r="B62" s="68" t="str">
        <f>"  cm = t1 + t2 + t3 + t4 + t5 = "&amp;AJ62&amp;""</f>
        <v xml:space="preserve">  cm = t1 + t2 + t3 + t4 + t5 = 46.000</v>
      </c>
      <c r="C62" s="69"/>
      <c r="D62" s="69"/>
      <c r="E62" s="69"/>
      <c r="F62" s="69"/>
      <c r="G62" s="17" t="s">
        <v>1460</v>
      </c>
      <c r="Z62" s="103">
        <f>AB56</f>
        <v>5</v>
      </c>
      <c r="AA62" s="35" t="s">
        <v>1462</v>
      </c>
      <c r="AB62" s="103" t="str">
        <f>AM56</f>
        <v>6.000</v>
      </c>
      <c r="AC62" s="35" t="s">
        <v>1462</v>
      </c>
      <c r="AD62" s="103">
        <f>AB58</f>
        <v>10</v>
      </c>
      <c r="AE62" s="35" t="s">
        <v>1462</v>
      </c>
      <c r="AF62" s="103">
        <f>AF58</f>
        <v>5</v>
      </c>
      <c r="AG62" s="35" t="s">
        <v>1462</v>
      </c>
      <c r="AH62" s="103">
        <f>AB60</f>
        <v>20</v>
      </c>
      <c r="AI62" s="35" t="s">
        <v>1410</v>
      </c>
      <c r="AJ62" s="103" t="str">
        <f>TEXT(ROUND(AB56+AM56+AB58+AF58+AB60,3),"#,0.000")</f>
        <v>46.000</v>
      </c>
      <c r="AK62" s="101"/>
      <c r="AL62" s="101"/>
      <c r="AM62" s="101"/>
      <c r="AN62" s="101"/>
    </row>
    <row r="63" spans="1:40" ht="16.5" customHeight="1" x14ac:dyDescent="0.3">
      <c r="A63" s="69"/>
      <c r="B63" s="69"/>
      <c r="C63" s="69"/>
      <c r="D63" s="69"/>
      <c r="E63" s="69"/>
      <c r="F63" s="69"/>
      <c r="G63" s="17" t="s">
        <v>1405</v>
      </c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</row>
    <row r="64" spans="1:40" ht="16.5" customHeight="1" x14ac:dyDescent="0.3">
      <c r="A64" s="59"/>
      <c r="B64" s="68" t="str">
        <f>"  To = (cm - t3) / cm = "&amp;AG64&amp;"    L/Hr "</f>
        <v xml:space="preserve">  To = (cm - t3) / cm = 0.783    L/Hr </v>
      </c>
      <c r="C64" s="69"/>
      <c r="D64" s="69"/>
      <c r="E64" s="69"/>
      <c r="F64" s="69"/>
      <c r="G64" s="17" t="s">
        <v>1461</v>
      </c>
      <c r="Z64" s="35" t="s">
        <v>1457</v>
      </c>
      <c r="AA64" s="103" t="str">
        <f>AJ62</f>
        <v>46.000</v>
      </c>
      <c r="AB64" s="35" t="s">
        <v>1464</v>
      </c>
      <c r="AC64" s="103">
        <f>AB58</f>
        <v>10</v>
      </c>
      <c r="AD64" s="35" t="s">
        <v>1465</v>
      </c>
      <c r="AE64" s="103" t="str">
        <f>AJ62</f>
        <v>46.000</v>
      </c>
      <c r="AF64" s="35" t="s">
        <v>1410</v>
      </c>
      <c r="AG64" s="103" t="str">
        <f>TEXT(ROUND((AJ62-AB58)/AJ62,3),"#,0.000")</f>
        <v>0.783</v>
      </c>
      <c r="AH64" s="101"/>
      <c r="AI64" s="101"/>
      <c r="AJ64" s="101"/>
      <c r="AK64" s="101"/>
      <c r="AL64" s="101"/>
      <c r="AM64" s="101"/>
      <c r="AN64" s="101"/>
    </row>
    <row r="65" spans="1:40" ht="16.5" customHeight="1" x14ac:dyDescent="0.3">
      <c r="A65" s="69"/>
      <c r="B65" s="69"/>
      <c r="C65" s="69"/>
      <c r="D65" s="69"/>
      <c r="E65" s="69"/>
      <c r="F65" s="69"/>
      <c r="G65" s="17" t="s">
        <v>1405</v>
      </c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  <c r="AM65" s="101"/>
      <c r="AN65" s="101"/>
    </row>
    <row r="66" spans="1:40" ht="16.5" customHeight="1" x14ac:dyDescent="0.3">
      <c r="A66" s="59"/>
      <c r="B66" s="68" t="str">
        <f>"  Q="&amp;Z66&amp;"*"&amp;AB66&amp;"*E/(cm*"&amp;AH66&amp;") = "&amp;AK66&amp;""</f>
        <v xml:space="preserve">  Q=60*5500*E/(cm*20) = 322.826</v>
      </c>
      <c r="C66" s="69"/>
      <c r="D66" s="69"/>
      <c r="E66" s="69"/>
      <c r="F66" s="69"/>
      <c r="G66" s="17" t="s">
        <v>1463</v>
      </c>
      <c r="Z66" s="102">
        <v>60</v>
      </c>
      <c r="AA66" s="35" t="s">
        <v>1436</v>
      </c>
      <c r="AB66" s="102">
        <v>5500</v>
      </c>
      <c r="AC66" s="35" t="s">
        <v>1436</v>
      </c>
      <c r="AD66" s="103">
        <f>AJ52</f>
        <v>0.9</v>
      </c>
      <c r="AE66" s="35" t="s">
        <v>1467</v>
      </c>
      <c r="AF66" s="103" t="str">
        <f>AJ62</f>
        <v>46.000</v>
      </c>
      <c r="AG66" s="35" t="s">
        <v>1436</v>
      </c>
      <c r="AH66" s="102">
        <v>20</v>
      </c>
      <c r="AI66" s="35" t="s">
        <v>1468</v>
      </c>
      <c r="AJ66" s="35" t="s">
        <v>1410</v>
      </c>
      <c r="AK66" s="103" t="str">
        <f>TEXT(ROUND(Z66*AB66*AJ52/(AJ62*AH66),3),"#,0.000")</f>
        <v>322.826</v>
      </c>
      <c r="AL66" s="101"/>
      <c r="AM66" s="101"/>
      <c r="AN66" s="101"/>
    </row>
    <row r="67" spans="1:40" ht="16.5" customHeight="1" x14ac:dyDescent="0.3">
      <c r="A67" s="69"/>
      <c r="B67" s="69"/>
      <c r="C67" s="69"/>
      <c r="D67" s="69"/>
      <c r="E67" s="69"/>
      <c r="F67" s="69"/>
      <c r="G67" s="17" t="s">
        <v>1405</v>
      </c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101"/>
    </row>
    <row r="68" spans="1:40" ht="16.5" customHeight="1" x14ac:dyDescent="0.3">
      <c r="A68" s="59" t="s">
        <v>1469</v>
      </c>
      <c r="B68" s="89" t="str">
        <f>"    노 무 비 :  "&amp;TEXT(I68,"#,##0"&amp;IF(I68&lt;&gt;INT(I68),".###",""))&amp;" / Q = "&amp;TEXT(C68,"#,##0.0")&amp;""</f>
        <v xml:space="preserve">    노 무 비 :  49,778 / Q = 154.1</v>
      </c>
      <c r="C68" s="91">
        <f>E68+D68+F68</f>
        <v>154.1</v>
      </c>
      <c r="D68" s="91">
        <f>IF(H68=0,0,ROUNDDOWN(J68*H68,1))</f>
        <v>154.1</v>
      </c>
      <c r="E68" s="91">
        <f>IF(H68=0,0,ROUNDDOWN(K68*H68,1))</f>
        <v>0</v>
      </c>
      <c r="F68" s="91">
        <f>IF(H68=0,0,ROUNDDOWN(L68*H68,1))</f>
        <v>0</v>
      </c>
      <c r="G68" s="17" t="s">
        <v>1466</v>
      </c>
      <c r="H68" s="97">
        <f>ROUNDUP(AC68,14-LEN(ABS(INT(AC68))))</f>
        <v>3.0976439320999998E-3</v>
      </c>
      <c r="I68" s="98">
        <f>K68+J68+L68</f>
        <v>49778</v>
      </c>
      <c r="J68" s="38">
        <f>중기목록표!F21</f>
        <v>49778</v>
      </c>
      <c r="M68" s="35" t="s">
        <v>1470</v>
      </c>
      <c r="N68" s="35" t="s">
        <v>1475</v>
      </c>
      <c r="O68" s="35" t="s">
        <v>1214</v>
      </c>
      <c r="X68" s="100" t="str">
        <f>중기목록표!B21&amp;" / "&amp;중기목록표!C21</f>
        <v>물탱크(살수차) / 5500ℓ</v>
      </c>
      <c r="Y68" s="3" t="str">
        <f ca="1">HYPERLINK("#"&amp;중기목록표!J2&amp;"!A"&amp;ROW(중기목록표!A21),"중기18 →")</f>
        <v>중기18 →</v>
      </c>
      <c r="Z68" s="35" t="s">
        <v>1417</v>
      </c>
      <c r="AA68" s="103" t="str">
        <f>AK66</f>
        <v>322.826</v>
      </c>
      <c r="AB68" s="35" t="s">
        <v>1410</v>
      </c>
      <c r="AC68" s="103">
        <f>1/AK66</f>
        <v>3.0976439320253013E-3</v>
      </c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101"/>
    </row>
    <row r="69" spans="1:40" ht="16.5" customHeight="1" x14ac:dyDescent="0.3">
      <c r="A69" s="69"/>
      <c r="B69" s="69"/>
      <c r="C69" s="69"/>
      <c r="D69" s="69"/>
      <c r="E69" s="69"/>
      <c r="F69" s="69"/>
      <c r="G69" s="17" t="s">
        <v>1405</v>
      </c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101"/>
    </row>
    <row r="70" spans="1:40" ht="16.5" customHeight="1" x14ac:dyDescent="0.3">
      <c r="A70" s="59" t="s">
        <v>1469</v>
      </c>
      <c r="B70" s="89" t="str">
        <f>"    재 료 비 :  "&amp;TEXT(I70,"#,##0"&amp;IF(I70&lt;&gt;INT(I70),".###",""))&amp;" / Q *To= "&amp;TEXT(C70,"#,##0.0")&amp;""</f>
        <v xml:space="preserve">    재 료 비 :  21,749 / Q *To= 52.7</v>
      </c>
      <c r="C70" s="91">
        <f>E70+D70+F70</f>
        <v>52.7</v>
      </c>
      <c r="D70" s="91">
        <f>IF(H70=0,0,ROUNDDOWN(J70*H70,1))</f>
        <v>0</v>
      </c>
      <c r="E70" s="91">
        <f>IF(H70=0,0,ROUNDDOWN(K70*H70,1))</f>
        <v>52.7</v>
      </c>
      <c r="F70" s="91">
        <f>IF(H70=0,0,ROUNDDOWN(L70*H70,1))</f>
        <v>0</v>
      </c>
      <c r="G70" s="17" t="s">
        <v>1472</v>
      </c>
      <c r="H70" s="97">
        <f>ROUNDUP(AE70,14-LEN(ABS(INT(AE70))))</f>
        <v>2.4254551987999999E-3</v>
      </c>
      <c r="I70" s="98">
        <f>K70+J70+L70</f>
        <v>21749</v>
      </c>
      <c r="K70" s="38">
        <f>중기목록표!G21</f>
        <v>21749</v>
      </c>
      <c r="M70" s="35" t="s">
        <v>1470</v>
      </c>
      <c r="N70" s="35" t="s">
        <v>1475</v>
      </c>
      <c r="O70" s="35" t="s">
        <v>1214</v>
      </c>
      <c r="X70" s="100" t="str">
        <f>중기목록표!B21&amp;" / "&amp;중기목록표!C21</f>
        <v>물탱크(살수차) / 5500ℓ</v>
      </c>
      <c r="Y70" s="3" t="str">
        <f ca="1">HYPERLINK("#"&amp;중기목록표!J2&amp;"!A"&amp;ROW(중기목록표!A21),"중기18 →")</f>
        <v>중기18 →</v>
      </c>
      <c r="Z70" s="35" t="s">
        <v>1417</v>
      </c>
      <c r="AA70" s="103" t="str">
        <f>AK66</f>
        <v>322.826</v>
      </c>
      <c r="AB70" s="35" t="s">
        <v>1436</v>
      </c>
      <c r="AC70" s="103" t="str">
        <f>AG64</f>
        <v>0.783</v>
      </c>
      <c r="AD70" s="35" t="s">
        <v>1410</v>
      </c>
      <c r="AE70" s="103">
        <f>1/AK66*AG64</f>
        <v>2.4254551987758109E-3</v>
      </c>
      <c r="AF70" s="101"/>
      <c r="AG70" s="101"/>
      <c r="AH70" s="101"/>
      <c r="AI70" s="101"/>
      <c r="AJ70" s="101"/>
      <c r="AK70" s="101"/>
      <c r="AL70" s="101"/>
      <c r="AM70" s="101"/>
      <c r="AN70" s="101"/>
    </row>
    <row r="71" spans="1:40" ht="16.5" customHeight="1" x14ac:dyDescent="0.3">
      <c r="A71" s="69"/>
      <c r="B71" s="69"/>
      <c r="C71" s="69"/>
      <c r="D71" s="69"/>
      <c r="E71" s="69"/>
      <c r="F71" s="69"/>
      <c r="G71" s="17" t="s">
        <v>1405</v>
      </c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101"/>
    </row>
    <row r="72" spans="1:40" ht="16.5" customHeight="1" x14ac:dyDescent="0.3">
      <c r="A72" s="59" t="s">
        <v>1469</v>
      </c>
      <c r="B72" s="89" t="str">
        <f>"    경    비 :  "&amp;TEXT(I72,"#,##0"&amp;IF(I72&lt;&gt;INT(I72),".###",""))&amp;" / Q = "&amp;TEXT(C72,"#,##0.0")&amp;""</f>
        <v xml:space="preserve">    경    비 :  9,986 / Q = 30.9</v>
      </c>
      <c r="C72" s="91">
        <f>E72+D72+F72</f>
        <v>30.9</v>
      </c>
      <c r="D72" s="91">
        <f>IF(H72=0,0,ROUNDDOWN(J72*H72,1))</f>
        <v>0</v>
      </c>
      <c r="E72" s="91">
        <f>IF(H72=0,0,ROUNDDOWN(K72*H72,1))</f>
        <v>0</v>
      </c>
      <c r="F72" s="91">
        <f>IF(H72=0,0,ROUNDDOWN(L72*H72,1))</f>
        <v>30.9</v>
      </c>
      <c r="G72" s="17" t="s">
        <v>1473</v>
      </c>
      <c r="H72" s="97">
        <f>ROUNDUP(AC72,14-LEN(ABS(INT(AC72))))</f>
        <v>3.0976439320999998E-3</v>
      </c>
      <c r="I72" s="98">
        <f>K72+J72+L72</f>
        <v>9986</v>
      </c>
      <c r="L72" s="38">
        <f>중기목록표!H21</f>
        <v>9986</v>
      </c>
      <c r="M72" s="35" t="s">
        <v>1470</v>
      </c>
      <c r="N72" s="35" t="s">
        <v>1475</v>
      </c>
      <c r="O72" s="35" t="s">
        <v>1214</v>
      </c>
      <c r="X72" s="100" t="str">
        <f>중기목록표!B21&amp;" / "&amp;중기목록표!C21</f>
        <v>물탱크(살수차) / 5500ℓ</v>
      </c>
      <c r="Y72" s="3" t="str">
        <f ca="1">HYPERLINK("#"&amp;중기목록표!J2&amp;"!A"&amp;ROW(중기목록표!A21),"중기18 →")</f>
        <v>중기18 →</v>
      </c>
      <c r="Z72" s="35" t="s">
        <v>1417</v>
      </c>
      <c r="AA72" s="103" t="str">
        <f>AK66</f>
        <v>322.826</v>
      </c>
      <c r="AB72" s="35" t="s">
        <v>1410</v>
      </c>
      <c r="AC72" s="103">
        <f>1/AK66</f>
        <v>3.0976439320253013E-3</v>
      </c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101"/>
    </row>
    <row r="73" spans="1:40" ht="16.5" customHeight="1" x14ac:dyDescent="0.3">
      <c r="A73" s="69"/>
      <c r="B73" s="69"/>
      <c r="C73" s="69"/>
      <c r="D73" s="69"/>
      <c r="E73" s="69"/>
      <c r="F73" s="69"/>
      <c r="G73" s="17" t="s">
        <v>1405</v>
      </c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  <c r="AM73" s="101"/>
      <c r="AN73" s="101"/>
    </row>
    <row r="74" spans="1:40" ht="16.5" customHeight="1" x14ac:dyDescent="0.3">
      <c r="A74" s="59"/>
      <c r="B74" s="68" t="s">
        <v>1232</v>
      </c>
      <c r="C74" s="93">
        <f>E74+D74+F74</f>
        <v>432</v>
      </c>
      <c r="D74" s="93">
        <f>SUMIF(N41:N73,M74,D41:D73)</f>
        <v>0</v>
      </c>
      <c r="E74" s="93">
        <f>SUMIF(N41:N73,M74,E41:E73)</f>
        <v>432</v>
      </c>
      <c r="F74" s="93">
        <f>SUMIF(N41:N73,M74,F41:F73)</f>
        <v>0</v>
      </c>
      <c r="G74" s="17" t="s">
        <v>1474</v>
      </c>
      <c r="M74" s="35" t="s">
        <v>1230</v>
      </c>
      <c r="Z74" s="101"/>
      <c r="AA74" s="101"/>
      <c r="AB74" s="101"/>
      <c r="AC74" s="101"/>
      <c r="AD74" s="101"/>
      <c r="AE74" s="101"/>
      <c r="AF74" s="101"/>
      <c r="AG74" s="101"/>
      <c r="AH74" s="101"/>
      <c r="AI74" s="101"/>
      <c r="AJ74" s="101"/>
      <c r="AK74" s="101"/>
      <c r="AL74" s="101"/>
      <c r="AM74" s="101"/>
      <c r="AN74" s="101"/>
    </row>
    <row r="75" spans="1:40" ht="16.5" customHeight="1" x14ac:dyDescent="0.3">
      <c r="A75" s="69"/>
      <c r="B75" s="69"/>
      <c r="C75" s="94"/>
      <c r="D75" s="94"/>
      <c r="E75" s="94"/>
      <c r="F75" s="94"/>
      <c r="G75" s="17" t="s">
        <v>1405</v>
      </c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01"/>
    </row>
    <row r="76" spans="1:40" ht="16.5" customHeight="1" x14ac:dyDescent="0.3">
      <c r="A76" s="59"/>
      <c r="B76" s="89" t="str">
        <f>"  운반비(경비) : "&amp;TEXT(I76,"#,##0.0")&amp;" * "&amp;AA76&amp;" %  = "&amp;TEXT(C76,"#,##0.0")&amp;""</f>
        <v xml:space="preserve">  운반비(경비) : 1,034.0 * 100 %  = 1,034.0</v>
      </c>
      <c r="C76" s="91">
        <f>E76+D76+F76</f>
        <v>1034</v>
      </c>
      <c r="D76" s="91">
        <f>IF(H76=0,0,ROUNDDOWN(J76*H76/100,1))</f>
        <v>0</v>
      </c>
      <c r="E76" s="91">
        <f>IF(H76=0,0,ROUNDDOWN(K76*H76/100,1))</f>
        <v>0</v>
      </c>
      <c r="F76" s="91">
        <f>IF(H76=0,0,ROUNDDOWN(L76*H76/100,1))</f>
        <v>1034</v>
      </c>
      <c r="G76" s="17" t="s">
        <v>1471</v>
      </c>
      <c r="H76" s="97">
        <f>ROUNDUP(AC76,14-LEN(ABS(INT(AC76))))</f>
        <v>100</v>
      </c>
      <c r="I76" s="98">
        <f>K76+J76+L76</f>
        <v>1034</v>
      </c>
      <c r="J76" s="36">
        <v>0</v>
      </c>
      <c r="K76" s="36">
        <v>0</v>
      </c>
      <c r="L76" s="38">
        <f>C16+C18+C68+C70+C72</f>
        <v>1034</v>
      </c>
      <c r="M76" s="35" t="s">
        <v>1059</v>
      </c>
      <c r="N76" s="35" t="s">
        <v>1262</v>
      </c>
      <c r="Z76" s="35" t="s">
        <v>1446</v>
      </c>
      <c r="AA76" s="102">
        <v>100</v>
      </c>
      <c r="AB76" s="35" t="s">
        <v>1410</v>
      </c>
      <c r="AC76" s="103">
        <f>1*AA76</f>
        <v>100</v>
      </c>
      <c r="AD76" s="101"/>
      <c r="AE76" s="101"/>
      <c r="AF76" s="101"/>
      <c r="AG76" s="101"/>
      <c r="AH76" s="101"/>
      <c r="AI76" s="101"/>
      <c r="AJ76" s="101"/>
      <c r="AK76" s="101"/>
      <c r="AL76" s="101"/>
      <c r="AM76" s="101"/>
      <c r="AN76" s="101"/>
    </row>
    <row r="77" spans="1:40" ht="16.5" customHeight="1" x14ac:dyDescent="0.3">
      <c r="A77" s="69"/>
      <c r="B77" s="69"/>
      <c r="C77" s="69"/>
      <c r="D77" s="69"/>
      <c r="E77" s="69"/>
      <c r="F77" s="69"/>
      <c r="G77" s="17" t="s">
        <v>1405</v>
      </c>
      <c r="Z77" s="101"/>
      <c r="AA77" s="101"/>
      <c r="AB77" s="101"/>
      <c r="AC77" s="101"/>
      <c r="AD77" s="101"/>
      <c r="AE77" s="101"/>
      <c r="AF77" s="101"/>
      <c r="AG77" s="101"/>
      <c r="AH77" s="101"/>
      <c r="AI77" s="101"/>
      <c r="AJ77" s="101"/>
      <c r="AK77" s="101"/>
      <c r="AL77" s="101"/>
      <c r="AM77" s="101"/>
      <c r="AN77" s="101"/>
    </row>
    <row r="78" spans="1:40" ht="16.5" customHeight="1" x14ac:dyDescent="0.3">
      <c r="A78" s="59"/>
      <c r="B78" s="68" t="s">
        <v>1260</v>
      </c>
      <c r="C78" s="92">
        <f>E78+D78+F78</f>
        <v>1034</v>
      </c>
      <c r="D78" s="92">
        <f>SUMIF(N75:N77,M78,D75:D77)</f>
        <v>0</v>
      </c>
      <c r="E78" s="92">
        <f>SUMIF(N75:N77,M78,E75:E77)</f>
        <v>0</v>
      </c>
      <c r="F78" s="92">
        <f>SUMIF(N75:N77,M78,F75:F77)</f>
        <v>1034</v>
      </c>
      <c r="G78" s="17" t="s">
        <v>1430</v>
      </c>
      <c r="M78" s="35" t="s">
        <v>1262</v>
      </c>
      <c r="N78" s="35" t="s">
        <v>1253</v>
      </c>
      <c r="Z78" s="101"/>
      <c r="AA78" s="101"/>
      <c r="AB78" s="101"/>
      <c r="AC78" s="101"/>
      <c r="AD78" s="101"/>
      <c r="AE78" s="101"/>
      <c r="AF78" s="101"/>
      <c r="AG78" s="101"/>
      <c r="AH78" s="101"/>
      <c r="AI78" s="101"/>
      <c r="AJ78" s="101"/>
      <c r="AK78" s="101"/>
      <c r="AL78" s="101"/>
      <c r="AM78" s="101"/>
      <c r="AN78" s="101"/>
    </row>
    <row r="79" spans="1:40" ht="16.5" customHeight="1" x14ac:dyDescent="0.3">
      <c r="A79" s="69"/>
      <c r="B79" s="69"/>
      <c r="C79" s="90"/>
      <c r="D79" s="90"/>
      <c r="E79" s="90"/>
      <c r="F79" s="90"/>
      <c r="G79" s="17" t="s">
        <v>1405</v>
      </c>
      <c r="Z79" s="101"/>
      <c r="AA79" s="101"/>
      <c r="AB79" s="101"/>
      <c r="AC79" s="101"/>
      <c r="AD79" s="101"/>
      <c r="AE79" s="101"/>
      <c r="AF79" s="101"/>
      <c r="AG79" s="101"/>
      <c r="AH79" s="101"/>
      <c r="AI79" s="101"/>
      <c r="AJ79" s="101"/>
      <c r="AK79" s="101"/>
      <c r="AL79" s="101"/>
      <c r="AM79" s="101"/>
      <c r="AN79" s="101"/>
    </row>
    <row r="80" spans="1:40" ht="16.5" customHeight="1" x14ac:dyDescent="0.3">
      <c r="A80" s="59"/>
      <c r="B80" s="68" t="s">
        <v>1251</v>
      </c>
      <c r="C80" s="92">
        <f>E80+D80+F80</f>
        <v>2661.7</v>
      </c>
      <c r="D80" s="92">
        <f>SUMIF(N7:N79,M80,D7:D79)</f>
        <v>1376.1999999999998</v>
      </c>
      <c r="E80" s="92">
        <f>SUMIF(N7:N79,M80,E7:E79)</f>
        <v>216.5</v>
      </c>
      <c r="F80" s="92">
        <f>SUMIF(N7:N79,M80,F7:F79)</f>
        <v>1069</v>
      </c>
      <c r="G80" s="17" t="s">
        <v>1476</v>
      </c>
      <c r="M80" s="35" t="s">
        <v>1253</v>
      </c>
      <c r="N80" s="35" t="s">
        <v>1209</v>
      </c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  <c r="AK80" s="101"/>
      <c r="AL80" s="101"/>
      <c r="AM80" s="101"/>
      <c r="AN80" s="101"/>
    </row>
    <row r="81" spans="1:40" ht="16.5" customHeight="1" x14ac:dyDescent="0.3">
      <c r="A81" s="69"/>
      <c r="B81" s="69"/>
      <c r="C81" s="90"/>
      <c r="D81" s="90"/>
      <c r="E81" s="90"/>
      <c r="F81" s="90"/>
      <c r="Z81" s="101"/>
      <c r="AA81" s="101"/>
      <c r="AB81" s="101"/>
      <c r="AC81" s="101"/>
      <c r="AD81" s="101"/>
      <c r="AE81" s="101"/>
      <c r="AF81" s="101"/>
      <c r="AG81" s="101"/>
      <c r="AH81" s="101"/>
      <c r="AI81" s="101"/>
      <c r="AJ81" s="101"/>
      <c r="AK81" s="101"/>
      <c r="AL81" s="101"/>
      <c r="AM81" s="101"/>
      <c r="AN81" s="101"/>
    </row>
    <row r="82" spans="1:40" ht="16.5" customHeight="1" x14ac:dyDescent="0.3">
      <c r="A82" s="69"/>
      <c r="B82" s="69"/>
      <c r="C82" s="69"/>
      <c r="D82" s="69"/>
      <c r="E82" s="69"/>
      <c r="F82" s="69"/>
      <c r="Z82" s="101"/>
      <c r="AA82" s="101"/>
      <c r="AB82" s="101"/>
      <c r="AC82" s="101"/>
      <c r="AD82" s="101"/>
      <c r="AE82" s="101"/>
      <c r="AF82" s="101"/>
      <c r="AG82" s="101"/>
      <c r="AH82" s="101"/>
      <c r="AI82" s="101"/>
      <c r="AJ82" s="101"/>
      <c r="AK82" s="101"/>
      <c r="AL82" s="101"/>
      <c r="AM82" s="101"/>
      <c r="AN82" s="101"/>
    </row>
    <row r="83" spans="1:40" ht="16.5" customHeight="1" x14ac:dyDescent="0.3">
      <c r="A83" s="69"/>
      <c r="B83" s="69"/>
      <c r="C83" s="69"/>
      <c r="D83" s="69"/>
      <c r="E83" s="69"/>
      <c r="F83" s="69"/>
      <c r="Z83" s="101"/>
      <c r="AA83" s="101"/>
      <c r="AB83" s="101"/>
      <c r="AC83" s="101"/>
      <c r="AD83" s="101"/>
      <c r="AE83" s="101"/>
      <c r="AF83" s="101"/>
      <c r="AG83" s="101"/>
      <c r="AH83" s="101"/>
      <c r="AI83" s="101"/>
      <c r="AJ83" s="101"/>
      <c r="AK83" s="101"/>
      <c r="AL83" s="101"/>
      <c r="AM83" s="101"/>
      <c r="AN83" s="101"/>
    </row>
    <row r="84" spans="1:40" ht="16.5" customHeight="1" x14ac:dyDescent="0.3">
      <c r="A84" s="69"/>
      <c r="B84" s="69"/>
      <c r="C84" s="69"/>
      <c r="D84" s="69"/>
      <c r="E84" s="69"/>
      <c r="F84" s="69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N84" s="101"/>
    </row>
    <row r="85" spans="1:40" ht="16.5" customHeight="1" x14ac:dyDescent="0.3">
      <c r="A85" s="69"/>
      <c r="B85" s="69"/>
      <c r="C85" s="69"/>
      <c r="D85" s="69"/>
      <c r="E85" s="69"/>
      <c r="F85" s="69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1"/>
      <c r="AN85" s="101"/>
    </row>
    <row r="86" spans="1:40" ht="16.5" customHeight="1" x14ac:dyDescent="0.3">
      <c r="A86" s="69"/>
      <c r="B86" s="69"/>
      <c r="C86" s="69"/>
      <c r="D86" s="69"/>
      <c r="E86" s="69"/>
      <c r="F86" s="69"/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  <c r="AK86" s="101"/>
      <c r="AL86" s="101"/>
      <c r="AM86" s="101"/>
      <c r="AN86" s="101"/>
    </row>
    <row r="87" spans="1:40" ht="16.5" customHeight="1" x14ac:dyDescent="0.3">
      <c r="A87" s="69"/>
      <c r="B87" s="69"/>
      <c r="C87" s="69"/>
      <c r="D87" s="69"/>
      <c r="E87" s="69"/>
      <c r="F87" s="69"/>
      <c r="Z87" s="101"/>
      <c r="AA87" s="101"/>
      <c r="AB87" s="101"/>
      <c r="AC87" s="101"/>
      <c r="AD87" s="101"/>
      <c r="AE87" s="101"/>
      <c r="AF87" s="101"/>
      <c r="AG87" s="101"/>
      <c r="AH87" s="101"/>
      <c r="AI87" s="101"/>
      <c r="AJ87" s="101"/>
      <c r="AK87" s="101"/>
      <c r="AL87" s="101"/>
      <c r="AM87" s="101"/>
      <c r="AN87" s="101"/>
    </row>
    <row r="88" spans="1:40" ht="16.5" customHeight="1" x14ac:dyDescent="0.3">
      <c r="A88" s="69"/>
      <c r="B88" s="69"/>
      <c r="C88" s="69"/>
      <c r="D88" s="69"/>
      <c r="E88" s="69"/>
      <c r="F88" s="69"/>
      <c r="Z88" s="101"/>
      <c r="AA88" s="101"/>
      <c r="AB88" s="101"/>
      <c r="AC88" s="101"/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</row>
    <row r="89" spans="1:40" ht="16.5" customHeight="1" x14ac:dyDescent="0.3">
      <c r="A89" s="69"/>
      <c r="B89" s="69"/>
      <c r="C89" s="69"/>
      <c r="D89" s="69"/>
      <c r="E89" s="69"/>
      <c r="F89" s="69"/>
      <c r="Z89" s="101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</row>
    <row r="90" spans="1:40" ht="16.5" customHeight="1" x14ac:dyDescent="0.3">
      <c r="A90" s="69"/>
      <c r="B90" s="69"/>
      <c r="C90" s="69"/>
      <c r="D90" s="69"/>
      <c r="E90" s="69"/>
      <c r="F90" s="69"/>
      <c r="Z90" s="101"/>
      <c r="AA90" s="101"/>
      <c r="AB90" s="101"/>
      <c r="AC90" s="101"/>
      <c r="AD90" s="101"/>
      <c r="AE90" s="101"/>
      <c r="AF90" s="101"/>
      <c r="AG90" s="101"/>
      <c r="AH90" s="101"/>
      <c r="AI90" s="101"/>
      <c r="AJ90" s="101"/>
      <c r="AK90" s="101"/>
      <c r="AL90" s="101"/>
      <c r="AM90" s="101"/>
      <c r="AN90" s="101"/>
    </row>
    <row r="91" spans="1:40" ht="16.5" customHeight="1" x14ac:dyDescent="0.3">
      <c r="A91" s="69"/>
      <c r="B91" s="69"/>
      <c r="C91" s="69"/>
      <c r="D91" s="69"/>
      <c r="E91" s="69"/>
      <c r="F91" s="69"/>
      <c r="Z91" s="101"/>
      <c r="AA91" s="101"/>
      <c r="AB91" s="101"/>
      <c r="AC91" s="101"/>
      <c r="AD91" s="101"/>
      <c r="AE91" s="101"/>
      <c r="AF91" s="101"/>
      <c r="AG91" s="101"/>
      <c r="AH91" s="101"/>
      <c r="AI91" s="101"/>
      <c r="AJ91" s="101"/>
      <c r="AK91" s="101"/>
      <c r="AL91" s="101"/>
      <c r="AM91" s="101"/>
      <c r="AN91" s="101"/>
    </row>
    <row r="92" spans="1:40" ht="16.5" customHeight="1" x14ac:dyDescent="0.3">
      <c r="A92" s="69"/>
      <c r="B92" s="69"/>
      <c r="C92" s="69"/>
      <c r="D92" s="69"/>
      <c r="E92" s="69"/>
      <c r="F92" s="69"/>
      <c r="Z92" s="101"/>
      <c r="AA92" s="101"/>
      <c r="AB92" s="101"/>
      <c r="AC92" s="101"/>
      <c r="AD92" s="101"/>
      <c r="AE92" s="101"/>
      <c r="AF92" s="101"/>
      <c r="AG92" s="101"/>
      <c r="AH92" s="101"/>
      <c r="AI92" s="101"/>
      <c r="AJ92" s="101"/>
      <c r="AK92" s="101"/>
      <c r="AL92" s="101"/>
      <c r="AM92" s="101"/>
      <c r="AN92" s="101"/>
    </row>
    <row r="93" spans="1:40" ht="16.5" customHeight="1" x14ac:dyDescent="0.3">
      <c r="A93" s="69"/>
      <c r="B93" s="69"/>
      <c r="C93" s="69"/>
      <c r="D93" s="69"/>
      <c r="E93" s="69"/>
      <c r="F93" s="69"/>
      <c r="Z93" s="101"/>
      <c r="AA93" s="101"/>
      <c r="AB93" s="101"/>
      <c r="AC93" s="101"/>
      <c r="AD93" s="101"/>
      <c r="AE93" s="101"/>
      <c r="AF93" s="101"/>
      <c r="AG93" s="101"/>
      <c r="AH93" s="101"/>
      <c r="AI93" s="101"/>
      <c r="AJ93" s="101"/>
      <c r="AK93" s="101"/>
      <c r="AL93" s="101"/>
      <c r="AM93" s="101"/>
      <c r="AN93" s="101"/>
    </row>
    <row r="94" spans="1:40" ht="16.5" customHeight="1" x14ac:dyDescent="0.3">
      <c r="A94" s="69"/>
      <c r="B94" s="69"/>
      <c r="C94" s="69"/>
      <c r="D94" s="69"/>
      <c r="E94" s="69"/>
      <c r="F94" s="69"/>
      <c r="Z94" s="101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N94" s="101"/>
    </row>
    <row r="95" spans="1:40" ht="16.5" customHeight="1" x14ac:dyDescent="0.3">
      <c r="A95" s="69"/>
      <c r="B95" s="69"/>
      <c r="C95" s="69"/>
      <c r="D95" s="69"/>
      <c r="E95" s="69"/>
      <c r="F95" s="69"/>
      <c r="Z95" s="101"/>
      <c r="AA95" s="101"/>
      <c r="AB95" s="101"/>
      <c r="AC95" s="101"/>
      <c r="AD95" s="101"/>
      <c r="AE95" s="101"/>
      <c r="AF95" s="101"/>
      <c r="AG95" s="101"/>
      <c r="AH95" s="101"/>
      <c r="AI95" s="101"/>
      <c r="AJ95" s="101"/>
      <c r="AK95" s="101"/>
      <c r="AL95" s="101"/>
      <c r="AM95" s="101"/>
      <c r="AN95" s="101"/>
    </row>
    <row r="96" spans="1:40" ht="16.5" customHeight="1" x14ac:dyDescent="0.3">
      <c r="A96" s="69"/>
      <c r="B96" s="69"/>
      <c r="C96" s="69"/>
      <c r="D96" s="69"/>
      <c r="E96" s="69"/>
      <c r="F96" s="69"/>
      <c r="Z96" s="101"/>
      <c r="AA96" s="101"/>
      <c r="AB96" s="101"/>
      <c r="AC96" s="101"/>
      <c r="AD96" s="101"/>
      <c r="AE96" s="101"/>
      <c r="AF96" s="101"/>
      <c r="AG96" s="101"/>
      <c r="AH96" s="101"/>
      <c r="AI96" s="101"/>
      <c r="AJ96" s="101"/>
      <c r="AK96" s="101"/>
      <c r="AL96" s="101"/>
      <c r="AM96" s="101"/>
      <c r="AN96" s="101"/>
    </row>
    <row r="97" spans="1:40" ht="16.5" customHeight="1" x14ac:dyDescent="0.3">
      <c r="A97" s="69"/>
      <c r="B97" s="69"/>
      <c r="C97" s="69"/>
      <c r="D97" s="69"/>
      <c r="E97" s="69"/>
      <c r="F97" s="69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  <c r="AK97" s="101"/>
      <c r="AL97" s="101"/>
      <c r="AM97" s="101"/>
      <c r="AN97" s="101"/>
    </row>
    <row r="98" spans="1:40" ht="16.5" customHeight="1" x14ac:dyDescent="0.3">
      <c r="A98" s="69"/>
      <c r="B98" s="69"/>
      <c r="C98" s="69"/>
      <c r="D98" s="69"/>
      <c r="E98" s="69"/>
      <c r="F98" s="69"/>
      <c r="Z98" s="101"/>
      <c r="AA98" s="101"/>
      <c r="AB98" s="101"/>
      <c r="AC98" s="101"/>
      <c r="AD98" s="101"/>
      <c r="AE98" s="101"/>
      <c r="AF98" s="101"/>
      <c r="AG98" s="101"/>
      <c r="AH98" s="101"/>
      <c r="AI98" s="101"/>
      <c r="AJ98" s="101"/>
      <c r="AK98" s="101"/>
      <c r="AL98" s="101"/>
      <c r="AM98" s="101"/>
      <c r="AN98" s="101"/>
    </row>
    <row r="99" spans="1:40" ht="16.5" customHeight="1" x14ac:dyDescent="0.3">
      <c r="A99" s="69"/>
      <c r="B99" s="69"/>
      <c r="C99" s="69"/>
      <c r="D99" s="69"/>
      <c r="E99" s="69"/>
      <c r="F99" s="69"/>
      <c r="Z99" s="101"/>
      <c r="AA99" s="101"/>
      <c r="AB99" s="101"/>
      <c r="AC99" s="101"/>
      <c r="AD99" s="101"/>
      <c r="AE99" s="101"/>
      <c r="AF99" s="101"/>
      <c r="AG99" s="101"/>
      <c r="AH99" s="101"/>
      <c r="AI99" s="101"/>
      <c r="AJ99" s="101"/>
      <c r="AK99" s="101"/>
      <c r="AL99" s="101"/>
      <c r="AM99" s="101"/>
      <c r="AN99" s="101"/>
    </row>
    <row r="100" spans="1:40" ht="16.5" customHeight="1" x14ac:dyDescent="0.3">
      <c r="A100" s="69"/>
      <c r="B100" s="69"/>
      <c r="C100" s="69"/>
      <c r="D100" s="69"/>
      <c r="E100" s="69"/>
      <c r="F100" s="69"/>
      <c r="Z100" s="101"/>
      <c r="AA100" s="101"/>
      <c r="AB100" s="101"/>
      <c r="AC100" s="101"/>
      <c r="AD100" s="101"/>
      <c r="AE100" s="101"/>
      <c r="AF100" s="101"/>
      <c r="AG100" s="101"/>
      <c r="AH100" s="101"/>
      <c r="AI100" s="101"/>
      <c r="AJ100" s="101"/>
      <c r="AK100" s="101"/>
      <c r="AL100" s="101"/>
      <c r="AM100" s="101"/>
      <c r="AN100" s="101"/>
    </row>
    <row r="101" spans="1:40" ht="16.5" customHeight="1" x14ac:dyDescent="0.3">
      <c r="A101" s="69"/>
      <c r="B101" s="69"/>
      <c r="C101" s="69"/>
      <c r="D101" s="69"/>
      <c r="E101" s="69"/>
      <c r="F101" s="69"/>
      <c r="Z101" s="101"/>
      <c r="AA101" s="101"/>
      <c r="AB101" s="101"/>
      <c r="AC101" s="101"/>
      <c r="AD101" s="101"/>
      <c r="AE101" s="101"/>
      <c r="AF101" s="101"/>
      <c r="AG101" s="101"/>
      <c r="AH101" s="101"/>
      <c r="AI101" s="101"/>
      <c r="AJ101" s="101"/>
      <c r="AK101" s="101"/>
      <c r="AL101" s="101"/>
      <c r="AM101" s="101"/>
      <c r="AN101" s="101"/>
    </row>
    <row r="102" spans="1:40" ht="16.5" customHeight="1" x14ac:dyDescent="0.3">
      <c r="A102" s="69"/>
      <c r="B102" s="69"/>
      <c r="C102" s="69"/>
      <c r="D102" s="69"/>
      <c r="E102" s="69"/>
      <c r="F102" s="69"/>
      <c r="Z102" s="101"/>
      <c r="AA102" s="101"/>
      <c r="AB102" s="101"/>
      <c r="AC102" s="101"/>
      <c r="AD102" s="101"/>
      <c r="AE102" s="101"/>
      <c r="AF102" s="101"/>
      <c r="AG102" s="101"/>
      <c r="AH102" s="101"/>
      <c r="AI102" s="101"/>
      <c r="AJ102" s="101"/>
      <c r="AK102" s="101"/>
      <c r="AL102" s="101"/>
      <c r="AM102" s="101"/>
      <c r="AN102" s="101"/>
    </row>
    <row r="103" spans="1:40" ht="16.5" customHeight="1" x14ac:dyDescent="0.3">
      <c r="A103" s="74"/>
      <c r="B103" s="74"/>
      <c r="C103" s="74"/>
      <c r="D103" s="74"/>
      <c r="E103" s="74"/>
      <c r="F103" s="74"/>
      <c r="Z103" s="101"/>
      <c r="AA103" s="101"/>
      <c r="AB103" s="101"/>
      <c r="AC103" s="101"/>
      <c r="AD103" s="101"/>
      <c r="AE103" s="101"/>
      <c r="AF103" s="101"/>
      <c r="AG103" s="101"/>
      <c r="AH103" s="101"/>
      <c r="AI103" s="101"/>
      <c r="AJ103" s="101"/>
      <c r="AK103" s="101"/>
      <c r="AL103" s="101"/>
      <c r="AM103" s="101"/>
      <c r="AN103" s="101"/>
    </row>
    <row r="104" spans="1:40" ht="16.5" customHeight="1" x14ac:dyDescent="0.3">
      <c r="A104" s="150" t="s">
        <v>1477</v>
      </c>
      <c r="B104" s="143"/>
      <c r="C104" s="47">
        <f>E104+D104+F104</f>
        <v>2661</v>
      </c>
      <c r="D104" s="46">
        <f>ROUNDDOWN(SUMIF(N7:N80,M104,D7:D80),0)</f>
        <v>1376</v>
      </c>
      <c r="E104" s="55">
        <f>ROUNDDOWN(SUMIF(N7:N80,M104,E7:E80),0)</f>
        <v>216</v>
      </c>
      <c r="F104" s="47">
        <f>ROUNDDOWN(SUMIF(N7:N80,M104,F7:F80),0)</f>
        <v>1069</v>
      </c>
      <c r="M104" s="35" t="s">
        <v>1209</v>
      </c>
      <c r="Z104" s="101"/>
      <c r="AA104" s="101"/>
      <c r="AB104" s="101"/>
      <c r="AC104" s="101"/>
      <c r="AD104" s="101"/>
      <c r="AE104" s="101"/>
      <c r="AF104" s="101"/>
      <c r="AG104" s="101"/>
      <c r="AH104" s="101"/>
      <c r="AI104" s="101"/>
      <c r="AJ104" s="101"/>
      <c r="AK104" s="101"/>
      <c r="AL104" s="101"/>
      <c r="AM104" s="101"/>
      <c r="AN104" s="101"/>
    </row>
    <row r="105" spans="1:40" ht="16.5" customHeight="1" x14ac:dyDescent="0.3">
      <c r="A105" s="86" t="s">
        <v>16</v>
      </c>
      <c r="B105" s="88" t="s">
        <v>16</v>
      </c>
      <c r="C105" s="151">
        <f>C154</f>
        <v>18065</v>
      </c>
      <c r="D105" s="151">
        <f>D154</f>
        <v>11670</v>
      </c>
      <c r="E105" s="151">
        <f>E154</f>
        <v>3058</v>
      </c>
      <c r="F105" s="151">
        <f>F154</f>
        <v>3337</v>
      </c>
      <c r="G105" s="84" t="str">
        <f>HYPERLINK("#G"&amp;ROW(G141),"_x0005_`BDCOD|D00265_x0007_`POSS|"&amp;ROW(G107)&amp;"_x0007_`POSE|"&amp;ROW(G141)&amp;"_x0007_`")</f>
        <v>_x0005_`BDCOD|D00265_x0007_`POSS|107_x0007_`POSE|141_x0007_`</v>
      </c>
      <c r="Z105" s="101"/>
      <c r="AA105" s="101"/>
      <c r="AB105" s="101"/>
      <c r="AC105" s="101"/>
      <c r="AD105" s="101"/>
      <c r="AE105" s="101"/>
      <c r="AF105" s="101"/>
      <c r="AG105" s="101"/>
      <c r="AH105" s="101"/>
      <c r="AI105" s="101"/>
      <c r="AJ105" s="101"/>
      <c r="AK105" s="101"/>
      <c r="AL105" s="101"/>
      <c r="AM105" s="101"/>
      <c r="AN105" s="101"/>
    </row>
    <row r="106" spans="1:40" ht="16.5" customHeight="1" x14ac:dyDescent="0.3">
      <c r="A106" s="87"/>
      <c r="B106" s="88" t="s">
        <v>129</v>
      </c>
      <c r="C106" s="136"/>
      <c r="D106" s="136"/>
      <c r="E106" s="136"/>
      <c r="F106" s="136"/>
      <c r="M106" s="35" t="s">
        <v>1478</v>
      </c>
      <c r="Z106" s="101"/>
      <c r="AA106" s="101"/>
      <c r="AB106" s="101"/>
      <c r="AC106" s="101"/>
      <c r="AD106" s="101"/>
      <c r="AE106" s="101"/>
      <c r="AF106" s="101"/>
      <c r="AG106" s="101"/>
      <c r="AH106" s="101"/>
      <c r="AI106" s="101"/>
      <c r="AJ106" s="101"/>
      <c r="AK106" s="101"/>
      <c r="AL106" s="101"/>
      <c r="AM106" s="101"/>
      <c r="AN106" s="101"/>
    </row>
    <row r="107" spans="1:40" ht="16.5" customHeight="1" x14ac:dyDescent="0.3">
      <c r="A107" s="69"/>
      <c r="B107" s="69"/>
      <c r="C107" s="90"/>
      <c r="D107" s="90"/>
      <c r="E107" s="90"/>
      <c r="F107" s="90"/>
      <c r="G107" s="17" t="s">
        <v>1405</v>
      </c>
      <c r="Z107" s="101"/>
      <c r="AA107" s="101"/>
      <c r="AB107" s="101"/>
      <c r="AC107" s="101"/>
      <c r="AD107" s="101"/>
      <c r="AE107" s="101"/>
      <c r="AF107" s="101"/>
      <c r="AG107" s="101"/>
      <c r="AH107" s="101"/>
      <c r="AI107" s="101"/>
      <c r="AJ107" s="101"/>
      <c r="AK107" s="101"/>
      <c r="AL107" s="101"/>
      <c r="AM107" s="101"/>
      <c r="AN107" s="101"/>
    </row>
    <row r="108" spans="1:40" ht="16.5" customHeight="1" x14ac:dyDescent="0.3">
      <c r="A108" s="59"/>
      <c r="B108" s="68" t="s">
        <v>1480</v>
      </c>
      <c r="C108" s="69"/>
      <c r="D108" s="69"/>
      <c r="E108" s="69"/>
      <c r="F108" s="69"/>
      <c r="G108" s="17" t="s">
        <v>1479</v>
      </c>
      <c r="Z108" s="101"/>
      <c r="AA108" s="101"/>
      <c r="AB108" s="101"/>
      <c r="AC108" s="101"/>
      <c r="AD108" s="101"/>
      <c r="AE108" s="101"/>
      <c r="AF108" s="101"/>
      <c r="AG108" s="101"/>
      <c r="AH108" s="101"/>
      <c r="AI108" s="101"/>
      <c r="AJ108" s="101"/>
      <c r="AK108" s="101"/>
      <c r="AL108" s="101"/>
      <c r="AM108" s="101"/>
      <c r="AN108" s="101"/>
    </row>
    <row r="109" spans="1:40" ht="16.5" customHeight="1" x14ac:dyDescent="0.3">
      <c r="A109" s="69"/>
      <c r="B109" s="69"/>
      <c r="C109" s="69"/>
      <c r="D109" s="69"/>
      <c r="E109" s="69"/>
      <c r="F109" s="69"/>
      <c r="G109" s="17" t="s">
        <v>1405</v>
      </c>
      <c r="Z109" s="101"/>
      <c r="AA109" s="101"/>
      <c r="AB109" s="101"/>
      <c r="AC109" s="101"/>
      <c r="AD109" s="101"/>
      <c r="AE109" s="101"/>
      <c r="AF109" s="101"/>
      <c r="AG109" s="101"/>
      <c r="AH109" s="101"/>
      <c r="AI109" s="101"/>
      <c r="AJ109" s="101"/>
      <c r="AK109" s="101"/>
      <c r="AL109" s="101"/>
      <c r="AM109" s="101"/>
      <c r="AN109" s="101"/>
    </row>
    <row r="110" spans="1:40" ht="16.5" customHeight="1" x14ac:dyDescent="0.3">
      <c r="A110" s="69"/>
      <c r="B110" s="69"/>
      <c r="C110" s="69"/>
      <c r="D110" s="69"/>
      <c r="E110" s="69"/>
      <c r="F110" s="69"/>
      <c r="G110" s="17" t="s">
        <v>1405</v>
      </c>
      <c r="Z110" s="101"/>
      <c r="AA110" s="101"/>
      <c r="AB110" s="101"/>
      <c r="AC110" s="101"/>
      <c r="AD110" s="101"/>
      <c r="AE110" s="101"/>
      <c r="AF110" s="101"/>
      <c r="AG110" s="101"/>
      <c r="AH110" s="101"/>
      <c r="AI110" s="101"/>
      <c r="AJ110" s="101"/>
      <c r="AK110" s="101"/>
      <c r="AL110" s="101"/>
      <c r="AM110" s="101"/>
      <c r="AN110" s="101"/>
    </row>
    <row r="111" spans="1:40" ht="16.5" customHeight="1" x14ac:dyDescent="0.3">
      <c r="A111" s="59"/>
      <c r="B111" s="68" t="s">
        <v>1482</v>
      </c>
      <c r="C111" s="69"/>
      <c r="D111" s="69"/>
      <c r="E111" s="69"/>
      <c r="F111" s="69"/>
      <c r="G111" s="17" t="s">
        <v>1481</v>
      </c>
      <c r="Z111" s="101"/>
      <c r="AA111" s="101"/>
      <c r="AB111" s="101"/>
      <c r="AC111" s="101"/>
      <c r="AD111" s="101"/>
      <c r="AE111" s="101"/>
      <c r="AF111" s="101"/>
      <c r="AG111" s="101"/>
      <c r="AH111" s="101"/>
      <c r="AI111" s="101"/>
      <c r="AJ111" s="101"/>
      <c r="AK111" s="101"/>
      <c r="AL111" s="101"/>
      <c r="AM111" s="101"/>
      <c r="AN111" s="101"/>
    </row>
    <row r="112" spans="1:40" ht="16.5" customHeight="1" x14ac:dyDescent="0.3">
      <c r="A112" s="69"/>
      <c r="B112" s="69"/>
      <c r="C112" s="69"/>
      <c r="D112" s="69"/>
      <c r="E112" s="69"/>
      <c r="F112" s="69"/>
      <c r="G112" s="17" t="s">
        <v>1405</v>
      </c>
      <c r="Z112" s="101"/>
      <c r="AA112" s="101"/>
      <c r="AB112" s="101"/>
      <c r="AC112" s="101"/>
      <c r="AD112" s="101"/>
      <c r="AE112" s="101"/>
      <c r="AF112" s="101"/>
      <c r="AG112" s="101"/>
      <c r="AH112" s="101"/>
      <c r="AI112" s="101"/>
      <c r="AJ112" s="101"/>
      <c r="AK112" s="101"/>
      <c r="AL112" s="101"/>
      <c r="AM112" s="101"/>
      <c r="AN112" s="101"/>
    </row>
    <row r="113" spans="1:40" ht="16.5" customHeight="1" x14ac:dyDescent="0.3">
      <c r="A113" s="69"/>
      <c r="B113" s="69"/>
      <c r="C113" s="69"/>
      <c r="D113" s="69"/>
      <c r="E113" s="69"/>
      <c r="F113" s="69"/>
      <c r="G113" s="17" t="s">
        <v>1405</v>
      </c>
      <c r="Z113" s="101"/>
      <c r="AA113" s="101"/>
      <c r="AB113" s="101"/>
      <c r="AC113" s="101"/>
      <c r="AD113" s="101"/>
      <c r="AE113" s="101"/>
      <c r="AF113" s="101"/>
      <c r="AG113" s="101"/>
      <c r="AH113" s="101"/>
      <c r="AI113" s="101"/>
      <c r="AJ113" s="101"/>
      <c r="AK113" s="101"/>
      <c r="AL113" s="101"/>
      <c r="AM113" s="101"/>
      <c r="AN113" s="101"/>
    </row>
    <row r="114" spans="1:40" ht="16.5" customHeight="1" x14ac:dyDescent="0.3">
      <c r="A114" s="59"/>
      <c r="B114" s="68" t="str">
        <f>"    Q= "&amp;Z114&amp;" ㎥/hr "</f>
        <v xml:space="preserve">    Q= 6.9 ㎥/hr </v>
      </c>
      <c r="C114" s="69"/>
      <c r="D114" s="69"/>
      <c r="E114" s="69"/>
      <c r="F114" s="69"/>
      <c r="G114" s="17" t="s">
        <v>1483</v>
      </c>
      <c r="Z114" s="104">
        <v>6.9</v>
      </c>
      <c r="AA114" s="35" t="s">
        <v>1410</v>
      </c>
      <c r="AB114" s="103">
        <f>Z114</f>
        <v>6.9</v>
      </c>
      <c r="AC114" s="101"/>
      <c r="AD114" s="101"/>
      <c r="AE114" s="101"/>
      <c r="AF114" s="101"/>
      <c r="AG114" s="101"/>
      <c r="AH114" s="101"/>
      <c r="AI114" s="101"/>
      <c r="AJ114" s="101"/>
      <c r="AK114" s="101"/>
      <c r="AL114" s="101"/>
      <c r="AM114" s="101"/>
      <c r="AN114" s="101"/>
    </row>
    <row r="115" spans="1:40" ht="16.5" customHeight="1" x14ac:dyDescent="0.3">
      <c r="A115" s="69"/>
      <c r="B115" s="69"/>
      <c r="C115" s="69"/>
      <c r="D115" s="69"/>
      <c r="E115" s="69"/>
      <c r="F115" s="69"/>
      <c r="G115" s="17" t="s">
        <v>1405</v>
      </c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  <c r="AK115" s="101"/>
      <c r="AL115" s="101"/>
      <c r="AM115" s="101"/>
      <c r="AN115" s="101"/>
    </row>
    <row r="116" spans="1:40" ht="16.5" customHeight="1" x14ac:dyDescent="0.3">
      <c r="A116" s="69"/>
      <c r="B116" s="69"/>
      <c r="C116" s="69"/>
      <c r="D116" s="69"/>
      <c r="E116" s="69"/>
      <c r="F116" s="69"/>
      <c r="G116" s="17" t="s">
        <v>1405</v>
      </c>
      <c r="Z116" s="101"/>
      <c r="AA116" s="101"/>
      <c r="AB116" s="101"/>
      <c r="AC116" s="101"/>
      <c r="AD116" s="101"/>
      <c r="AE116" s="101"/>
      <c r="AF116" s="101"/>
      <c r="AG116" s="101"/>
      <c r="AH116" s="101"/>
      <c r="AI116" s="101"/>
      <c r="AJ116" s="101"/>
      <c r="AK116" s="101"/>
      <c r="AL116" s="101"/>
      <c r="AM116" s="101"/>
      <c r="AN116" s="101"/>
    </row>
    <row r="117" spans="1:40" ht="16.5" customHeight="1" x14ac:dyDescent="0.3">
      <c r="A117" s="59" t="s">
        <v>1485</v>
      </c>
      <c r="B117" s="89" t="str">
        <f>"    노무비: "&amp;TEXT(I117,"#,##0"&amp;IF(I117&lt;&gt;INT(I117),".###",""))&amp;"/Q = "&amp;TEXT(C117,"#,##0.0")&amp;""</f>
        <v xml:space="preserve">    노무비: 59,020/Q = 8,553.6</v>
      </c>
      <c r="C117" s="91">
        <f>E117+D117+F117</f>
        <v>8553.6</v>
      </c>
      <c r="D117" s="91">
        <f>IF(H117=0,0,ROUNDDOWN(J117*H117,1))</f>
        <v>8553.6</v>
      </c>
      <c r="E117" s="91">
        <f>IF(H117=0,0,ROUNDDOWN(K117*H117,1))</f>
        <v>0</v>
      </c>
      <c r="F117" s="91">
        <f>IF(H117=0,0,ROUNDDOWN(L117*H117,1))</f>
        <v>0</v>
      </c>
      <c r="G117" s="17" t="s">
        <v>1484</v>
      </c>
      <c r="H117" s="97">
        <f>ROUNDUP(AC117,14-LEN(ABS(INT(AC117))))</f>
        <v>0.14492753623189999</v>
      </c>
      <c r="I117" s="98">
        <f>K117+J117+L117</f>
        <v>59020</v>
      </c>
      <c r="J117" s="38">
        <f>중기목록표!F7</f>
        <v>59020</v>
      </c>
      <c r="M117" s="35" t="s">
        <v>1486</v>
      </c>
      <c r="N117" s="35" t="s">
        <v>1253</v>
      </c>
      <c r="X117" s="100" t="str">
        <f>중기목록표!B7&amp;" / "&amp;중기목록표!C7</f>
        <v>굴착기(무한궤도) / 0.4㎥+대형브레이카</v>
      </c>
      <c r="Y117" s="3" t="str">
        <f ca="1">HYPERLINK("#"&amp;중기목록표!J2&amp;"!A"&amp;ROW(중기목록표!A7),"중기4 →")</f>
        <v>중기4 →</v>
      </c>
      <c r="Z117" s="35" t="s">
        <v>1417</v>
      </c>
      <c r="AA117" s="103">
        <f>AB114</f>
        <v>6.9</v>
      </c>
      <c r="AB117" s="35" t="s">
        <v>1410</v>
      </c>
      <c r="AC117" s="103">
        <f>1/AB114</f>
        <v>0.14492753623188406</v>
      </c>
      <c r="AD117" s="101"/>
      <c r="AE117" s="101"/>
      <c r="AF117" s="101"/>
      <c r="AG117" s="101"/>
      <c r="AH117" s="101"/>
      <c r="AI117" s="101"/>
      <c r="AJ117" s="101"/>
      <c r="AK117" s="101"/>
      <c r="AL117" s="101"/>
      <c r="AM117" s="101"/>
      <c r="AN117" s="101"/>
    </row>
    <row r="118" spans="1:40" ht="16.5" customHeight="1" x14ac:dyDescent="0.3">
      <c r="A118" s="69"/>
      <c r="B118" s="69"/>
      <c r="C118" s="69"/>
      <c r="D118" s="69"/>
      <c r="E118" s="69"/>
      <c r="F118" s="69"/>
      <c r="G118" s="17" t="s">
        <v>1405</v>
      </c>
      <c r="Z118" s="101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101"/>
      <c r="AL118" s="101"/>
      <c r="AM118" s="101"/>
      <c r="AN118" s="101"/>
    </row>
    <row r="119" spans="1:40" ht="16.5" customHeight="1" x14ac:dyDescent="0.3">
      <c r="A119" s="69"/>
      <c r="B119" s="69"/>
      <c r="C119" s="69"/>
      <c r="D119" s="69"/>
      <c r="E119" s="69"/>
      <c r="F119" s="69"/>
      <c r="G119" s="17" t="s">
        <v>1405</v>
      </c>
      <c r="Z119" s="101"/>
      <c r="AA119" s="101"/>
      <c r="AB119" s="101"/>
      <c r="AC119" s="101"/>
      <c r="AD119" s="101"/>
      <c r="AE119" s="101"/>
      <c r="AF119" s="101"/>
      <c r="AG119" s="101"/>
      <c r="AH119" s="101"/>
      <c r="AI119" s="101"/>
      <c r="AJ119" s="101"/>
      <c r="AK119" s="101"/>
      <c r="AL119" s="101"/>
      <c r="AM119" s="101"/>
      <c r="AN119" s="101"/>
    </row>
    <row r="120" spans="1:40" ht="16.5" customHeight="1" x14ac:dyDescent="0.3">
      <c r="A120" s="59" t="s">
        <v>1488</v>
      </c>
      <c r="B120" s="89" t="str">
        <f>"    재료비: "&amp;TEXT(I120,"#,##0"&amp;IF(I120&lt;&gt;INT(I120),".###",""))&amp;"/Q = "&amp;TEXT(C120,"#,##0.0")&amp;""</f>
        <v xml:space="preserve">    재료비: 20,659/Q = 2,994.0</v>
      </c>
      <c r="C120" s="91">
        <f>E120+D120+F120</f>
        <v>2994</v>
      </c>
      <c r="D120" s="91">
        <f>IF(H120=0,0,ROUNDDOWN(J120*H120,1))</f>
        <v>0</v>
      </c>
      <c r="E120" s="91">
        <f>IF(H120=0,0,ROUNDDOWN(K120*H120,1))</f>
        <v>2994</v>
      </c>
      <c r="F120" s="91">
        <f>IF(H120=0,0,ROUNDDOWN(L120*H120,1))</f>
        <v>0</v>
      </c>
      <c r="G120" s="17" t="s">
        <v>1487</v>
      </c>
      <c r="H120" s="97">
        <f>ROUNDUP(AC120,14-LEN(ABS(INT(AC120))))</f>
        <v>0.14492753623189999</v>
      </c>
      <c r="I120" s="98">
        <f>K120+J120+L120</f>
        <v>20659</v>
      </c>
      <c r="K120" s="38">
        <f>중기목록표!G7</f>
        <v>20659</v>
      </c>
      <c r="M120" s="35" t="s">
        <v>1486</v>
      </c>
      <c r="N120" s="35" t="s">
        <v>1253</v>
      </c>
      <c r="X120" s="100" t="str">
        <f>중기목록표!B7&amp;" / "&amp;중기목록표!C7</f>
        <v>굴착기(무한궤도) / 0.4㎥+대형브레이카</v>
      </c>
      <c r="Y120" s="3" t="str">
        <f ca="1">HYPERLINK("#"&amp;중기목록표!J2&amp;"!A"&amp;ROW(중기목록표!A7),"중기4 →")</f>
        <v>중기4 →</v>
      </c>
      <c r="Z120" s="35" t="s">
        <v>1417</v>
      </c>
      <c r="AA120" s="103">
        <f>AB114</f>
        <v>6.9</v>
      </c>
      <c r="AB120" s="35" t="s">
        <v>1410</v>
      </c>
      <c r="AC120" s="103">
        <f>1/AB114</f>
        <v>0.14492753623188406</v>
      </c>
      <c r="AD120" s="101"/>
      <c r="AE120" s="101"/>
      <c r="AF120" s="101"/>
      <c r="AG120" s="101"/>
      <c r="AH120" s="101"/>
      <c r="AI120" s="101"/>
      <c r="AJ120" s="101"/>
      <c r="AK120" s="101"/>
      <c r="AL120" s="101"/>
      <c r="AM120" s="101"/>
      <c r="AN120" s="101"/>
    </row>
    <row r="121" spans="1:40" ht="16.5" customHeight="1" x14ac:dyDescent="0.3">
      <c r="A121" s="69"/>
      <c r="B121" s="69"/>
      <c r="C121" s="69"/>
      <c r="D121" s="69"/>
      <c r="E121" s="69"/>
      <c r="F121" s="69"/>
      <c r="G121" s="17" t="s">
        <v>1405</v>
      </c>
      <c r="Z121" s="101"/>
      <c r="AA121" s="101"/>
      <c r="AB121" s="101"/>
      <c r="AC121" s="101"/>
      <c r="AD121" s="101"/>
      <c r="AE121" s="101"/>
      <c r="AF121" s="101"/>
      <c r="AG121" s="101"/>
      <c r="AH121" s="101"/>
      <c r="AI121" s="101"/>
      <c r="AJ121" s="101"/>
      <c r="AK121" s="101"/>
      <c r="AL121" s="101"/>
      <c r="AM121" s="101"/>
      <c r="AN121" s="101"/>
    </row>
    <row r="122" spans="1:40" ht="16.5" customHeight="1" x14ac:dyDescent="0.3">
      <c r="A122" s="69"/>
      <c r="B122" s="69"/>
      <c r="C122" s="69"/>
      <c r="D122" s="69"/>
      <c r="E122" s="69"/>
      <c r="F122" s="69"/>
      <c r="G122" s="17" t="s">
        <v>1405</v>
      </c>
      <c r="Z122" s="101"/>
      <c r="AA122" s="101"/>
      <c r="AB122" s="101"/>
      <c r="AC122" s="101"/>
      <c r="AD122" s="101"/>
      <c r="AE122" s="101"/>
      <c r="AF122" s="101"/>
      <c r="AG122" s="101"/>
      <c r="AH122" s="101"/>
      <c r="AI122" s="101"/>
      <c r="AJ122" s="101"/>
      <c r="AK122" s="101"/>
      <c r="AL122" s="101"/>
      <c r="AM122" s="101"/>
      <c r="AN122" s="101"/>
    </row>
    <row r="123" spans="1:40" ht="16.5" customHeight="1" x14ac:dyDescent="0.3">
      <c r="A123" s="59" t="s">
        <v>1490</v>
      </c>
      <c r="B123" s="89" t="str">
        <f>"    경  비: "&amp;TEXT(I123,"#,##0"&amp;IF(I123&lt;&gt;INT(I123),".###",""))&amp;"/Q = "&amp;TEXT(C123,"#,##0.0")&amp;""</f>
        <v xml:space="preserve">    경  비: 23,027/Q = 3,337.2</v>
      </c>
      <c r="C123" s="91">
        <f>E123+D123+F123</f>
        <v>3337.2</v>
      </c>
      <c r="D123" s="91">
        <f>IF(H123=0,0,ROUNDDOWN(J123*H123,1))</f>
        <v>0</v>
      </c>
      <c r="E123" s="91">
        <f>IF(H123=0,0,ROUNDDOWN(K123*H123,1))</f>
        <v>0</v>
      </c>
      <c r="F123" s="91">
        <f>IF(H123=0,0,ROUNDDOWN(L123*H123,1))</f>
        <v>3337.2</v>
      </c>
      <c r="G123" s="17" t="s">
        <v>1489</v>
      </c>
      <c r="H123" s="97">
        <f>ROUNDUP(AC123,14-LEN(ABS(INT(AC123))))</f>
        <v>0.14492753623189999</v>
      </c>
      <c r="I123" s="98">
        <f>K123+J123+L123</f>
        <v>23027</v>
      </c>
      <c r="L123" s="38">
        <f>중기목록표!H7</f>
        <v>23027</v>
      </c>
      <c r="M123" s="35" t="s">
        <v>1486</v>
      </c>
      <c r="N123" s="35" t="s">
        <v>1253</v>
      </c>
      <c r="X123" s="100" t="str">
        <f>중기목록표!B7&amp;" / "&amp;중기목록표!C7</f>
        <v>굴착기(무한궤도) / 0.4㎥+대형브레이카</v>
      </c>
      <c r="Y123" s="3" t="str">
        <f ca="1">HYPERLINK("#"&amp;중기목록표!J2&amp;"!A"&amp;ROW(중기목록표!A7),"중기4 →")</f>
        <v>중기4 →</v>
      </c>
      <c r="Z123" s="35" t="s">
        <v>1417</v>
      </c>
      <c r="AA123" s="103">
        <f>AB114</f>
        <v>6.9</v>
      </c>
      <c r="AB123" s="35" t="s">
        <v>1410</v>
      </c>
      <c r="AC123" s="103">
        <f>1/AB114</f>
        <v>0.14492753623188406</v>
      </c>
      <c r="AD123" s="101"/>
      <c r="AE123" s="101"/>
      <c r="AF123" s="101"/>
      <c r="AG123" s="101"/>
      <c r="AH123" s="101"/>
      <c r="AI123" s="101"/>
      <c r="AJ123" s="101"/>
      <c r="AK123" s="101"/>
      <c r="AL123" s="101"/>
      <c r="AM123" s="101"/>
      <c r="AN123" s="101"/>
    </row>
    <row r="124" spans="1:40" ht="16.5" customHeight="1" x14ac:dyDescent="0.3">
      <c r="A124" s="69"/>
      <c r="B124" s="69"/>
      <c r="C124" s="69"/>
      <c r="D124" s="69"/>
      <c r="E124" s="69"/>
      <c r="F124" s="69"/>
      <c r="G124" s="17" t="s">
        <v>1405</v>
      </c>
      <c r="Z124" s="101"/>
      <c r="AA124" s="101"/>
      <c r="AB124" s="101"/>
      <c r="AC124" s="101"/>
      <c r="AD124" s="101"/>
      <c r="AE124" s="101"/>
      <c r="AF124" s="101"/>
      <c r="AG124" s="101"/>
      <c r="AH124" s="101"/>
      <c r="AI124" s="101"/>
      <c r="AJ124" s="101"/>
      <c r="AK124" s="101"/>
      <c r="AL124" s="101"/>
      <c r="AM124" s="101"/>
      <c r="AN124" s="101"/>
    </row>
    <row r="125" spans="1:40" ht="16.5" customHeight="1" x14ac:dyDescent="0.3">
      <c r="A125" s="69"/>
      <c r="B125" s="69"/>
      <c r="C125" s="69"/>
      <c r="D125" s="69"/>
      <c r="E125" s="69"/>
      <c r="F125" s="69"/>
      <c r="G125" s="17" t="s">
        <v>1405</v>
      </c>
      <c r="Z125" s="101"/>
      <c r="AA125" s="101"/>
      <c r="AB125" s="101"/>
      <c r="AC125" s="101"/>
      <c r="AD125" s="101"/>
      <c r="AE125" s="101"/>
      <c r="AF125" s="101"/>
      <c r="AG125" s="101"/>
      <c r="AH125" s="101"/>
      <c r="AI125" s="101"/>
      <c r="AJ125" s="101"/>
      <c r="AK125" s="101"/>
      <c r="AL125" s="101"/>
      <c r="AM125" s="101"/>
      <c r="AN125" s="101"/>
    </row>
    <row r="126" spans="1:40" ht="16.5" customHeight="1" x14ac:dyDescent="0.3">
      <c r="A126" s="59"/>
      <c r="B126" s="68" t="s">
        <v>1492</v>
      </c>
      <c r="C126" s="69"/>
      <c r="D126" s="69"/>
      <c r="E126" s="69"/>
      <c r="F126" s="69"/>
      <c r="G126" s="17" t="s">
        <v>1491</v>
      </c>
      <c r="Z126" s="101"/>
      <c r="AA126" s="101"/>
      <c r="AB126" s="101"/>
      <c r="AC126" s="101"/>
      <c r="AD126" s="101"/>
      <c r="AE126" s="101"/>
      <c r="AF126" s="101"/>
      <c r="AG126" s="101"/>
      <c r="AH126" s="101"/>
      <c r="AI126" s="101"/>
      <c r="AJ126" s="101"/>
      <c r="AK126" s="101"/>
      <c r="AL126" s="101"/>
      <c r="AM126" s="101"/>
      <c r="AN126" s="101"/>
    </row>
    <row r="127" spans="1:40" ht="16.5" customHeight="1" x14ac:dyDescent="0.3">
      <c r="A127" s="69"/>
      <c r="B127" s="69"/>
      <c r="C127" s="69"/>
      <c r="D127" s="69"/>
      <c r="E127" s="69"/>
      <c r="F127" s="69"/>
      <c r="G127" s="17" t="s">
        <v>1405</v>
      </c>
      <c r="Z127" s="101"/>
      <c r="AA127" s="101"/>
      <c r="AB127" s="101"/>
      <c r="AC127" s="101"/>
      <c r="AD127" s="101"/>
      <c r="AE127" s="101"/>
      <c r="AF127" s="101"/>
      <c r="AG127" s="101"/>
      <c r="AH127" s="101"/>
      <c r="AI127" s="101"/>
      <c r="AJ127" s="101"/>
      <c r="AK127" s="101"/>
      <c r="AL127" s="101"/>
      <c r="AM127" s="101"/>
      <c r="AN127" s="101"/>
    </row>
    <row r="128" spans="1:40" ht="16.5" customHeight="1" x14ac:dyDescent="0.3">
      <c r="A128" s="69"/>
      <c r="B128" s="69"/>
      <c r="C128" s="69"/>
      <c r="D128" s="69"/>
      <c r="E128" s="69"/>
      <c r="F128" s="69"/>
      <c r="G128" s="17" t="s">
        <v>1405</v>
      </c>
      <c r="Z128" s="101"/>
      <c r="AA128" s="101"/>
      <c r="AB128" s="101"/>
      <c r="AC128" s="101"/>
      <c r="AD128" s="101"/>
      <c r="AE128" s="101"/>
      <c r="AF128" s="101"/>
      <c r="AG128" s="101"/>
      <c r="AH128" s="101"/>
      <c r="AI128" s="101"/>
      <c r="AJ128" s="101"/>
      <c r="AK128" s="101"/>
      <c r="AL128" s="101"/>
      <c r="AM128" s="101"/>
      <c r="AN128" s="101"/>
    </row>
    <row r="129" spans="1:40" ht="16.5" customHeight="1" x14ac:dyDescent="0.3">
      <c r="A129" s="59"/>
      <c r="B129" s="68" t="s">
        <v>1494</v>
      </c>
      <c r="C129" s="69"/>
      <c r="D129" s="69"/>
      <c r="E129" s="69"/>
      <c r="F129" s="69"/>
      <c r="G129" s="17" t="s">
        <v>1493</v>
      </c>
      <c r="Z129" s="101"/>
      <c r="AA129" s="101"/>
      <c r="AB129" s="101"/>
      <c r="AC129" s="101"/>
      <c r="AD129" s="101"/>
      <c r="AE129" s="101"/>
      <c r="AF129" s="101"/>
      <c r="AG129" s="101"/>
      <c r="AH129" s="101"/>
      <c r="AI129" s="101"/>
      <c r="AJ129" s="101"/>
      <c r="AK129" s="101"/>
      <c r="AL129" s="101"/>
      <c r="AM129" s="101"/>
      <c r="AN129" s="101"/>
    </row>
    <row r="130" spans="1:40" ht="16.5" customHeight="1" x14ac:dyDescent="0.3">
      <c r="A130" s="69"/>
      <c r="B130" s="69"/>
      <c r="C130" s="69"/>
      <c r="D130" s="69"/>
      <c r="E130" s="69"/>
      <c r="F130" s="69"/>
      <c r="G130" s="17" t="s">
        <v>1405</v>
      </c>
      <c r="Z130" s="101"/>
      <c r="AA130" s="101"/>
      <c r="AB130" s="101"/>
      <c r="AC130" s="101"/>
      <c r="AD130" s="101"/>
      <c r="AE130" s="101"/>
      <c r="AF130" s="101"/>
      <c r="AG130" s="101"/>
      <c r="AH130" s="101"/>
      <c r="AI130" s="101"/>
      <c r="AJ130" s="101"/>
      <c r="AK130" s="101"/>
      <c r="AL130" s="101"/>
      <c r="AM130" s="101"/>
      <c r="AN130" s="101"/>
    </row>
    <row r="131" spans="1:40" ht="16.5" customHeight="1" x14ac:dyDescent="0.3">
      <c r="A131" s="59" t="s">
        <v>1496</v>
      </c>
      <c r="B131" s="89" t="str">
        <f>"     "&amp;Z131&amp;" 인 *"&amp;TEXT(I131,"#,##0"&amp;IF(I131&lt;&gt;INT(I131),".###",""))&amp;"/("&amp;AB131&amp;"*Q)= "&amp;TEXT(C131,"#,##0.0")&amp;""</f>
        <v xml:space="preserve">     1 인 *172,068/(8*Q)= 3,117.1</v>
      </c>
      <c r="C131" s="91">
        <f>E131+D131+F131</f>
        <v>3117.1</v>
      </c>
      <c r="D131" s="91">
        <f>IF(H131=0,0,ROUNDDOWN(J131*H131,1))</f>
        <v>3117.1</v>
      </c>
      <c r="E131" s="91">
        <f>IF(H131=0,0,ROUNDDOWN(K131*H131,1))</f>
        <v>0</v>
      </c>
      <c r="F131" s="91">
        <f>IF(H131=0,0,ROUNDDOWN(L131*H131,1))</f>
        <v>0</v>
      </c>
      <c r="G131" s="17" t="s">
        <v>1495</v>
      </c>
      <c r="H131" s="97">
        <f>ROUNDUP(AG131,14-LEN(ABS(INT(AG131))))</f>
        <v>1.8115942029E-2</v>
      </c>
      <c r="I131" s="98">
        <f>K131+J131+L131</f>
        <v>172068</v>
      </c>
      <c r="J131" s="38">
        <f>노무비목록표!E8</f>
        <v>172068</v>
      </c>
      <c r="M131" s="35" t="s">
        <v>1219</v>
      </c>
      <c r="N131" s="35" t="s">
        <v>1253</v>
      </c>
      <c r="X131" s="100" t="str">
        <f>노무비목록표!B8&amp;" / "&amp;노무비목록표!C8</f>
        <v xml:space="preserve">보통인부 / </v>
      </c>
      <c r="Y131" s="3" t="str">
        <f ca="1">HYPERLINK("#"&amp;노무비목록표!G2&amp;"!A"&amp;ROW(노무비목록표!A8),"노무5 →")</f>
        <v>노무5 →</v>
      </c>
      <c r="Z131" s="102">
        <v>1</v>
      </c>
      <c r="AA131" s="35" t="s">
        <v>1497</v>
      </c>
      <c r="AB131" s="102">
        <v>8</v>
      </c>
      <c r="AC131" s="35" t="s">
        <v>1436</v>
      </c>
      <c r="AD131" s="103">
        <f>AB114</f>
        <v>6.9</v>
      </c>
      <c r="AE131" s="35" t="s">
        <v>1468</v>
      </c>
      <c r="AF131" s="35" t="s">
        <v>1410</v>
      </c>
      <c r="AG131" s="103">
        <f>Z131*1/(AB131*AB114)</f>
        <v>1.8115942028985508E-2</v>
      </c>
      <c r="AH131" s="101"/>
      <c r="AI131" s="101"/>
      <c r="AJ131" s="101"/>
      <c r="AK131" s="101"/>
      <c r="AL131" s="101"/>
      <c r="AM131" s="101"/>
      <c r="AN131" s="101"/>
    </row>
    <row r="132" spans="1:40" ht="16.5" customHeight="1" x14ac:dyDescent="0.3">
      <c r="A132" s="69"/>
      <c r="B132" s="69"/>
      <c r="C132" s="69"/>
      <c r="D132" s="69"/>
      <c r="E132" s="69"/>
      <c r="F132" s="69"/>
      <c r="G132" s="17" t="s">
        <v>1405</v>
      </c>
      <c r="Z132" s="101"/>
      <c r="AA132" s="101"/>
      <c r="AB132" s="101"/>
      <c r="AC132" s="101"/>
      <c r="AD132" s="101"/>
      <c r="AE132" s="101"/>
      <c r="AF132" s="101"/>
      <c r="AG132" s="101"/>
      <c r="AH132" s="101"/>
      <c r="AI132" s="101"/>
      <c r="AJ132" s="101"/>
      <c r="AK132" s="101"/>
      <c r="AL132" s="101"/>
      <c r="AM132" s="101"/>
      <c r="AN132" s="101"/>
    </row>
    <row r="133" spans="1:40" ht="16.5" customHeight="1" x14ac:dyDescent="0.3">
      <c r="A133" s="69"/>
      <c r="B133" s="69"/>
      <c r="C133" s="69"/>
      <c r="D133" s="69"/>
      <c r="E133" s="69"/>
      <c r="F133" s="69"/>
      <c r="G133" s="17" t="s">
        <v>1405</v>
      </c>
      <c r="Z133" s="101"/>
      <c r="AA133" s="101"/>
      <c r="AB133" s="101"/>
      <c r="AC133" s="101"/>
      <c r="AD133" s="101"/>
      <c r="AE133" s="101"/>
      <c r="AF133" s="101"/>
      <c r="AG133" s="101"/>
      <c r="AH133" s="101"/>
      <c r="AI133" s="101"/>
      <c r="AJ133" s="101"/>
      <c r="AK133" s="101"/>
      <c r="AL133" s="101"/>
      <c r="AM133" s="101"/>
      <c r="AN133" s="101"/>
    </row>
    <row r="134" spans="1:40" ht="16.5" customHeight="1" x14ac:dyDescent="0.3">
      <c r="A134" s="69"/>
      <c r="B134" s="69"/>
      <c r="C134" s="69"/>
      <c r="D134" s="69"/>
      <c r="E134" s="69"/>
      <c r="F134" s="69"/>
      <c r="G134" s="17" t="s">
        <v>1405</v>
      </c>
      <c r="Z134" s="101"/>
      <c r="AA134" s="101"/>
      <c r="AB134" s="101"/>
      <c r="AC134" s="101"/>
      <c r="AD134" s="101"/>
      <c r="AE134" s="101"/>
      <c r="AF134" s="101"/>
      <c r="AG134" s="101"/>
      <c r="AH134" s="101"/>
      <c r="AI134" s="101"/>
      <c r="AJ134" s="101"/>
      <c r="AK134" s="101"/>
      <c r="AL134" s="101"/>
      <c r="AM134" s="101"/>
      <c r="AN134" s="101"/>
    </row>
    <row r="135" spans="1:40" ht="16.5" customHeight="1" x14ac:dyDescent="0.3">
      <c r="A135" s="59"/>
      <c r="B135" s="68" t="s">
        <v>1499</v>
      </c>
      <c r="C135" s="69"/>
      <c r="D135" s="69"/>
      <c r="E135" s="69"/>
      <c r="F135" s="69"/>
      <c r="G135" s="17" t="s">
        <v>1498</v>
      </c>
      <c r="Z135" s="101"/>
      <c r="AA135" s="101"/>
      <c r="AB135" s="101"/>
      <c r="AC135" s="101"/>
      <c r="AD135" s="101"/>
      <c r="AE135" s="101"/>
      <c r="AF135" s="101"/>
      <c r="AG135" s="101"/>
      <c r="AH135" s="101"/>
      <c r="AI135" s="101"/>
      <c r="AJ135" s="101"/>
      <c r="AK135" s="101"/>
      <c r="AL135" s="101"/>
      <c r="AM135" s="101"/>
      <c r="AN135" s="101"/>
    </row>
    <row r="136" spans="1:40" ht="16.5" customHeight="1" x14ac:dyDescent="0.3">
      <c r="A136" s="69"/>
      <c r="B136" s="69"/>
      <c r="C136" s="69"/>
      <c r="D136" s="69"/>
      <c r="E136" s="69"/>
      <c r="F136" s="69"/>
      <c r="G136" s="17" t="s">
        <v>1405</v>
      </c>
      <c r="Z136" s="101"/>
      <c r="AA136" s="101"/>
      <c r="AB136" s="101"/>
      <c r="AC136" s="101"/>
      <c r="AD136" s="101"/>
      <c r="AE136" s="101"/>
      <c r="AF136" s="101"/>
      <c r="AG136" s="101"/>
      <c r="AH136" s="101"/>
      <c r="AI136" s="101"/>
      <c r="AJ136" s="101"/>
      <c r="AK136" s="101"/>
      <c r="AL136" s="101"/>
      <c r="AM136" s="101"/>
      <c r="AN136" s="101"/>
    </row>
    <row r="137" spans="1:40" ht="16.5" customHeight="1" x14ac:dyDescent="0.3">
      <c r="A137" s="69"/>
      <c r="B137" s="69"/>
      <c r="C137" s="69"/>
      <c r="D137" s="69"/>
      <c r="E137" s="69"/>
      <c r="F137" s="69"/>
      <c r="G137" s="17" t="s">
        <v>1405</v>
      </c>
      <c r="Z137" s="101"/>
      <c r="AA137" s="101"/>
      <c r="AB137" s="101"/>
      <c r="AC137" s="101"/>
      <c r="AD137" s="101"/>
      <c r="AE137" s="101"/>
      <c r="AF137" s="101"/>
      <c r="AG137" s="101"/>
      <c r="AH137" s="101"/>
      <c r="AI137" s="101"/>
      <c r="AJ137" s="101"/>
      <c r="AK137" s="101"/>
      <c r="AL137" s="101"/>
      <c r="AM137" s="101"/>
      <c r="AN137" s="101"/>
    </row>
    <row r="138" spans="1:40" ht="16.5" customHeight="1" x14ac:dyDescent="0.3">
      <c r="A138" s="59" t="s">
        <v>1501</v>
      </c>
      <c r="B138" s="89" t="str">
        <f>"    ("&amp;AA138&amp;" 본/hr *"&amp;TEXT(I138,"#,##0"&amp;IF(I138&lt;&gt;INT(I138),".###",""))&amp;")/Q= "&amp;TEXT(C138,"#,##0.0")&amp;""</f>
        <v xml:space="preserve">    (0.008 본/hr *56,000)/Q= 64.9</v>
      </c>
      <c r="C138" s="91">
        <f>E138+D138+F138</f>
        <v>64.900000000000006</v>
      </c>
      <c r="D138" s="91">
        <f>IF(H138=0,0,ROUNDDOWN(J138*H138,1))</f>
        <v>0</v>
      </c>
      <c r="E138" s="91">
        <f>IF(H138=0,0,ROUNDDOWN(K138*H138,1))</f>
        <v>64.900000000000006</v>
      </c>
      <c r="F138" s="91">
        <f>IF(H138=0,0,ROUNDDOWN(L138*H138,1))</f>
        <v>0</v>
      </c>
      <c r="G138" s="17" t="s">
        <v>1500</v>
      </c>
      <c r="H138" s="97">
        <f>ROUNDUP(AE138,14-LEN(ABS(INT(AE138))))</f>
        <v>1.1594202899E-3</v>
      </c>
      <c r="I138" s="98">
        <f>K138+J138+L138</f>
        <v>56000</v>
      </c>
      <c r="K138" s="38">
        <f>재료비목록표!E48</f>
        <v>56000</v>
      </c>
      <c r="M138" s="35" t="s">
        <v>1502</v>
      </c>
      <c r="N138" s="35" t="s">
        <v>1253</v>
      </c>
      <c r="X138" s="100" t="str">
        <f>재료비목록표!B48&amp;" / "&amp;재료비목록표!C48</f>
        <v>치즐 / (0.4㎥용)</v>
      </c>
      <c r="Y138" s="3" t="str">
        <f ca="1">HYPERLINK("#"&amp;재료비목록표!G2&amp;"!A"&amp;ROW(재료비목록표!A48),"자재45 →")</f>
        <v>자재45 →</v>
      </c>
      <c r="Z138" s="35" t="s">
        <v>1457</v>
      </c>
      <c r="AA138" s="104">
        <v>8.0000000000000002E-3</v>
      </c>
      <c r="AB138" s="35" t="s">
        <v>1503</v>
      </c>
      <c r="AC138" s="103">
        <f>AB114</f>
        <v>6.9</v>
      </c>
      <c r="AD138" s="35" t="s">
        <v>1410</v>
      </c>
      <c r="AE138" s="103">
        <f>(AA138*1)/AB114</f>
        <v>1.1594202898550724E-3</v>
      </c>
      <c r="AF138" s="101"/>
      <c r="AG138" s="101"/>
      <c r="AH138" s="101"/>
      <c r="AI138" s="101"/>
      <c r="AJ138" s="101"/>
      <c r="AK138" s="101"/>
      <c r="AL138" s="101"/>
      <c r="AM138" s="101"/>
      <c r="AN138" s="101"/>
    </row>
    <row r="139" spans="1:40" ht="16.5" customHeight="1" x14ac:dyDescent="0.3">
      <c r="A139" s="69"/>
      <c r="B139" s="69"/>
      <c r="C139" s="69"/>
      <c r="D139" s="69"/>
      <c r="E139" s="69"/>
      <c r="F139" s="69"/>
      <c r="G139" s="17" t="s">
        <v>1405</v>
      </c>
      <c r="Z139" s="101"/>
      <c r="AA139" s="101"/>
      <c r="AB139" s="101"/>
      <c r="AC139" s="101"/>
      <c r="AD139" s="101"/>
      <c r="AE139" s="101"/>
      <c r="AF139" s="101"/>
      <c r="AG139" s="101"/>
      <c r="AH139" s="101"/>
      <c r="AI139" s="101"/>
      <c r="AJ139" s="101"/>
      <c r="AK139" s="101"/>
      <c r="AL139" s="101"/>
      <c r="AM139" s="101"/>
      <c r="AN139" s="101"/>
    </row>
    <row r="140" spans="1:40" ht="16.5" customHeight="1" x14ac:dyDescent="0.3">
      <c r="A140" s="69"/>
      <c r="B140" s="69"/>
      <c r="C140" s="69"/>
      <c r="D140" s="69"/>
      <c r="E140" s="69"/>
      <c r="F140" s="69"/>
      <c r="G140" s="17" t="s">
        <v>1405</v>
      </c>
      <c r="Z140" s="101"/>
      <c r="AA140" s="101"/>
      <c r="AB140" s="101"/>
      <c r="AC140" s="101"/>
      <c r="AD140" s="101"/>
      <c r="AE140" s="101"/>
      <c r="AF140" s="101"/>
      <c r="AG140" s="101"/>
      <c r="AH140" s="101"/>
      <c r="AI140" s="101"/>
      <c r="AJ140" s="101"/>
      <c r="AK140" s="101"/>
      <c r="AL140" s="101"/>
      <c r="AM140" s="101"/>
      <c r="AN140" s="101"/>
    </row>
    <row r="141" spans="1:40" ht="16.5" customHeight="1" x14ac:dyDescent="0.3">
      <c r="A141" s="59"/>
      <c r="B141" s="68" t="s">
        <v>1251</v>
      </c>
      <c r="C141" s="92">
        <f>E141+D141+F141</f>
        <v>18066.8</v>
      </c>
      <c r="D141" s="92">
        <f>SUMIF(N107:N140,M141,D107:D140)</f>
        <v>11670.7</v>
      </c>
      <c r="E141" s="92">
        <f>SUMIF(N107:N140,M141,E107:E140)</f>
        <v>3058.9</v>
      </c>
      <c r="F141" s="92">
        <f>SUMIF(N107:N140,M141,F107:F140)</f>
        <v>3337.2</v>
      </c>
      <c r="G141" s="17" t="s">
        <v>1476</v>
      </c>
      <c r="M141" s="35" t="s">
        <v>1253</v>
      </c>
      <c r="N141" s="35" t="s">
        <v>1209</v>
      </c>
      <c r="Z141" s="101"/>
      <c r="AA141" s="101"/>
      <c r="AB141" s="101"/>
      <c r="AC141" s="101"/>
      <c r="AD141" s="101"/>
      <c r="AE141" s="101"/>
      <c r="AF141" s="101"/>
      <c r="AG141" s="101"/>
      <c r="AH141" s="101"/>
      <c r="AI141" s="101"/>
      <c r="AJ141" s="101"/>
      <c r="AK141" s="101"/>
      <c r="AL141" s="101"/>
      <c r="AM141" s="101"/>
      <c r="AN141" s="101"/>
    </row>
    <row r="142" spans="1:40" ht="16.5" customHeight="1" x14ac:dyDescent="0.3">
      <c r="A142" s="69"/>
      <c r="B142" s="69"/>
      <c r="C142" s="90"/>
      <c r="D142" s="90"/>
      <c r="E142" s="90"/>
      <c r="F142" s="90"/>
      <c r="Z142" s="101"/>
      <c r="AA142" s="101"/>
      <c r="AB142" s="101"/>
      <c r="AC142" s="101"/>
      <c r="AD142" s="101"/>
      <c r="AE142" s="101"/>
      <c r="AF142" s="101"/>
      <c r="AG142" s="101"/>
      <c r="AH142" s="101"/>
      <c r="AI142" s="101"/>
      <c r="AJ142" s="101"/>
      <c r="AK142" s="101"/>
      <c r="AL142" s="101"/>
      <c r="AM142" s="101"/>
      <c r="AN142" s="101"/>
    </row>
    <row r="143" spans="1:40" ht="16.5" customHeight="1" x14ac:dyDescent="0.3">
      <c r="A143" s="69"/>
      <c r="B143" s="69"/>
      <c r="C143" s="69"/>
      <c r="D143" s="69"/>
      <c r="E143" s="69"/>
      <c r="F143" s="69"/>
      <c r="Z143" s="101"/>
      <c r="AA143" s="101"/>
      <c r="AB143" s="101"/>
      <c r="AC143" s="101"/>
      <c r="AD143" s="101"/>
      <c r="AE143" s="101"/>
      <c r="AF143" s="101"/>
      <c r="AG143" s="101"/>
      <c r="AH143" s="101"/>
      <c r="AI143" s="101"/>
      <c r="AJ143" s="101"/>
      <c r="AK143" s="101"/>
      <c r="AL143" s="101"/>
      <c r="AM143" s="101"/>
      <c r="AN143" s="101"/>
    </row>
    <row r="144" spans="1:40" ht="16.5" customHeight="1" x14ac:dyDescent="0.3">
      <c r="A144" s="69"/>
      <c r="B144" s="69"/>
      <c r="C144" s="69"/>
      <c r="D144" s="69"/>
      <c r="E144" s="69"/>
      <c r="F144" s="69"/>
      <c r="Z144" s="101"/>
      <c r="AA144" s="101"/>
      <c r="AB144" s="101"/>
      <c r="AC144" s="101"/>
      <c r="AD144" s="101"/>
      <c r="AE144" s="101"/>
      <c r="AF144" s="101"/>
      <c r="AG144" s="101"/>
      <c r="AH144" s="101"/>
      <c r="AI144" s="101"/>
      <c r="AJ144" s="101"/>
      <c r="AK144" s="101"/>
      <c r="AL144" s="101"/>
      <c r="AM144" s="101"/>
      <c r="AN144" s="101"/>
    </row>
    <row r="145" spans="1:40" ht="16.5" customHeight="1" x14ac:dyDescent="0.3">
      <c r="A145" s="69"/>
      <c r="B145" s="69"/>
      <c r="C145" s="69"/>
      <c r="D145" s="69"/>
      <c r="E145" s="69"/>
      <c r="F145" s="69"/>
      <c r="Z145" s="101"/>
      <c r="AA145" s="101"/>
      <c r="AB145" s="101"/>
      <c r="AC145" s="101"/>
      <c r="AD145" s="101"/>
      <c r="AE145" s="101"/>
      <c r="AF145" s="101"/>
      <c r="AG145" s="101"/>
      <c r="AH145" s="101"/>
      <c r="AI145" s="101"/>
      <c r="AJ145" s="101"/>
      <c r="AK145" s="101"/>
      <c r="AL145" s="101"/>
      <c r="AM145" s="101"/>
      <c r="AN145" s="101"/>
    </row>
    <row r="146" spans="1:40" ht="16.5" customHeight="1" x14ac:dyDescent="0.3">
      <c r="A146" s="69"/>
      <c r="B146" s="69"/>
      <c r="C146" s="69"/>
      <c r="D146" s="69"/>
      <c r="E146" s="69"/>
      <c r="F146" s="69"/>
      <c r="Z146" s="101"/>
      <c r="AA146" s="101"/>
      <c r="AB146" s="101"/>
      <c r="AC146" s="101"/>
      <c r="AD146" s="101"/>
      <c r="AE146" s="101"/>
      <c r="AF146" s="101"/>
      <c r="AG146" s="101"/>
      <c r="AH146" s="101"/>
      <c r="AI146" s="101"/>
      <c r="AJ146" s="101"/>
      <c r="AK146" s="101"/>
      <c r="AL146" s="101"/>
      <c r="AM146" s="101"/>
      <c r="AN146" s="101"/>
    </row>
    <row r="147" spans="1:40" ht="16.5" customHeight="1" x14ac:dyDescent="0.3">
      <c r="A147" s="69"/>
      <c r="B147" s="69"/>
      <c r="C147" s="69"/>
      <c r="D147" s="69"/>
      <c r="E147" s="69"/>
      <c r="F147" s="69"/>
      <c r="Z147" s="101"/>
      <c r="AA147" s="101"/>
      <c r="AB147" s="101"/>
      <c r="AC147" s="101"/>
      <c r="AD147" s="101"/>
      <c r="AE147" s="101"/>
      <c r="AF147" s="101"/>
      <c r="AG147" s="101"/>
      <c r="AH147" s="101"/>
      <c r="AI147" s="101"/>
      <c r="AJ147" s="101"/>
      <c r="AK147" s="101"/>
      <c r="AL147" s="101"/>
      <c r="AM147" s="101"/>
      <c r="AN147" s="101"/>
    </row>
    <row r="148" spans="1:40" ht="16.5" customHeight="1" x14ac:dyDescent="0.3">
      <c r="A148" s="69"/>
      <c r="B148" s="69"/>
      <c r="C148" s="69"/>
      <c r="D148" s="69"/>
      <c r="E148" s="69"/>
      <c r="F148" s="69"/>
      <c r="Z148" s="101"/>
      <c r="AA148" s="101"/>
      <c r="AB148" s="101"/>
      <c r="AC148" s="101"/>
      <c r="AD148" s="101"/>
      <c r="AE148" s="101"/>
      <c r="AF148" s="101"/>
      <c r="AG148" s="101"/>
      <c r="AH148" s="101"/>
      <c r="AI148" s="101"/>
      <c r="AJ148" s="101"/>
      <c r="AK148" s="101"/>
      <c r="AL148" s="101"/>
      <c r="AM148" s="101"/>
      <c r="AN148" s="101"/>
    </row>
    <row r="149" spans="1:40" ht="16.5" customHeight="1" x14ac:dyDescent="0.3">
      <c r="A149" s="69"/>
      <c r="B149" s="69"/>
      <c r="C149" s="69"/>
      <c r="D149" s="69"/>
      <c r="E149" s="69"/>
      <c r="F149" s="69"/>
      <c r="Z149" s="101"/>
      <c r="AA149" s="101"/>
      <c r="AB149" s="101"/>
      <c r="AC149" s="101"/>
      <c r="AD149" s="101"/>
      <c r="AE149" s="101"/>
      <c r="AF149" s="101"/>
      <c r="AG149" s="101"/>
      <c r="AH149" s="101"/>
      <c r="AI149" s="101"/>
      <c r="AJ149" s="101"/>
      <c r="AK149" s="101"/>
      <c r="AL149" s="101"/>
      <c r="AM149" s="101"/>
      <c r="AN149" s="101"/>
    </row>
    <row r="150" spans="1:40" ht="16.5" customHeight="1" x14ac:dyDescent="0.3">
      <c r="A150" s="69"/>
      <c r="B150" s="69"/>
      <c r="C150" s="69"/>
      <c r="D150" s="69"/>
      <c r="E150" s="69"/>
      <c r="F150" s="69"/>
      <c r="Z150" s="101"/>
      <c r="AA150" s="101"/>
      <c r="AB150" s="101"/>
      <c r="AC150" s="101"/>
      <c r="AD150" s="101"/>
      <c r="AE150" s="101"/>
      <c r="AF150" s="101"/>
      <c r="AG150" s="101"/>
      <c r="AH150" s="101"/>
      <c r="AI150" s="101"/>
      <c r="AJ150" s="101"/>
      <c r="AK150" s="101"/>
      <c r="AL150" s="101"/>
      <c r="AM150" s="101"/>
      <c r="AN150" s="101"/>
    </row>
    <row r="151" spans="1:40" ht="16.5" customHeight="1" x14ac:dyDescent="0.3">
      <c r="A151" s="69"/>
      <c r="B151" s="69"/>
      <c r="C151" s="69"/>
      <c r="D151" s="69"/>
      <c r="E151" s="69"/>
      <c r="F151" s="69"/>
      <c r="Z151" s="101"/>
      <c r="AA151" s="101"/>
      <c r="AB151" s="101"/>
      <c r="AC151" s="101"/>
      <c r="AD151" s="101"/>
      <c r="AE151" s="101"/>
      <c r="AF151" s="101"/>
      <c r="AG151" s="101"/>
      <c r="AH151" s="101"/>
      <c r="AI151" s="101"/>
      <c r="AJ151" s="101"/>
      <c r="AK151" s="101"/>
      <c r="AL151" s="101"/>
      <c r="AM151" s="101"/>
      <c r="AN151" s="101"/>
    </row>
    <row r="152" spans="1:40" ht="16.5" customHeight="1" x14ac:dyDescent="0.3">
      <c r="A152" s="69"/>
      <c r="B152" s="69"/>
      <c r="C152" s="69"/>
      <c r="D152" s="69"/>
      <c r="E152" s="69"/>
      <c r="F152" s="69"/>
      <c r="Z152" s="101"/>
      <c r="AA152" s="101"/>
      <c r="AB152" s="101"/>
      <c r="AC152" s="101"/>
      <c r="AD152" s="101"/>
      <c r="AE152" s="101"/>
      <c r="AF152" s="101"/>
      <c r="AG152" s="101"/>
      <c r="AH152" s="101"/>
      <c r="AI152" s="101"/>
      <c r="AJ152" s="101"/>
      <c r="AK152" s="101"/>
      <c r="AL152" s="101"/>
      <c r="AM152" s="101"/>
      <c r="AN152" s="101"/>
    </row>
    <row r="153" spans="1:40" ht="16.5" customHeight="1" x14ac:dyDescent="0.3">
      <c r="A153" s="74"/>
      <c r="B153" s="74"/>
      <c r="C153" s="74"/>
      <c r="D153" s="74"/>
      <c r="E153" s="74"/>
      <c r="F153" s="74"/>
      <c r="Z153" s="101"/>
      <c r="AA153" s="101"/>
      <c r="AB153" s="101"/>
      <c r="AC153" s="101"/>
      <c r="AD153" s="101"/>
      <c r="AE153" s="101"/>
      <c r="AF153" s="101"/>
      <c r="AG153" s="101"/>
      <c r="AH153" s="101"/>
      <c r="AI153" s="101"/>
      <c r="AJ153" s="101"/>
      <c r="AK153" s="101"/>
      <c r="AL153" s="101"/>
      <c r="AM153" s="101"/>
      <c r="AN153" s="101"/>
    </row>
    <row r="154" spans="1:40" ht="16.5" customHeight="1" x14ac:dyDescent="0.3">
      <c r="A154" s="150" t="s">
        <v>1477</v>
      </c>
      <c r="B154" s="143"/>
      <c r="C154" s="47">
        <f>E154+D154+F154</f>
        <v>18065</v>
      </c>
      <c r="D154" s="46">
        <f>ROUNDDOWN(SUMIF(N107:N141,M154,D107:D141),0)</f>
        <v>11670</v>
      </c>
      <c r="E154" s="55">
        <f>ROUNDDOWN(SUMIF(N107:N141,M154,E107:E141),0)</f>
        <v>3058</v>
      </c>
      <c r="F154" s="47">
        <f>ROUNDDOWN(SUMIF(N107:N141,M154,F107:F141),0)</f>
        <v>3337</v>
      </c>
      <c r="M154" s="35" t="s">
        <v>1209</v>
      </c>
      <c r="Z154" s="101"/>
      <c r="AA154" s="101"/>
      <c r="AB154" s="101"/>
      <c r="AC154" s="101"/>
      <c r="AD154" s="101"/>
      <c r="AE154" s="101"/>
      <c r="AF154" s="101"/>
      <c r="AG154" s="101"/>
      <c r="AH154" s="101"/>
      <c r="AI154" s="101"/>
      <c r="AJ154" s="101"/>
      <c r="AK154" s="101"/>
      <c r="AL154" s="101"/>
      <c r="AM154" s="101"/>
      <c r="AN154" s="101"/>
    </row>
    <row r="155" spans="1:40" ht="16.5" customHeight="1" x14ac:dyDescent="0.3">
      <c r="A155" s="86" t="s">
        <v>21</v>
      </c>
      <c r="B155" s="88" t="s">
        <v>21</v>
      </c>
      <c r="C155" s="151">
        <f>C204</f>
        <v>37775</v>
      </c>
      <c r="D155" s="151">
        <f>D204</f>
        <v>24402</v>
      </c>
      <c r="E155" s="151">
        <f>E204</f>
        <v>6396</v>
      </c>
      <c r="F155" s="151">
        <f>F204</f>
        <v>6977</v>
      </c>
      <c r="G155" s="84" t="str">
        <f>HYPERLINK("#G"&amp;ROW(G183),"_x0005_`BDCOD|D02950_x0007_`POSS|"&amp;ROW(G157)&amp;"_x0007_`POSE|"&amp;ROW(G183)&amp;"_x0007_`")</f>
        <v>_x0005_`BDCOD|D02950_x0007_`POSS|157_x0007_`POSE|183_x0007_`</v>
      </c>
      <c r="Z155" s="101"/>
      <c r="AA155" s="101"/>
      <c r="AB155" s="101"/>
      <c r="AC155" s="101"/>
      <c r="AD155" s="101"/>
      <c r="AE155" s="101"/>
      <c r="AF155" s="101"/>
      <c r="AG155" s="101"/>
      <c r="AH155" s="101"/>
      <c r="AI155" s="101"/>
      <c r="AJ155" s="101"/>
      <c r="AK155" s="101"/>
      <c r="AL155" s="101"/>
      <c r="AM155" s="101"/>
      <c r="AN155" s="101"/>
    </row>
    <row r="156" spans="1:40" ht="16.5" customHeight="1" x14ac:dyDescent="0.3">
      <c r="A156" s="87"/>
      <c r="B156" s="88" t="s">
        <v>132</v>
      </c>
      <c r="C156" s="136"/>
      <c r="D156" s="136"/>
      <c r="E156" s="136"/>
      <c r="F156" s="136"/>
      <c r="M156" s="35" t="s">
        <v>1504</v>
      </c>
      <c r="Z156" s="101"/>
      <c r="AA156" s="101"/>
      <c r="AB156" s="101"/>
      <c r="AC156" s="101"/>
      <c r="AD156" s="101"/>
      <c r="AE156" s="101"/>
      <c r="AF156" s="101"/>
      <c r="AG156" s="101"/>
      <c r="AH156" s="101"/>
      <c r="AI156" s="101"/>
      <c r="AJ156" s="101"/>
      <c r="AK156" s="101"/>
      <c r="AL156" s="101"/>
      <c r="AM156" s="101"/>
      <c r="AN156" s="101"/>
    </row>
    <row r="157" spans="1:40" ht="16.5" customHeight="1" x14ac:dyDescent="0.3">
      <c r="A157" s="69"/>
      <c r="B157" s="69"/>
      <c r="C157" s="90"/>
      <c r="D157" s="90"/>
      <c r="E157" s="90"/>
      <c r="F157" s="90"/>
      <c r="G157" s="17" t="s">
        <v>1405</v>
      </c>
      <c r="Z157" s="101"/>
      <c r="AA157" s="101"/>
      <c r="AB157" s="101"/>
      <c r="AC157" s="101"/>
      <c r="AD157" s="101"/>
      <c r="AE157" s="101"/>
      <c r="AF157" s="101"/>
      <c r="AG157" s="101"/>
      <c r="AH157" s="101"/>
      <c r="AI157" s="101"/>
      <c r="AJ157" s="101"/>
      <c r="AK157" s="101"/>
      <c r="AL157" s="101"/>
      <c r="AM157" s="101"/>
      <c r="AN157" s="101"/>
    </row>
    <row r="158" spans="1:40" ht="16.5" customHeight="1" x14ac:dyDescent="0.3">
      <c r="A158" s="59"/>
      <c r="B158" s="68" t="s">
        <v>1506</v>
      </c>
      <c r="C158" s="69"/>
      <c r="D158" s="69"/>
      <c r="E158" s="69"/>
      <c r="F158" s="69"/>
      <c r="G158" s="17" t="s">
        <v>1505</v>
      </c>
      <c r="Z158" s="101"/>
      <c r="AA158" s="101"/>
      <c r="AB158" s="101"/>
      <c r="AC158" s="101"/>
      <c r="AD158" s="101"/>
      <c r="AE158" s="101"/>
      <c r="AF158" s="101"/>
      <c r="AG158" s="101"/>
      <c r="AH158" s="101"/>
      <c r="AI158" s="101"/>
      <c r="AJ158" s="101"/>
      <c r="AK158" s="101"/>
      <c r="AL158" s="101"/>
      <c r="AM158" s="101"/>
      <c r="AN158" s="101"/>
    </row>
    <row r="159" spans="1:40" ht="16.5" customHeight="1" x14ac:dyDescent="0.3">
      <c r="A159" s="69"/>
      <c r="B159" s="69"/>
      <c r="C159" s="69"/>
      <c r="D159" s="69"/>
      <c r="E159" s="69"/>
      <c r="F159" s="69"/>
      <c r="G159" s="17" t="s">
        <v>1405</v>
      </c>
      <c r="Z159" s="101"/>
      <c r="AA159" s="101"/>
      <c r="AB159" s="101"/>
      <c r="AC159" s="101"/>
      <c r="AD159" s="101"/>
      <c r="AE159" s="101"/>
      <c r="AF159" s="101"/>
      <c r="AG159" s="101"/>
      <c r="AH159" s="101"/>
      <c r="AI159" s="101"/>
      <c r="AJ159" s="101"/>
      <c r="AK159" s="101"/>
      <c r="AL159" s="101"/>
      <c r="AM159" s="101"/>
      <c r="AN159" s="101"/>
    </row>
    <row r="160" spans="1:40" ht="16.5" customHeight="1" x14ac:dyDescent="0.3">
      <c r="A160" s="59"/>
      <c r="B160" s="68" t="s">
        <v>1508</v>
      </c>
      <c r="C160" s="69"/>
      <c r="D160" s="69"/>
      <c r="E160" s="69"/>
      <c r="F160" s="69"/>
      <c r="G160" s="17" t="s">
        <v>1507</v>
      </c>
      <c r="Z160" s="101"/>
      <c r="AA160" s="101"/>
      <c r="AB160" s="101"/>
      <c r="AC160" s="101"/>
      <c r="AD160" s="101"/>
      <c r="AE160" s="101"/>
      <c r="AF160" s="101"/>
      <c r="AG160" s="101"/>
      <c r="AH160" s="101"/>
      <c r="AI160" s="101"/>
      <c r="AJ160" s="101"/>
      <c r="AK160" s="101"/>
      <c r="AL160" s="101"/>
      <c r="AM160" s="101"/>
      <c r="AN160" s="101"/>
    </row>
    <row r="161" spans="1:40" ht="16.5" customHeight="1" x14ac:dyDescent="0.3">
      <c r="A161" s="59"/>
      <c r="B161" s="68" t="s">
        <v>1510</v>
      </c>
      <c r="C161" s="69"/>
      <c r="D161" s="69"/>
      <c r="E161" s="69"/>
      <c r="F161" s="69"/>
      <c r="G161" s="17" t="s">
        <v>1509</v>
      </c>
      <c r="Z161" s="101"/>
      <c r="AA161" s="101"/>
      <c r="AB161" s="101"/>
      <c r="AC161" s="101"/>
      <c r="AD161" s="101"/>
      <c r="AE161" s="101"/>
      <c r="AF161" s="101"/>
      <c r="AG161" s="101"/>
      <c r="AH161" s="101"/>
      <c r="AI161" s="101"/>
      <c r="AJ161" s="101"/>
      <c r="AK161" s="101"/>
      <c r="AL161" s="101"/>
      <c r="AM161" s="101"/>
      <c r="AN161" s="101"/>
    </row>
    <row r="162" spans="1:40" ht="16.5" customHeight="1" x14ac:dyDescent="0.3">
      <c r="A162" s="69"/>
      <c r="B162" s="69"/>
      <c r="C162" s="69"/>
      <c r="D162" s="69"/>
      <c r="E162" s="69"/>
      <c r="F162" s="69"/>
      <c r="G162" s="17" t="s">
        <v>1405</v>
      </c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101"/>
      <c r="AL162" s="101"/>
      <c r="AM162" s="101"/>
      <c r="AN162" s="101"/>
    </row>
    <row r="163" spans="1:40" ht="16.5" customHeight="1" x14ac:dyDescent="0.3">
      <c r="A163" s="59"/>
      <c r="B163" s="68" t="str">
        <f>"  Q = "&amp;Z163&amp;" ㎥/Hr "</f>
        <v xml:space="preserve">  Q = 3.3 ㎥/Hr </v>
      </c>
      <c r="C163" s="69"/>
      <c r="D163" s="69"/>
      <c r="E163" s="69"/>
      <c r="F163" s="69"/>
      <c r="G163" s="17" t="s">
        <v>1511</v>
      </c>
      <c r="Z163" s="104">
        <v>3.3</v>
      </c>
      <c r="AA163" s="35" t="s">
        <v>1410</v>
      </c>
      <c r="AB163" s="103">
        <f>Z163</f>
        <v>3.3</v>
      </c>
      <c r="AC163" s="101"/>
      <c r="AD163" s="101"/>
      <c r="AE163" s="101"/>
      <c r="AF163" s="101"/>
      <c r="AG163" s="101"/>
      <c r="AH163" s="101"/>
      <c r="AI163" s="101"/>
      <c r="AJ163" s="101"/>
      <c r="AK163" s="101"/>
      <c r="AL163" s="101"/>
      <c r="AM163" s="101"/>
      <c r="AN163" s="101"/>
    </row>
    <row r="164" spans="1:40" ht="16.5" customHeight="1" x14ac:dyDescent="0.3">
      <c r="A164" s="69"/>
      <c r="B164" s="69"/>
      <c r="C164" s="69"/>
      <c r="D164" s="69"/>
      <c r="E164" s="69"/>
      <c r="F164" s="69"/>
      <c r="G164" s="17" t="s">
        <v>1512</v>
      </c>
      <c r="Z164" s="101"/>
      <c r="AA164" s="101"/>
      <c r="AB164" s="101"/>
      <c r="AC164" s="101"/>
      <c r="AD164" s="101"/>
      <c r="AE164" s="101"/>
      <c r="AF164" s="101"/>
      <c r="AG164" s="101"/>
      <c r="AH164" s="101"/>
      <c r="AI164" s="101"/>
      <c r="AJ164" s="101"/>
      <c r="AK164" s="101"/>
      <c r="AL164" s="101"/>
      <c r="AM164" s="101"/>
      <c r="AN164" s="101"/>
    </row>
    <row r="165" spans="1:40" ht="16.5" customHeight="1" x14ac:dyDescent="0.3">
      <c r="A165" s="59" t="s">
        <v>1514</v>
      </c>
      <c r="B165" s="89" t="str">
        <f>"  재료비: "&amp;TEXT(I165,"#,##0"&amp;IF(I165&lt;&gt;INT(I165),".###",""))&amp;" / Q = "&amp;TEXT(C165,"#,##0.0")&amp;""</f>
        <v xml:space="preserve">  재료비: 20,659 / Q = 6,260.3</v>
      </c>
      <c r="C165" s="91">
        <f>E165+D165+F165</f>
        <v>6260.3</v>
      </c>
      <c r="D165" s="91">
        <f>IF(H165=0,0,ROUNDDOWN(J165*H165,1))</f>
        <v>0</v>
      </c>
      <c r="E165" s="91">
        <f>IF(H165=0,0,ROUNDDOWN(K165*H165,1))</f>
        <v>6260.3</v>
      </c>
      <c r="F165" s="91">
        <f>IF(H165=0,0,ROUNDDOWN(L165*H165,1))</f>
        <v>0</v>
      </c>
      <c r="G165" s="17" t="s">
        <v>1513</v>
      </c>
      <c r="H165" s="97">
        <f>ROUNDUP(AC165,14-LEN(ABS(INT(AC165))))</f>
        <v>0.30303030303039996</v>
      </c>
      <c r="I165" s="98">
        <f>K165+J165+L165</f>
        <v>20659</v>
      </c>
      <c r="K165" s="38">
        <f>중기목록표!G8</f>
        <v>20659</v>
      </c>
      <c r="M165" s="35" t="s">
        <v>1515</v>
      </c>
      <c r="N165" s="35" t="s">
        <v>1262</v>
      </c>
      <c r="X165" s="100" t="str">
        <f>중기목록표!B8&amp;" / "&amp;중기목록표!C8</f>
        <v>굴착기(무한궤도) / 0.4㎥,(브레이커조합)</v>
      </c>
      <c r="Y165" s="3" t="str">
        <f ca="1">HYPERLINK("#"&amp;중기목록표!J2&amp;"!A"&amp;ROW(중기목록표!A8),"중기5 →")</f>
        <v>중기5 →</v>
      </c>
      <c r="Z165" s="35" t="s">
        <v>1417</v>
      </c>
      <c r="AA165" s="103">
        <f>AB163</f>
        <v>3.3</v>
      </c>
      <c r="AB165" s="35" t="s">
        <v>1410</v>
      </c>
      <c r="AC165" s="103">
        <f>1/AB163</f>
        <v>0.30303030303030304</v>
      </c>
      <c r="AD165" s="101"/>
      <c r="AE165" s="101"/>
      <c r="AF165" s="101"/>
      <c r="AG165" s="101"/>
      <c r="AH165" s="101"/>
      <c r="AI165" s="101"/>
      <c r="AJ165" s="101"/>
      <c r="AK165" s="101"/>
      <c r="AL165" s="101"/>
      <c r="AM165" s="101"/>
      <c r="AN165" s="101"/>
    </row>
    <row r="166" spans="1:40" ht="16.5" customHeight="1" x14ac:dyDescent="0.3">
      <c r="A166" s="59" t="s">
        <v>1517</v>
      </c>
      <c r="B166" s="89" t="str">
        <f>"  노무비: "&amp;TEXT(I166,"#,##0"&amp;IF(I166&lt;&gt;INT(I166),".###",""))&amp;" / Q = "&amp;TEXT(C166,"#,##0.0")&amp;""</f>
        <v xml:space="preserve">  노무비: 59,020 / Q = 17,884.8</v>
      </c>
      <c r="C166" s="91">
        <f>E166+D166+F166</f>
        <v>17884.8</v>
      </c>
      <c r="D166" s="91">
        <f>IF(H166=0,0,ROUNDDOWN(J166*H166,1))</f>
        <v>17884.8</v>
      </c>
      <c r="E166" s="91">
        <f>IF(H166=0,0,ROUNDDOWN(K166*H166,1))</f>
        <v>0</v>
      </c>
      <c r="F166" s="91">
        <f>IF(H166=0,0,ROUNDDOWN(L166*H166,1))</f>
        <v>0</v>
      </c>
      <c r="G166" s="17" t="s">
        <v>1516</v>
      </c>
      <c r="H166" s="97">
        <f>ROUNDUP(AC166,14-LEN(ABS(INT(AC166))))</f>
        <v>0.30303030303039996</v>
      </c>
      <c r="I166" s="98">
        <f>K166+J166+L166</f>
        <v>59020</v>
      </c>
      <c r="J166" s="38">
        <f>중기목록표!F8</f>
        <v>59020</v>
      </c>
      <c r="M166" s="35" t="s">
        <v>1515</v>
      </c>
      <c r="N166" s="35" t="s">
        <v>1262</v>
      </c>
      <c r="X166" s="100" t="str">
        <f>중기목록표!B8&amp;" / "&amp;중기목록표!C8</f>
        <v>굴착기(무한궤도) / 0.4㎥,(브레이커조합)</v>
      </c>
      <c r="Y166" s="3" t="str">
        <f ca="1">HYPERLINK("#"&amp;중기목록표!J2&amp;"!A"&amp;ROW(중기목록표!A8),"중기5 →")</f>
        <v>중기5 →</v>
      </c>
      <c r="Z166" s="35" t="s">
        <v>1417</v>
      </c>
      <c r="AA166" s="103">
        <f>AB163</f>
        <v>3.3</v>
      </c>
      <c r="AB166" s="35" t="s">
        <v>1410</v>
      </c>
      <c r="AC166" s="103">
        <f>1/AB163</f>
        <v>0.30303030303030304</v>
      </c>
      <c r="AD166" s="101"/>
      <c r="AE166" s="101"/>
      <c r="AF166" s="101"/>
      <c r="AG166" s="101"/>
      <c r="AH166" s="101"/>
      <c r="AI166" s="101"/>
      <c r="AJ166" s="101"/>
      <c r="AK166" s="101"/>
      <c r="AL166" s="101"/>
      <c r="AM166" s="101"/>
      <c r="AN166" s="101"/>
    </row>
    <row r="167" spans="1:40" ht="16.5" customHeight="1" x14ac:dyDescent="0.3">
      <c r="A167" s="59" t="s">
        <v>1519</v>
      </c>
      <c r="B167" s="89" t="str">
        <f>"  경  비: "&amp;TEXT(I167,"#,##0"&amp;IF(I167&lt;&gt;INT(I167),".###",""))&amp;" / Q = "&amp;TEXT(C167,"#,##0.0")&amp;""</f>
        <v xml:space="preserve">  경  비: 23,027 / Q = 6,977.8</v>
      </c>
      <c r="C167" s="91">
        <f>E167+D167+F167</f>
        <v>6977.8</v>
      </c>
      <c r="D167" s="91">
        <f>IF(H167=0,0,ROUNDDOWN(J167*H167,1))</f>
        <v>0</v>
      </c>
      <c r="E167" s="91">
        <f>IF(H167=0,0,ROUNDDOWN(K167*H167,1))</f>
        <v>0</v>
      </c>
      <c r="F167" s="91">
        <f>IF(H167=0,0,ROUNDDOWN(L167*H167,1))</f>
        <v>6977.8</v>
      </c>
      <c r="G167" s="17" t="s">
        <v>1518</v>
      </c>
      <c r="H167" s="97">
        <f>ROUNDUP(AC167,14-LEN(ABS(INT(AC167))))</f>
        <v>0.30303030303039996</v>
      </c>
      <c r="I167" s="98">
        <f>K167+J167+L167</f>
        <v>23027</v>
      </c>
      <c r="L167" s="38">
        <f>중기목록표!H8</f>
        <v>23027</v>
      </c>
      <c r="M167" s="35" t="s">
        <v>1515</v>
      </c>
      <c r="N167" s="35" t="s">
        <v>1262</v>
      </c>
      <c r="X167" s="100" t="str">
        <f>중기목록표!B8&amp;" / "&amp;중기목록표!C8</f>
        <v>굴착기(무한궤도) / 0.4㎥,(브레이커조합)</v>
      </c>
      <c r="Y167" s="3" t="str">
        <f ca="1">HYPERLINK("#"&amp;중기목록표!J2&amp;"!A"&amp;ROW(중기목록표!A8),"중기5 →")</f>
        <v>중기5 →</v>
      </c>
      <c r="Z167" s="35" t="s">
        <v>1417</v>
      </c>
      <c r="AA167" s="103">
        <f>AB163</f>
        <v>3.3</v>
      </c>
      <c r="AB167" s="35" t="s">
        <v>1410</v>
      </c>
      <c r="AC167" s="103">
        <f>1/AB163</f>
        <v>0.30303030303030304</v>
      </c>
      <c r="AD167" s="101"/>
      <c r="AE167" s="101"/>
      <c r="AF167" s="101"/>
      <c r="AG167" s="101"/>
      <c r="AH167" s="101"/>
      <c r="AI167" s="101"/>
      <c r="AJ167" s="101"/>
      <c r="AK167" s="101"/>
      <c r="AL167" s="101"/>
      <c r="AM167" s="101"/>
      <c r="AN167" s="101"/>
    </row>
    <row r="168" spans="1:40" ht="16.5" customHeight="1" x14ac:dyDescent="0.3">
      <c r="A168" s="69"/>
      <c r="B168" s="69"/>
      <c r="C168" s="69"/>
      <c r="D168" s="69"/>
      <c r="E168" s="69"/>
      <c r="F168" s="69"/>
      <c r="G168" s="17" t="s">
        <v>1512</v>
      </c>
      <c r="Z168" s="101"/>
      <c r="AA168" s="101"/>
      <c r="AB168" s="101"/>
      <c r="AC168" s="101"/>
      <c r="AD168" s="101"/>
      <c r="AE168" s="101"/>
      <c r="AF168" s="101"/>
      <c r="AG168" s="101"/>
      <c r="AH168" s="101"/>
      <c r="AI168" s="101"/>
      <c r="AJ168" s="101"/>
      <c r="AK168" s="101"/>
      <c r="AL168" s="101"/>
      <c r="AM168" s="101"/>
      <c r="AN168" s="101"/>
    </row>
    <row r="169" spans="1:40" ht="16.5" customHeight="1" x14ac:dyDescent="0.3">
      <c r="A169" s="59"/>
      <c r="B169" s="68" t="s">
        <v>1260</v>
      </c>
      <c r="C169" s="92">
        <f>E169+D169+F169</f>
        <v>31122.899999999998</v>
      </c>
      <c r="D169" s="92">
        <f>SUMIF(N157:N168,M169,D157:D168)</f>
        <v>17884.8</v>
      </c>
      <c r="E169" s="92">
        <f>SUMIF(N157:N168,M169,E157:E168)</f>
        <v>6260.3</v>
      </c>
      <c r="F169" s="92">
        <f>SUMIF(N157:N168,M169,F157:F168)</f>
        <v>6977.8</v>
      </c>
      <c r="G169" s="17" t="s">
        <v>1420</v>
      </c>
      <c r="M169" s="35" t="s">
        <v>1262</v>
      </c>
      <c r="N169" s="35" t="s">
        <v>1253</v>
      </c>
      <c r="Z169" s="101"/>
      <c r="AA169" s="101"/>
      <c r="AB169" s="101"/>
      <c r="AC169" s="101"/>
      <c r="AD169" s="101"/>
      <c r="AE169" s="101"/>
      <c r="AF169" s="101"/>
      <c r="AG169" s="101"/>
      <c r="AH169" s="101"/>
      <c r="AI169" s="101"/>
      <c r="AJ169" s="101"/>
      <c r="AK169" s="101"/>
      <c r="AL169" s="101"/>
      <c r="AM169" s="101"/>
      <c r="AN169" s="101"/>
    </row>
    <row r="170" spans="1:40" ht="16.5" customHeight="1" x14ac:dyDescent="0.3">
      <c r="A170" s="69"/>
      <c r="B170" s="69"/>
      <c r="C170" s="90"/>
      <c r="D170" s="90"/>
      <c r="E170" s="90"/>
      <c r="F170" s="90"/>
      <c r="G170" s="17" t="s">
        <v>1405</v>
      </c>
      <c r="Z170" s="101"/>
      <c r="AA170" s="101"/>
      <c r="AB170" s="101"/>
      <c r="AC170" s="101"/>
      <c r="AD170" s="101"/>
      <c r="AE170" s="101"/>
      <c r="AF170" s="101"/>
      <c r="AG170" s="101"/>
      <c r="AH170" s="101"/>
      <c r="AI170" s="101"/>
      <c r="AJ170" s="101"/>
      <c r="AK170" s="101"/>
      <c r="AL170" s="101"/>
      <c r="AM170" s="101"/>
      <c r="AN170" s="101"/>
    </row>
    <row r="171" spans="1:40" ht="16.5" customHeight="1" x14ac:dyDescent="0.3">
      <c r="A171" s="59"/>
      <c r="B171" s="68" t="s">
        <v>1521</v>
      </c>
      <c r="C171" s="69"/>
      <c r="D171" s="69"/>
      <c r="E171" s="69"/>
      <c r="F171" s="69"/>
      <c r="G171" s="17" t="s">
        <v>1520</v>
      </c>
      <c r="Z171" s="101"/>
      <c r="AA171" s="101"/>
      <c r="AB171" s="101"/>
      <c r="AC171" s="101"/>
      <c r="AD171" s="101"/>
      <c r="AE171" s="101"/>
      <c r="AF171" s="101"/>
      <c r="AG171" s="101"/>
      <c r="AH171" s="101"/>
      <c r="AI171" s="101"/>
      <c r="AJ171" s="101"/>
      <c r="AK171" s="101"/>
      <c r="AL171" s="101"/>
      <c r="AM171" s="101"/>
      <c r="AN171" s="101"/>
    </row>
    <row r="172" spans="1:40" ht="16.5" customHeight="1" x14ac:dyDescent="0.3">
      <c r="A172" s="69"/>
      <c r="B172" s="69"/>
      <c r="C172" s="69"/>
      <c r="D172" s="69"/>
      <c r="E172" s="69"/>
      <c r="F172" s="69"/>
      <c r="G172" s="17" t="s">
        <v>1405</v>
      </c>
      <c r="Z172" s="101"/>
      <c r="AA172" s="101"/>
      <c r="AB172" s="101"/>
      <c r="AC172" s="101"/>
      <c r="AD172" s="101"/>
      <c r="AE172" s="101"/>
      <c r="AF172" s="101"/>
      <c r="AG172" s="101"/>
      <c r="AH172" s="101"/>
      <c r="AI172" s="101"/>
      <c r="AJ172" s="101"/>
      <c r="AK172" s="101"/>
      <c r="AL172" s="101"/>
      <c r="AM172" s="101"/>
      <c r="AN172" s="101"/>
    </row>
    <row r="173" spans="1:40" ht="16.5" customHeight="1" x14ac:dyDescent="0.3">
      <c r="A173" s="59" t="s">
        <v>1523</v>
      </c>
      <c r="B173" s="89" t="str">
        <f>"  "&amp;TEXT(I173,"#,##0"&amp;IF(I173&lt;&gt;INT(I173),".###",""))&amp;" * "&amp;AA173&amp;" EA / Q = "&amp;TEXT(C173,"#,##0.0")&amp;""</f>
        <v xml:space="preserve">  56,000 * 0.008 EA / Q = 135.7</v>
      </c>
      <c r="C173" s="91">
        <f>E173+D173+F173</f>
        <v>135.69999999999999</v>
      </c>
      <c r="D173" s="91">
        <f>IF(H173=0,0,ROUNDDOWN(J173*H173,1))</f>
        <v>0</v>
      </c>
      <c r="E173" s="91">
        <f>IF(H173=0,0,ROUNDDOWN(K173*H173,1))</f>
        <v>135.69999999999999</v>
      </c>
      <c r="F173" s="91">
        <f>IF(H173=0,0,ROUNDDOWN(L173*H173,1))</f>
        <v>0</v>
      </c>
      <c r="G173" s="17" t="s">
        <v>1522</v>
      </c>
      <c r="H173" s="97">
        <f>ROUNDUP(AE173,14-LEN(ABS(INT(AE173))))</f>
        <v>2.4242424242999997E-3</v>
      </c>
      <c r="I173" s="98">
        <f>K173+J173+L173</f>
        <v>56000</v>
      </c>
      <c r="K173" s="38">
        <f>재료비목록표!E47</f>
        <v>56000</v>
      </c>
      <c r="M173" s="35" t="s">
        <v>1524</v>
      </c>
      <c r="N173" s="35" t="s">
        <v>1262</v>
      </c>
      <c r="X173" s="100" t="str">
        <f>재료비목록표!B47&amp;" / "&amp;재료비목록표!C47</f>
        <v>치즐 / (0.4㎥용)</v>
      </c>
      <c r="Y173" s="3" t="str">
        <f ca="1">HYPERLINK("#"&amp;재료비목록표!G2&amp;"!A"&amp;ROW(재료비목록표!A47),"자재44 →")</f>
        <v>자재44 →</v>
      </c>
      <c r="Z173" s="35" t="s">
        <v>1446</v>
      </c>
      <c r="AA173" s="104">
        <v>8.0000000000000002E-3</v>
      </c>
      <c r="AB173" s="35" t="s">
        <v>1413</v>
      </c>
      <c r="AC173" s="103">
        <f>AB163</f>
        <v>3.3</v>
      </c>
      <c r="AD173" s="35" t="s">
        <v>1410</v>
      </c>
      <c r="AE173" s="103">
        <f>1*AA173/AB163</f>
        <v>2.4242424242424242E-3</v>
      </c>
      <c r="AF173" s="101"/>
      <c r="AG173" s="101"/>
      <c r="AH173" s="101"/>
      <c r="AI173" s="101"/>
      <c r="AJ173" s="101"/>
      <c r="AK173" s="101"/>
      <c r="AL173" s="101"/>
      <c r="AM173" s="101"/>
      <c r="AN173" s="101"/>
    </row>
    <row r="174" spans="1:40" ht="16.5" customHeight="1" x14ac:dyDescent="0.3">
      <c r="A174" s="69"/>
      <c r="B174" s="69"/>
      <c r="C174" s="69"/>
      <c r="D174" s="69"/>
      <c r="E174" s="69"/>
      <c r="F174" s="69"/>
      <c r="G174" s="17" t="s">
        <v>1525</v>
      </c>
      <c r="Z174" s="101"/>
      <c r="AA174" s="101"/>
      <c r="AB174" s="101"/>
      <c r="AC174" s="101"/>
      <c r="AD174" s="101"/>
      <c r="AE174" s="101"/>
      <c r="AF174" s="101"/>
      <c r="AG174" s="101"/>
      <c r="AH174" s="101"/>
      <c r="AI174" s="101"/>
      <c r="AJ174" s="101"/>
      <c r="AK174" s="101"/>
      <c r="AL174" s="101"/>
      <c r="AM174" s="101"/>
      <c r="AN174" s="101"/>
    </row>
    <row r="175" spans="1:40" ht="16.5" customHeight="1" x14ac:dyDescent="0.3">
      <c r="A175" s="59"/>
      <c r="B175" s="68" t="s">
        <v>1260</v>
      </c>
      <c r="C175" s="92">
        <f>E175+D175+F175</f>
        <v>135.69999999999999</v>
      </c>
      <c r="D175" s="92">
        <f>SUMIF(N170:N174,M175,D170:D174)</f>
        <v>0</v>
      </c>
      <c r="E175" s="92">
        <f>SUMIF(N170:N174,M175,E170:E174)</f>
        <v>135.69999999999999</v>
      </c>
      <c r="F175" s="92">
        <f>SUMIF(N170:N174,M175,F170:F174)</f>
        <v>0</v>
      </c>
      <c r="G175" s="17" t="s">
        <v>1526</v>
      </c>
      <c r="M175" s="35" t="s">
        <v>1262</v>
      </c>
      <c r="N175" s="35" t="s">
        <v>1253</v>
      </c>
      <c r="Z175" s="101"/>
      <c r="AA175" s="101"/>
      <c r="AB175" s="101"/>
      <c r="AC175" s="101"/>
      <c r="AD175" s="101"/>
      <c r="AE175" s="101"/>
      <c r="AF175" s="101"/>
      <c r="AG175" s="101"/>
      <c r="AH175" s="101"/>
      <c r="AI175" s="101"/>
      <c r="AJ175" s="101"/>
      <c r="AK175" s="101"/>
      <c r="AL175" s="101"/>
      <c r="AM175" s="101"/>
      <c r="AN175" s="101"/>
    </row>
    <row r="176" spans="1:40" ht="16.5" customHeight="1" x14ac:dyDescent="0.3">
      <c r="A176" s="69"/>
      <c r="B176" s="69"/>
      <c r="C176" s="90"/>
      <c r="D176" s="90"/>
      <c r="E176" s="90"/>
      <c r="F176" s="90"/>
      <c r="G176" s="17" t="s">
        <v>1405</v>
      </c>
      <c r="Z176" s="101"/>
      <c r="AA176" s="101"/>
      <c r="AB176" s="101"/>
      <c r="AC176" s="101"/>
      <c r="AD176" s="101"/>
      <c r="AE176" s="101"/>
      <c r="AF176" s="101"/>
      <c r="AG176" s="101"/>
      <c r="AH176" s="101"/>
      <c r="AI176" s="101"/>
      <c r="AJ176" s="101"/>
      <c r="AK176" s="101"/>
      <c r="AL176" s="101"/>
      <c r="AM176" s="101"/>
      <c r="AN176" s="101"/>
    </row>
    <row r="177" spans="1:40" ht="16.5" customHeight="1" x14ac:dyDescent="0.3">
      <c r="A177" s="59"/>
      <c r="B177" s="68" t="s">
        <v>1528</v>
      </c>
      <c r="C177" s="69"/>
      <c r="D177" s="69"/>
      <c r="E177" s="69"/>
      <c r="F177" s="69"/>
      <c r="G177" s="17" t="s">
        <v>1527</v>
      </c>
      <c r="Z177" s="101"/>
      <c r="AA177" s="101"/>
      <c r="AB177" s="101"/>
      <c r="AC177" s="101"/>
      <c r="AD177" s="101"/>
      <c r="AE177" s="101"/>
      <c r="AF177" s="101"/>
      <c r="AG177" s="101"/>
      <c r="AH177" s="101"/>
      <c r="AI177" s="101"/>
      <c r="AJ177" s="101"/>
      <c r="AK177" s="101"/>
      <c r="AL177" s="101"/>
      <c r="AM177" s="101"/>
      <c r="AN177" s="101"/>
    </row>
    <row r="178" spans="1:40" ht="16.5" customHeight="1" x14ac:dyDescent="0.3">
      <c r="A178" s="69"/>
      <c r="B178" s="69"/>
      <c r="C178" s="69"/>
      <c r="D178" s="69"/>
      <c r="E178" s="69"/>
      <c r="F178" s="69"/>
      <c r="G178" s="17" t="s">
        <v>1405</v>
      </c>
      <c r="Z178" s="101"/>
      <c r="AA178" s="101"/>
      <c r="AB178" s="101"/>
      <c r="AC178" s="101"/>
      <c r="AD178" s="101"/>
      <c r="AE178" s="101"/>
      <c r="AF178" s="101"/>
      <c r="AG178" s="101"/>
      <c r="AH178" s="101"/>
      <c r="AI178" s="101"/>
      <c r="AJ178" s="101"/>
      <c r="AK178" s="101"/>
      <c r="AL178" s="101"/>
      <c r="AM178" s="101"/>
      <c r="AN178" s="101"/>
    </row>
    <row r="179" spans="1:40" ht="16.5" customHeight="1" x14ac:dyDescent="0.3">
      <c r="A179" s="59" t="s">
        <v>1419</v>
      </c>
      <c r="B179" s="89" t="str">
        <f>"  보통인부 : "&amp;TEXT(I179,"#,##0"&amp;IF(I179&lt;&gt;INT(I179),".###",""))&amp;" * "&amp;AA179&amp;" 인 /(Q*"&amp;AE179&amp;") = "&amp;TEXT(C179,"#,##0.0")&amp;""</f>
        <v xml:space="preserve">  보통인부 : 172,068 * 1 인 /(Q*8) = 6,517.7</v>
      </c>
      <c r="C179" s="91">
        <f>E179+D179+F179</f>
        <v>6517.7</v>
      </c>
      <c r="D179" s="91">
        <f>IF(H179=0,0,ROUNDDOWN(J179*H179,1))</f>
        <v>6517.7</v>
      </c>
      <c r="E179" s="91">
        <f>IF(H179=0,0,ROUNDDOWN(K179*H179,1))</f>
        <v>0</v>
      </c>
      <c r="F179" s="91">
        <f>IF(H179=0,0,ROUNDDOWN(L179*H179,1))</f>
        <v>0</v>
      </c>
      <c r="G179" s="17" t="s">
        <v>1529</v>
      </c>
      <c r="H179" s="97">
        <f>ROUNDUP(AH179,14-LEN(ABS(INT(AH179))))</f>
        <v>3.7878787878800002E-2</v>
      </c>
      <c r="I179" s="98">
        <f>K179+J179+L179</f>
        <v>172068</v>
      </c>
      <c r="J179" s="38">
        <f>노무비목록표!E8</f>
        <v>172068</v>
      </c>
      <c r="M179" s="35" t="s">
        <v>1219</v>
      </c>
      <c r="N179" s="35" t="s">
        <v>1262</v>
      </c>
      <c r="X179" s="100" t="str">
        <f>노무비목록표!B8&amp;" / "&amp;노무비목록표!C8</f>
        <v xml:space="preserve">보통인부 / </v>
      </c>
      <c r="Y179" s="3" t="str">
        <f ca="1">HYPERLINK("#"&amp;노무비목록표!G2&amp;"!A"&amp;ROW(노무비목록표!A8),"노무5 →")</f>
        <v>노무5 →</v>
      </c>
      <c r="Z179" s="35" t="s">
        <v>1446</v>
      </c>
      <c r="AA179" s="102">
        <v>1</v>
      </c>
      <c r="AB179" s="35" t="s">
        <v>1467</v>
      </c>
      <c r="AC179" s="103">
        <f>AB163</f>
        <v>3.3</v>
      </c>
      <c r="AD179" s="35" t="s">
        <v>1436</v>
      </c>
      <c r="AE179" s="102">
        <v>8</v>
      </c>
      <c r="AF179" s="35" t="s">
        <v>1468</v>
      </c>
      <c r="AG179" s="35" t="s">
        <v>1410</v>
      </c>
      <c r="AH179" s="103">
        <f>1*AA179/(AB163*AE179)</f>
        <v>3.787878787878788E-2</v>
      </c>
      <c r="AI179" s="101"/>
      <c r="AJ179" s="101"/>
      <c r="AK179" s="101"/>
      <c r="AL179" s="101"/>
      <c r="AM179" s="101"/>
      <c r="AN179" s="101"/>
    </row>
    <row r="180" spans="1:40" ht="16.5" customHeight="1" x14ac:dyDescent="0.3">
      <c r="A180" s="69"/>
      <c r="B180" s="69"/>
      <c r="C180" s="69"/>
      <c r="D180" s="69"/>
      <c r="E180" s="69"/>
      <c r="F180" s="69"/>
      <c r="G180" s="17" t="s">
        <v>1405</v>
      </c>
      <c r="Z180" s="101"/>
      <c r="AA180" s="101"/>
      <c r="AB180" s="101"/>
      <c r="AC180" s="101"/>
      <c r="AD180" s="101"/>
      <c r="AE180" s="101"/>
      <c r="AF180" s="101"/>
      <c r="AG180" s="101"/>
      <c r="AH180" s="101"/>
      <c r="AI180" s="101"/>
      <c r="AJ180" s="101"/>
      <c r="AK180" s="101"/>
      <c r="AL180" s="101"/>
      <c r="AM180" s="101"/>
      <c r="AN180" s="101"/>
    </row>
    <row r="181" spans="1:40" ht="16.5" customHeight="1" x14ac:dyDescent="0.3">
      <c r="A181" s="59"/>
      <c r="B181" s="68" t="s">
        <v>1260</v>
      </c>
      <c r="C181" s="92">
        <f>E181+D181+F181</f>
        <v>6517.7</v>
      </c>
      <c r="D181" s="92">
        <f>SUMIF(N176:N180,M181,D176:D180)</f>
        <v>6517.7</v>
      </c>
      <c r="E181" s="92">
        <f>SUMIF(N176:N180,M181,E176:E180)</f>
        <v>0</v>
      </c>
      <c r="F181" s="92">
        <f>SUMIF(N176:N180,M181,F176:F180)</f>
        <v>0</v>
      </c>
      <c r="G181" s="17" t="s">
        <v>1420</v>
      </c>
      <c r="M181" s="35" t="s">
        <v>1262</v>
      </c>
      <c r="N181" s="35" t="s">
        <v>1253</v>
      </c>
      <c r="Z181" s="101"/>
      <c r="AA181" s="101"/>
      <c r="AB181" s="101"/>
      <c r="AC181" s="101"/>
      <c r="AD181" s="101"/>
      <c r="AE181" s="101"/>
      <c r="AF181" s="101"/>
      <c r="AG181" s="101"/>
      <c r="AH181" s="101"/>
      <c r="AI181" s="101"/>
      <c r="AJ181" s="101"/>
      <c r="AK181" s="101"/>
      <c r="AL181" s="101"/>
      <c r="AM181" s="101"/>
      <c r="AN181" s="101"/>
    </row>
    <row r="182" spans="1:40" ht="16.5" customHeight="1" x14ac:dyDescent="0.3">
      <c r="A182" s="69"/>
      <c r="B182" s="69"/>
      <c r="C182" s="90"/>
      <c r="D182" s="90"/>
      <c r="E182" s="90"/>
      <c r="F182" s="90"/>
      <c r="G182" s="17" t="s">
        <v>1405</v>
      </c>
      <c r="Z182" s="101"/>
      <c r="AA182" s="101"/>
      <c r="AB182" s="101"/>
      <c r="AC182" s="101"/>
      <c r="AD182" s="101"/>
      <c r="AE182" s="101"/>
      <c r="AF182" s="101"/>
      <c r="AG182" s="101"/>
      <c r="AH182" s="101"/>
      <c r="AI182" s="101"/>
      <c r="AJ182" s="101"/>
      <c r="AK182" s="101"/>
      <c r="AL182" s="101"/>
      <c r="AM182" s="101"/>
      <c r="AN182" s="101"/>
    </row>
    <row r="183" spans="1:40" ht="16.5" customHeight="1" x14ac:dyDescent="0.3">
      <c r="A183" s="59"/>
      <c r="B183" s="68" t="s">
        <v>1251</v>
      </c>
      <c r="C183" s="92">
        <f>E183+D183+F183</f>
        <v>37776.300000000003</v>
      </c>
      <c r="D183" s="92">
        <f>SUMIF(N157:N182,M183,D157:D182)</f>
        <v>24402.5</v>
      </c>
      <c r="E183" s="92">
        <f>SUMIF(N157:N182,M183,E157:E182)</f>
        <v>6396</v>
      </c>
      <c r="F183" s="92">
        <f>SUMIF(N157:N182,M183,F157:F182)</f>
        <v>6977.8</v>
      </c>
      <c r="G183" s="17" t="s">
        <v>1530</v>
      </c>
      <c r="M183" s="35" t="s">
        <v>1253</v>
      </c>
      <c r="N183" s="35" t="s">
        <v>1209</v>
      </c>
      <c r="Z183" s="101"/>
      <c r="AA183" s="101"/>
      <c r="AB183" s="101"/>
      <c r="AC183" s="101"/>
      <c r="AD183" s="101"/>
      <c r="AE183" s="101"/>
      <c r="AF183" s="101"/>
      <c r="AG183" s="101"/>
      <c r="AH183" s="101"/>
      <c r="AI183" s="101"/>
      <c r="AJ183" s="101"/>
      <c r="AK183" s="101"/>
      <c r="AL183" s="101"/>
      <c r="AM183" s="101"/>
      <c r="AN183" s="101"/>
    </row>
    <row r="184" spans="1:40" ht="16.5" customHeight="1" x14ac:dyDescent="0.3">
      <c r="A184" s="69"/>
      <c r="B184" s="69"/>
      <c r="C184" s="90"/>
      <c r="D184" s="90"/>
      <c r="E184" s="90"/>
      <c r="F184" s="90"/>
      <c r="Z184" s="101"/>
      <c r="AA184" s="101"/>
      <c r="AB184" s="101"/>
      <c r="AC184" s="101"/>
      <c r="AD184" s="101"/>
      <c r="AE184" s="101"/>
      <c r="AF184" s="101"/>
      <c r="AG184" s="101"/>
      <c r="AH184" s="101"/>
      <c r="AI184" s="101"/>
      <c r="AJ184" s="101"/>
      <c r="AK184" s="101"/>
      <c r="AL184" s="101"/>
      <c r="AM184" s="101"/>
      <c r="AN184" s="101"/>
    </row>
    <row r="185" spans="1:40" ht="16.5" customHeight="1" x14ac:dyDescent="0.3">
      <c r="A185" s="69"/>
      <c r="B185" s="69"/>
      <c r="C185" s="69"/>
      <c r="D185" s="69"/>
      <c r="E185" s="69"/>
      <c r="F185" s="69"/>
      <c r="Z185" s="101"/>
      <c r="AA185" s="101"/>
      <c r="AB185" s="101"/>
      <c r="AC185" s="101"/>
      <c r="AD185" s="101"/>
      <c r="AE185" s="101"/>
      <c r="AF185" s="101"/>
      <c r="AG185" s="101"/>
      <c r="AH185" s="101"/>
      <c r="AI185" s="101"/>
      <c r="AJ185" s="101"/>
      <c r="AK185" s="101"/>
      <c r="AL185" s="101"/>
      <c r="AM185" s="101"/>
      <c r="AN185" s="101"/>
    </row>
    <row r="186" spans="1:40" ht="16.5" customHeight="1" x14ac:dyDescent="0.3">
      <c r="A186" s="69"/>
      <c r="B186" s="69"/>
      <c r="C186" s="69"/>
      <c r="D186" s="69"/>
      <c r="E186" s="69"/>
      <c r="F186" s="69"/>
      <c r="Z186" s="101"/>
      <c r="AA186" s="101"/>
      <c r="AB186" s="101"/>
      <c r="AC186" s="101"/>
      <c r="AD186" s="101"/>
      <c r="AE186" s="101"/>
      <c r="AF186" s="101"/>
      <c r="AG186" s="101"/>
      <c r="AH186" s="101"/>
      <c r="AI186" s="101"/>
      <c r="AJ186" s="101"/>
      <c r="AK186" s="101"/>
      <c r="AL186" s="101"/>
      <c r="AM186" s="101"/>
      <c r="AN186" s="101"/>
    </row>
    <row r="187" spans="1:40" ht="16.5" customHeight="1" x14ac:dyDescent="0.3">
      <c r="A187" s="69"/>
      <c r="B187" s="69"/>
      <c r="C187" s="69"/>
      <c r="D187" s="69"/>
      <c r="E187" s="69"/>
      <c r="F187" s="69"/>
      <c r="Z187" s="101"/>
      <c r="AA187" s="101"/>
      <c r="AB187" s="101"/>
      <c r="AC187" s="101"/>
      <c r="AD187" s="101"/>
      <c r="AE187" s="101"/>
      <c r="AF187" s="101"/>
      <c r="AG187" s="101"/>
      <c r="AH187" s="101"/>
      <c r="AI187" s="101"/>
      <c r="AJ187" s="101"/>
      <c r="AK187" s="101"/>
      <c r="AL187" s="101"/>
      <c r="AM187" s="101"/>
      <c r="AN187" s="101"/>
    </row>
    <row r="188" spans="1:40" ht="16.5" customHeight="1" x14ac:dyDescent="0.3">
      <c r="A188" s="69"/>
      <c r="B188" s="69"/>
      <c r="C188" s="69"/>
      <c r="D188" s="69"/>
      <c r="E188" s="69"/>
      <c r="F188" s="69"/>
      <c r="Z188" s="101"/>
      <c r="AA188" s="101"/>
      <c r="AB188" s="101"/>
      <c r="AC188" s="101"/>
      <c r="AD188" s="101"/>
      <c r="AE188" s="101"/>
      <c r="AF188" s="101"/>
      <c r="AG188" s="101"/>
      <c r="AH188" s="101"/>
      <c r="AI188" s="101"/>
      <c r="AJ188" s="101"/>
      <c r="AK188" s="101"/>
      <c r="AL188" s="101"/>
      <c r="AM188" s="101"/>
      <c r="AN188" s="101"/>
    </row>
    <row r="189" spans="1:40" ht="16.5" customHeight="1" x14ac:dyDescent="0.3">
      <c r="A189" s="69"/>
      <c r="B189" s="69"/>
      <c r="C189" s="69"/>
      <c r="D189" s="69"/>
      <c r="E189" s="69"/>
      <c r="F189" s="69"/>
      <c r="Z189" s="101"/>
      <c r="AA189" s="101"/>
      <c r="AB189" s="101"/>
      <c r="AC189" s="101"/>
      <c r="AD189" s="101"/>
      <c r="AE189" s="101"/>
      <c r="AF189" s="101"/>
      <c r="AG189" s="101"/>
      <c r="AH189" s="101"/>
      <c r="AI189" s="101"/>
      <c r="AJ189" s="101"/>
      <c r="AK189" s="101"/>
      <c r="AL189" s="101"/>
      <c r="AM189" s="101"/>
      <c r="AN189" s="101"/>
    </row>
    <row r="190" spans="1:40" ht="16.5" customHeight="1" x14ac:dyDescent="0.3">
      <c r="A190" s="69"/>
      <c r="B190" s="69"/>
      <c r="C190" s="69"/>
      <c r="D190" s="69"/>
      <c r="E190" s="69"/>
      <c r="F190" s="69"/>
      <c r="Z190" s="101"/>
      <c r="AA190" s="101"/>
      <c r="AB190" s="101"/>
      <c r="AC190" s="101"/>
      <c r="AD190" s="101"/>
      <c r="AE190" s="101"/>
      <c r="AF190" s="101"/>
      <c r="AG190" s="101"/>
      <c r="AH190" s="101"/>
      <c r="AI190" s="101"/>
      <c r="AJ190" s="101"/>
      <c r="AK190" s="101"/>
      <c r="AL190" s="101"/>
      <c r="AM190" s="101"/>
      <c r="AN190" s="101"/>
    </row>
    <row r="191" spans="1:40" ht="16.5" customHeight="1" x14ac:dyDescent="0.3">
      <c r="A191" s="69"/>
      <c r="B191" s="69"/>
      <c r="C191" s="69"/>
      <c r="D191" s="69"/>
      <c r="E191" s="69"/>
      <c r="F191" s="69"/>
      <c r="Z191" s="101"/>
      <c r="AA191" s="101"/>
      <c r="AB191" s="101"/>
      <c r="AC191" s="101"/>
      <c r="AD191" s="101"/>
      <c r="AE191" s="101"/>
      <c r="AF191" s="101"/>
      <c r="AG191" s="101"/>
      <c r="AH191" s="101"/>
      <c r="AI191" s="101"/>
      <c r="AJ191" s="101"/>
      <c r="AK191" s="101"/>
      <c r="AL191" s="101"/>
      <c r="AM191" s="101"/>
      <c r="AN191" s="101"/>
    </row>
    <row r="192" spans="1:40" ht="16.5" customHeight="1" x14ac:dyDescent="0.3">
      <c r="A192" s="69"/>
      <c r="B192" s="69"/>
      <c r="C192" s="69"/>
      <c r="D192" s="69"/>
      <c r="E192" s="69"/>
      <c r="F192" s="69"/>
      <c r="Z192" s="101"/>
      <c r="AA192" s="101"/>
      <c r="AB192" s="101"/>
      <c r="AC192" s="101"/>
      <c r="AD192" s="101"/>
      <c r="AE192" s="101"/>
      <c r="AF192" s="101"/>
      <c r="AG192" s="101"/>
      <c r="AH192" s="101"/>
      <c r="AI192" s="101"/>
      <c r="AJ192" s="101"/>
      <c r="AK192" s="101"/>
      <c r="AL192" s="101"/>
      <c r="AM192" s="101"/>
      <c r="AN192" s="101"/>
    </row>
    <row r="193" spans="1:40" ht="16.5" customHeight="1" x14ac:dyDescent="0.3">
      <c r="A193" s="69"/>
      <c r="B193" s="69"/>
      <c r="C193" s="69"/>
      <c r="D193" s="69"/>
      <c r="E193" s="69"/>
      <c r="F193" s="69"/>
      <c r="Z193" s="101"/>
      <c r="AA193" s="101"/>
      <c r="AB193" s="101"/>
      <c r="AC193" s="101"/>
      <c r="AD193" s="101"/>
      <c r="AE193" s="101"/>
      <c r="AF193" s="101"/>
      <c r="AG193" s="101"/>
      <c r="AH193" s="101"/>
      <c r="AI193" s="101"/>
      <c r="AJ193" s="101"/>
      <c r="AK193" s="101"/>
      <c r="AL193" s="101"/>
      <c r="AM193" s="101"/>
      <c r="AN193" s="101"/>
    </row>
    <row r="194" spans="1:40" ht="16.5" customHeight="1" x14ac:dyDescent="0.3">
      <c r="A194" s="69"/>
      <c r="B194" s="69"/>
      <c r="C194" s="69"/>
      <c r="D194" s="69"/>
      <c r="E194" s="69"/>
      <c r="F194" s="69"/>
      <c r="Z194" s="101"/>
      <c r="AA194" s="101"/>
      <c r="AB194" s="101"/>
      <c r="AC194" s="101"/>
      <c r="AD194" s="101"/>
      <c r="AE194" s="101"/>
      <c r="AF194" s="101"/>
      <c r="AG194" s="101"/>
      <c r="AH194" s="101"/>
      <c r="AI194" s="101"/>
      <c r="AJ194" s="101"/>
      <c r="AK194" s="101"/>
      <c r="AL194" s="101"/>
      <c r="AM194" s="101"/>
      <c r="AN194" s="101"/>
    </row>
    <row r="195" spans="1:40" ht="16.5" customHeight="1" x14ac:dyDescent="0.3">
      <c r="A195" s="69"/>
      <c r="B195" s="69"/>
      <c r="C195" s="69"/>
      <c r="D195" s="69"/>
      <c r="E195" s="69"/>
      <c r="F195" s="69"/>
      <c r="Z195" s="101"/>
      <c r="AA195" s="101"/>
      <c r="AB195" s="101"/>
      <c r="AC195" s="101"/>
      <c r="AD195" s="101"/>
      <c r="AE195" s="101"/>
      <c r="AF195" s="101"/>
      <c r="AG195" s="101"/>
      <c r="AH195" s="101"/>
      <c r="AI195" s="101"/>
      <c r="AJ195" s="101"/>
      <c r="AK195" s="101"/>
      <c r="AL195" s="101"/>
      <c r="AM195" s="101"/>
      <c r="AN195" s="101"/>
    </row>
    <row r="196" spans="1:40" ht="16.5" customHeight="1" x14ac:dyDescent="0.3">
      <c r="A196" s="69"/>
      <c r="B196" s="69"/>
      <c r="C196" s="69"/>
      <c r="D196" s="69"/>
      <c r="E196" s="69"/>
      <c r="F196" s="69"/>
      <c r="Z196" s="101"/>
      <c r="AA196" s="101"/>
      <c r="AB196" s="101"/>
      <c r="AC196" s="101"/>
      <c r="AD196" s="101"/>
      <c r="AE196" s="101"/>
      <c r="AF196" s="101"/>
      <c r="AG196" s="101"/>
      <c r="AH196" s="101"/>
      <c r="AI196" s="101"/>
      <c r="AJ196" s="101"/>
      <c r="AK196" s="101"/>
      <c r="AL196" s="101"/>
      <c r="AM196" s="101"/>
      <c r="AN196" s="101"/>
    </row>
    <row r="197" spans="1:40" ht="16.5" customHeight="1" x14ac:dyDescent="0.3">
      <c r="A197" s="69"/>
      <c r="B197" s="69"/>
      <c r="C197" s="69"/>
      <c r="D197" s="69"/>
      <c r="E197" s="69"/>
      <c r="F197" s="69"/>
      <c r="Z197" s="101"/>
      <c r="AA197" s="101"/>
      <c r="AB197" s="101"/>
      <c r="AC197" s="101"/>
      <c r="AD197" s="101"/>
      <c r="AE197" s="101"/>
      <c r="AF197" s="101"/>
      <c r="AG197" s="101"/>
      <c r="AH197" s="101"/>
      <c r="AI197" s="101"/>
      <c r="AJ197" s="101"/>
      <c r="AK197" s="101"/>
      <c r="AL197" s="101"/>
      <c r="AM197" s="101"/>
      <c r="AN197" s="101"/>
    </row>
    <row r="198" spans="1:40" ht="16.5" customHeight="1" x14ac:dyDescent="0.3">
      <c r="A198" s="69"/>
      <c r="B198" s="69"/>
      <c r="C198" s="69"/>
      <c r="D198" s="69"/>
      <c r="E198" s="69"/>
      <c r="F198" s="69"/>
      <c r="Z198" s="101"/>
      <c r="AA198" s="101"/>
      <c r="AB198" s="101"/>
      <c r="AC198" s="101"/>
      <c r="AD198" s="101"/>
      <c r="AE198" s="101"/>
      <c r="AF198" s="101"/>
      <c r="AG198" s="101"/>
      <c r="AH198" s="101"/>
      <c r="AI198" s="101"/>
      <c r="AJ198" s="101"/>
      <c r="AK198" s="101"/>
      <c r="AL198" s="101"/>
      <c r="AM198" s="101"/>
      <c r="AN198" s="101"/>
    </row>
    <row r="199" spans="1:40" ht="16.5" customHeight="1" x14ac:dyDescent="0.3">
      <c r="A199" s="69"/>
      <c r="B199" s="69"/>
      <c r="C199" s="69"/>
      <c r="D199" s="69"/>
      <c r="E199" s="69"/>
      <c r="F199" s="69"/>
      <c r="Z199" s="101"/>
      <c r="AA199" s="101"/>
      <c r="AB199" s="101"/>
      <c r="AC199" s="101"/>
      <c r="AD199" s="101"/>
      <c r="AE199" s="101"/>
      <c r="AF199" s="101"/>
      <c r="AG199" s="101"/>
      <c r="AH199" s="101"/>
      <c r="AI199" s="101"/>
      <c r="AJ199" s="101"/>
      <c r="AK199" s="101"/>
      <c r="AL199" s="101"/>
      <c r="AM199" s="101"/>
      <c r="AN199" s="101"/>
    </row>
    <row r="200" spans="1:40" ht="16.5" customHeight="1" x14ac:dyDescent="0.3">
      <c r="A200" s="69"/>
      <c r="B200" s="69"/>
      <c r="C200" s="69"/>
      <c r="D200" s="69"/>
      <c r="E200" s="69"/>
      <c r="F200" s="69"/>
      <c r="Z200" s="101"/>
      <c r="AA200" s="101"/>
      <c r="AB200" s="101"/>
      <c r="AC200" s="101"/>
      <c r="AD200" s="101"/>
      <c r="AE200" s="101"/>
      <c r="AF200" s="101"/>
      <c r="AG200" s="101"/>
      <c r="AH200" s="101"/>
      <c r="AI200" s="101"/>
      <c r="AJ200" s="101"/>
      <c r="AK200" s="101"/>
      <c r="AL200" s="101"/>
      <c r="AM200" s="101"/>
      <c r="AN200" s="101"/>
    </row>
    <row r="201" spans="1:40" ht="16.5" customHeight="1" x14ac:dyDescent="0.3">
      <c r="A201" s="69"/>
      <c r="B201" s="69"/>
      <c r="C201" s="69"/>
      <c r="D201" s="69"/>
      <c r="E201" s="69"/>
      <c r="F201" s="69"/>
      <c r="Z201" s="101"/>
      <c r="AA201" s="101"/>
      <c r="AB201" s="101"/>
      <c r="AC201" s="101"/>
      <c r="AD201" s="101"/>
      <c r="AE201" s="101"/>
      <c r="AF201" s="101"/>
      <c r="AG201" s="101"/>
      <c r="AH201" s="101"/>
      <c r="AI201" s="101"/>
      <c r="AJ201" s="101"/>
      <c r="AK201" s="101"/>
      <c r="AL201" s="101"/>
      <c r="AM201" s="101"/>
      <c r="AN201" s="101"/>
    </row>
    <row r="202" spans="1:40" ht="16.5" customHeight="1" x14ac:dyDescent="0.3">
      <c r="A202" s="69"/>
      <c r="B202" s="69"/>
      <c r="C202" s="69"/>
      <c r="D202" s="69"/>
      <c r="E202" s="69"/>
      <c r="F202" s="69"/>
      <c r="Z202" s="101"/>
      <c r="AA202" s="101"/>
      <c r="AB202" s="101"/>
      <c r="AC202" s="101"/>
      <c r="AD202" s="101"/>
      <c r="AE202" s="101"/>
      <c r="AF202" s="101"/>
      <c r="AG202" s="101"/>
      <c r="AH202" s="101"/>
      <c r="AI202" s="101"/>
      <c r="AJ202" s="101"/>
      <c r="AK202" s="101"/>
      <c r="AL202" s="101"/>
      <c r="AM202" s="101"/>
      <c r="AN202" s="101"/>
    </row>
    <row r="203" spans="1:40" ht="16.5" customHeight="1" x14ac:dyDescent="0.3">
      <c r="A203" s="74"/>
      <c r="B203" s="74"/>
      <c r="C203" s="74"/>
      <c r="D203" s="74"/>
      <c r="E203" s="74"/>
      <c r="F203" s="74"/>
      <c r="Z203" s="101"/>
      <c r="AA203" s="101"/>
      <c r="AB203" s="101"/>
      <c r="AC203" s="101"/>
      <c r="AD203" s="101"/>
      <c r="AE203" s="101"/>
      <c r="AF203" s="101"/>
      <c r="AG203" s="101"/>
      <c r="AH203" s="101"/>
      <c r="AI203" s="101"/>
      <c r="AJ203" s="101"/>
      <c r="AK203" s="101"/>
      <c r="AL203" s="101"/>
      <c r="AM203" s="101"/>
      <c r="AN203" s="101"/>
    </row>
    <row r="204" spans="1:40" ht="16.5" customHeight="1" x14ac:dyDescent="0.3">
      <c r="A204" s="150" t="s">
        <v>1477</v>
      </c>
      <c r="B204" s="143"/>
      <c r="C204" s="47">
        <f>E204+D204+F204</f>
        <v>37775</v>
      </c>
      <c r="D204" s="46">
        <f>ROUNDDOWN(SUMIF(N157:N183,M204,D157:D183),0)</f>
        <v>24402</v>
      </c>
      <c r="E204" s="55">
        <f>ROUNDDOWN(SUMIF(N157:N183,M204,E157:E183),0)</f>
        <v>6396</v>
      </c>
      <c r="F204" s="47">
        <f>ROUNDDOWN(SUMIF(N157:N183,M204,F157:F183),0)</f>
        <v>6977</v>
      </c>
      <c r="M204" s="35" t="s">
        <v>1209</v>
      </c>
      <c r="Z204" s="101"/>
      <c r="AA204" s="101"/>
      <c r="AB204" s="101"/>
      <c r="AC204" s="101"/>
      <c r="AD204" s="101"/>
      <c r="AE204" s="101"/>
      <c r="AF204" s="101"/>
      <c r="AG204" s="101"/>
      <c r="AH204" s="101"/>
      <c r="AI204" s="101"/>
      <c r="AJ204" s="101"/>
      <c r="AK204" s="101"/>
      <c r="AL204" s="101"/>
      <c r="AM204" s="101"/>
      <c r="AN204" s="101"/>
    </row>
    <row r="205" spans="1:40" ht="16.5" customHeight="1" x14ac:dyDescent="0.3">
      <c r="A205" s="86" t="s">
        <v>25</v>
      </c>
      <c r="B205" s="88" t="s">
        <v>25</v>
      </c>
      <c r="C205" s="151">
        <f>C254</f>
        <v>16712</v>
      </c>
      <c r="D205" s="151">
        <f>D254</f>
        <v>15861</v>
      </c>
      <c r="E205" s="151">
        <f>E254</f>
        <v>471</v>
      </c>
      <c r="F205" s="151">
        <f>F254</f>
        <v>380</v>
      </c>
      <c r="G205" s="84" t="str">
        <f>HYPERLINK("#G"&amp;ROW(G241),"_x0005_`BDCOD|D02305_x0007_`POSS|"&amp;ROW(G207)&amp;"_x0007_`POSE|"&amp;ROW(G241)&amp;"_x0007_`")</f>
        <v>_x0005_`BDCOD|D02305_x0007_`POSS|207_x0007_`POSE|241_x0007_`</v>
      </c>
      <c r="Z205" s="101"/>
      <c r="AA205" s="101"/>
      <c r="AB205" s="101"/>
      <c r="AC205" s="101"/>
      <c r="AD205" s="101"/>
      <c r="AE205" s="101"/>
      <c r="AF205" s="101"/>
      <c r="AG205" s="101"/>
      <c r="AH205" s="101"/>
      <c r="AI205" s="101"/>
      <c r="AJ205" s="101"/>
      <c r="AK205" s="101"/>
      <c r="AL205" s="101"/>
      <c r="AM205" s="101"/>
      <c r="AN205" s="101"/>
    </row>
    <row r="206" spans="1:40" ht="16.5" customHeight="1" x14ac:dyDescent="0.3">
      <c r="A206" s="87"/>
      <c r="B206" s="88" t="s">
        <v>135</v>
      </c>
      <c r="C206" s="136"/>
      <c r="D206" s="136"/>
      <c r="E206" s="136"/>
      <c r="F206" s="136"/>
      <c r="M206" s="35" t="s">
        <v>1531</v>
      </c>
      <c r="Z206" s="101"/>
      <c r="AA206" s="101"/>
      <c r="AB206" s="101"/>
      <c r="AC206" s="101"/>
      <c r="AD206" s="101"/>
      <c r="AE206" s="101"/>
      <c r="AF206" s="101"/>
      <c r="AG206" s="101"/>
      <c r="AH206" s="101"/>
      <c r="AI206" s="101"/>
      <c r="AJ206" s="101"/>
      <c r="AK206" s="101"/>
      <c r="AL206" s="101"/>
      <c r="AM206" s="101"/>
      <c r="AN206" s="101"/>
    </row>
    <row r="207" spans="1:40" ht="16.5" customHeight="1" x14ac:dyDescent="0.3">
      <c r="A207" s="69"/>
      <c r="B207" s="69"/>
      <c r="C207" s="90"/>
      <c r="D207" s="90"/>
      <c r="E207" s="90"/>
      <c r="F207" s="90"/>
      <c r="G207" s="17" t="s">
        <v>1405</v>
      </c>
      <c r="Z207" s="101"/>
      <c r="AA207" s="101"/>
      <c r="AB207" s="101"/>
      <c r="AC207" s="101"/>
      <c r="AD207" s="101"/>
      <c r="AE207" s="101"/>
      <c r="AF207" s="101"/>
      <c r="AG207" s="101"/>
      <c r="AH207" s="101"/>
      <c r="AI207" s="101"/>
      <c r="AJ207" s="101"/>
      <c r="AK207" s="101"/>
      <c r="AL207" s="101"/>
      <c r="AM207" s="101"/>
      <c r="AN207" s="101"/>
    </row>
    <row r="208" spans="1:40" ht="16.5" customHeight="1" x14ac:dyDescent="0.3">
      <c r="A208" s="59"/>
      <c r="B208" s="68" t="s">
        <v>1533</v>
      </c>
      <c r="C208" s="69"/>
      <c r="D208" s="69"/>
      <c r="E208" s="69"/>
      <c r="F208" s="69"/>
      <c r="G208" s="17" t="s">
        <v>1532</v>
      </c>
      <c r="Z208" s="101"/>
      <c r="AA208" s="101"/>
      <c r="AB208" s="101"/>
      <c r="AC208" s="101"/>
      <c r="AD208" s="101"/>
      <c r="AE208" s="101"/>
      <c r="AF208" s="101"/>
      <c r="AG208" s="101"/>
      <c r="AH208" s="101"/>
      <c r="AI208" s="101"/>
      <c r="AJ208" s="101"/>
      <c r="AK208" s="101"/>
      <c r="AL208" s="101"/>
      <c r="AM208" s="101"/>
      <c r="AN208" s="101"/>
    </row>
    <row r="209" spans="1:40" ht="16.5" customHeight="1" x14ac:dyDescent="0.3">
      <c r="A209" s="69"/>
      <c r="B209" s="69"/>
      <c r="C209" s="69"/>
      <c r="D209" s="69"/>
      <c r="E209" s="69"/>
      <c r="F209" s="69"/>
      <c r="G209" s="17" t="s">
        <v>1405</v>
      </c>
      <c r="Z209" s="101"/>
      <c r="AA209" s="101"/>
      <c r="AB209" s="101"/>
      <c r="AC209" s="101"/>
      <c r="AD209" s="101"/>
      <c r="AE209" s="101"/>
      <c r="AF209" s="101"/>
      <c r="AG209" s="101"/>
      <c r="AH209" s="101"/>
      <c r="AI209" s="101"/>
      <c r="AJ209" s="101"/>
      <c r="AK209" s="101"/>
      <c r="AL209" s="101"/>
      <c r="AM209" s="101"/>
      <c r="AN209" s="101"/>
    </row>
    <row r="210" spans="1:40" ht="16.5" customHeight="1" x14ac:dyDescent="0.3">
      <c r="A210" s="59"/>
      <c r="B210" s="68" t="s">
        <v>1535</v>
      </c>
      <c r="C210" s="69"/>
      <c r="D210" s="69"/>
      <c r="E210" s="69"/>
      <c r="F210" s="69"/>
      <c r="G210" s="17" t="s">
        <v>1534</v>
      </c>
      <c r="Z210" s="101"/>
      <c r="AA210" s="101"/>
      <c r="AB210" s="101"/>
      <c r="AC210" s="101"/>
      <c r="AD210" s="101"/>
      <c r="AE210" s="101"/>
      <c r="AF210" s="101"/>
      <c r="AG210" s="101"/>
      <c r="AH210" s="101"/>
      <c r="AI210" s="101"/>
      <c r="AJ210" s="101"/>
      <c r="AK210" s="101"/>
      <c r="AL210" s="101"/>
      <c r="AM210" s="101"/>
      <c r="AN210" s="101"/>
    </row>
    <row r="211" spans="1:40" ht="16.5" customHeight="1" x14ac:dyDescent="0.3">
      <c r="A211" s="69"/>
      <c r="B211" s="69"/>
      <c r="C211" s="69"/>
      <c r="D211" s="69"/>
      <c r="E211" s="69"/>
      <c r="F211" s="69"/>
      <c r="G211" s="17" t="s">
        <v>1405</v>
      </c>
      <c r="Z211" s="101"/>
      <c r="AA211" s="101"/>
      <c r="AB211" s="101"/>
      <c r="AC211" s="101"/>
      <c r="AD211" s="101"/>
      <c r="AE211" s="101"/>
      <c r="AF211" s="101"/>
      <c r="AG211" s="101"/>
      <c r="AH211" s="101"/>
      <c r="AI211" s="101"/>
      <c r="AJ211" s="101"/>
      <c r="AK211" s="101"/>
      <c r="AL211" s="101"/>
      <c r="AM211" s="101"/>
      <c r="AN211" s="101"/>
    </row>
    <row r="212" spans="1:40" ht="16.5" customHeight="1" x14ac:dyDescent="0.3">
      <c r="A212" s="69"/>
      <c r="B212" s="69"/>
      <c r="C212" s="69"/>
      <c r="D212" s="69"/>
      <c r="E212" s="69"/>
      <c r="F212" s="69"/>
      <c r="G212" s="17" t="s">
        <v>1405</v>
      </c>
      <c r="Z212" s="101"/>
      <c r="AA212" s="101"/>
      <c r="AB212" s="101"/>
      <c r="AC212" s="101"/>
      <c r="AD212" s="101"/>
      <c r="AE212" s="101"/>
      <c r="AF212" s="101"/>
      <c r="AG212" s="101"/>
      <c r="AH212" s="101"/>
      <c r="AI212" s="101"/>
      <c r="AJ212" s="101"/>
      <c r="AK212" s="101"/>
      <c r="AL212" s="101"/>
      <c r="AM212" s="101"/>
      <c r="AN212" s="101"/>
    </row>
    <row r="213" spans="1:40" ht="16.5" customHeight="1" x14ac:dyDescent="0.3">
      <c r="A213" s="59"/>
      <c r="B213" s="68" t="s">
        <v>1537</v>
      </c>
      <c r="C213" s="69"/>
      <c r="D213" s="69"/>
      <c r="E213" s="69"/>
      <c r="F213" s="69"/>
      <c r="G213" s="17" t="s">
        <v>1536</v>
      </c>
      <c r="Z213" s="101"/>
      <c r="AA213" s="101"/>
      <c r="AB213" s="101"/>
      <c r="AC213" s="101"/>
      <c r="AD213" s="101"/>
      <c r="AE213" s="101"/>
      <c r="AF213" s="101"/>
      <c r="AG213" s="101"/>
      <c r="AH213" s="101"/>
      <c r="AI213" s="101"/>
      <c r="AJ213" s="101"/>
      <c r="AK213" s="101"/>
      <c r="AL213" s="101"/>
      <c r="AM213" s="101"/>
      <c r="AN213" s="101"/>
    </row>
    <row r="214" spans="1:40" ht="16.5" customHeight="1" x14ac:dyDescent="0.3">
      <c r="A214" s="69"/>
      <c r="B214" s="69"/>
      <c r="C214" s="69"/>
      <c r="D214" s="69"/>
      <c r="E214" s="69"/>
      <c r="F214" s="69"/>
      <c r="G214" s="17" t="s">
        <v>1405</v>
      </c>
      <c r="Z214" s="101"/>
      <c r="AA214" s="101"/>
      <c r="AB214" s="101"/>
      <c r="AC214" s="101"/>
      <c r="AD214" s="101"/>
      <c r="AE214" s="101"/>
      <c r="AF214" s="101"/>
      <c r="AG214" s="101"/>
      <c r="AH214" s="101"/>
      <c r="AI214" s="101"/>
      <c r="AJ214" s="101"/>
      <c r="AK214" s="101"/>
      <c r="AL214" s="101"/>
      <c r="AM214" s="101"/>
      <c r="AN214" s="101"/>
    </row>
    <row r="215" spans="1:40" ht="16.5" customHeight="1" x14ac:dyDescent="0.3">
      <c r="A215" s="59"/>
      <c r="B215" s="68" t="str">
        <f>"   q="&amp;Z215&amp;" ㎥ ,  K="&amp;AD215&amp;""</f>
        <v xml:space="preserve">   q=0.4 ㎥ ,  K=0.9</v>
      </c>
      <c r="C215" s="69"/>
      <c r="D215" s="69"/>
      <c r="E215" s="69"/>
      <c r="F215" s="69"/>
      <c r="G215" s="17" t="s">
        <v>1538</v>
      </c>
      <c r="Z215" s="104">
        <v>0.4</v>
      </c>
      <c r="AA215" s="35" t="s">
        <v>1410</v>
      </c>
      <c r="AB215" s="103">
        <f>Z215</f>
        <v>0.4</v>
      </c>
      <c r="AC215" s="105" t="s">
        <v>1453</v>
      </c>
      <c r="AD215" s="104">
        <v>0.9</v>
      </c>
      <c r="AE215" s="35" t="s">
        <v>1410</v>
      </c>
      <c r="AF215" s="103">
        <f>AD215</f>
        <v>0.9</v>
      </c>
      <c r="AG215" s="101"/>
      <c r="AH215" s="101"/>
      <c r="AI215" s="101"/>
      <c r="AJ215" s="101"/>
      <c r="AK215" s="101"/>
      <c r="AL215" s="101"/>
      <c r="AM215" s="101"/>
      <c r="AN215" s="101"/>
    </row>
    <row r="216" spans="1:40" ht="16.5" customHeight="1" x14ac:dyDescent="0.3">
      <c r="A216" s="69"/>
      <c r="B216" s="69"/>
      <c r="C216" s="69"/>
      <c r="D216" s="69"/>
      <c r="E216" s="69"/>
      <c r="F216" s="69"/>
      <c r="G216" s="17" t="s">
        <v>1405</v>
      </c>
      <c r="Z216" s="101"/>
      <c r="AA216" s="101"/>
      <c r="AB216" s="101"/>
      <c r="AC216" s="101"/>
      <c r="AD216" s="101"/>
      <c r="AE216" s="101"/>
      <c r="AF216" s="101"/>
      <c r="AG216" s="101"/>
      <c r="AH216" s="101"/>
      <c r="AI216" s="101"/>
      <c r="AJ216" s="101"/>
      <c r="AK216" s="101"/>
      <c r="AL216" s="101"/>
      <c r="AM216" s="101"/>
      <c r="AN216" s="101"/>
    </row>
    <row r="217" spans="1:40" ht="16.5" customHeight="1" x14ac:dyDescent="0.3">
      <c r="A217" s="59"/>
      <c r="B217" s="68" t="str">
        <f>"   f="&amp;Z217&amp;"/"&amp;AB217&amp;"= "&amp;AD217&amp;",  E="&amp;AF217&amp;" {((모래(보통0.7)+(흙(보통)0.60))/2 - 0.05} = "&amp;AH217&amp;""</f>
        <v xml:space="preserve">   f=1/1.25= 0.800,  E=0.6 {((모래(보통0.7)+(흙(보통)0.60))/2 - 0.05} = 0.600</v>
      </c>
      <c r="C217" s="69"/>
      <c r="D217" s="69"/>
      <c r="E217" s="69"/>
      <c r="F217" s="69"/>
      <c r="G217" s="17" t="s">
        <v>1539</v>
      </c>
      <c r="Z217" s="102">
        <v>1</v>
      </c>
      <c r="AA217" s="35" t="s">
        <v>1413</v>
      </c>
      <c r="AB217" s="104">
        <v>1.25</v>
      </c>
      <c r="AC217" s="35" t="s">
        <v>1410</v>
      </c>
      <c r="AD217" s="103" t="str">
        <f>TEXT(ROUND(Z217/AB217,3),"#,0.000")</f>
        <v>0.800</v>
      </c>
      <c r="AE217" s="105" t="s">
        <v>1453</v>
      </c>
      <c r="AF217" s="104">
        <v>0.6</v>
      </c>
      <c r="AG217" s="35" t="s">
        <v>1410</v>
      </c>
      <c r="AH217" s="103" t="str">
        <f>TEXT(ROUND(AF217,3),"#,0.000")</f>
        <v>0.600</v>
      </c>
      <c r="AI217" s="101"/>
      <c r="AJ217" s="101"/>
      <c r="AK217" s="101"/>
      <c r="AL217" s="101"/>
      <c r="AM217" s="101"/>
      <c r="AN217" s="101"/>
    </row>
    <row r="218" spans="1:40" ht="16.5" customHeight="1" x14ac:dyDescent="0.3">
      <c r="A218" s="69"/>
      <c r="B218" s="69"/>
      <c r="C218" s="69"/>
      <c r="D218" s="69"/>
      <c r="E218" s="69"/>
      <c r="F218" s="69"/>
      <c r="G218" s="17" t="s">
        <v>1405</v>
      </c>
      <c r="Z218" s="101"/>
      <c r="AA218" s="101"/>
      <c r="AB218" s="101"/>
      <c r="AC218" s="101"/>
      <c r="AD218" s="101"/>
      <c r="AE218" s="101"/>
      <c r="AF218" s="101"/>
      <c r="AG218" s="101"/>
      <c r="AH218" s="101"/>
      <c r="AI218" s="101"/>
      <c r="AJ218" s="101"/>
      <c r="AK218" s="101"/>
      <c r="AL218" s="101"/>
      <c r="AM218" s="101"/>
      <c r="AN218" s="101"/>
    </row>
    <row r="219" spans="1:40" ht="16.5" customHeight="1" x14ac:dyDescent="0.3">
      <c r="A219" s="59"/>
      <c r="B219" s="68" t="str">
        <f>"   Cm="&amp;Z219&amp;" Sec(90도선회) "</f>
        <v xml:space="preserve">   Cm=15 Sec(90도선회) </v>
      </c>
      <c r="C219" s="69"/>
      <c r="D219" s="69"/>
      <c r="E219" s="69"/>
      <c r="F219" s="69"/>
      <c r="G219" s="17" t="s">
        <v>1540</v>
      </c>
      <c r="Z219" s="102">
        <v>15</v>
      </c>
      <c r="AA219" s="35" t="s">
        <v>1410</v>
      </c>
      <c r="AB219" s="103">
        <f>Z219</f>
        <v>15</v>
      </c>
      <c r="AC219" s="101"/>
      <c r="AD219" s="101"/>
      <c r="AE219" s="101"/>
      <c r="AF219" s="101"/>
      <c r="AG219" s="101"/>
      <c r="AH219" s="101"/>
      <c r="AI219" s="101"/>
      <c r="AJ219" s="101"/>
      <c r="AK219" s="101"/>
      <c r="AL219" s="101"/>
      <c r="AM219" s="101"/>
      <c r="AN219" s="101"/>
    </row>
    <row r="220" spans="1:40" ht="16.5" customHeight="1" x14ac:dyDescent="0.3">
      <c r="A220" s="69"/>
      <c r="B220" s="69"/>
      <c r="C220" s="69"/>
      <c r="D220" s="69"/>
      <c r="E220" s="69"/>
      <c r="F220" s="69"/>
      <c r="G220" s="17" t="s">
        <v>1405</v>
      </c>
      <c r="Z220" s="101"/>
      <c r="AA220" s="101"/>
      <c r="AB220" s="101"/>
      <c r="AC220" s="101"/>
      <c r="AD220" s="101"/>
      <c r="AE220" s="101"/>
      <c r="AF220" s="101"/>
      <c r="AG220" s="101"/>
      <c r="AH220" s="101"/>
      <c r="AI220" s="101"/>
      <c r="AJ220" s="101"/>
      <c r="AK220" s="101"/>
      <c r="AL220" s="101"/>
      <c r="AM220" s="101"/>
      <c r="AN220" s="101"/>
    </row>
    <row r="221" spans="1:40" ht="16.5" customHeight="1" x14ac:dyDescent="0.3">
      <c r="A221" s="59"/>
      <c r="B221" s="68" t="str">
        <f>"   Q="&amp;Z221&amp;"*q*K*f*E/Cm = "&amp;AL221&amp;" ㎥/hr "</f>
        <v xml:space="preserve">   Q=3600*q*K*f*E/Cm = 41.472 ㎥/hr </v>
      </c>
      <c r="C221" s="69"/>
      <c r="D221" s="69"/>
      <c r="E221" s="69"/>
      <c r="F221" s="69"/>
      <c r="G221" s="17" t="s">
        <v>1541</v>
      </c>
      <c r="Z221" s="102">
        <v>3600</v>
      </c>
      <c r="AA221" s="35" t="s">
        <v>1436</v>
      </c>
      <c r="AB221" s="103">
        <f>AB215</f>
        <v>0.4</v>
      </c>
      <c r="AC221" s="35" t="s">
        <v>1436</v>
      </c>
      <c r="AD221" s="103">
        <f>AF215</f>
        <v>0.9</v>
      </c>
      <c r="AE221" s="35" t="s">
        <v>1436</v>
      </c>
      <c r="AF221" s="103" t="str">
        <f>AD217</f>
        <v>0.800</v>
      </c>
      <c r="AG221" s="35" t="s">
        <v>1436</v>
      </c>
      <c r="AH221" s="103" t="str">
        <f>AH217</f>
        <v>0.600</v>
      </c>
      <c r="AI221" s="35" t="s">
        <v>1413</v>
      </c>
      <c r="AJ221" s="103">
        <f>AB219</f>
        <v>15</v>
      </c>
      <c r="AK221" s="35" t="s">
        <v>1410</v>
      </c>
      <c r="AL221" s="103" t="str">
        <f>TEXT(ROUND(Z221*AB215*AF215*AD217*AH217/AB219,3),"#,0.000")</f>
        <v>41.472</v>
      </c>
      <c r="AM221" s="101"/>
      <c r="AN221" s="101"/>
    </row>
    <row r="222" spans="1:40" ht="16.5" customHeight="1" x14ac:dyDescent="0.3">
      <c r="A222" s="69"/>
      <c r="B222" s="69"/>
      <c r="C222" s="69"/>
      <c r="D222" s="69"/>
      <c r="E222" s="69"/>
      <c r="F222" s="69"/>
      <c r="G222" s="17" t="s">
        <v>1405</v>
      </c>
      <c r="Z222" s="101"/>
      <c r="AA222" s="101"/>
      <c r="AB222" s="101"/>
      <c r="AC222" s="101"/>
      <c r="AD222" s="101"/>
      <c r="AE222" s="101"/>
      <c r="AF222" s="101"/>
      <c r="AG222" s="101"/>
      <c r="AH222" s="101"/>
      <c r="AI222" s="101"/>
      <c r="AJ222" s="101"/>
      <c r="AK222" s="101"/>
      <c r="AL222" s="101"/>
      <c r="AM222" s="101"/>
      <c r="AN222" s="101"/>
    </row>
    <row r="223" spans="1:40" ht="16.5" customHeight="1" x14ac:dyDescent="0.3">
      <c r="A223" s="59" t="s">
        <v>1543</v>
      </c>
      <c r="B223" s="89" t="str">
        <f>"   노무비: "&amp;TEXT(I223,"#,##0"&amp;IF(I223&lt;&gt;INT(I223),".###",""))&amp;"/Q*"&amp;AC223&amp;" * "&amp;AE223&amp;" = "&amp;TEXT(C223,"#,##0.0")&amp;""</f>
        <v xml:space="preserve">   노무비: 59,020/Q*0.9 * 1.875 = 2,401.5</v>
      </c>
      <c r="C223" s="91">
        <f>E223+D223+F223</f>
        <v>2401.5</v>
      </c>
      <c r="D223" s="91">
        <f>IF(H223=0,0,ROUNDDOWN(J223*H223,1))</f>
        <v>2401.5</v>
      </c>
      <c r="E223" s="91">
        <f>IF(H223=0,0,ROUNDDOWN(K223*H223,1))</f>
        <v>0</v>
      </c>
      <c r="F223" s="91">
        <f>IF(H223=0,0,ROUNDDOWN(L223*H223,1))</f>
        <v>0</v>
      </c>
      <c r="G223" s="17" t="s">
        <v>1542</v>
      </c>
      <c r="H223" s="97">
        <f>ROUNDUP(AG223,14-LEN(ABS(INT(AG223))))</f>
        <v>4.0690104166700006E-2</v>
      </c>
      <c r="I223" s="98">
        <f>K223+J223+L223</f>
        <v>59020</v>
      </c>
      <c r="J223" s="38">
        <f>중기목록표!F6</f>
        <v>59020</v>
      </c>
      <c r="M223" s="35" t="s">
        <v>1544</v>
      </c>
      <c r="N223" s="35" t="s">
        <v>1262</v>
      </c>
      <c r="X223" s="100" t="str">
        <f>중기목록표!B6&amp;" / "&amp;중기목록표!C6</f>
        <v>굴착기(무한궤도) / 0.4㎥</v>
      </c>
      <c r="Y223" s="3" t="str">
        <f ca="1">HYPERLINK("#"&amp;중기목록표!J2&amp;"!A"&amp;ROW(중기목록표!A6),"중기3 →")</f>
        <v>중기3 →</v>
      </c>
      <c r="Z223" s="35" t="s">
        <v>1417</v>
      </c>
      <c r="AA223" s="103" t="str">
        <f>AL221</f>
        <v>41.472</v>
      </c>
      <c r="AB223" s="35" t="s">
        <v>1436</v>
      </c>
      <c r="AC223" s="104">
        <v>0.9</v>
      </c>
      <c r="AD223" s="35" t="s">
        <v>1436</v>
      </c>
      <c r="AE223" s="104">
        <v>1.875</v>
      </c>
      <c r="AF223" s="35" t="s">
        <v>1410</v>
      </c>
      <c r="AG223" s="103">
        <f>1/AL221*AC223*AE223</f>
        <v>4.0690104166666664E-2</v>
      </c>
      <c r="AH223" s="101"/>
      <c r="AI223" s="101"/>
      <c r="AJ223" s="101"/>
      <c r="AK223" s="101"/>
      <c r="AL223" s="101"/>
      <c r="AM223" s="101"/>
      <c r="AN223" s="101"/>
    </row>
    <row r="224" spans="1:40" ht="16.5" customHeight="1" x14ac:dyDescent="0.3">
      <c r="A224" s="69"/>
      <c r="B224" s="69"/>
      <c r="C224" s="69"/>
      <c r="D224" s="69"/>
      <c r="E224" s="69"/>
      <c r="F224" s="69"/>
      <c r="G224" s="17" t="s">
        <v>1405</v>
      </c>
      <c r="Z224" s="101"/>
      <c r="AA224" s="101"/>
      <c r="AB224" s="101"/>
      <c r="AC224" s="101"/>
      <c r="AD224" s="101"/>
      <c r="AE224" s="101"/>
      <c r="AF224" s="101"/>
      <c r="AG224" s="101"/>
      <c r="AH224" s="101"/>
      <c r="AI224" s="101"/>
      <c r="AJ224" s="101"/>
      <c r="AK224" s="101"/>
      <c r="AL224" s="101"/>
      <c r="AM224" s="101"/>
      <c r="AN224" s="101"/>
    </row>
    <row r="225" spans="1:40" ht="16.5" customHeight="1" x14ac:dyDescent="0.3">
      <c r="A225" s="59" t="s">
        <v>1546</v>
      </c>
      <c r="B225" s="89" t="str">
        <f>"   재료비: "&amp;TEXT(I225,"#,##0"&amp;IF(I225&lt;&gt;INT(I225),".###",""))&amp;"/Q*"&amp;AC225&amp;"= "&amp;TEXT(C225,"#,##0.0")&amp;""</f>
        <v xml:space="preserve">   재료비: 21,728/Q*0.9= 471.5</v>
      </c>
      <c r="C225" s="91">
        <f>E225+D225+F225</f>
        <v>471.5</v>
      </c>
      <c r="D225" s="91">
        <f>IF(H225=0,0,ROUNDDOWN(J225*H225,1))</f>
        <v>0</v>
      </c>
      <c r="E225" s="91">
        <f>IF(H225=0,0,ROUNDDOWN(K225*H225,1))</f>
        <v>471.5</v>
      </c>
      <c r="F225" s="91">
        <f>IF(H225=0,0,ROUNDDOWN(L225*H225,1))</f>
        <v>0</v>
      </c>
      <c r="G225" s="17" t="s">
        <v>1545</v>
      </c>
      <c r="H225" s="97">
        <f>ROUNDUP(AE225,14-LEN(ABS(INT(AE225))))</f>
        <v>2.1701388888900001E-2</v>
      </c>
      <c r="I225" s="98">
        <f>K225+J225+L225</f>
        <v>21728</v>
      </c>
      <c r="K225" s="38">
        <f>중기목록표!G6</f>
        <v>21728</v>
      </c>
      <c r="M225" s="35" t="s">
        <v>1544</v>
      </c>
      <c r="N225" s="35" t="s">
        <v>1262</v>
      </c>
      <c r="X225" s="100" t="str">
        <f>중기목록표!B6&amp;" / "&amp;중기목록표!C6</f>
        <v>굴착기(무한궤도) / 0.4㎥</v>
      </c>
      <c r="Y225" s="3" t="str">
        <f ca="1">HYPERLINK("#"&amp;중기목록표!J2&amp;"!A"&amp;ROW(중기목록표!A6),"중기3 →")</f>
        <v>중기3 →</v>
      </c>
      <c r="Z225" s="35" t="s">
        <v>1417</v>
      </c>
      <c r="AA225" s="103" t="str">
        <f>AL221</f>
        <v>41.472</v>
      </c>
      <c r="AB225" s="35" t="s">
        <v>1436</v>
      </c>
      <c r="AC225" s="104">
        <v>0.9</v>
      </c>
      <c r="AD225" s="35" t="s">
        <v>1410</v>
      </c>
      <c r="AE225" s="103">
        <f>1/AL221*AC225</f>
        <v>2.1701388888888888E-2</v>
      </c>
      <c r="AF225" s="101"/>
      <c r="AG225" s="101"/>
      <c r="AH225" s="101"/>
      <c r="AI225" s="101"/>
      <c r="AJ225" s="101"/>
      <c r="AK225" s="101"/>
      <c r="AL225" s="101"/>
      <c r="AM225" s="101"/>
      <c r="AN225" s="101"/>
    </row>
    <row r="226" spans="1:40" ht="16.5" customHeight="1" x14ac:dyDescent="0.3">
      <c r="A226" s="69"/>
      <c r="B226" s="69"/>
      <c r="C226" s="69"/>
      <c r="D226" s="69"/>
      <c r="E226" s="69"/>
      <c r="F226" s="69"/>
      <c r="G226" s="17" t="s">
        <v>1405</v>
      </c>
      <c r="Z226" s="101"/>
      <c r="AA226" s="101"/>
      <c r="AB226" s="101"/>
      <c r="AC226" s="101"/>
      <c r="AD226" s="101"/>
      <c r="AE226" s="101"/>
      <c r="AF226" s="101"/>
      <c r="AG226" s="101"/>
      <c r="AH226" s="101"/>
      <c r="AI226" s="101"/>
      <c r="AJ226" s="101"/>
      <c r="AK226" s="101"/>
      <c r="AL226" s="101"/>
      <c r="AM226" s="101"/>
      <c r="AN226" s="101"/>
    </row>
    <row r="227" spans="1:40" ht="16.5" customHeight="1" x14ac:dyDescent="0.3">
      <c r="A227" s="59" t="s">
        <v>1548</v>
      </c>
      <c r="B227" s="89" t="str">
        <f>"   경  비: "&amp;TEXT(I227,"#,##0"&amp;IF(I227&lt;&gt;INT(I227),".###",""))&amp;"/Q*"&amp;AC227&amp;"= "&amp;TEXT(C227,"#,##0.0")&amp;""</f>
        <v xml:space="preserve">   경  비: 17,514/Q*0.9= 380.0</v>
      </c>
      <c r="C227" s="91">
        <f>E227+D227+F227</f>
        <v>380</v>
      </c>
      <c r="D227" s="91">
        <f>IF(H227=0,0,ROUNDDOWN(J227*H227,1))</f>
        <v>0</v>
      </c>
      <c r="E227" s="91">
        <f>IF(H227=0,0,ROUNDDOWN(K227*H227,1))</f>
        <v>0</v>
      </c>
      <c r="F227" s="91">
        <f>IF(H227=0,0,ROUNDDOWN(L227*H227,1))</f>
        <v>380</v>
      </c>
      <c r="G227" s="17" t="s">
        <v>1547</v>
      </c>
      <c r="H227" s="97">
        <f>ROUNDUP(AE227,14-LEN(ABS(INT(AE227))))</f>
        <v>2.1701388888900001E-2</v>
      </c>
      <c r="I227" s="98">
        <f>K227+J227+L227</f>
        <v>17514</v>
      </c>
      <c r="L227" s="38">
        <f>중기목록표!H6</f>
        <v>17514</v>
      </c>
      <c r="M227" s="35" t="s">
        <v>1544</v>
      </c>
      <c r="N227" s="35" t="s">
        <v>1262</v>
      </c>
      <c r="X227" s="100" t="str">
        <f>중기목록표!B6&amp;" / "&amp;중기목록표!C6</f>
        <v>굴착기(무한궤도) / 0.4㎥</v>
      </c>
      <c r="Y227" s="3" t="str">
        <f ca="1">HYPERLINK("#"&amp;중기목록표!J2&amp;"!A"&amp;ROW(중기목록표!A6),"중기3 →")</f>
        <v>중기3 →</v>
      </c>
      <c r="Z227" s="35" t="s">
        <v>1417</v>
      </c>
      <c r="AA227" s="103" t="str">
        <f>AL221</f>
        <v>41.472</v>
      </c>
      <c r="AB227" s="35" t="s">
        <v>1436</v>
      </c>
      <c r="AC227" s="104">
        <v>0.9</v>
      </c>
      <c r="AD227" s="35" t="s">
        <v>1410</v>
      </c>
      <c r="AE227" s="103">
        <f>1/AL221*AC227</f>
        <v>2.1701388888888888E-2</v>
      </c>
      <c r="AF227" s="101"/>
      <c r="AG227" s="101"/>
      <c r="AH227" s="101"/>
      <c r="AI227" s="101"/>
      <c r="AJ227" s="101"/>
      <c r="AK227" s="101"/>
      <c r="AL227" s="101"/>
      <c r="AM227" s="101"/>
      <c r="AN227" s="101"/>
    </row>
    <row r="228" spans="1:40" ht="16.5" customHeight="1" x14ac:dyDescent="0.3">
      <c r="A228" s="69"/>
      <c r="B228" s="69"/>
      <c r="C228" s="69"/>
      <c r="D228" s="69"/>
      <c r="E228" s="69"/>
      <c r="F228" s="69"/>
      <c r="G228" s="17" t="s">
        <v>1405</v>
      </c>
      <c r="Z228" s="101"/>
      <c r="AA228" s="101"/>
      <c r="AB228" s="101"/>
      <c r="AC228" s="101"/>
      <c r="AD228" s="101"/>
      <c r="AE228" s="101"/>
      <c r="AF228" s="101"/>
      <c r="AG228" s="101"/>
      <c r="AH228" s="101"/>
      <c r="AI228" s="101"/>
      <c r="AJ228" s="101"/>
      <c r="AK228" s="101"/>
      <c r="AL228" s="101"/>
      <c r="AM228" s="101"/>
      <c r="AN228" s="101"/>
    </row>
    <row r="229" spans="1:40" ht="16.5" customHeight="1" x14ac:dyDescent="0.3">
      <c r="A229" s="59"/>
      <c r="B229" s="68" t="s">
        <v>1260</v>
      </c>
      <c r="C229" s="92">
        <f>E229+D229+F229</f>
        <v>3253</v>
      </c>
      <c r="D229" s="92">
        <f>SUMIF(N207:N228,M229,D207:D228)</f>
        <v>2401.5</v>
      </c>
      <c r="E229" s="92">
        <f>SUMIF(N207:N228,M229,E207:E228)</f>
        <v>471.5</v>
      </c>
      <c r="F229" s="92">
        <f>SUMIF(N207:N228,M229,F207:F228)</f>
        <v>380</v>
      </c>
      <c r="G229" s="17" t="s">
        <v>1430</v>
      </c>
      <c r="M229" s="35" t="s">
        <v>1262</v>
      </c>
      <c r="N229" s="35" t="s">
        <v>1253</v>
      </c>
      <c r="Z229" s="101"/>
      <c r="AA229" s="101"/>
      <c r="AB229" s="101"/>
      <c r="AC229" s="101"/>
      <c r="AD229" s="101"/>
      <c r="AE229" s="101"/>
      <c r="AF229" s="101"/>
      <c r="AG229" s="101"/>
      <c r="AH229" s="101"/>
      <c r="AI229" s="101"/>
      <c r="AJ229" s="101"/>
      <c r="AK229" s="101"/>
      <c r="AL229" s="101"/>
      <c r="AM229" s="101"/>
      <c r="AN229" s="101"/>
    </row>
    <row r="230" spans="1:40" ht="16.5" customHeight="1" x14ac:dyDescent="0.3">
      <c r="A230" s="69"/>
      <c r="B230" s="69"/>
      <c r="C230" s="90"/>
      <c r="D230" s="90"/>
      <c r="E230" s="90"/>
      <c r="F230" s="90"/>
      <c r="G230" s="17" t="s">
        <v>1405</v>
      </c>
      <c r="Z230" s="101"/>
      <c r="AA230" s="101"/>
      <c r="AB230" s="101"/>
      <c r="AC230" s="101"/>
      <c r="AD230" s="101"/>
      <c r="AE230" s="101"/>
      <c r="AF230" s="101"/>
      <c r="AG230" s="101"/>
      <c r="AH230" s="101"/>
      <c r="AI230" s="101"/>
      <c r="AJ230" s="101"/>
      <c r="AK230" s="101"/>
      <c r="AL230" s="101"/>
      <c r="AM230" s="101"/>
      <c r="AN230" s="101"/>
    </row>
    <row r="231" spans="1:40" ht="16.5" customHeight="1" x14ac:dyDescent="0.3">
      <c r="A231" s="59"/>
      <c r="B231" s="68" t="s">
        <v>1550</v>
      </c>
      <c r="C231" s="69"/>
      <c r="D231" s="69"/>
      <c r="E231" s="69"/>
      <c r="F231" s="69"/>
      <c r="G231" s="17" t="s">
        <v>1549</v>
      </c>
      <c r="Z231" s="101"/>
      <c r="AA231" s="101"/>
      <c r="AB231" s="101"/>
      <c r="AC231" s="101"/>
      <c r="AD231" s="101"/>
      <c r="AE231" s="101"/>
      <c r="AF231" s="101"/>
      <c r="AG231" s="101"/>
      <c r="AH231" s="101"/>
      <c r="AI231" s="101"/>
      <c r="AJ231" s="101"/>
      <c r="AK231" s="101"/>
      <c r="AL231" s="101"/>
      <c r="AM231" s="101"/>
      <c r="AN231" s="101"/>
    </row>
    <row r="232" spans="1:40" ht="16.5" customHeight="1" x14ac:dyDescent="0.3">
      <c r="A232" s="69"/>
      <c r="B232" s="69"/>
      <c r="C232" s="69"/>
      <c r="D232" s="69"/>
      <c r="E232" s="69"/>
      <c r="F232" s="69"/>
      <c r="G232" s="17" t="s">
        <v>1405</v>
      </c>
      <c r="Z232" s="101"/>
      <c r="AA232" s="101"/>
      <c r="AB232" s="101"/>
      <c r="AC232" s="101"/>
      <c r="AD232" s="101"/>
      <c r="AE232" s="101"/>
      <c r="AF232" s="101"/>
      <c r="AG232" s="101"/>
      <c r="AH232" s="101"/>
      <c r="AI232" s="101"/>
      <c r="AJ232" s="101"/>
      <c r="AK232" s="101"/>
      <c r="AL232" s="101"/>
      <c r="AM232" s="101"/>
      <c r="AN232" s="101"/>
    </row>
    <row r="233" spans="1:40" ht="16.5" customHeight="1" x14ac:dyDescent="0.3">
      <c r="A233" s="59"/>
      <c r="B233" s="68" t="s">
        <v>1552</v>
      </c>
      <c r="C233" s="69"/>
      <c r="D233" s="69"/>
      <c r="E233" s="69"/>
      <c r="F233" s="69"/>
      <c r="G233" s="17" t="s">
        <v>1551</v>
      </c>
      <c r="Z233" s="101"/>
      <c r="AA233" s="101"/>
      <c r="AB233" s="101"/>
      <c r="AC233" s="101"/>
      <c r="AD233" s="101"/>
      <c r="AE233" s="101"/>
      <c r="AF233" s="101"/>
      <c r="AG233" s="101"/>
      <c r="AH233" s="101"/>
      <c r="AI233" s="101"/>
      <c r="AJ233" s="101"/>
      <c r="AK233" s="101"/>
      <c r="AL233" s="101"/>
      <c r="AM233" s="101"/>
      <c r="AN233" s="101"/>
    </row>
    <row r="234" spans="1:40" ht="16.5" customHeight="1" x14ac:dyDescent="0.3">
      <c r="A234" s="69"/>
      <c r="B234" s="69"/>
      <c r="C234" s="69"/>
      <c r="D234" s="69"/>
      <c r="E234" s="69"/>
      <c r="F234" s="69"/>
      <c r="G234" s="17" t="s">
        <v>1405</v>
      </c>
      <c r="Z234" s="101"/>
      <c r="AA234" s="101"/>
      <c r="AB234" s="101"/>
      <c r="AC234" s="101"/>
      <c r="AD234" s="101"/>
      <c r="AE234" s="101"/>
      <c r="AF234" s="101"/>
      <c r="AG234" s="101"/>
      <c r="AH234" s="101"/>
      <c r="AI234" s="101"/>
      <c r="AJ234" s="101"/>
      <c r="AK234" s="101"/>
      <c r="AL234" s="101"/>
      <c r="AM234" s="101"/>
      <c r="AN234" s="101"/>
    </row>
    <row r="235" spans="1:40" ht="16.5" customHeight="1" x14ac:dyDescent="0.3">
      <c r="A235" s="59"/>
      <c r="B235" s="68" t="str">
        <f>"  N = ("&amp;AA235&amp;" 일/㎥ + "&amp;AC235&amp;" 일/㎥ )/ "&amp;AE235&amp;" = "&amp;AG235&amp;"  ㎥/hr "</f>
        <v xml:space="preserve">  N = (3.6 일/㎥ + 2.7 일/㎥ )/ 2 = 3.150  ㎥/hr </v>
      </c>
      <c r="C235" s="69"/>
      <c r="D235" s="69"/>
      <c r="E235" s="69"/>
      <c r="F235" s="69"/>
      <c r="G235" s="17" t="s">
        <v>1553</v>
      </c>
      <c r="Z235" s="35" t="s">
        <v>1457</v>
      </c>
      <c r="AA235" s="104">
        <v>3.6</v>
      </c>
      <c r="AB235" s="35" t="s">
        <v>1462</v>
      </c>
      <c r="AC235" s="104">
        <v>2.7</v>
      </c>
      <c r="AD235" s="35" t="s">
        <v>1465</v>
      </c>
      <c r="AE235" s="102">
        <v>2</v>
      </c>
      <c r="AF235" s="35" t="s">
        <v>1410</v>
      </c>
      <c r="AG235" s="103" t="str">
        <f>TEXT(ROUND((AA235+AC235)/AE235,3),"#,0.000")</f>
        <v>3.150</v>
      </c>
      <c r="AH235" s="101"/>
      <c r="AI235" s="101"/>
      <c r="AJ235" s="101"/>
      <c r="AK235" s="101"/>
      <c r="AL235" s="101"/>
      <c r="AM235" s="101"/>
      <c r="AN235" s="101"/>
    </row>
    <row r="236" spans="1:40" ht="16.5" customHeight="1" x14ac:dyDescent="0.3">
      <c r="A236" s="69"/>
      <c r="B236" s="69"/>
      <c r="C236" s="69"/>
      <c r="D236" s="69"/>
      <c r="E236" s="69"/>
      <c r="F236" s="69"/>
      <c r="G236" s="17" t="s">
        <v>1405</v>
      </c>
      <c r="Z236" s="101"/>
      <c r="AA236" s="101"/>
      <c r="AB236" s="101"/>
      <c r="AC236" s="101"/>
      <c r="AD236" s="101"/>
      <c r="AE236" s="101"/>
      <c r="AF236" s="101"/>
      <c r="AG236" s="101"/>
      <c r="AH236" s="101"/>
      <c r="AI236" s="101"/>
      <c r="AJ236" s="101"/>
      <c r="AK236" s="101"/>
      <c r="AL236" s="101"/>
      <c r="AM236" s="101"/>
      <c r="AN236" s="101"/>
    </row>
    <row r="237" spans="1:40" ht="16.5" customHeight="1" x14ac:dyDescent="0.3">
      <c r="A237" s="59" t="s">
        <v>1416</v>
      </c>
      <c r="B237" s="89" t="str">
        <f>"  특별인부 : "&amp;TEXT(I237,"#,##0"&amp;IF(I237&lt;&gt;INT(I237),".###",""))&amp;" * "&amp;AA237&amp;" 인  /  "&amp;AG235&amp;" 인 * "&amp;AE237&amp;" *"&amp;AG237&amp;" = "&amp;TEXT(C237,"#,##0.0")&amp;""</f>
        <v xml:space="preserve">  특별인부 : 226,122 * 1 인  /  3.150 인 * 0.1 *1.875 = 13,459.6</v>
      </c>
      <c r="C237" s="91">
        <f>E237+D237+F237</f>
        <v>13459.6</v>
      </c>
      <c r="D237" s="91">
        <f>IF(H237=0,0,ROUNDDOWN(J237*H237,1))</f>
        <v>13459.6</v>
      </c>
      <c r="E237" s="91">
        <f>IF(H237=0,0,ROUNDDOWN(K237*H237,1))</f>
        <v>0</v>
      </c>
      <c r="F237" s="91">
        <f>IF(H237=0,0,ROUNDDOWN(L237*H237,1))</f>
        <v>0</v>
      </c>
      <c r="G237" s="17" t="s">
        <v>1554</v>
      </c>
      <c r="H237" s="97">
        <f>ROUNDUP(AI237,14-LEN(ABS(INT(AI237))))</f>
        <v>5.9523809523900004E-2</v>
      </c>
      <c r="I237" s="98">
        <f>K237+J237+L237</f>
        <v>226122</v>
      </c>
      <c r="J237" s="38">
        <f>노무비목록표!E13</f>
        <v>226122</v>
      </c>
      <c r="M237" s="35" t="s">
        <v>1215</v>
      </c>
      <c r="N237" s="35" t="s">
        <v>1262</v>
      </c>
      <c r="X237" s="100" t="str">
        <f>노무비목록표!B13&amp;" / "&amp;노무비목록표!C13</f>
        <v xml:space="preserve">특별인부 / </v>
      </c>
      <c r="Y237" s="3" t="str">
        <f ca="1">HYPERLINK("#"&amp;노무비목록표!G2&amp;"!A"&amp;ROW(노무비목록표!A13),"노무10 →")</f>
        <v>노무10 →</v>
      </c>
      <c r="Z237" s="35" t="s">
        <v>1446</v>
      </c>
      <c r="AA237" s="102">
        <v>1</v>
      </c>
      <c r="AB237" s="35" t="s">
        <v>1413</v>
      </c>
      <c r="AC237" s="103" t="str">
        <f>AG235</f>
        <v>3.150</v>
      </c>
      <c r="AD237" s="35" t="s">
        <v>1436</v>
      </c>
      <c r="AE237" s="104">
        <v>0.1</v>
      </c>
      <c r="AF237" s="35" t="s">
        <v>1436</v>
      </c>
      <c r="AG237" s="104">
        <v>1.875</v>
      </c>
      <c r="AH237" s="35" t="s">
        <v>1410</v>
      </c>
      <c r="AI237" s="103">
        <f>1*AA237/AG235*AE237*AG237</f>
        <v>5.9523809523809521E-2</v>
      </c>
      <c r="AJ237" s="101"/>
      <c r="AK237" s="101"/>
      <c r="AL237" s="101"/>
      <c r="AM237" s="101"/>
      <c r="AN237" s="101"/>
    </row>
    <row r="238" spans="1:40" ht="16.5" customHeight="1" x14ac:dyDescent="0.3">
      <c r="A238" s="69"/>
      <c r="B238" s="69"/>
      <c r="C238" s="69"/>
      <c r="D238" s="69"/>
      <c r="E238" s="69"/>
      <c r="F238" s="69"/>
      <c r="G238" s="17" t="s">
        <v>1405</v>
      </c>
      <c r="Z238" s="101"/>
      <c r="AA238" s="101"/>
      <c r="AB238" s="101"/>
      <c r="AC238" s="101"/>
      <c r="AD238" s="101"/>
      <c r="AE238" s="101"/>
      <c r="AF238" s="101"/>
      <c r="AG238" s="101"/>
      <c r="AH238" s="101"/>
      <c r="AI238" s="101"/>
      <c r="AJ238" s="101"/>
      <c r="AK238" s="101"/>
      <c r="AL238" s="101"/>
      <c r="AM238" s="101"/>
      <c r="AN238" s="101"/>
    </row>
    <row r="239" spans="1:40" ht="16.5" customHeight="1" x14ac:dyDescent="0.3">
      <c r="A239" s="59"/>
      <c r="B239" s="68" t="s">
        <v>1260</v>
      </c>
      <c r="C239" s="92">
        <f>E239+D239+F239</f>
        <v>13459.6</v>
      </c>
      <c r="D239" s="92">
        <f>SUMIF(N230:N238,M239,D230:D238)</f>
        <v>13459.6</v>
      </c>
      <c r="E239" s="92">
        <f>SUMIF(N230:N238,M239,E230:E238)</f>
        <v>0</v>
      </c>
      <c r="F239" s="92">
        <f>SUMIF(N230:N238,M239,F230:F238)</f>
        <v>0</v>
      </c>
      <c r="G239" s="17" t="s">
        <v>1420</v>
      </c>
      <c r="M239" s="35" t="s">
        <v>1262</v>
      </c>
      <c r="N239" s="35" t="s">
        <v>1253</v>
      </c>
      <c r="Z239" s="101"/>
      <c r="AA239" s="101"/>
      <c r="AB239" s="101"/>
      <c r="AC239" s="101"/>
      <c r="AD239" s="101"/>
      <c r="AE239" s="101"/>
      <c r="AF239" s="101"/>
      <c r="AG239" s="101"/>
      <c r="AH239" s="101"/>
      <c r="AI239" s="101"/>
      <c r="AJ239" s="101"/>
      <c r="AK239" s="101"/>
      <c r="AL239" s="101"/>
      <c r="AM239" s="101"/>
      <c r="AN239" s="101"/>
    </row>
    <row r="240" spans="1:40" ht="16.5" customHeight="1" x14ac:dyDescent="0.3">
      <c r="A240" s="69"/>
      <c r="B240" s="69"/>
      <c r="C240" s="90"/>
      <c r="D240" s="90"/>
      <c r="E240" s="90"/>
      <c r="F240" s="90"/>
      <c r="G240" s="17" t="s">
        <v>1405</v>
      </c>
      <c r="Z240" s="101"/>
      <c r="AA240" s="101"/>
      <c r="AB240" s="101"/>
      <c r="AC240" s="101"/>
      <c r="AD240" s="101"/>
      <c r="AE240" s="101"/>
      <c r="AF240" s="101"/>
      <c r="AG240" s="101"/>
      <c r="AH240" s="101"/>
      <c r="AI240" s="101"/>
      <c r="AJ240" s="101"/>
      <c r="AK240" s="101"/>
      <c r="AL240" s="101"/>
      <c r="AM240" s="101"/>
      <c r="AN240" s="101"/>
    </row>
    <row r="241" spans="1:40" ht="16.5" customHeight="1" x14ac:dyDescent="0.3">
      <c r="A241" s="59"/>
      <c r="B241" s="68" t="s">
        <v>1251</v>
      </c>
      <c r="C241" s="92">
        <f>E241+D241+F241</f>
        <v>16712.599999999999</v>
      </c>
      <c r="D241" s="92">
        <f>SUMIF(N207:N240,M241,D207:D240)</f>
        <v>15861.1</v>
      </c>
      <c r="E241" s="92">
        <f>SUMIF(N207:N240,M241,E207:E240)</f>
        <v>471.5</v>
      </c>
      <c r="F241" s="92">
        <f>SUMIF(N207:N240,M241,F207:F240)</f>
        <v>380</v>
      </c>
      <c r="G241" s="17" t="s">
        <v>1476</v>
      </c>
      <c r="M241" s="35" t="s">
        <v>1253</v>
      </c>
      <c r="N241" s="35" t="s">
        <v>1209</v>
      </c>
      <c r="Z241" s="101"/>
      <c r="AA241" s="101"/>
      <c r="AB241" s="101"/>
      <c r="AC241" s="101"/>
      <c r="AD241" s="101"/>
      <c r="AE241" s="101"/>
      <c r="AF241" s="101"/>
      <c r="AG241" s="101"/>
      <c r="AH241" s="101"/>
      <c r="AI241" s="101"/>
      <c r="AJ241" s="101"/>
      <c r="AK241" s="101"/>
      <c r="AL241" s="101"/>
      <c r="AM241" s="101"/>
      <c r="AN241" s="101"/>
    </row>
    <row r="242" spans="1:40" ht="16.5" customHeight="1" x14ac:dyDescent="0.3">
      <c r="A242" s="69"/>
      <c r="B242" s="69"/>
      <c r="C242" s="90"/>
      <c r="D242" s="90"/>
      <c r="E242" s="90"/>
      <c r="F242" s="90"/>
      <c r="Z242" s="101"/>
      <c r="AA242" s="101"/>
      <c r="AB242" s="101"/>
      <c r="AC242" s="101"/>
      <c r="AD242" s="101"/>
      <c r="AE242" s="101"/>
      <c r="AF242" s="101"/>
      <c r="AG242" s="101"/>
      <c r="AH242" s="101"/>
      <c r="AI242" s="101"/>
      <c r="AJ242" s="101"/>
      <c r="AK242" s="101"/>
      <c r="AL242" s="101"/>
      <c r="AM242" s="101"/>
      <c r="AN242" s="101"/>
    </row>
    <row r="243" spans="1:40" ht="16.5" customHeight="1" x14ac:dyDescent="0.3">
      <c r="A243" s="69"/>
      <c r="B243" s="69"/>
      <c r="C243" s="69"/>
      <c r="D243" s="69"/>
      <c r="E243" s="69"/>
      <c r="F243" s="69"/>
      <c r="Z243" s="101"/>
      <c r="AA243" s="101"/>
      <c r="AB243" s="101"/>
      <c r="AC243" s="101"/>
      <c r="AD243" s="101"/>
      <c r="AE243" s="101"/>
      <c r="AF243" s="101"/>
      <c r="AG243" s="101"/>
      <c r="AH243" s="101"/>
      <c r="AI243" s="101"/>
      <c r="AJ243" s="101"/>
      <c r="AK243" s="101"/>
      <c r="AL243" s="101"/>
      <c r="AM243" s="101"/>
      <c r="AN243" s="101"/>
    </row>
    <row r="244" spans="1:40" ht="16.5" customHeight="1" x14ac:dyDescent="0.3">
      <c r="A244" s="69"/>
      <c r="B244" s="69"/>
      <c r="C244" s="69"/>
      <c r="D244" s="69"/>
      <c r="E244" s="69"/>
      <c r="F244" s="69"/>
      <c r="Z244" s="101"/>
      <c r="AA244" s="101"/>
      <c r="AB244" s="101"/>
      <c r="AC244" s="101"/>
      <c r="AD244" s="101"/>
      <c r="AE244" s="101"/>
      <c r="AF244" s="101"/>
      <c r="AG244" s="101"/>
      <c r="AH244" s="101"/>
      <c r="AI244" s="101"/>
      <c r="AJ244" s="101"/>
      <c r="AK244" s="101"/>
      <c r="AL244" s="101"/>
      <c r="AM244" s="101"/>
      <c r="AN244" s="101"/>
    </row>
    <row r="245" spans="1:40" ht="16.5" customHeight="1" x14ac:dyDescent="0.3">
      <c r="A245" s="69"/>
      <c r="B245" s="69"/>
      <c r="C245" s="69"/>
      <c r="D245" s="69"/>
      <c r="E245" s="69"/>
      <c r="F245" s="69"/>
      <c r="Z245" s="101"/>
      <c r="AA245" s="101"/>
      <c r="AB245" s="101"/>
      <c r="AC245" s="101"/>
      <c r="AD245" s="101"/>
      <c r="AE245" s="101"/>
      <c r="AF245" s="101"/>
      <c r="AG245" s="101"/>
      <c r="AH245" s="101"/>
      <c r="AI245" s="101"/>
      <c r="AJ245" s="101"/>
      <c r="AK245" s="101"/>
      <c r="AL245" s="101"/>
      <c r="AM245" s="101"/>
      <c r="AN245" s="101"/>
    </row>
    <row r="246" spans="1:40" ht="16.5" customHeight="1" x14ac:dyDescent="0.3">
      <c r="A246" s="69"/>
      <c r="B246" s="69"/>
      <c r="C246" s="69"/>
      <c r="D246" s="69"/>
      <c r="E246" s="69"/>
      <c r="F246" s="69"/>
      <c r="Z246" s="101"/>
      <c r="AA246" s="101"/>
      <c r="AB246" s="101"/>
      <c r="AC246" s="101"/>
      <c r="AD246" s="101"/>
      <c r="AE246" s="101"/>
      <c r="AF246" s="101"/>
      <c r="AG246" s="101"/>
      <c r="AH246" s="101"/>
      <c r="AI246" s="101"/>
      <c r="AJ246" s="101"/>
      <c r="AK246" s="101"/>
      <c r="AL246" s="101"/>
      <c r="AM246" s="101"/>
      <c r="AN246" s="101"/>
    </row>
    <row r="247" spans="1:40" ht="16.5" customHeight="1" x14ac:dyDescent="0.3">
      <c r="A247" s="69"/>
      <c r="B247" s="69"/>
      <c r="C247" s="69"/>
      <c r="D247" s="69"/>
      <c r="E247" s="69"/>
      <c r="F247" s="69"/>
      <c r="Z247" s="101"/>
      <c r="AA247" s="101"/>
      <c r="AB247" s="101"/>
      <c r="AC247" s="101"/>
      <c r="AD247" s="101"/>
      <c r="AE247" s="101"/>
      <c r="AF247" s="101"/>
      <c r="AG247" s="101"/>
      <c r="AH247" s="101"/>
      <c r="AI247" s="101"/>
      <c r="AJ247" s="101"/>
      <c r="AK247" s="101"/>
      <c r="AL247" s="101"/>
      <c r="AM247" s="101"/>
      <c r="AN247" s="101"/>
    </row>
    <row r="248" spans="1:40" ht="16.5" customHeight="1" x14ac:dyDescent="0.3">
      <c r="A248" s="69"/>
      <c r="B248" s="69"/>
      <c r="C248" s="69"/>
      <c r="D248" s="69"/>
      <c r="E248" s="69"/>
      <c r="F248" s="69"/>
      <c r="Z248" s="101"/>
      <c r="AA248" s="101"/>
      <c r="AB248" s="101"/>
      <c r="AC248" s="101"/>
      <c r="AD248" s="101"/>
      <c r="AE248" s="101"/>
      <c r="AF248" s="101"/>
      <c r="AG248" s="101"/>
      <c r="AH248" s="101"/>
      <c r="AI248" s="101"/>
      <c r="AJ248" s="101"/>
      <c r="AK248" s="101"/>
      <c r="AL248" s="101"/>
      <c r="AM248" s="101"/>
      <c r="AN248" s="101"/>
    </row>
    <row r="249" spans="1:40" ht="16.5" customHeight="1" x14ac:dyDescent="0.3">
      <c r="A249" s="69"/>
      <c r="B249" s="69"/>
      <c r="C249" s="69"/>
      <c r="D249" s="69"/>
      <c r="E249" s="69"/>
      <c r="F249" s="69"/>
      <c r="Z249" s="101"/>
      <c r="AA249" s="101"/>
      <c r="AB249" s="101"/>
      <c r="AC249" s="101"/>
      <c r="AD249" s="101"/>
      <c r="AE249" s="101"/>
      <c r="AF249" s="101"/>
      <c r="AG249" s="101"/>
      <c r="AH249" s="101"/>
      <c r="AI249" s="101"/>
      <c r="AJ249" s="101"/>
      <c r="AK249" s="101"/>
      <c r="AL249" s="101"/>
      <c r="AM249" s="101"/>
      <c r="AN249" s="101"/>
    </row>
    <row r="250" spans="1:40" ht="16.5" customHeight="1" x14ac:dyDescent="0.3">
      <c r="A250" s="69"/>
      <c r="B250" s="69"/>
      <c r="C250" s="69"/>
      <c r="D250" s="69"/>
      <c r="E250" s="69"/>
      <c r="F250" s="69"/>
      <c r="Z250" s="101"/>
      <c r="AA250" s="101"/>
      <c r="AB250" s="101"/>
      <c r="AC250" s="101"/>
      <c r="AD250" s="101"/>
      <c r="AE250" s="101"/>
      <c r="AF250" s="101"/>
      <c r="AG250" s="101"/>
      <c r="AH250" s="101"/>
      <c r="AI250" s="101"/>
      <c r="AJ250" s="101"/>
      <c r="AK250" s="101"/>
      <c r="AL250" s="101"/>
      <c r="AM250" s="101"/>
      <c r="AN250" s="101"/>
    </row>
    <row r="251" spans="1:40" ht="16.5" customHeight="1" x14ac:dyDescent="0.3">
      <c r="A251" s="69"/>
      <c r="B251" s="69"/>
      <c r="C251" s="69"/>
      <c r="D251" s="69"/>
      <c r="E251" s="69"/>
      <c r="F251" s="69"/>
      <c r="Z251" s="101"/>
      <c r="AA251" s="101"/>
      <c r="AB251" s="101"/>
      <c r="AC251" s="101"/>
      <c r="AD251" s="101"/>
      <c r="AE251" s="101"/>
      <c r="AF251" s="101"/>
      <c r="AG251" s="101"/>
      <c r="AH251" s="101"/>
      <c r="AI251" s="101"/>
      <c r="AJ251" s="101"/>
      <c r="AK251" s="101"/>
      <c r="AL251" s="101"/>
      <c r="AM251" s="101"/>
      <c r="AN251" s="101"/>
    </row>
    <row r="252" spans="1:40" ht="16.5" customHeight="1" x14ac:dyDescent="0.3">
      <c r="A252" s="69"/>
      <c r="B252" s="69"/>
      <c r="C252" s="69"/>
      <c r="D252" s="69"/>
      <c r="E252" s="69"/>
      <c r="F252" s="69"/>
      <c r="Z252" s="101"/>
      <c r="AA252" s="101"/>
      <c r="AB252" s="101"/>
      <c r="AC252" s="101"/>
      <c r="AD252" s="101"/>
      <c r="AE252" s="101"/>
      <c r="AF252" s="101"/>
      <c r="AG252" s="101"/>
      <c r="AH252" s="101"/>
      <c r="AI252" s="101"/>
      <c r="AJ252" s="101"/>
      <c r="AK252" s="101"/>
      <c r="AL252" s="101"/>
      <c r="AM252" s="101"/>
      <c r="AN252" s="101"/>
    </row>
    <row r="253" spans="1:40" ht="16.5" customHeight="1" x14ac:dyDescent="0.3">
      <c r="A253" s="74"/>
      <c r="B253" s="74"/>
      <c r="C253" s="74"/>
      <c r="D253" s="74"/>
      <c r="E253" s="74"/>
      <c r="F253" s="74"/>
      <c r="Z253" s="101"/>
      <c r="AA253" s="101"/>
      <c r="AB253" s="101"/>
      <c r="AC253" s="101"/>
      <c r="AD253" s="101"/>
      <c r="AE253" s="101"/>
      <c r="AF253" s="101"/>
      <c r="AG253" s="101"/>
      <c r="AH253" s="101"/>
      <c r="AI253" s="101"/>
      <c r="AJ253" s="101"/>
      <c r="AK253" s="101"/>
      <c r="AL253" s="101"/>
      <c r="AM253" s="101"/>
      <c r="AN253" s="101"/>
    </row>
    <row r="254" spans="1:40" ht="16.5" customHeight="1" x14ac:dyDescent="0.3">
      <c r="A254" s="150" t="s">
        <v>1477</v>
      </c>
      <c r="B254" s="143"/>
      <c r="C254" s="47">
        <f>E254+D254+F254</f>
        <v>16712</v>
      </c>
      <c r="D254" s="46">
        <f>ROUNDDOWN(SUMIF(N207:N241,M254,D207:D241),0)</f>
        <v>15861</v>
      </c>
      <c r="E254" s="55">
        <f>ROUNDDOWN(SUMIF(N207:N241,M254,E207:E241),0)</f>
        <v>471</v>
      </c>
      <c r="F254" s="47">
        <f>ROUNDDOWN(SUMIF(N207:N241,M254,F207:F241),0)</f>
        <v>380</v>
      </c>
      <c r="M254" s="35" t="s">
        <v>1209</v>
      </c>
      <c r="Z254" s="101"/>
      <c r="AA254" s="101"/>
      <c r="AB254" s="101"/>
      <c r="AC254" s="101"/>
      <c r="AD254" s="101"/>
      <c r="AE254" s="101"/>
      <c r="AF254" s="101"/>
      <c r="AG254" s="101"/>
      <c r="AH254" s="101"/>
      <c r="AI254" s="101"/>
      <c r="AJ254" s="101"/>
      <c r="AK254" s="101"/>
      <c r="AL254" s="101"/>
      <c r="AM254" s="101"/>
      <c r="AN254" s="101"/>
    </row>
    <row r="255" spans="1:40" ht="16.5" customHeight="1" x14ac:dyDescent="0.3">
      <c r="A255" s="86" t="s">
        <v>30</v>
      </c>
      <c r="B255" s="88" t="s">
        <v>30</v>
      </c>
      <c r="C255" s="151">
        <f>C304</f>
        <v>4262</v>
      </c>
      <c r="D255" s="151">
        <f>D304</f>
        <v>2818</v>
      </c>
      <c r="E255" s="151">
        <f>E304</f>
        <v>900</v>
      </c>
      <c r="F255" s="151">
        <f>F304</f>
        <v>544</v>
      </c>
      <c r="G255" s="84" t="str">
        <f>HYPERLINK("#G"&amp;ROW(G302),"_x0005_`BDCOD|D02638_x0007_`POSS|"&amp;ROW(G257)&amp;"_x0007_`POSE|"&amp;ROW(G302)&amp;"_x0007_`")</f>
        <v>_x0005_`BDCOD|D02638_x0007_`POSS|257_x0007_`POSE|302_x0007_`</v>
      </c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</row>
    <row r="256" spans="1:40" ht="16.5" customHeight="1" x14ac:dyDescent="0.3">
      <c r="A256" s="87"/>
      <c r="B256" s="88" t="s">
        <v>138</v>
      </c>
      <c r="C256" s="136"/>
      <c r="D256" s="136"/>
      <c r="E256" s="136"/>
      <c r="F256" s="136"/>
      <c r="M256" s="35" t="s">
        <v>1555</v>
      </c>
      <c r="Z256" s="101"/>
      <c r="AA256" s="101"/>
      <c r="AB256" s="101"/>
      <c r="AC256" s="101"/>
      <c r="AD256" s="101"/>
      <c r="AE256" s="101"/>
      <c r="AF256" s="101"/>
      <c r="AG256" s="101"/>
      <c r="AH256" s="101"/>
      <c r="AI256" s="101"/>
      <c r="AJ256" s="101"/>
      <c r="AK256" s="101"/>
      <c r="AL256" s="101"/>
      <c r="AM256" s="101"/>
      <c r="AN256" s="101"/>
    </row>
    <row r="257" spans="1:40" ht="16.5" customHeight="1" x14ac:dyDescent="0.3">
      <c r="A257" s="69"/>
      <c r="B257" s="69"/>
      <c r="C257" s="90"/>
      <c r="D257" s="90"/>
      <c r="E257" s="90"/>
      <c r="F257" s="90"/>
      <c r="G257" s="17" t="s">
        <v>1405</v>
      </c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</row>
    <row r="258" spans="1:40" ht="16.5" customHeight="1" x14ac:dyDescent="0.3">
      <c r="A258" s="59"/>
      <c r="B258" s="68" t="s">
        <v>1557</v>
      </c>
      <c r="C258" s="69"/>
      <c r="D258" s="69"/>
      <c r="E258" s="69"/>
      <c r="F258" s="69"/>
      <c r="G258" s="17" t="s">
        <v>1556</v>
      </c>
      <c r="Z258" s="101"/>
      <c r="AA258" s="101"/>
      <c r="AB258" s="101"/>
      <c r="AC258" s="101"/>
      <c r="AD258" s="101"/>
      <c r="AE258" s="101"/>
      <c r="AF258" s="101"/>
      <c r="AG258" s="101"/>
      <c r="AH258" s="101"/>
      <c r="AI258" s="101"/>
      <c r="AJ258" s="101"/>
      <c r="AK258" s="101"/>
      <c r="AL258" s="101"/>
      <c r="AM258" s="101"/>
      <c r="AN258" s="101"/>
    </row>
    <row r="259" spans="1:40" ht="16.5" customHeight="1" x14ac:dyDescent="0.3">
      <c r="A259" s="69"/>
      <c r="B259" s="69"/>
      <c r="C259" s="69"/>
      <c r="D259" s="69"/>
      <c r="E259" s="69"/>
      <c r="F259" s="69"/>
      <c r="G259" s="17" t="s">
        <v>1405</v>
      </c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</row>
    <row r="260" spans="1:40" ht="16.5" customHeight="1" x14ac:dyDescent="0.3">
      <c r="A260" s="59"/>
      <c r="B260" s="68" t="s">
        <v>1559</v>
      </c>
      <c r="C260" s="69"/>
      <c r="D260" s="69"/>
      <c r="E260" s="69"/>
      <c r="F260" s="69"/>
      <c r="G260" s="17" t="s">
        <v>1558</v>
      </c>
      <c r="Z260" s="101"/>
      <c r="AA260" s="101"/>
      <c r="AB260" s="101"/>
      <c r="AC260" s="101"/>
      <c r="AD260" s="101"/>
      <c r="AE260" s="101"/>
      <c r="AF260" s="101"/>
      <c r="AG260" s="101"/>
      <c r="AH260" s="101"/>
      <c r="AI260" s="101"/>
      <c r="AJ260" s="101"/>
      <c r="AK260" s="101"/>
      <c r="AL260" s="101"/>
      <c r="AM260" s="101"/>
      <c r="AN260" s="101"/>
    </row>
    <row r="261" spans="1:40" ht="16.5" customHeight="1" x14ac:dyDescent="0.3">
      <c r="A261" s="69"/>
      <c r="B261" s="69"/>
      <c r="C261" s="69"/>
      <c r="D261" s="69"/>
      <c r="E261" s="69"/>
      <c r="F261" s="69"/>
      <c r="G261" s="17" t="s">
        <v>1405</v>
      </c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</row>
    <row r="262" spans="1:40" ht="16.5" customHeight="1" x14ac:dyDescent="0.3">
      <c r="A262" s="59"/>
      <c r="B262" s="68" t="str">
        <f>"   q= "&amp;Z262&amp;",  f= "&amp;AD262&amp;"/"&amp;AF262&amp;"= "&amp;AH262&amp;","</f>
        <v xml:space="preserve">   q= 0.4,  f= 1/1.25= 0.800,</v>
      </c>
      <c r="C262" s="69"/>
      <c r="D262" s="69"/>
      <c r="E262" s="69"/>
      <c r="F262" s="69"/>
      <c r="G262" s="17" t="s">
        <v>1560</v>
      </c>
      <c r="Z262" s="104">
        <v>0.4</v>
      </c>
      <c r="AA262" s="35" t="s">
        <v>1410</v>
      </c>
      <c r="AB262" s="103">
        <f>Z262</f>
        <v>0.4</v>
      </c>
      <c r="AC262" s="105" t="s">
        <v>1453</v>
      </c>
      <c r="AD262" s="102">
        <v>1</v>
      </c>
      <c r="AE262" s="35" t="s">
        <v>1413</v>
      </c>
      <c r="AF262" s="104">
        <v>1.25</v>
      </c>
      <c r="AG262" s="35" t="s">
        <v>1410</v>
      </c>
      <c r="AH262" s="103" t="str">
        <f>TEXT(ROUND(AD262/AF262,3),"#,0.000")</f>
        <v>0.800</v>
      </c>
      <c r="AI262" s="105" t="s">
        <v>1453</v>
      </c>
      <c r="AJ262" s="101"/>
      <c r="AK262" s="101"/>
      <c r="AL262" s="101"/>
      <c r="AM262" s="101"/>
      <c r="AN262" s="101"/>
    </row>
    <row r="263" spans="1:40" ht="16.5" customHeight="1" x14ac:dyDescent="0.3">
      <c r="A263" s="69"/>
      <c r="B263" s="69"/>
      <c r="C263" s="69"/>
      <c r="D263" s="69"/>
      <c r="E263" s="69"/>
      <c r="F263" s="69"/>
      <c r="G263" s="17" t="s">
        <v>1405</v>
      </c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</row>
    <row r="264" spans="1:40" ht="16.5" customHeight="1" x14ac:dyDescent="0.3">
      <c r="A264" s="59"/>
      <c r="B264" s="68" t="str">
        <f>"   E="&amp;Z264&amp;" {((모래(보통0.75)+(자갈섞인 흙(보통)0.65))/2} = "&amp;AB264&amp;""</f>
        <v xml:space="preserve">   E=0.7 {((모래(보통0.75)+(자갈섞인 흙(보통)0.65))/2} = 0.700</v>
      </c>
      <c r="C264" s="69"/>
      <c r="D264" s="69"/>
      <c r="E264" s="69"/>
      <c r="F264" s="69"/>
      <c r="G264" s="17" t="s">
        <v>1561</v>
      </c>
      <c r="Z264" s="104">
        <v>0.7</v>
      </c>
      <c r="AA264" s="35" t="s">
        <v>1410</v>
      </c>
      <c r="AB264" s="103" t="str">
        <f>TEXT(ROUND(Z264,3),"#,0.000")</f>
        <v>0.700</v>
      </c>
      <c r="AC264" s="101"/>
      <c r="AD264" s="101"/>
      <c r="AE264" s="101"/>
      <c r="AF264" s="101"/>
      <c r="AG264" s="101"/>
      <c r="AH264" s="101"/>
      <c r="AI264" s="101"/>
      <c r="AJ264" s="101"/>
      <c r="AK264" s="101"/>
      <c r="AL264" s="101"/>
      <c r="AM264" s="101"/>
      <c r="AN264" s="101"/>
    </row>
    <row r="265" spans="1:40" ht="16.5" customHeight="1" x14ac:dyDescent="0.3">
      <c r="A265" s="69"/>
      <c r="B265" s="69"/>
      <c r="C265" s="69"/>
      <c r="D265" s="69"/>
      <c r="E265" s="69"/>
      <c r="F265" s="69"/>
      <c r="G265" s="17" t="s">
        <v>1405</v>
      </c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</row>
    <row r="266" spans="1:40" ht="16.5" customHeight="1" x14ac:dyDescent="0.3">
      <c r="A266" s="59"/>
      <c r="B266" s="68" t="str">
        <f>"   K= "&amp;Z266&amp;" , Cm= "&amp;AD266&amp;" sec (90˚) "</f>
        <v xml:space="preserve">   K= 0.9 , Cm= 15 sec (90˚) </v>
      </c>
      <c r="C266" s="69"/>
      <c r="D266" s="69"/>
      <c r="E266" s="69"/>
      <c r="F266" s="69"/>
      <c r="G266" s="17" t="s">
        <v>1562</v>
      </c>
      <c r="Z266" s="104">
        <v>0.9</v>
      </c>
      <c r="AA266" s="35" t="s">
        <v>1410</v>
      </c>
      <c r="AB266" s="103">
        <f>Z266</f>
        <v>0.9</v>
      </c>
      <c r="AC266" s="105" t="s">
        <v>1453</v>
      </c>
      <c r="AD266" s="102">
        <v>15</v>
      </c>
      <c r="AE266" s="35" t="s">
        <v>1410</v>
      </c>
      <c r="AF266" s="103">
        <f>AD266</f>
        <v>15</v>
      </c>
      <c r="AG266" s="101"/>
      <c r="AH266" s="101"/>
      <c r="AI266" s="101"/>
      <c r="AJ266" s="101"/>
      <c r="AK266" s="101"/>
      <c r="AL266" s="101"/>
      <c r="AM266" s="101"/>
      <c r="AN266" s="101"/>
    </row>
    <row r="267" spans="1:40" ht="16.5" customHeight="1" x14ac:dyDescent="0.3">
      <c r="A267" s="69"/>
      <c r="B267" s="69"/>
      <c r="C267" s="69"/>
      <c r="D267" s="69"/>
      <c r="E267" s="69"/>
      <c r="F267" s="69"/>
      <c r="G267" s="17" t="s">
        <v>1405</v>
      </c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</row>
    <row r="268" spans="1:40" ht="16.5" customHeight="1" x14ac:dyDescent="0.3">
      <c r="A268" s="59"/>
      <c r="B268" s="68" t="str">
        <f>"   Q = "&amp;Z268&amp;"*q*K*f*E/Cm = "&amp;AL268&amp;" m3/hr "</f>
        <v xml:space="preserve">   Q = 3600*q*K*f*E/Cm = 48.384 m3/hr </v>
      </c>
      <c r="C268" s="69"/>
      <c r="D268" s="69"/>
      <c r="E268" s="69"/>
      <c r="F268" s="69"/>
      <c r="G268" s="17" t="s">
        <v>1563</v>
      </c>
      <c r="Z268" s="102">
        <v>3600</v>
      </c>
      <c r="AA268" s="35" t="s">
        <v>1436</v>
      </c>
      <c r="AB268" s="103">
        <f>AB262</f>
        <v>0.4</v>
      </c>
      <c r="AC268" s="35" t="s">
        <v>1436</v>
      </c>
      <c r="AD268" s="103">
        <f>AB266</f>
        <v>0.9</v>
      </c>
      <c r="AE268" s="35" t="s">
        <v>1436</v>
      </c>
      <c r="AF268" s="103" t="str">
        <f>AH262</f>
        <v>0.800</v>
      </c>
      <c r="AG268" s="35" t="s">
        <v>1436</v>
      </c>
      <c r="AH268" s="103" t="str">
        <f>AB264</f>
        <v>0.700</v>
      </c>
      <c r="AI268" s="35" t="s">
        <v>1413</v>
      </c>
      <c r="AJ268" s="103">
        <f>AF266</f>
        <v>15</v>
      </c>
      <c r="AK268" s="35" t="s">
        <v>1410</v>
      </c>
      <c r="AL268" s="103" t="str">
        <f>TEXT(ROUND(Z268*AB262*AB266*AH262*AB264/AF266,3),"#,0.000")</f>
        <v>48.384</v>
      </c>
      <c r="AM268" s="101"/>
      <c r="AN268" s="101"/>
    </row>
    <row r="269" spans="1:40" ht="16.5" customHeight="1" x14ac:dyDescent="0.3">
      <c r="A269" s="69"/>
      <c r="B269" s="69"/>
      <c r="C269" s="69"/>
      <c r="D269" s="69"/>
      <c r="E269" s="69"/>
      <c r="F269" s="69"/>
      <c r="G269" s="17" t="s">
        <v>1405</v>
      </c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</row>
    <row r="270" spans="1:40" ht="16.5" customHeight="1" x14ac:dyDescent="0.3">
      <c r="A270" s="69"/>
      <c r="B270" s="69"/>
      <c r="C270" s="69"/>
      <c r="D270" s="69"/>
      <c r="E270" s="69"/>
      <c r="F270" s="69"/>
      <c r="G270" s="17" t="s">
        <v>1405</v>
      </c>
      <c r="Z270" s="101"/>
      <c r="AA270" s="101"/>
      <c r="AB270" s="101"/>
      <c r="AC270" s="101"/>
      <c r="AD270" s="101"/>
      <c r="AE270" s="101"/>
      <c r="AF270" s="101"/>
      <c r="AG270" s="101"/>
      <c r="AH270" s="101"/>
      <c r="AI270" s="101"/>
      <c r="AJ270" s="101"/>
      <c r="AK270" s="101"/>
      <c r="AL270" s="101"/>
      <c r="AM270" s="101"/>
      <c r="AN270" s="101"/>
    </row>
    <row r="271" spans="1:40" ht="16.5" customHeight="1" x14ac:dyDescent="0.3">
      <c r="A271" s="59" t="s">
        <v>1543</v>
      </c>
      <c r="B271" s="89" t="str">
        <f>"   노무비: "&amp;TEXT(I271,"#,##0"&amp;IF(I271&lt;&gt;INT(I271),".###",""))&amp;" / Q * "&amp;AC271&amp;" = "&amp;TEXT(C271,"#,##0.0")&amp;""</f>
        <v xml:space="preserve">   노무비: 59,020 / Q * 0.9 = 1,097.8</v>
      </c>
      <c r="C271" s="91">
        <f>E271+D271+F271</f>
        <v>1097.8</v>
      </c>
      <c r="D271" s="91">
        <f>IF(H271=0,0,ROUNDDOWN(J271*H271,1))</f>
        <v>1097.8</v>
      </c>
      <c r="E271" s="91">
        <f>IF(H271=0,0,ROUNDDOWN(K271*H271,1))</f>
        <v>0</v>
      </c>
      <c r="F271" s="91">
        <f>IF(H271=0,0,ROUNDDOWN(L271*H271,1))</f>
        <v>0</v>
      </c>
      <c r="G271" s="17" t="s">
        <v>1564</v>
      </c>
      <c r="H271" s="97">
        <f>ROUNDUP(AE271,14-LEN(ABS(INT(AE271))))</f>
        <v>1.86011904762E-2</v>
      </c>
      <c r="I271" s="98">
        <f>K271+J271+L271</f>
        <v>59020</v>
      </c>
      <c r="J271" s="38">
        <f>중기목록표!F6</f>
        <v>59020</v>
      </c>
      <c r="M271" s="35" t="s">
        <v>1544</v>
      </c>
      <c r="N271" s="35" t="s">
        <v>1262</v>
      </c>
      <c r="X271" s="100" t="str">
        <f>중기목록표!B6&amp;" / "&amp;중기목록표!C6</f>
        <v>굴착기(무한궤도) / 0.4㎥</v>
      </c>
      <c r="Y271" s="3" t="str">
        <f ca="1">HYPERLINK("#"&amp;중기목록표!J2&amp;"!A"&amp;ROW(중기목록표!A6),"중기3 →")</f>
        <v>중기3 →</v>
      </c>
      <c r="Z271" s="35" t="s">
        <v>1417</v>
      </c>
      <c r="AA271" s="103" t="str">
        <f>AL268</f>
        <v>48.384</v>
      </c>
      <c r="AB271" s="35" t="s">
        <v>1436</v>
      </c>
      <c r="AC271" s="104">
        <v>0.9</v>
      </c>
      <c r="AD271" s="35" t="s">
        <v>1410</v>
      </c>
      <c r="AE271" s="103">
        <f>1/AL268*AC271</f>
        <v>1.8601190476190476E-2</v>
      </c>
      <c r="AF271" s="101"/>
      <c r="AG271" s="101"/>
      <c r="AH271" s="101"/>
      <c r="AI271" s="101"/>
      <c r="AJ271" s="101"/>
      <c r="AK271" s="101"/>
      <c r="AL271" s="101"/>
      <c r="AM271" s="101"/>
      <c r="AN271" s="101"/>
    </row>
    <row r="272" spans="1:40" ht="16.5" customHeight="1" x14ac:dyDescent="0.3">
      <c r="A272" s="69"/>
      <c r="B272" s="69"/>
      <c r="C272" s="69"/>
      <c r="D272" s="69"/>
      <c r="E272" s="69"/>
      <c r="F272" s="69"/>
      <c r="G272" s="17" t="s">
        <v>1405</v>
      </c>
      <c r="Z272" s="101"/>
      <c r="AA272" s="101"/>
      <c r="AB272" s="101"/>
      <c r="AC272" s="101"/>
      <c r="AD272" s="101"/>
      <c r="AE272" s="101"/>
      <c r="AF272" s="101"/>
      <c r="AG272" s="101"/>
      <c r="AH272" s="101"/>
      <c r="AI272" s="101"/>
      <c r="AJ272" s="101"/>
      <c r="AK272" s="101"/>
      <c r="AL272" s="101"/>
      <c r="AM272" s="101"/>
      <c r="AN272" s="101"/>
    </row>
    <row r="273" spans="1:40" ht="16.5" customHeight="1" x14ac:dyDescent="0.3">
      <c r="A273" s="59" t="s">
        <v>1546</v>
      </c>
      <c r="B273" s="89" t="str">
        <f>"   재료비: "&amp;TEXT(I273,"#,##0"&amp;IF(I273&lt;&gt;INT(I273),".###",""))&amp;" / Q * "&amp;AC273&amp;" = "&amp;TEXT(C273,"#,##0.0")&amp;""</f>
        <v xml:space="preserve">   재료비: 21,728 / Q * 0.9 = 404.1</v>
      </c>
      <c r="C273" s="91">
        <f>E273+D273+F273</f>
        <v>404.1</v>
      </c>
      <c r="D273" s="91">
        <f>IF(H273=0,0,ROUNDDOWN(J273*H273,1))</f>
        <v>0</v>
      </c>
      <c r="E273" s="91">
        <f>IF(H273=0,0,ROUNDDOWN(K273*H273,1))</f>
        <v>404.1</v>
      </c>
      <c r="F273" s="91">
        <f>IF(H273=0,0,ROUNDDOWN(L273*H273,1))</f>
        <v>0</v>
      </c>
      <c r="G273" s="17" t="s">
        <v>1565</v>
      </c>
      <c r="H273" s="97">
        <f>ROUNDUP(AE273,14-LEN(ABS(INT(AE273))))</f>
        <v>1.86011904762E-2</v>
      </c>
      <c r="I273" s="98">
        <f>K273+J273+L273</f>
        <v>21728</v>
      </c>
      <c r="K273" s="38">
        <f>중기목록표!G6</f>
        <v>21728</v>
      </c>
      <c r="M273" s="35" t="s">
        <v>1544</v>
      </c>
      <c r="N273" s="35" t="s">
        <v>1262</v>
      </c>
      <c r="X273" s="100" t="str">
        <f>중기목록표!B6&amp;" / "&amp;중기목록표!C6</f>
        <v>굴착기(무한궤도) / 0.4㎥</v>
      </c>
      <c r="Y273" s="3" t="str">
        <f ca="1">HYPERLINK("#"&amp;중기목록표!J2&amp;"!A"&amp;ROW(중기목록표!A6),"중기3 →")</f>
        <v>중기3 →</v>
      </c>
      <c r="Z273" s="35" t="s">
        <v>1417</v>
      </c>
      <c r="AA273" s="103" t="str">
        <f>AL268</f>
        <v>48.384</v>
      </c>
      <c r="AB273" s="35" t="s">
        <v>1436</v>
      </c>
      <c r="AC273" s="104">
        <v>0.9</v>
      </c>
      <c r="AD273" s="35" t="s">
        <v>1410</v>
      </c>
      <c r="AE273" s="103">
        <f>1/AL268*AC273</f>
        <v>1.8601190476190476E-2</v>
      </c>
      <c r="AF273" s="101"/>
      <c r="AG273" s="101"/>
      <c r="AH273" s="101"/>
      <c r="AI273" s="101"/>
      <c r="AJ273" s="101"/>
      <c r="AK273" s="101"/>
      <c r="AL273" s="101"/>
      <c r="AM273" s="101"/>
      <c r="AN273" s="101"/>
    </row>
    <row r="274" spans="1:40" ht="16.5" customHeight="1" x14ac:dyDescent="0.3">
      <c r="A274" s="69"/>
      <c r="B274" s="69"/>
      <c r="C274" s="69"/>
      <c r="D274" s="69"/>
      <c r="E274" s="69"/>
      <c r="F274" s="69"/>
      <c r="G274" s="17" t="s">
        <v>1405</v>
      </c>
      <c r="Z274" s="101"/>
      <c r="AA274" s="101"/>
      <c r="AB274" s="101"/>
      <c r="AC274" s="101"/>
      <c r="AD274" s="101"/>
      <c r="AE274" s="101"/>
      <c r="AF274" s="101"/>
      <c r="AG274" s="101"/>
      <c r="AH274" s="101"/>
      <c r="AI274" s="101"/>
      <c r="AJ274" s="101"/>
      <c r="AK274" s="101"/>
      <c r="AL274" s="101"/>
      <c r="AM274" s="101"/>
      <c r="AN274" s="101"/>
    </row>
    <row r="275" spans="1:40" ht="16.5" customHeight="1" x14ac:dyDescent="0.3">
      <c r="A275" s="59" t="s">
        <v>1548</v>
      </c>
      <c r="B275" s="89" t="str">
        <f>"   경  비: "&amp;TEXT(I275,"#,##0"&amp;IF(I275&lt;&gt;INT(I275),".###",""))&amp;" / Q * "&amp;AC275&amp;" = "&amp;TEXT(C275,"#,##0.0")&amp;""</f>
        <v xml:space="preserve">   경  비: 17,514 / Q * 0.9 = 325.7</v>
      </c>
      <c r="C275" s="91">
        <f>E275+D275+F275</f>
        <v>325.7</v>
      </c>
      <c r="D275" s="91">
        <f>IF(H275=0,0,ROUNDDOWN(J275*H275,1))</f>
        <v>0</v>
      </c>
      <c r="E275" s="91">
        <f>IF(H275=0,0,ROUNDDOWN(K275*H275,1))</f>
        <v>0</v>
      </c>
      <c r="F275" s="91">
        <f>IF(H275=0,0,ROUNDDOWN(L275*H275,1))</f>
        <v>325.7</v>
      </c>
      <c r="G275" s="17" t="s">
        <v>1566</v>
      </c>
      <c r="H275" s="97">
        <f>ROUNDUP(AE275,14-LEN(ABS(INT(AE275))))</f>
        <v>1.86011904762E-2</v>
      </c>
      <c r="I275" s="98">
        <f>K275+J275+L275</f>
        <v>17514</v>
      </c>
      <c r="L275" s="38">
        <f>중기목록표!H6</f>
        <v>17514</v>
      </c>
      <c r="M275" s="35" t="s">
        <v>1544</v>
      </c>
      <c r="N275" s="35" t="s">
        <v>1262</v>
      </c>
      <c r="X275" s="100" t="str">
        <f>중기목록표!B6&amp;" / "&amp;중기목록표!C6</f>
        <v>굴착기(무한궤도) / 0.4㎥</v>
      </c>
      <c r="Y275" s="3" t="str">
        <f ca="1">HYPERLINK("#"&amp;중기목록표!J2&amp;"!A"&amp;ROW(중기목록표!A6),"중기3 →")</f>
        <v>중기3 →</v>
      </c>
      <c r="Z275" s="35" t="s">
        <v>1417</v>
      </c>
      <c r="AA275" s="103" t="str">
        <f>AL268</f>
        <v>48.384</v>
      </c>
      <c r="AB275" s="35" t="s">
        <v>1436</v>
      </c>
      <c r="AC275" s="104">
        <v>0.9</v>
      </c>
      <c r="AD275" s="35" t="s">
        <v>1410</v>
      </c>
      <c r="AE275" s="103">
        <f>1/AL268*AC275</f>
        <v>1.8601190476190476E-2</v>
      </c>
      <c r="AF275" s="101"/>
      <c r="AG275" s="101"/>
      <c r="AH275" s="101"/>
      <c r="AI275" s="101"/>
      <c r="AJ275" s="101"/>
      <c r="AK275" s="101"/>
      <c r="AL275" s="101"/>
      <c r="AM275" s="101"/>
      <c r="AN275" s="101"/>
    </row>
    <row r="276" spans="1:40" ht="16.5" customHeight="1" x14ac:dyDescent="0.3">
      <c r="A276" s="69"/>
      <c r="B276" s="69"/>
      <c r="C276" s="69"/>
      <c r="D276" s="69"/>
      <c r="E276" s="69"/>
      <c r="F276" s="69"/>
      <c r="G276" s="17" t="s">
        <v>1405</v>
      </c>
      <c r="Z276" s="101"/>
      <c r="AA276" s="101"/>
      <c r="AB276" s="101"/>
      <c r="AC276" s="101"/>
      <c r="AD276" s="101"/>
      <c r="AE276" s="101"/>
      <c r="AF276" s="101"/>
      <c r="AG276" s="101"/>
      <c r="AH276" s="101"/>
      <c r="AI276" s="101"/>
      <c r="AJ276" s="101"/>
      <c r="AK276" s="101"/>
      <c r="AL276" s="101"/>
      <c r="AM276" s="101"/>
      <c r="AN276" s="101"/>
    </row>
    <row r="277" spans="1:40" ht="16.5" customHeight="1" x14ac:dyDescent="0.3">
      <c r="A277" s="59"/>
      <c r="B277" s="68" t="s">
        <v>1260</v>
      </c>
      <c r="C277" s="92">
        <f>E277+D277+F277</f>
        <v>1827.6000000000001</v>
      </c>
      <c r="D277" s="92">
        <f>SUMIF(N257:N276,M277,D257:D276)</f>
        <v>1097.8</v>
      </c>
      <c r="E277" s="92">
        <f>SUMIF(N257:N276,M277,E257:E276)</f>
        <v>404.1</v>
      </c>
      <c r="F277" s="92">
        <f>SUMIF(N257:N276,M277,F257:F276)</f>
        <v>325.7</v>
      </c>
      <c r="G277" s="17" t="s">
        <v>1430</v>
      </c>
      <c r="M277" s="35" t="s">
        <v>1262</v>
      </c>
      <c r="N277" s="35" t="s">
        <v>1253</v>
      </c>
      <c r="Z277" s="101"/>
      <c r="AA277" s="101"/>
      <c r="AB277" s="101"/>
      <c r="AC277" s="101"/>
      <c r="AD277" s="101"/>
      <c r="AE277" s="101"/>
      <c r="AF277" s="101"/>
      <c r="AG277" s="101"/>
      <c r="AH277" s="101"/>
      <c r="AI277" s="101"/>
      <c r="AJ277" s="101"/>
      <c r="AK277" s="101"/>
      <c r="AL277" s="101"/>
      <c r="AM277" s="101"/>
      <c r="AN277" s="101"/>
    </row>
    <row r="278" spans="1:40" ht="16.5" customHeight="1" x14ac:dyDescent="0.3">
      <c r="A278" s="69"/>
      <c r="B278" s="69"/>
      <c r="C278" s="90"/>
      <c r="D278" s="90"/>
      <c r="E278" s="90"/>
      <c r="F278" s="90"/>
      <c r="G278" s="17" t="s">
        <v>1405</v>
      </c>
      <c r="Z278" s="101"/>
      <c r="AA278" s="101"/>
      <c r="AB278" s="101"/>
      <c r="AC278" s="101"/>
      <c r="AD278" s="101"/>
      <c r="AE278" s="101"/>
      <c r="AF278" s="101"/>
      <c r="AG278" s="101"/>
      <c r="AH278" s="101"/>
      <c r="AI278" s="101"/>
      <c r="AJ278" s="101"/>
      <c r="AK278" s="101"/>
      <c r="AL278" s="101"/>
      <c r="AM278" s="101"/>
      <c r="AN278" s="101"/>
    </row>
    <row r="279" spans="1:40" ht="16.5" customHeight="1" x14ac:dyDescent="0.3">
      <c r="A279" s="59"/>
      <c r="B279" s="68" t="s">
        <v>1568</v>
      </c>
      <c r="C279" s="69"/>
      <c r="D279" s="69"/>
      <c r="E279" s="69"/>
      <c r="F279" s="69"/>
      <c r="G279" s="17" t="s">
        <v>1567</v>
      </c>
      <c r="Z279" s="101"/>
      <c r="AA279" s="101"/>
      <c r="AB279" s="101"/>
      <c r="AC279" s="101"/>
      <c r="AD279" s="101"/>
      <c r="AE279" s="101"/>
      <c r="AF279" s="101"/>
      <c r="AG279" s="101"/>
      <c r="AH279" s="101"/>
      <c r="AI279" s="101"/>
      <c r="AJ279" s="101"/>
      <c r="AK279" s="101"/>
      <c r="AL279" s="101"/>
      <c r="AM279" s="101"/>
      <c r="AN279" s="101"/>
    </row>
    <row r="280" spans="1:40" ht="16.5" customHeight="1" x14ac:dyDescent="0.3">
      <c r="A280" s="69"/>
      <c r="B280" s="69"/>
      <c r="C280" s="69"/>
      <c r="D280" s="69"/>
      <c r="E280" s="69"/>
      <c r="F280" s="69"/>
      <c r="G280" s="17" t="s">
        <v>1405</v>
      </c>
      <c r="Z280" s="101"/>
      <c r="AA280" s="101"/>
      <c r="AB280" s="101"/>
      <c r="AC280" s="101"/>
      <c r="AD280" s="101"/>
      <c r="AE280" s="101"/>
      <c r="AF280" s="101"/>
      <c r="AG280" s="101"/>
      <c r="AH280" s="101"/>
      <c r="AI280" s="101"/>
      <c r="AJ280" s="101"/>
      <c r="AK280" s="101"/>
      <c r="AL280" s="101"/>
      <c r="AM280" s="101"/>
      <c r="AN280" s="101"/>
    </row>
    <row r="281" spans="1:40" ht="16.5" customHeight="1" x14ac:dyDescent="0.3">
      <c r="A281" s="59" t="s">
        <v>1419</v>
      </c>
      <c r="B281" s="89" t="str">
        <f>"   인    부: "&amp;Z281&amp;" 인 *"&amp;TEXT(I281,"#,##0"&amp;IF(I281&lt;&gt;INT(I281),".###",""))&amp;" *"&amp;AB281&amp;"= "&amp;TEXT(C281,"#,##0.0")&amp;""</f>
        <v xml:space="preserve">   인    부: 0.1 인 *172,068 *0.1= 1,720.6</v>
      </c>
      <c r="C281" s="91">
        <f>E281+D281+F281</f>
        <v>1720.6</v>
      </c>
      <c r="D281" s="91">
        <f>IF(H281=0,0,ROUNDDOWN(J281*H281,1))</f>
        <v>1720.6</v>
      </c>
      <c r="E281" s="91">
        <f>IF(H281=0,0,ROUNDDOWN(K281*H281,1))</f>
        <v>0</v>
      </c>
      <c r="F281" s="91">
        <f>IF(H281=0,0,ROUNDDOWN(L281*H281,1))</f>
        <v>0</v>
      </c>
      <c r="G281" s="17" t="s">
        <v>1569</v>
      </c>
      <c r="H281" s="97">
        <f>ROUNDUP(AD281,14-LEN(ABS(INT(AD281))))</f>
        <v>0.01</v>
      </c>
      <c r="I281" s="98">
        <f>K281+J281+L281</f>
        <v>172068</v>
      </c>
      <c r="J281" s="38">
        <f>노무비목록표!E8</f>
        <v>172068</v>
      </c>
      <c r="M281" s="35" t="s">
        <v>1219</v>
      </c>
      <c r="N281" s="35" t="s">
        <v>1262</v>
      </c>
      <c r="X281" s="100" t="str">
        <f>노무비목록표!B8&amp;" / "&amp;노무비목록표!C8</f>
        <v xml:space="preserve">보통인부 / </v>
      </c>
      <c r="Y281" s="3" t="str">
        <f ca="1">HYPERLINK("#"&amp;노무비목록표!G2&amp;"!A"&amp;ROW(노무비목록표!A8),"노무5 →")</f>
        <v>노무5 →</v>
      </c>
      <c r="Z281" s="104">
        <v>0.1</v>
      </c>
      <c r="AA281" s="35" t="s">
        <v>1570</v>
      </c>
      <c r="AB281" s="104">
        <v>0.1</v>
      </c>
      <c r="AC281" s="35" t="s">
        <v>1410</v>
      </c>
      <c r="AD281" s="103">
        <f>Z281*1*AB281</f>
        <v>1.0000000000000002E-2</v>
      </c>
      <c r="AE281" s="101"/>
      <c r="AF281" s="101"/>
      <c r="AG281" s="101"/>
      <c r="AH281" s="101"/>
      <c r="AI281" s="101"/>
      <c r="AJ281" s="101"/>
      <c r="AK281" s="101"/>
      <c r="AL281" s="101"/>
      <c r="AM281" s="101"/>
      <c r="AN281" s="101"/>
    </row>
    <row r="282" spans="1:40" ht="16.5" customHeight="1" x14ac:dyDescent="0.3">
      <c r="A282" s="69"/>
      <c r="B282" s="69"/>
      <c r="C282" s="69"/>
      <c r="D282" s="69"/>
      <c r="E282" s="69"/>
      <c r="F282" s="69"/>
      <c r="G282" s="17" t="s">
        <v>1405</v>
      </c>
      <c r="Z282" s="101"/>
      <c r="AA282" s="101"/>
      <c r="AB282" s="101"/>
      <c r="AC282" s="101"/>
      <c r="AD282" s="101"/>
      <c r="AE282" s="101"/>
      <c r="AF282" s="101"/>
      <c r="AG282" s="101"/>
      <c r="AH282" s="101"/>
      <c r="AI282" s="101"/>
      <c r="AJ282" s="101"/>
      <c r="AK282" s="101"/>
      <c r="AL282" s="101"/>
      <c r="AM282" s="101"/>
      <c r="AN282" s="101"/>
    </row>
    <row r="283" spans="1:40" ht="16.5" customHeight="1" x14ac:dyDescent="0.3">
      <c r="A283" s="59"/>
      <c r="B283" s="68" t="s">
        <v>1260</v>
      </c>
      <c r="C283" s="92">
        <f>E283+D283+F283</f>
        <v>1720.6</v>
      </c>
      <c r="D283" s="92">
        <f>SUMIF(N278:N282,M283,D278:D282)</f>
        <v>1720.6</v>
      </c>
      <c r="E283" s="92">
        <f>SUMIF(N278:N282,M283,E278:E282)</f>
        <v>0</v>
      </c>
      <c r="F283" s="92">
        <f>SUMIF(N278:N282,M283,F278:F282)</f>
        <v>0</v>
      </c>
      <c r="G283" s="17" t="s">
        <v>1430</v>
      </c>
      <c r="M283" s="35" t="s">
        <v>1262</v>
      </c>
      <c r="N283" s="35" t="s">
        <v>1253</v>
      </c>
      <c r="Z283" s="101"/>
      <c r="AA283" s="101"/>
      <c r="AB283" s="101"/>
      <c r="AC283" s="101"/>
      <c r="AD283" s="101"/>
      <c r="AE283" s="101"/>
      <c r="AF283" s="101"/>
      <c r="AG283" s="101"/>
      <c r="AH283" s="101"/>
      <c r="AI283" s="101"/>
      <c r="AJ283" s="101"/>
      <c r="AK283" s="101"/>
      <c r="AL283" s="101"/>
      <c r="AM283" s="101"/>
      <c r="AN283" s="101"/>
    </row>
    <row r="284" spans="1:40" ht="16.5" customHeight="1" x14ac:dyDescent="0.3">
      <c r="A284" s="69"/>
      <c r="B284" s="69"/>
      <c r="C284" s="90"/>
      <c r="D284" s="90"/>
      <c r="E284" s="90"/>
      <c r="F284" s="90"/>
      <c r="G284" s="17" t="s">
        <v>1405</v>
      </c>
      <c r="Z284" s="101"/>
      <c r="AA284" s="101"/>
      <c r="AB284" s="101"/>
      <c r="AC284" s="101"/>
      <c r="AD284" s="101"/>
      <c r="AE284" s="101"/>
      <c r="AF284" s="101"/>
      <c r="AG284" s="101"/>
      <c r="AH284" s="101"/>
      <c r="AI284" s="101"/>
      <c r="AJ284" s="101"/>
      <c r="AK284" s="101"/>
      <c r="AL284" s="101"/>
      <c r="AM284" s="101"/>
      <c r="AN284" s="101"/>
    </row>
    <row r="285" spans="1:40" ht="16.5" customHeight="1" x14ac:dyDescent="0.3">
      <c r="A285" s="59"/>
      <c r="B285" s="68" t="s">
        <v>1572</v>
      </c>
      <c r="C285" s="69"/>
      <c r="D285" s="69"/>
      <c r="E285" s="69"/>
      <c r="F285" s="69"/>
      <c r="G285" s="17" t="s">
        <v>1571</v>
      </c>
      <c r="Z285" s="101"/>
      <c r="AA285" s="101"/>
      <c r="AB285" s="101"/>
      <c r="AC285" s="101"/>
      <c r="AD285" s="101"/>
      <c r="AE285" s="101"/>
      <c r="AF285" s="101"/>
      <c r="AG285" s="101"/>
      <c r="AH285" s="101"/>
      <c r="AI285" s="101"/>
      <c r="AJ285" s="101"/>
      <c r="AK285" s="101"/>
      <c r="AL285" s="101"/>
      <c r="AM285" s="101"/>
      <c r="AN285" s="101"/>
    </row>
    <row r="286" spans="1:40" ht="16.5" customHeight="1" x14ac:dyDescent="0.3">
      <c r="A286" s="69"/>
      <c r="B286" s="69"/>
      <c r="C286" s="69"/>
      <c r="D286" s="69"/>
      <c r="E286" s="69"/>
      <c r="F286" s="69"/>
      <c r="G286" s="17" t="s">
        <v>1405</v>
      </c>
      <c r="Z286" s="101"/>
      <c r="AA286" s="101"/>
      <c r="AB286" s="101"/>
      <c r="AC286" s="101"/>
      <c r="AD286" s="101"/>
      <c r="AE286" s="101"/>
      <c r="AF286" s="101"/>
      <c r="AG286" s="101"/>
      <c r="AH286" s="101"/>
      <c r="AI286" s="101"/>
      <c r="AJ286" s="101"/>
      <c r="AK286" s="101"/>
      <c r="AL286" s="101"/>
      <c r="AM286" s="101"/>
      <c r="AN286" s="101"/>
    </row>
    <row r="287" spans="1:40" ht="16.5" customHeight="1" x14ac:dyDescent="0.3">
      <c r="A287" s="59"/>
      <c r="B287" s="68" t="str">
        <f>"     V="&amp;Z287&amp;",    W="&amp;AD287&amp;",    E="&amp;AH287&amp;""</f>
        <v xml:space="preserve">     V=1,    W=0.45,    E=0.6</v>
      </c>
      <c r="C287" s="69"/>
      <c r="D287" s="69"/>
      <c r="E287" s="69"/>
      <c r="F287" s="69"/>
      <c r="G287" s="17" t="s">
        <v>1573</v>
      </c>
      <c r="Z287" s="102">
        <v>1</v>
      </c>
      <c r="AA287" s="35" t="s">
        <v>1410</v>
      </c>
      <c r="AB287" s="103">
        <f>Z287</f>
        <v>1</v>
      </c>
      <c r="AC287" s="105" t="s">
        <v>1453</v>
      </c>
      <c r="AD287" s="104">
        <v>0.45</v>
      </c>
      <c r="AE287" s="35" t="s">
        <v>1410</v>
      </c>
      <c r="AF287" s="103">
        <f>AD287</f>
        <v>0.45</v>
      </c>
      <c r="AG287" s="105" t="s">
        <v>1453</v>
      </c>
      <c r="AH287" s="104">
        <v>0.6</v>
      </c>
      <c r="AI287" s="35" t="s">
        <v>1410</v>
      </c>
      <c r="AJ287" s="103">
        <f>AH287</f>
        <v>0.6</v>
      </c>
      <c r="AK287" s="101"/>
      <c r="AL287" s="101"/>
      <c r="AM287" s="101"/>
      <c r="AN287" s="101"/>
    </row>
    <row r="288" spans="1:40" ht="16.5" customHeight="1" x14ac:dyDescent="0.3">
      <c r="A288" s="69"/>
      <c r="B288" s="69"/>
      <c r="C288" s="69"/>
      <c r="D288" s="69"/>
      <c r="E288" s="69"/>
      <c r="F288" s="69"/>
      <c r="G288" s="17" t="s">
        <v>1405</v>
      </c>
      <c r="Z288" s="101"/>
      <c r="AA288" s="101"/>
      <c r="AB288" s="101"/>
      <c r="AC288" s="101"/>
      <c r="AD288" s="101"/>
      <c r="AE288" s="101"/>
      <c r="AF288" s="101"/>
      <c r="AG288" s="101"/>
      <c r="AH288" s="101"/>
      <c r="AI288" s="101"/>
      <c r="AJ288" s="101"/>
      <c r="AK288" s="101"/>
      <c r="AL288" s="101"/>
      <c r="AM288" s="101"/>
      <c r="AN288" s="101"/>
    </row>
    <row r="289" spans="1:40" ht="16.5" customHeight="1" x14ac:dyDescent="0.3">
      <c r="A289" s="59"/>
      <c r="B289" s="68" t="str">
        <f>"     D="&amp;Z289&amp;" M , f="&amp;AD289&amp;",    N="&amp;AH289&amp;" 회 "</f>
        <v xml:space="preserve">     D=0.1 M , f=1,    N=3 회 </v>
      </c>
      <c r="C289" s="69"/>
      <c r="D289" s="69"/>
      <c r="E289" s="69"/>
      <c r="F289" s="69"/>
      <c r="G289" s="17" t="s">
        <v>1574</v>
      </c>
      <c r="Z289" s="104">
        <v>0.1</v>
      </c>
      <c r="AA289" s="35" t="s">
        <v>1410</v>
      </c>
      <c r="AB289" s="103">
        <f>Z289</f>
        <v>0.1</v>
      </c>
      <c r="AC289" s="105" t="s">
        <v>1453</v>
      </c>
      <c r="AD289" s="102">
        <v>1</v>
      </c>
      <c r="AE289" s="35" t="s">
        <v>1410</v>
      </c>
      <c r="AF289" s="103">
        <f>AD289</f>
        <v>1</v>
      </c>
      <c r="AG289" s="105" t="s">
        <v>1453</v>
      </c>
      <c r="AH289" s="102">
        <v>3</v>
      </c>
      <c r="AI289" s="35" t="s">
        <v>1410</v>
      </c>
      <c r="AJ289" s="103">
        <f>AH289</f>
        <v>3</v>
      </c>
      <c r="AK289" s="101"/>
      <c r="AL289" s="101"/>
      <c r="AM289" s="101"/>
      <c r="AN289" s="101"/>
    </row>
    <row r="290" spans="1:40" ht="16.5" customHeight="1" x14ac:dyDescent="0.3">
      <c r="A290" s="69"/>
      <c r="B290" s="69"/>
      <c r="C290" s="69"/>
      <c r="D290" s="69"/>
      <c r="E290" s="69"/>
      <c r="F290" s="69"/>
      <c r="G290" s="17" t="s">
        <v>1405</v>
      </c>
      <c r="Z290" s="101"/>
      <c r="AA290" s="101"/>
      <c r="AB290" s="101"/>
      <c r="AC290" s="101"/>
      <c r="AD290" s="101"/>
      <c r="AE290" s="101"/>
      <c r="AF290" s="101"/>
      <c r="AG290" s="101"/>
      <c r="AH290" s="101"/>
      <c r="AI290" s="101"/>
      <c r="AJ290" s="101"/>
      <c r="AK290" s="101"/>
      <c r="AL290" s="101"/>
      <c r="AM290" s="101"/>
      <c r="AN290" s="101"/>
    </row>
    <row r="291" spans="1:40" ht="16.5" customHeight="1" x14ac:dyDescent="0.3">
      <c r="A291" s="59"/>
      <c r="B291" s="68" t="str">
        <f>"     Q="&amp;Z291&amp;"*V*W*E*D*f/N= "&amp;AN291&amp;" ㎥/Hr "</f>
        <v xml:space="preserve">     Q=1000*V*W*E*D*f/N= 9.000 ㎥/Hr </v>
      </c>
      <c r="C291" s="69"/>
      <c r="D291" s="69"/>
      <c r="E291" s="69"/>
      <c r="F291" s="69"/>
      <c r="G291" s="17" t="s">
        <v>1575</v>
      </c>
      <c r="Z291" s="102">
        <v>1000</v>
      </c>
      <c r="AA291" s="35" t="s">
        <v>1436</v>
      </c>
      <c r="AB291" s="103">
        <f>AB287</f>
        <v>1</v>
      </c>
      <c r="AC291" s="35" t="s">
        <v>1436</v>
      </c>
      <c r="AD291" s="103">
        <f>AF287</f>
        <v>0.45</v>
      </c>
      <c r="AE291" s="35" t="s">
        <v>1436</v>
      </c>
      <c r="AF291" s="103">
        <f>AJ287</f>
        <v>0.6</v>
      </c>
      <c r="AG291" s="35" t="s">
        <v>1436</v>
      </c>
      <c r="AH291" s="103">
        <f>AB289</f>
        <v>0.1</v>
      </c>
      <c r="AI291" s="35" t="s">
        <v>1436</v>
      </c>
      <c r="AJ291" s="103">
        <f>AF289</f>
        <v>1</v>
      </c>
      <c r="AK291" s="35" t="s">
        <v>1413</v>
      </c>
      <c r="AL291" s="103">
        <f>AJ289</f>
        <v>3</v>
      </c>
      <c r="AM291" s="35" t="s">
        <v>1410</v>
      </c>
      <c r="AN291" s="103" t="str">
        <f>TEXT(ROUND(Z291*AB287*AF287*AJ287*AB289*AF289/AJ289,3),"#,0.000")</f>
        <v>9.000</v>
      </c>
    </row>
    <row r="292" spans="1:40" ht="16.5" customHeight="1" x14ac:dyDescent="0.3">
      <c r="A292" s="69"/>
      <c r="B292" s="69"/>
      <c r="C292" s="69"/>
      <c r="D292" s="69"/>
      <c r="E292" s="69"/>
      <c r="F292" s="69"/>
      <c r="G292" s="17" t="s">
        <v>1405</v>
      </c>
      <c r="Z292" s="101"/>
      <c r="AA292" s="101"/>
      <c r="AB292" s="101"/>
      <c r="AC292" s="101"/>
      <c r="AD292" s="101"/>
      <c r="AE292" s="101"/>
      <c r="AF292" s="101"/>
      <c r="AG292" s="101"/>
      <c r="AH292" s="101"/>
      <c r="AI292" s="101"/>
      <c r="AJ292" s="101"/>
      <c r="AK292" s="101"/>
      <c r="AL292" s="101"/>
      <c r="AM292" s="101"/>
      <c r="AN292" s="101"/>
    </row>
    <row r="293" spans="1:40" ht="16.5" customHeight="1" x14ac:dyDescent="0.3">
      <c r="A293" s="69"/>
      <c r="B293" s="69"/>
      <c r="C293" s="69"/>
      <c r="D293" s="69"/>
      <c r="E293" s="69"/>
      <c r="F293" s="69"/>
      <c r="G293" s="17" t="s">
        <v>1405</v>
      </c>
      <c r="Z293" s="101"/>
      <c r="AA293" s="101"/>
      <c r="AB293" s="101"/>
      <c r="AC293" s="101"/>
      <c r="AD293" s="101"/>
      <c r="AE293" s="101"/>
      <c r="AF293" s="101"/>
      <c r="AG293" s="101"/>
      <c r="AH293" s="101"/>
      <c r="AI293" s="101"/>
      <c r="AJ293" s="101"/>
      <c r="AK293" s="101"/>
      <c r="AL293" s="101"/>
      <c r="AM293" s="101"/>
      <c r="AN293" s="101"/>
    </row>
    <row r="294" spans="1:40" ht="16.5" customHeight="1" x14ac:dyDescent="0.3">
      <c r="A294" s="59" t="s">
        <v>1577</v>
      </c>
      <c r="B294" s="89" t="str">
        <f>"     노무비 : "&amp;TEXT(I294,"#,##0"&amp;IF(I294&lt;&gt;INT(I294),".###",""))&amp;"/Q= "&amp;TEXT(C294,"#,##0.0")&amp;""</f>
        <v xml:space="preserve">     노무비 : 0/Q= 0.0</v>
      </c>
      <c r="C294" s="91">
        <f>E294+D294+F294</f>
        <v>0</v>
      </c>
      <c r="D294" s="91">
        <f>IF(H294=0,0,ROUNDDOWN(J294*H294,1))</f>
        <v>0</v>
      </c>
      <c r="E294" s="91">
        <f>IF(H294=0,0,ROUNDDOWN(K294*H294,1))</f>
        <v>0</v>
      </c>
      <c r="F294" s="91">
        <f>IF(H294=0,0,ROUNDDOWN(L294*H294,1))</f>
        <v>0</v>
      </c>
      <c r="G294" s="17" t="s">
        <v>1576</v>
      </c>
      <c r="H294" s="97">
        <f>ROUNDUP(AC294,14-LEN(ABS(INT(AC294))))</f>
        <v>0.11111111111120001</v>
      </c>
      <c r="I294" s="98">
        <f>K294+J294+L294</f>
        <v>0</v>
      </c>
      <c r="J294" s="38">
        <f>중기목록표!F27</f>
        <v>0</v>
      </c>
      <c r="M294" s="35" t="s">
        <v>1578</v>
      </c>
      <c r="N294" s="35" t="s">
        <v>1262</v>
      </c>
      <c r="X294" s="100" t="str">
        <f>중기목록표!B27&amp;" / "&amp;중기목록표!C27</f>
        <v>진동롤러(핸드가이드식) / 0.7톤</v>
      </c>
      <c r="Y294" s="3" t="str">
        <f ca="1">HYPERLINK("#"&amp;중기목록표!J2&amp;"!A"&amp;ROW(중기목록표!A27),"중기24 →")</f>
        <v>중기24 →</v>
      </c>
      <c r="Z294" s="35" t="s">
        <v>1417</v>
      </c>
      <c r="AA294" s="103" t="str">
        <f>AN291</f>
        <v>9.000</v>
      </c>
      <c r="AB294" s="35" t="s">
        <v>1410</v>
      </c>
      <c r="AC294" s="103">
        <f>1/AN291</f>
        <v>0.1111111111111111</v>
      </c>
      <c r="AD294" s="101"/>
      <c r="AE294" s="101"/>
      <c r="AF294" s="101"/>
      <c r="AG294" s="101"/>
      <c r="AH294" s="101"/>
      <c r="AI294" s="101"/>
      <c r="AJ294" s="101"/>
      <c r="AK294" s="101"/>
      <c r="AL294" s="101"/>
      <c r="AM294" s="101"/>
      <c r="AN294" s="101"/>
    </row>
    <row r="295" spans="1:40" ht="16.5" customHeight="1" x14ac:dyDescent="0.3">
      <c r="A295" s="69"/>
      <c r="B295" s="69"/>
      <c r="C295" s="69"/>
      <c r="D295" s="69"/>
      <c r="E295" s="69"/>
      <c r="F295" s="69"/>
      <c r="G295" s="17" t="s">
        <v>1405</v>
      </c>
      <c r="Z295" s="101"/>
      <c r="AA295" s="101"/>
      <c r="AB295" s="101"/>
      <c r="AC295" s="101"/>
      <c r="AD295" s="101"/>
      <c r="AE295" s="101"/>
      <c r="AF295" s="101"/>
      <c r="AG295" s="101"/>
      <c r="AH295" s="101"/>
      <c r="AI295" s="101"/>
      <c r="AJ295" s="101"/>
      <c r="AK295" s="101"/>
      <c r="AL295" s="101"/>
      <c r="AM295" s="101"/>
      <c r="AN295" s="101"/>
    </row>
    <row r="296" spans="1:40" ht="16.5" customHeight="1" x14ac:dyDescent="0.3">
      <c r="A296" s="59" t="s">
        <v>1580</v>
      </c>
      <c r="B296" s="89" t="str">
        <f>"     재료비 : "&amp;TEXT(I296,"#,##0"&amp;IF(I296&lt;&gt;INT(I296),".###",""))&amp;"/Q= "&amp;TEXT(C296,"#,##0.0")&amp;""</f>
        <v xml:space="preserve">     재료비 : 4,472/Q= 496.8</v>
      </c>
      <c r="C296" s="91">
        <f>E296+D296+F296</f>
        <v>496.8</v>
      </c>
      <c r="D296" s="91">
        <f>IF(H296=0,0,ROUNDDOWN(J296*H296,1))</f>
        <v>0</v>
      </c>
      <c r="E296" s="91">
        <f>IF(H296=0,0,ROUNDDOWN(K296*H296,1))</f>
        <v>496.8</v>
      </c>
      <c r="F296" s="91">
        <f>IF(H296=0,0,ROUNDDOWN(L296*H296,1))</f>
        <v>0</v>
      </c>
      <c r="G296" s="17" t="s">
        <v>1579</v>
      </c>
      <c r="H296" s="97">
        <f>ROUNDUP(AC296,14-LEN(ABS(INT(AC296))))</f>
        <v>0.11111111111120001</v>
      </c>
      <c r="I296" s="98">
        <f>K296+J296+L296</f>
        <v>4472</v>
      </c>
      <c r="K296" s="38">
        <f>중기목록표!G27</f>
        <v>4472</v>
      </c>
      <c r="M296" s="35" t="s">
        <v>1578</v>
      </c>
      <c r="N296" s="35" t="s">
        <v>1262</v>
      </c>
      <c r="X296" s="100" t="str">
        <f>중기목록표!B27&amp;" / "&amp;중기목록표!C27</f>
        <v>진동롤러(핸드가이드식) / 0.7톤</v>
      </c>
      <c r="Y296" s="3" t="str">
        <f ca="1">HYPERLINK("#"&amp;중기목록표!J2&amp;"!A"&amp;ROW(중기목록표!A27),"중기24 →")</f>
        <v>중기24 →</v>
      </c>
      <c r="Z296" s="35" t="s">
        <v>1417</v>
      </c>
      <c r="AA296" s="103" t="str">
        <f>AN291</f>
        <v>9.000</v>
      </c>
      <c r="AB296" s="35" t="s">
        <v>1410</v>
      </c>
      <c r="AC296" s="103">
        <f>1/AN291</f>
        <v>0.1111111111111111</v>
      </c>
      <c r="AD296" s="101"/>
      <c r="AE296" s="101"/>
      <c r="AF296" s="101"/>
      <c r="AG296" s="101"/>
      <c r="AH296" s="101"/>
      <c r="AI296" s="101"/>
      <c r="AJ296" s="101"/>
      <c r="AK296" s="101"/>
      <c r="AL296" s="101"/>
      <c r="AM296" s="101"/>
      <c r="AN296" s="101"/>
    </row>
    <row r="297" spans="1:40" ht="16.5" customHeight="1" x14ac:dyDescent="0.3">
      <c r="A297" s="69"/>
      <c r="B297" s="69"/>
      <c r="C297" s="69"/>
      <c r="D297" s="69"/>
      <c r="E297" s="69"/>
      <c r="F297" s="69"/>
      <c r="G297" s="17" t="s">
        <v>1405</v>
      </c>
      <c r="Z297" s="101"/>
      <c r="AA297" s="101"/>
      <c r="AB297" s="101"/>
      <c r="AC297" s="101"/>
      <c r="AD297" s="101"/>
      <c r="AE297" s="101"/>
      <c r="AF297" s="101"/>
      <c r="AG297" s="101"/>
      <c r="AH297" s="101"/>
      <c r="AI297" s="101"/>
      <c r="AJ297" s="101"/>
      <c r="AK297" s="101"/>
      <c r="AL297" s="101"/>
      <c r="AM297" s="101"/>
      <c r="AN297" s="101"/>
    </row>
    <row r="298" spans="1:40" ht="16.5" customHeight="1" x14ac:dyDescent="0.3">
      <c r="A298" s="59" t="s">
        <v>1582</v>
      </c>
      <c r="B298" s="89" t="str">
        <f>"     경  비 : "&amp;TEXT(I298,"#,##0"&amp;IF(I298&lt;&gt;INT(I298),".###",""))&amp;"/Q= "&amp;TEXT(C298,"#,##0.0")&amp;""</f>
        <v xml:space="preserve">     경  비 : 1,967/Q= 218.5</v>
      </c>
      <c r="C298" s="91">
        <f>E298+D298+F298</f>
        <v>218.5</v>
      </c>
      <c r="D298" s="91">
        <f>IF(H298=0,0,ROUNDDOWN(J298*H298,1))</f>
        <v>0</v>
      </c>
      <c r="E298" s="91">
        <f>IF(H298=0,0,ROUNDDOWN(K298*H298,1))</f>
        <v>0</v>
      </c>
      <c r="F298" s="91">
        <f>IF(H298=0,0,ROUNDDOWN(L298*H298,1))</f>
        <v>218.5</v>
      </c>
      <c r="G298" s="17" t="s">
        <v>1581</v>
      </c>
      <c r="H298" s="97">
        <f>ROUNDUP(AC298,14-LEN(ABS(INT(AC298))))</f>
        <v>0.11111111111120001</v>
      </c>
      <c r="I298" s="98">
        <f>K298+J298+L298</f>
        <v>1967</v>
      </c>
      <c r="L298" s="38">
        <f>중기목록표!H27</f>
        <v>1967</v>
      </c>
      <c r="M298" s="35" t="s">
        <v>1578</v>
      </c>
      <c r="N298" s="35" t="s">
        <v>1262</v>
      </c>
      <c r="X298" s="100" t="str">
        <f>중기목록표!B27&amp;" / "&amp;중기목록표!C27</f>
        <v>진동롤러(핸드가이드식) / 0.7톤</v>
      </c>
      <c r="Y298" s="3" t="str">
        <f ca="1">HYPERLINK("#"&amp;중기목록표!J2&amp;"!A"&amp;ROW(중기목록표!A27),"중기24 →")</f>
        <v>중기24 →</v>
      </c>
      <c r="Z298" s="35" t="s">
        <v>1417</v>
      </c>
      <c r="AA298" s="103" t="str">
        <f>AN291</f>
        <v>9.000</v>
      </c>
      <c r="AB298" s="35" t="s">
        <v>1410</v>
      </c>
      <c r="AC298" s="103">
        <f>1/AN291</f>
        <v>0.1111111111111111</v>
      </c>
      <c r="AD298" s="101"/>
      <c r="AE298" s="101"/>
      <c r="AF298" s="101"/>
      <c r="AG298" s="101"/>
      <c r="AH298" s="101"/>
      <c r="AI298" s="101"/>
      <c r="AJ298" s="101"/>
      <c r="AK298" s="101"/>
      <c r="AL298" s="101"/>
      <c r="AM298" s="101"/>
      <c r="AN298" s="101"/>
    </row>
    <row r="299" spans="1:40" ht="16.5" customHeight="1" x14ac:dyDescent="0.3">
      <c r="A299" s="69"/>
      <c r="B299" s="69"/>
      <c r="C299" s="69"/>
      <c r="D299" s="69"/>
      <c r="E299" s="69"/>
      <c r="F299" s="69"/>
      <c r="G299" s="17" t="s">
        <v>1405</v>
      </c>
      <c r="Z299" s="101"/>
      <c r="AA299" s="101"/>
      <c r="AB299" s="101"/>
      <c r="AC299" s="101"/>
      <c r="AD299" s="101"/>
      <c r="AE299" s="101"/>
      <c r="AF299" s="101"/>
      <c r="AG299" s="101"/>
      <c r="AH299" s="101"/>
      <c r="AI299" s="101"/>
      <c r="AJ299" s="101"/>
      <c r="AK299" s="101"/>
      <c r="AL299" s="101"/>
      <c r="AM299" s="101"/>
      <c r="AN299" s="101"/>
    </row>
    <row r="300" spans="1:40" ht="16.5" customHeight="1" x14ac:dyDescent="0.3">
      <c r="A300" s="59"/>
      <c r="B300" s="68" t="s">
        <v>1260</v>
      </c>
      <c r="C300" s="92">
        <f>E300+D300+F300</f>
        <v>715.3</v>
      </c>
      <c r="D300" s="92">
        <f>SUMIF(N284:N299,M300,D284:D299)</f>
        <v>0</v>
      </c>
      <c r="E300" s="92">
        <f>SUMIF(N284:N299,M300,E284:E299)</f>
        <v>496.8</v>
      </c>
      <c r="F300" s="92">
        <f>SUMIF(N284:N299,M300,F284:F299)</f>
        <v>218.5</v>
      </c>
      <c r="G300" s="17" t="s">
        <v>1430</v>
      </c>
      <c r="M300" s="35" t="s">
        <v>1262</v>
      </c>
      <c r="N300" s="35" t="s">
        <v>1253</v>
      </c>
      <c r="Z300" s="101"/>
      <c r="AA300" s="101"/>
      <c r="AB300" s="101"/>
      <c r="AC300" s="101"/>
      <c r="AD300" s="101"/>
      <c r="AE300" s="101"/>
      <c r="AF300" s="101"/>
      <c r="AG300" s="101"/>
      <c r="AH300" s="101"/>
      <c r="AI300" s="101"/>
      <c r="AJ300" s="101"/>
      <c r="AK300" s="101"/>
      <c r="AL300" s="101"/>
      <c r="AM300" s="101"/>
      <c r="AN300" s="101"/>
    </row>
    <row r="301" spans="1:40" ht="16.5" customHeight="1" x14ac:dyDescent="0.3">
      <c r="A301" s="69"/>
      <c r="B301" s="69"/>
      <c r="C301" s="90"/>
      <c r="D301" s="90"/>
      <c r="E301" s="90"/>
      <c r="F301" s="90"/>
      <c r="G301" s="17" t="s">
        <v>1405</v>
      </c>
      <c r="Z301" s="101"/>
      <c r="AA301" s="101"/>
      <c r="AB301" s="101"/>
      <c r="AC301" s="101"/>
      <c r="AD301" s="101"/>
      <c r="AE301" s="101"/>
      <c r="AF301" s="101"/>
      <c r="AG301" s="101"/>
      <c r="AH301" s="101"/>
      <c r="AI301" s="101"/>
      <c r="AJ301" s="101"/>
      <c r="AK301" s="101"/>
      <c r="AL301" s="101"/>
      <c r="AM301" s="101"/>
      <c r="AN301" s="101"/>
    </row>
    <row r="302" spans="1:40" ht="16.5" customHeight="1" x14ac:dyDescent="0.3">
      <c r="A302" s="59"/>
      <c r="B302" s="68" t="s">
        <v>1251</v>
      </c>
      <c r="C302" s="92">
        <f>E302+D302+F302</f>
        <v>4263.5</v>
      </c>
      <c r="D302" s="92">
        <f>SUMIF(N257:N301,M302,D257:D301)</f>
        <v>2818.3999999999996</v>
      </c>
      <c r="E302" s="92">
        <f>SUMIF(N257:N301,M302,E257:E301)</f>
        <v>900.90000000000009</v>
      </c>
      <c r="F302" s="92">
        <f>SUMIF(N257:N301,M302,F257:F301)</f>
        <v>544.20000000000005</v>
      </c>
      <c r="G302" s="17" t="s">
        <v>1476</v>
      </c>
      <c r="M302" s="35" t="s">
        <v>1253</v>
      </c>
      <c r="N302" s="35" t="s">
        <v>1209</v>
      </c>
      <c r="Z302" s="101"/>
      <c r="AA302" s="101"/>
      <c r="AB302" s="101"/>
      <c r="AC302" s="101"/>
      <c r="AD302" s="101"/>
      <c r="AE302" s="101"/>
      <c r="AF302" s="101"/>
      <c r="AG302" s="101"/>
      <c r="AH302" s="101"/>
      <c r="AI302" s="101"/>
      <c r="AJ302" s="101"/>
      <c r="AK302" s="101"/>
      <c r="AL302" s="101"/>
      <c r="AM302" s="101"/>
      <c r="AN302" s="101"/>
    </row>
    <row r="303" spans="1:40" ht="16.5" customHeight="1" x14ac:dyDescent="0.3">
      <c r="A303" s="74"/>
      <c r="B303" s="74"/>
      <c r="C303" s="95"/>
      <c r="D303" s="95"/>
      <c r="E303" s="95"/>
      <c r="F303" s="95"/>
      <c r="Z303" s="101"/>
      <c r="AA303" s="101"/>
      <c r="AB303" s="101"/>
      <c r="AC303" s="101"/>
      <c r="AD303" s="101"/>
      <c r="AE303" s="101"/>
      <c r="AF303" s="101"/>
      <c r="AG303" s="101"/>
      <c r="AH303" s="101"/>
      <c r="AI303" s="101"/>
      <c r="AJ303" s="101"/>
      <c r="AK303" s="101"/>
      <c r="AL303" s="101"/>
      <c r="AM303" s="101"/>
      <c r="AN303" s="101"/>
    </row>
    <row r="304" spans="1:40" ht="16.5" customHeight="1" x14ac:dyDescent="0.3">
      <c r="A304" s="150" t="s">
        <v>1477</v>
      </c>
      <c r="B304" s="143"/>
      <c r="C304" s="47">
        <f>E304+D304+F304</f>
        <v>4262</v>
      </c>
      <c r="D304" s="46">
        <f>ROUNDDOWN(SUMIF(N257:N302,M304,D257:D302),0)</f>
        <v>2818</v>
      </c>
      <c r="E304" s="55">
        <f>ROUNDDOWN(SUMIF(N257:N302,M304,E257:E302),0)</f>
        <v>900</v>
      </c>
      <c r="F304" s="47">
        <f>ROUNDDOWN(SUMIF(N257:N302,M304,F257:F302),0)</f>
        <v>544</v>
      </c>
      <c r="M304" s="35" t="s">
        <v>1209</v>
      </c>
      <c r="Z304" s="101"/>
      <c r="AA304" s="101"/>
      <c r="AB304" s="101"/>
      <c r="AC304" s="101"/>
      <c r="AD304" s="101"/>
      <c r="AE304" s="101"/>
      <c r="AF304" s="101"/>
      <c r="AG304" s="101"/>
      <c r="AH304" s="101"/>
      <c r="AI304" s="101"/>
      <c r="AJ304" s="101"/>
      <c r="AK304" s="101"/>
      <c r="AL304" s="101"/>
      <c r="AM304" s="101"/>
      <c r="AN304" s="101"/>
    </row>
    <row r="305" spans="1:40" ht="16.5" customHeight="1" x14ac:dyDescent="0.3">
      <c r="A305" s="86" t="s">
        <v>35</v>
      </c>
      <c r="B305" s="88" t="s">
        <v>35</v>
      </c>
      <c r="C305" s="151">
        <f>C354</f>
        <v>5664</v>
      </c>
      <c r="D305" s="151">
        <f>D354</f>
        <v>4928</v>
      </c>
      <c r="E305" s="151">
        <f>E354</f>
        <v>477</v>
      </c>
      <c r="F305" s="151">
        <f>F354</f>
        <v>259</v>
      </c>
      <c r="G305" s="84" t="str">
        <f>HYPERLINK("#G"&amp;ROW(G351),"_x0005_`BDCOD|D03713_x0007_`POSS|"&amp;ROW(G307)&amp;"_x0007_`POSE|"&amp;ROW(G351)&amp;"_x0007_`")</f>
        <v>_x0005_`BDCOD|D03713_x0007_`POSS|307_x0007_`POSE|351_x0007_`</v>
      </c>
      <c r="Z305" s="101"/>
      <c r="AA305" s="101"/>
      <c r="AB305" s="101"/>
      <c r="AC305" s="101"/>
      <c r="AD305" s="101"/>
      <c r="AE305" s="101"/>
      <c r="AF305" s="101"/>
      <c r="AG305" s="101"/>
      <c r="AH305" s="101"/>
      <c r="AI305" s="101"/>
      <c r="AJ305" s="101"/>
      <c r="AK305" s="101"/>
      <c r="AL305" s="101"/>
      <c r="AM305" s="101"/>
      <c r="AN305" s="101"/>
    </row>
    <row r="306" spans="1:40" ht="16.5" customHeight="1" x14ac:dyDescent="0.3">
      <c r="A306" s="87"/>
      <c r="B306" s="88" t="s">
        <v>141</v>
      </c>
      <c r="C306" s="136"/>
      <c r="D306" s="136"/>
      <c r="E306" s="136"/>
      <c r="F306" s="136"/>
      <c r="M306" s="35" t="s">
        <v>1583</v>
      </c>
      <c r="Z306" s="101"/>
      <c r="AA306" s="101"/>
      <c r="AB306" s="101"/>
      <c r="AC306" s="101"/>
      <c r="AD306" s="101"/>
      <c r="AE306" s="101"/>
      <c r="AF306" s="101"/>
      <c r="AG306" s="101"/>
      <c r="AH306" s="101"/>
      <c r="AI306" s="101"/>
      <c r="AJ306" s="101"/>
      <c r="AK306" s="101"/>
      <c r="AL306" s="101"/>
      <c r="AM306" s="101"/>
      <c r="AN306" s="101"/>
    </row>
    <row r="307" spans="1:40" ht="16.5" customHeight="1" x14ac:dyDescent="0.3">
      <c r="A307" s="69"/>
      <c r="B307" s="69"/>
      <c r="C307" s="90"/>
      <c r="D307" s="90"/>
      <c r="E307" s="90"/>
      <c r="F307" s="90"/>
      <c r="G307" s="17" t="s">
        <v>1405</v>
      </c>
      <c r="Z307" s="101"/>
      <c r="AA307" s="101"/>
      <c r="AB307" s="101"/>
      <c r="AC307" s="101"/>
      <c r="AD307" s="101"/>
      <c r="AE307" s="101"/>
      <c r="AF307" s="101"/>
      <c r="AG307" s="101"/>
      <c r="AH307" s="101"/>
      <c r="AI307" s="101"/>
      <c r="AJ307" s="101"/>
      <c r="AK307" s="101"/>
      <c r="AL307" s="101"/>
      <c r="AM307" s="101"/>
      <c r="AN307" s="101"/>
    </row>
    <row r="308" spans="1:40" ht="16.5" customHeight="1" x14ac:dyDescent="0.3">
      <c r="A308" s="59"/>
      <c r="B308" s="68" t="s">
        <v>1585</v>
      </c>
      <c r="C308" s="69"/>
      <c r="D308" s="69"/>
      <c r="E308" s="69"/>
      <c r="F308" s="69"/>
      <c r="G308" s="17" t="s">
        <v>1584</v>
      </c>
      <c r="Z308" s="101"/>
      <c r="AA308" s="101"/>
      <c r="AB308" s="101"/>
      <c r="AC308" s="101"/>
      <c r="AD308" s="101"/>
      <c r="AE308" s="101"/>
      <c r="AF308" s="101"/>
      <c r="AG308" s="101"/>
      <c r="AH308" s="101"/>
      <c r="AI308" s="101"/>
      <c r="AJ308" s="101"/>
      <c r="AK308" s="101"/>
      <c r="AL308" s="101"/>
      <c r="AM308" s="101"/>
      <c r="AN308" s="101"/>
    </row>
    <row r="309" spans="1:40" ht="16.5" customHeight="1" x14ac:dyDescent="0.3">
      <c r="A309" s="69"/>
      <c r="B309" s="69"/>
      <c r="C309" s="69"/>
      <c r="D309" s="69"/>
      <c r="E309" s="69"/>
      <c r="F309" s="69"/>
      <c r="G309" s="17" t="s">
        <v>1405</v>
      </c>
      <c r="Z309" s="101"/>
      <c r="AA309" s="101"/>
      <c r="AB309" s="101"/>
      <c r="AC309" s="101"/>
      <c r="AD309" s="101"/>
      <c r="AE309" s="101"/>
      <c r="AF309" s="101"/>
      <c r="AG309" s="101"/>
      <c r="AH309" s="101"/>
      <c r="AI309" s="101"/>
      <c r="AJ309" s="101"/>
      <c r="AK309" s="101"/>
      <c r="AL309" s="101"/>
      <c r="AM309" s="101"/>
      <c r="AN309" s="101"/>
    </row>
    <row r="310" spans="1:40" ht="16.5" customHeight="1" x14ac:dyDescent="0.3">
      <c r="A310" s="59"/>
      <c r="B310" s="68" t="s">
        <v>1587</v>
      </c>
      <c r="C310" s="69"/>
      <c r="D310" s="69"/>
      <c r="E310" s="69"/>
      <c r="F310" s="69"/>
      <c r="G310" s="17" t="s">
        <v>1586</v>
      </c>
      <c r="Z310" s="101"/>
      <c r="AA310" s="101"/>
      <c r="AB310" s="101"/>
      <c r="AC310" s="101"/>
      <c r="AD310" s="101"/>
      <c r="AE310" s="101"/>
      <c r="AF310" s="101"/>
      <c r="AG310" s="101"/>
      <c r="AH310" s="101"/>
      <c r="AI310" s="101"/>
      <c r="AJ310" s="101"/>
      <c r="AK310" s="101"/>
      <c r="AL310" s="101"/>
      <c r="AM310" s="101"/>
      <c r="AN310" s="101"/>
    </row>
    <row r="311" spans="1:40" ht="16.5" customHeight="1" x14ac:dyDescent="0.3">
      <c r="A311" s="69"/>
      <c r="B311" s="69"/>
      <c r="C311" s="69"/>
      <c r="D311" s="69"/>
      <c r="E311" s="69"/>
      <c r="F311" s="69"/>
      <c r="G311" s="17" t="s">
        <v>1405</v>
      </c>
      <c r="Z311" s="101"/>
      <c r="AA311" s="101"/>
      <c r="AB311" s="101"/>
      <c r="AC311" s="101"/>
      <c r="AD311" s="101"/>
      <c r="AE311" s="101"/>
      <c r="AF311" s="101"/>
      <c r="AG311" s="101"/>
      <c r="AH311" s="101"/>
      <c r="AI311" s="101"/>
      <c r="AJ311" s="101"/>
      <c r="AK311" s="101"/>
      <c r="AL311" s="101"/>
      <c r="AM311" s="101"/>
      <c r="AN311" s="101"/>
    </row>
    <row r="312" spans="1:40" ht="16.5" customHeight="1" x14ac:dyDescent="0.3">
      <c r="A312" s="59"/>
      <c r="B312" s="68" t="str">
        <f>"   q= "&amp;Z312&amp;",  f= "&amp;AD312&amp;"/"&amp;AF312&amp;"= "&amp;AH312&amp;","</f>
        <v xml:space="preserve">   q= 0.4,  f= 1/1.15= 0.870,</v>
      </c>
      <c r="C312" s="69"/>
      <c r="D312" s="69"/>
      <c r="E312" s="69"/>
      <c r="F312" s="69"/>
      <c r="G312" s="17" t="s">
        <v>1588</v>
      </c>
      <c r="Z312" s="104">
        <v>0.4</v>
      </c>
      <c r="AA312" s="35" t="s">
        <v>1410</v>
      </c>
      <c r="AB312" s="103">
        <f>Z312</f>
        <v>0.4</v>
      </c>
      <c r="AC312" s="105" t="s">
        <v>1453</v>
      </c>
      <c r="AD312" s="102">
        <v>1</v>
      </c>
      <c r="AE312" s="35" t="s">
        <v>1413</v>
      </c>
      <c r="AF312" s="104">
        <v>1.1499999999999999</v>
      </c>
      <c r="AG312" s="35" t="s">
        <v>1410</v>
      </c>
      <c r="AH312" s="103" t="str">
        <f>TEXT(ROUND(AD312/AF312,3),"#,0.000")</f>
        <v>0.870</v>
      </c>
      <c r="AI312" s="105" t="s">
        <v>1453</v>
      </c>
      <c r="AJ312" s="101"/>
      <c r="AK312" s="101"/>
      <c r="AL312" s="101"/>
      <c r="AM312" s="101"/>
      <c r="AN312" s="101"/>
    </row>
    <row r="313" spans="1:40" ht="16.5" customHeight="1" x14ac:dyDescent="0.3">
      <c r="A313" s="69"/>
      <c r="B313" s="69"/>
      <c r="C313" s="69"/>
      <c r="D313" s="69"/>
      <c r="E313" s="69"/>
      <c r="F313" s="69"/>
      <c r="G313" s="17" t="s">
        <v>1405</v>
      </c>
      <c r="Z313" s="101"/>
      <c r="AA313" s="101"/>
      <c r="AB313" s="101"/>
      <c r="AC313" s="101"/>
      <c r="AD313" s="101"/>
      <c r="AE313" s="101"/>
      <c r="AF313" s="101"/>
      <c r="AG313" s="101"/>
      <c r="AH313" s="101"/>
      <c r="AI313" s="101"/>
      <c r="AJ313" s="101"/>
      <c r="AK313" s="101"/>
      <c r="AL313" s="101"/>
      <c r="AM313" s="101"/>
      <c r="AN313" s="101"/>
    </row>
    <row r="314" spans="1:40" ht="16.5" customHeight="1" x14ac:dyDescent="0.3">
      <c r="A314" s="59"/>
      <c r="B314" s="68" t="str">
        <f>"   E="&amp;Z314&amp;""</f>
        <v xml:space="preserve">   E=0.9</v>
      </c>
      <c r="C314" s="69"/>
      <c r="D314" s="69"/>
      <c r="E314" s="69"/>
      <c r="F314" s="69"/>
      <c r="G314" s="17" t="s">
        <v>1589</v>
      </c>
      <c r="Z314" s="104">
        <v>0.9</v>
      </c>
      <c r="AA314" s="35" t="s">
        <v>1410</v>
      </c>
      <c r="AB314" s="103">
        <f>Z314</f>
        <v>0.9</v>
      </c>
      <c r="AC314" s="101"/>
      <c r="AD314" s="101"/>
      <c r="AE314" s="101"/>
      <c r="AF314" s="101"/>
      <c r="AG314" s="101"/>
      <c r="AH314" s="101"/>
      <c r="AI314" s="101"/>
      <c r="AJ314" s="101"/>
      <c r="AK314" s="101"/>
      <c r="AL314" s="101"/>
      <c r="AM314" s="101"/>
      <c r="AN314" s="101"/>
    </row>
    <row r="315" spans="1:40" ht="16.5" customHeight="1" x14ac:dyDescent="0.3">
      <c r="A315" s="69"/>
      <c r="B315" s="69"/>
      <c r="C315" s="69"/>
      <c r="D315" s="69"/>
      <c r="E315" s="69"/>
      <c r="F315" s="69"/>
      <c r="G315" s="17" t="s">
        <v>1405</v>
      </c>
      <c r="Z315" s="101"/>
      <c r="AA315" s="101"/>
      <c r="AB315" s="101"/>
      <c r="AC315" s="101"/>
      <c r="AD315" s="101"/>
      <c r="AE315" s="101"/>
      <c r="AF315" s="101"/>
      <c r="AG315" s="101"/>
      <c r="AH315" s="101"/>
      <c r="AI315" s="101"/>
      <c r="AJ315" s="101"/>
      <c r="AK315" s="101"/>
      <c r="AL315" s="101"/>
      <c r="AM315" s="101"/>
      <c r="AN315" s="101"/>
    </row>
    <row r="316" spans="1:40" ht="16.5" customHeight="1" x14ac:dyDescent="0.3">
      <c r="A316" s="59"/>
      <c r="B316" s="68" t="str">
        <f>"   K= "&amp;Z316&amp;" , Cm= "&amp;AD316&amp;" sec (90˚) "</f>
        <v xml:space="preserve">   K= 1.1 , Cm= 15 sec (90˚) </v>
      </c>
      <c r="C316" s="69"/>
      <c r="D316" s="69"/>
      <c r="E316" s="69"/>
      <c r="F316" s="69"/>
      <c r="G316" s="17" t="s">
        <v>1590</v>
      </c>
      <c r="Z316" s="104">
        <v>1.1000000000000001</v>
      </c>
      <c r="AA316" s="35" t="s">
        <v>1410</v>
      </c>
      <c r="AB316" s="103">
        <f>Z316</f>
        <v>1.1000000000000001</v>
      </c>
      <c r="AC316" s="105" t="s">
        <v>1453</v>
      </c>
      <c r="AD316" s="102">
        <v>15</v>
      </c>
      <c r="AE316" s="35" t="s">
        <v>1410</v>
      </c>
      <c r="AF316" s="103">
        <f>AD316</f>
        <v>15</v>
      </c>
      <c r="AG316" s="101"/>
      <c r="AH316" s="101"/>
      <c r="AI316" s="101"/>
      <c r="AJ316" s="101"/>
      <c r="AK316" s="101"/>
      <c r="AL316" s="101"/>
      <c r="AM316" s="101"/>
      <c r="AN316" s="101"/>
    </row>
    <row r="317" spans="1:40" ht="16.5" customHeight="1" x14ac:dyDescent="0.3">
      <c r="A317" s="69"/>
      <c r="B317" s="69"/>
      <c r="C317" s="69"/>
      <c r="D317" s="69"/>
      <c r="E317" s="69"/>
      <c r="F317" s="69"/>
      <c r="G317" s="17" t="s">
        <v>1405</v>
      </c>
      <c r="Z317" s="101"/>
      <c r="AA317" s="101"/>
      <c r="AB317" s="101"/>
      <c r="AC317" s="101"/>
      <c r="AD317" s="101"/>
      <c r="AE317" s="101"/>
      <c r="AF317" s="101"/>
      <c r="AG317" s="101"/>
      <c r="AH317" s="101"/>
      <c r="AI317" s="101"/>
      <c r="AJ317" s="101"/>
      <c r="AK317" s="101"/>
      <c r="AL317" s="101"/>
      <c r="AM317" s="101"/>
      <c r="AN317" s="101"/>
    </row>
    <row r="318" spans="1:40" ht="16.5" customHeight="1" x14ac:dyDescent="0.3">
      <c r="A318" s="59"/>
      <c r="B318" s="68" t="str">
        <f>"   Q = "&amp;Z318&amp;"*q*K*f*E/Cm = "&amp;AL318&amp;" m3/hr "</f>
        <v xml:space="preserve">   Q = 3600*q*K*f*E/Cm = 82.685 m3/hr </v>
      </c>
      <c r="C318" s="69"/>
      <c r="D318" s="69"/>
      <c r="E318" s="69"/>
      <c r="F318" s="69"/>
      <c r="G318" s="17" t="s">
        <v>1563</v>
      </c>
      <c r="Z318" s="102">
        <v>3600</v>
      </c>
      <c r="AA318" s="35" t="s">
        <v>1436</v>
      </c>
      <c r="AB318" s="103">
        <f>AB312</f>
        <v>0.4</v>
      </c>
      <c r="AC318" s="35" t="s">
        <v>1436</v>
      </c>
      <c r="AD318" s="103">
        <f>AB316</f>
        <v>1.1000000000000001</v>
      </c>
      <c r="AE318" s="35" t="s">
        <v>1436</v>
      </c>
      <c r="AF318" s="103" t="str">
        <f>AH312</f>
        <v>0.870</v>
      </c>
      <c r="AG318" s="35" t="s">
        <v>1436</v>
      </c>
      <c r="AH318" s="103">
        <f>AB314</f>
        <v>0.9</v>
      </c>
      <c r="AI318" s="35" t="s">
        <v>1413</v>
      </c>
      <c r="AJ318" s="103">
        <f>AF316</f>
        <v>15</v>
      </c>
      <c r="AK318" s="35" t="s">
        <v>1410</v>
      </c>
      <c r="AL318" s="103" t="str">
        <f>TEXT(ROUND(Z318*AB312*AB316*AH312*AB314/AF316,3),"#,0.000")</f>
        <v>82.685</v>
      </c>
      <c r="AM318" s="101"/>
      <c r="AN318" s="101"/>
    </row>
    <row r="319" spans="1:40" ht="16.5" customHeight="1" x14ac:dyDescent="0.3">
      <c r="A319" s="69"/>
      <c r="B319" s="69"/>
      <c r="C319" s="69"/>
      <c r="D319" s="69"/>
      <c r="E319" s="69"/>
      <c r="F319" s="69"/>
      <c r="G319" s="17" t="s">
        <v>1405</v>
      </c>
      <c r="Z319" s="101"/>
      <c r="AA319" s="101"/>
      <c r="AB319" s="101"/>
      <c r="AC319" s="101"/>
      <c r="AD319" s="101"/>
      <c r="AE319" s="101"/>
      <c r="AF319" s="101"/>
      <c r="AG319" s="101"/>
      <c r="AH319" s="101"/>
      <c r="AI319" s="101"/>
      <c r="AJ319" s="101"/>
      <c r="AK319" s="101"/>
      <c r="AL319" s="101"/>
      <c r="AM319" s="101"/>
      <c r="AN319" s="101"/>
    </row>
    <row r="320" spans="1:40" ht="16.5" customHeight="1" x14ac:dyDescent="0.3">
      <c r="A320" s="59" t="s">
        <v>1543</v>
      </c>
      <c r="B320" s="89" t="str">
        <f>" 노무비: "&amp;TEXT(I320,"#,##0"&amp;IF(I320&lt;&gt;INT(I320),".###",""))&amp;" / Q*"&amp;AC320&amp;"= "&amp;TEXT(C320,"#,##0.0")&amp;""</f>
        <v xml:space="preserve"> 노무비: 59,020 / Q*0.9= 642.4</v>
      </c>
      <c r="C320" s="91">
        <f>E320+D320+F320</f>
        <v>642.4</v>
      </c>
      <c r="D320" s="91">
        <f>IF(H320=0,0,ROUNDDOWN(J320*H320,1))</f>
        <v>642.4</v>
      </c>
      <c r="E320" s="91">
        <f>IF(H320=0,0,ROUNDDOWN(K320*H320,1))</f>
        <v>0</v>
      </c>
      <c r="F320" s="91">
        <f>IF(H320=0,0,ROUNDDOWN(L320*H320,1))</f>
        <v>0</v>
      </c>
      <c r="G320" s="17" t="s">
        <v>1591</v>
      </c>
      <c r="H320" s="97">
        <f>ROUNDUP(AE320,14-LEN(ABS(INT(AE320))))</f>
        <v>1.0884682832499999E-2</v>
      </c>
      <c r="I320" s="98">
        <f>K320+J320+L320</f>
        <v>59020</v>
      </c>
      <c r="J320" s="38">
        <f>중기목록표!F6</f>
        <v>59020</v>
      </c>
      <c r="M320" s="35" t="s">
        <v>1544</v>
      </c>
      <c r="N320" s="35" t="s">
        <v>1262</v>
      </c>
      <c r="X320" s="100" t="str">
        <f>중기목록표!B6&amp;" / "&amp;중기목록표!C6</f>
        <v>굴착기(무한궤도) / 0.4㎥</v>
      </c>
      <c r="Y320" s="3" t="str">
        <f ca="1">HYPERLINK("#"&amp;중기목록표!J2&amp;"!A"&amp;ROW(중기목록표!A6),"중기3 →")</f>
        <v>중기3 →</v>
      </c>
      <c r="Z320" s="35" t="s">
        <v>1417</v>
      </c>
      <c r="AA320" s="103" t="str">
        <f>AL318</f>
        <v>82.685</v>
      </c>
      <c r="AB320" s="35" t="s">
        <v>1436</v>
      </c>
      <c r="AC320" s="104">
        <v>0.9</v>
      </c>
      <c r="AD320" s="35" t="s">
        <v>1410</v>
      </c>
      <c r="AE320" s="103">
        <f>1/AL318*AC320</f>
        <v>1.0884682832436354E-2</v>
      </c>
      <c r="AF320" s="101"/>
      <c r="AG320" s="101"/>
      <c r="AH320" s="101"/>
      <c r="AI320" s="101"/>
      <c r="AJ320" s="101"/>
      <c r="AK320" s="101"/>
      <c r="AL320" s="101"/>
      <c r="AM320" s="101"/>
      <c r="AN320" s="101"/>
    </row>
    <row r="321" spans="1:40" ht="16.5" customHeight="1" x14ac:dyDescent="0.3">
      <c r="A321" s="69"/>
      <c r="B321" s="69"/>
      <c r="C321" s="69"/>
      <c r="D321" s="69"/>
      <c r="E321" s="69"/>
      <c r="F321" s="69"/>
      <c r="G321" s="17" t="s">
        <v>1405</v>
      </c>
      <c r="Z321" s="101"/>
      <c r="AA321" s="101"/>
      <c r="AB321" s="101"/>
      <c r="AC321" s="101"/>
      <c r="AD321" s="101"/>
      <c r="AE321" s="101"/>
      <c r="AF321" s="101"/>
      <c r="AG321" s="101"/>
      <c r="AH321" s="101"/>
      <c r="AI321" s="101"/>
      <c r="AJ321" s="101"/>
      <c r="AK321" s="101"/>
      <c r="AL321" s="101"/>
      <c r="AM321" s="101"/>
      <c r="AN321" s="101"/>
    </row>
    <row r="322" spans="1:40" ht="16.5" customHeight="1" x14ac:dyDescent="0.3">
      <c r="A322" s="59" t="s">
        <v>1546</v>
      </c>
      <c r="B322" s="89" t="str">
        <f>" 재료비: "&amp;TEXT(I322,"#,##0"&amp;IF(I322&lt;&gt;INT(I322),".###",""))&amp;" / Q*"&amp;AC322&amp;"= "&amp;TEXT(C322,"#,##0.0")&amp;""</f>
        <v xml:space="preserve"> 재료비: 21,728 / Q*0.9= 236.5</v>
      </c>
      <c r="C322" s="91">
        <f>E322+D322+F322</f>
        <v>236.5</v>
      </c>
      <c r="D322" s="91">
        <f>IF(H322=0,0,ROUNDDOWN(J322*H322,1))</f>
        <v>0</v>
      </c>
      <c r="E322" s="91">
        <f>IF(H322=0,0,ROUNDDOWN(K322*H322,1))</f>
        <v>236.5</v>
      </c>
      <c r="F322" s="91">
        <f>IF(H322=0,0,ROUNDDOWN(L322*H322,1))</f>
        <v>0</v>
      </c>
      <c r="G322" s="17" t="s">
        <v>1592</v>
      </c>
      <c r="H322" s="97">
        <f>ROUNDUP(AE322,14-LEN(ABS(INT(AE322))))</f>
        <v>1.0884682832499999E-2</v>
      </c>
      <c r="I322" s="98">
        <f>K322+J322+L322</f>
        <v>21728</v>
      </c>
      <c r="K322" s="38">
        <f>중기목록표!G6</f>
        <v>21728</v>
      </c>
      <c r="M322" s="35" t="s">
        <v>1544</v>
      </c>
      <c r="N322" s="35" t="s">
        <v>1262</v>
      </c>
      <c r="X322" s="100" t="str">
        <f>중기목록표!B6&amp;" / "&amp;중기목록표!C6</f>
        <v>굴착기(무한궤도) / 0.4㎥</v>
      </c>
      <c r="Y322" s="3" t="str">
        <f ca="1">HYPERLINK("#"&amp;중기목록표!J2&amp;"!A"&amp;ROW(중기목록표!A6),"중기3 →")</f>
        <v>중기3 →</v>
      </c>
      <c r="Z322" s="35" t="s">
        <v>1417</v>
      </c>
      <c r="AA322" s="103" t="str">
        <f>AL318</f>
        <v>82.685</v>
      </c>
      <c r="AB322" s="35" t="s">
        <v>1436</v>
      </c>
      <c r="AC322" s="104">
        <v>0.9</v>
      </c>
      <c r="AD322" s="35" t="s">
        <v>1410</v>
      </c>
      <c r="AE322" s="103">
        <f>1/AL318*AC322</f>
        <v>1.0884682832436354E-2</v>
      </c>
      <c r="AF322" s="101"/>
      <c r="AG322" s="101"/>
      <c r="AH322" s="101"/>
      <c r="AI322" s="101"/>
      <c r="AJ322" s="101"/>
      <c r="AK322" s="101"/>
      <c r="AL322" s="101"/>
      <c r="AM322" s="101"/>
      <c r="AN322" s="101"/>
    </row>
    <row r="323" spans="1:40" ht="16.5" customHeight="1" x14ac:dyDescent="0.3">
      <c r="A323" s="69"/>
      <c r="B323" s="69"/>
      <c r="C323" s="69"/>
      <c r="D323" s="69"/>
      <c r="E323" s="69"/>
      <c r="F323" s="69"/>
      <c r="G323" s="17" t="s">
        <v>1405</v>
      </c>
      <c r="Z323" s="101"/>
      <c r="AA323" s="101"/>
      <c r="AB323" s="101"/>
      <c r="AC323" s="101"/>
      <c r="AD323" s="101"/>
      <c r="AE323" s="101"/>
      <c r="AF323" s="101"/>
      <c r="AG323" s="101"/>
      <c r="AH323" s="101"/>
      <c r="AI323" s="101"/>
      <c r="AJ323" s="101"/>
      <c r="AK323" s="101"/>
      <c r="AL323" s="101"/>
      <c r="AM323" s="101"/>
      <c r="AN323" s="101"/>
    </row>
    <row r="324" spans="1:40" ht="16.5" customHeight="1" x14ac:dyDescent="0.3">
      <c r="A324" s="59" t="s">
        <v>1548</v>
      </c>
      <c r="B324" s="89" t="str">
        <f>" 경  비: "&amp;TEXT(I324,"#,##0"&amp;IF(I324&lt;&gt;INT(I324),".###",""))&amp;" / Q*"&amp;AC324&amp;"= "&amp;TEXT(C324,"#,##0.0")&amp;""</f>
        <v xml:space="preserve"> 경  비: 17,514 / Q*0.9= 190.6</v>
      </c>
      <c r="C324" s="91">
        <f>E324+D324+F324</f>
        <v>190.6</v>
      </c>
      <c r="D324" s="91">
        <f>IF(H324=0,0,ROUNDDOWN(J324*H324,1))</f>
        <v>0</v>
      </c>
      <c r="E324" s="91">
        <f>IF(H324=0,0,ROUNDDOWN(K324*H324,1))</f>
        <v>0</v>
      </c>
      <c r="F324" s="91">
        <f>IF(H324=0,0,ROUNDDOWN(L324*H324,1))</f>
        <v>190.6</v>
      </c>
      <c r="G324" s="17" t="s">
        <v>1593</v>
      </c>
      <c r="H324" s="97">
        <f>ROUNDUP(AE324,14-LEN(ABS(INT(AE324))))</f>
        <v>1.0884682832499999E-2</v>
      </c>
      <c r="I324" s="98">
        <f>K324+J324+L324</f>
        <v>17514</v>
      </c>
      <c r="L324" s="38">
        <f>중기목록표!H6</f>
        <v>17514</v>
      </c>
      <c r="M324" s="35" t="s">
        <v>1544</v>
      </c>
      <c r="N324" s="35" t="s">
        <v>1262</v>
      </c>
      <c r="X324" s="100" t="str">
        <f>중기목록표!B6&amp;" / "&amp;중기목록표!C6</f>
        <v>굴착기(무한궤도) / 0.4㎥</v>
      </c>
      <c r="Y324" s="3" t="str">
        <f ca="1">HYPERLINK("#"&amp;중기목록표!J2&amp;"!A"&amp;ROW(중기목록표!A6),"중기3 →")</f>
        <v>중기3 →</v>
      </c>
      <c r="Z324" s="35" t="s">
        <v>1417</v>
      </c>
      <c r="AA324" s="103" t="str">
        <f>AL318</f>
        <v>82.685</v>
      </c>
      <c r="AB324" s="35" t="s">
        <v>1436</v>
      </c>
      <c r="AC324" s="104">
        <v>0.9</v>
      </c>
      <c r="AD324" s="35" t="s">
        <v>1410</v>
      </c>
      <c r="AE324" s="103">
        <f>1/AL318*AC324</f>
        <v>1.0884682832436354E-2</v>
      </c>
      <c r="AF324" s="101"/>
      <c r="AG324" s="101"/>
      <c r="AH324" s="101"/>
      <c r="AI324" s="101"/>
      <c r="AJ324" s="101"/>
      <c r="AK324" s="101"/>
      <c r="AL324" s="101"/>
      <c r="AM324" s="101"/>
      <c r="AN324" s="101"/>
    </row>
    <row r="325" spans="1:40" ht="16.5" customHeight="1" x14ac:dyDescent="0.3">
      <c r="A325" s="69"/>
      <c r="B325" s="69"/>
      <c r="C325" s="69"/>
      <c r="D325" s="69"/>
      <c r="E325" s="69"/>
      <c r="F325" s="69"/>
      <c r="G325" s="17" t="s">
        <v>1405</v>
      </c>
      <c r="Z325" s="101"/>
      <c r="AA325" s="101"/>
      <c r="AB325" s="101"/>
      <c r="AC325" s="101"/>
      <c r="AD325" s="101"/>
      <c r="AE325" s="101"/>
      <c r="AF325" s="101"/>
      <c r="AG325" s="101"/>
      <c r="AH325" s="101"/>
      <c r="AI325" s="101"/>
      <c r="AJ325" s="101"/>
      <c r="AK325" s="101"/>
      <c r="AL325" s="101"/>
      <c r="AM325" s="101"/>
      <c r="AN325" s="101"/>
    </row>
    <row r="326" spans="1:40" ht="16.5" customHeight="1" x14ac:dyDescent="0.3">
      <c r="A326" s="59"/>
      <c r="B326" s="68" t="s">
        <v>1260</v>
      </c>
      <c r="C326" s="92">
        <f>E326+D326+F326</f>
        <v>1069.5</v>
      </c>
      <c r="D326" s="92">
        <f>SUMIF(N307:N325,M326,D307:D325)</f>
        <v>642.4</v>
      </c>
      <c r="E326" s="92">
        <f>SUMIF(N307:N325,M326,E307:E325)</f>
        <v>236.5</v>
      </c>
      <c r="F326" s="92">
        <f>SUMIF(N307:N325,M326,F307:F325)</f>
        <v>190.6</v>
      </c>
      <c r="G326" s="17" t="s">
        <v>1430</v>
      </c>
      <c r="M326" s="35" t="s">
        <v>1262</v>
      </c>
      <c r="N326" s="35" t="s">
        <v>1253</v>
      </c>
      <c r="Z326" s="101"/>
      <c r="AA326" s="101"/>
      <c r="AB326" s="101"/>
      <c r="AC326" s="101"/>
      <c r="AD326" s="101"/>
      <c r="AE326" s="101"/>
      <c r="AF326" s="101"/>
      <c r="AG326" s="101"/>
      <c r="AH326" s="101"/>
      <c r="AI326" s="101"/>
      <c r="AJ326" s="101"/>
      <c r="AK326" s="101"/>
      <c r="AL326" s="101"/>
      <c r="AM326" s="101"/>
      <c r="AN326" s="101"/>
    </row>
    <row r="327" spans="1:40" ht="16.5" customHeight="1" x14ac:dyDescent="0.3">
      <c r="A327" s="69"/>
      <c r="B327" s="69"/>
      <c r="C327" s="90"/>
      <c r="D327" s="90"/>
      <c r="E327" s="90"/>
      <c r="F327" s="90"/>
      <c r="G327" s="17" t="s">
        <v>1405</v>
      </c>
      <c r="Z327" s="101"/>
      <c r="AA327" s="101"/>
      <c r="AB327" s="101"/>
      <c r="AC327" s="101"/>
      <c r="AD327" s="101"/>
      <c r="AE327" s="101"/>
      <c r="AF327" s="101"/>
      <c r="AG327" s="101"/>
      <c r="AH327" s="101"/>
      <c r="AI327" s="101"/>
      <c r="AJ327" s="101"/>
      <c r="AK327" s="101"/>
      <c r="AL327" s="101"/>
      <c r="AM327" s="101"/>
      <c r="AN327" s="101"/>
    </row>
    <row r="328" spans="1:40" ht="16.5" customHeight="1" x14ac:dyDescent="0.3">
      <c r="A328" s="59"/>
      <c r="B328" s="68" t="s">
        <v>1595</v>
      </c>
      <c r="C328" s="69"/>
      <c r="D328" s="69"/>
      <c r="E328" s="69"/>
      <c r="F328" s="69"/>
      <c r="G328" s="17" t="s">
        <v>1594</v>
      </c>
      <c r="Z328" s="101"/>
      <c r="AA328" s="101"/>
      <c r="AB328" s="101"/>
      <c r="AC328" s="101"/>
      <c r="AD328" s="101"/>
      <c r="AE328" s="101"/>
      <c r="AF328" s="101"/>
      <c r="AG328" s="101"/>
      <c r="AH328" s="101"/>
      <c r="AI328" s="101"/>
      <c r="AJ328" s="101"/>
      <c r="AK328" s="101"/>
      <c r="AL328" s="101"/>
      <c r="AM328" s="101"/>
      <c r="AN328" s="101"/>
    </row>
    <row r="329" spans="1:40" ht="16.5" customHeight="1" x14ac:dyDescent="0.3">
      <c r="A329" s="69"/>
      <c r="B329" s="69"/>
      <c r="C329" s="69"/>
      <c r="D329" s="69"/>
      <c r="E329" s="69"/>
      <c r="F329" s="69"/>
      <c r="G329" s="17" t="s">
        <v>1405</v>
      </c>
      <c r="Z329" s="101"/>
      <c r="AA329" s="101"/>
      <c r="AB329" s="101"/>
      <c r="AC329" s="101"/>
      <c r="AD329" s="101"/>
      <c r="AE329" s="101"/>
      <c r="AF329" s="101"/>
      <c r="AG329" s="101"/>
      <c r="AH329" s="101"/>
      <c r="AI329" s="101"/>
      <c r="AJ329" s="101"/>
      <c r="AK329" s="101"/>
      <c r="AL329" s="101"/>
      <c r="AM329" s="101"/>
      <c r="AN329" s="101"/>
    </row>
    <row r="330" spans="1:40" ht="16.5" customHeight="1" x14ac:dyDescent="0.3">
      <c r="A330" s="59" t="s">
        <v>1419</v>
      </c>
      <c r="B330" s="89" t="str">
        <f>"   인    부: "&amp;Z330&amp;" 인 *"&amp;TEXT(I330,"#,##0"&amp;IF(I330&lt;&gt;INT(I330),".###",""))&amp;"*"&amp;AB330&amp;"= "&amp;TEXT(C330,"#,##0.0")&amp;""</f>
        <v xml:space="preserve">   인    부: 0.015 인 *172,068*0.1= 258.1</v>
      </c>
      <c r="C330" s="91">
        <f>E330+D330+F330</f>
        <v>258.10000000000002</v>
      </c>
      <c r="D330" s="91">
        <f>IF(H330=0,0,ROUNDDOWN(J330*H330,1))</f>
        <v>258.10000000000002</v>
      </c>
      <c r="E330" s="91">
        <f>IF(H330=0,0,ROUNDDOWN(K330*H330,1))</f>
        <v>0</v>
      </c>
      <c r="F330" s="91">
        <f>IF(H330=0,0,ROUNDDOWN(L330*H330,1))</f>
        <v>0</v>
      </c>
      <c r="G330" s="17" t="s">
        <v>1596</v>
      </c>
      <c r="H330" s="97">
        <f>ROUNDUP(AD330,14-LEN(ABS(INT(AD330))))</f>
        <v>1.5E-3</v>
      </c>
      <c r="I330" s="98">
        <f>K330+J330+L330</f>
        <v>172068</v>
      </c>
      <c r="J330" s="38">
        <f>노무비목록표!E8</f>
        <v>172068</v>
      </c>
      <c r="M330" s="35" t="s">
        <v>1219</v>
      </c>
      <c r="N330" s="35" t="s">
        <v>1262</v>
      </c>
      <c r="X330" s="100" t="str">
        <f>노무비목록표!B8&amp;" / "&amp;노무비목록표!C8</f>
        <v xml:space="preserve">보통인부 / </v>
      </c>
      <c r="Y330" s="3" t="str">
        <f ca="1">HYPERLINK("#"&amp;노무비목록표!G2&amp;"!A"&amp;ROW(노무비목록표!A8),"노무5 →")</f>
        <v>노무5 →</v>
      </c>
      <c r="Z330" s="104">
        <v>1.4999999999999999E-2</v>
      </c>
      <c r="AA330" s="35" t="s">
        <v>1570</v>
      </c>
      <c r="AB330" s="104">
        <v>0.1</v>
      </c>
      <c r="AC330" s="35" t="s">
        <v>1410</v>
      </c>
      <c r="AD330" s="103">
        <f>Z330*1*AB330</f>
        <v>1.5E-3</v>
      </c>
      <c r="AE330" s="101"/>
      <c r="AF330" s="101"/>
      <c r="AG330" s="101"/>
      <c r="AH330" s="101"/>
      <c r="AI330" s="101"/>
      <c r="AJ330" s="101"/>
      <c r="AK330" s="101"/>
      <c r="AL330" s="101"/>
      <c r="AM330" s="101"/>
      <c r="AN330" s="101"/>
    </row>
    <row r="331" spans="1:40" ht="16.5" customHeight="1" x14ac:dyDescent="0.3">
      <c r="A331" s="69"/>
      <c r="B331" s="69"/>
      <c r="C331" s="69"/>
      <c r="D331" s="69"/>
      <c r="E331" s="69"/>
      <c r="F331" s="69"/>
      <c r="G331" s="17" t="s">
        <v>1405</v>
      </c>
      <c r="Z331" s="101"/>
      <c r="AA331" s="101"/>
      <c r="AB331" s="101"/>
      <c r="AC331" s="101"/>
      <c r="AD331" s="101"/>
      <c r="AE331" s="101"/>
      <c r="AF331" s="101"/>
      <c r="AG331" s="101"/>
      <c r="AH331" s="101"/>
      <c r="AI331" s="101"/>
      <c r="AJ331" s="101"/>
      <c r="AK331" s="101"/>
      <c r="AL331" s="101"/>
      <c r="AM331" s="101"/>
      <c r="AN331" s="101"/>
    </row>
    <row r="332" spans="1:40" ht="16.5" customHeight="1" x14ac:dyDescent="0.3">
      <c r="A332" s="59"/>
      <c r="B332" s="68" t="s">
        <v>1260</v>
      </c>
      <c r="C332" s="92">
        <f>E332+D332+F332</f>
        <v>258.10000000000002</v>
      </c>
      <c r="D332" s="92">
        <f>SUMIF(N327:N331,M332,D327:D331)</f>
        <v>258.10000000000002</v>
      </c>
      <c r="E332" s="92">
        <f>SUMIF(N327:N331,M332,E327:E331)</f>
        <v>0</v>
      </c>
      <c r="F332" s="92">
        <f>SUMIF(N327:N331,M332,F327:F331)</f>
        <v>0</v>
      </c>
      <c r="G332" s="17" t="s">
        <v>1430</v>
      </c>
      <c r="M332" s="35" t="s">
        <v>1262</v>
      </c>
      <c r="N332" s="35" t="s">
        <v>1253</v>
      </c>
      <c r="Z332" s="101"/>
      <c r="AA332" s="101"/>
      <c r="AB332" s="101"/>
      <c r="AC332" s="101"/>
      <c r="AD332" s="101"/>
      <c r="AE332" s="101"/>
      <c r="AF332" s="101"/>
      <c r="AG332" s="101"/>
      <c r="AH332" s="101"/>
      <c r="AI332" s="101"/>
      <c r="AJ332" s="101"/>
      <c r="AK332" s="101"/>
      <c r="AL332" s="101"/>
      <c r="AM332" s="101"/>
      <c r="AN332" s="101"/>
    </row>
    <row r="333" spans="1:40" ht="16.5" customHeight="1" x14ac:dyDescent="0.3">
      <c r="A333" s="69"/>
      <c r="B333" s="69"/>
      <c r="C333" s="90"/>
      <c r="D333" s="90"/>
      <c r="E333" s="90"/>
      <c r="F333" s="90"/>
      <c r="G333" s="17" t="s">
        <v>1405</v>
      </c>
      <c r="Z333" s="101"/>
      <c r="AA333" s="101"/>
      <c r="AB333" s="101"/>
      <c r="AC333" s="101"/>
      <c r="AD333" s="101"/>
      <c r="AE333" s="101"/>
      <c r="AF333" s="101"/>
      <c r="AG333" s="101"/>
      <c r="AH333" s="101"/>
      <c r="AI333" s="101"/>
      <c r="AJ333" s="101"/>
      <c r="AK333" s="101"/>
      <c r="AL333" s="101"/>
      <c r="AM333" s="101"/>
      <c r="AN333" s="101"/>
    </row>
    <row r="334" spans="1:40" ht="16.5" customHeight="1" x14ac:dyDescent="0.3">
      <c r="A334" s="69"/>
      <c r="B334" s="69"/>
      <c r="C334" s="69"/>
      <c r="D334" s="69"/>
      <c r="E334" s="69"/>
      <c r="F334" s="69"/>
      <c r="G334" s="17" t="s">
        <v>1405</v>
      </c>
      <c r="Z334" s="101"/>
      <c r="AA334" s="101"/>
      <c r="AB334" s="101"/>
      <c r="AC334" s="101"/>
      <c r="AD334" s="101"/>
      <c r="AE334" s="101"/>
      <c r="AF334" s="101"/>
      <c r="AG334" s="101"/>
      <c r="AH334" s="101"/>
      <c r="AI334" s="101"/>
      <c r="AJ334" s="101"/>
      <c r="AK334" s="101"/>
      <c r="AL334" s="101"/>
      <c r="AM334" s="101"/>
      <c r="AN334" s="101"/>
    </row>
    <row r="335" spans="1:40" ht="16.5" customHeight="1" x14ac:dyDescent="0.3">
      <c r="A335" s="59"/>
      <c r="B335" s="68" t="s">
        <v>1598</v>
      </c>
      <c r="C335" s="69"/>
      <c r="D335" s="69"/>
      <c r="E335" s="69"/>
      <c r="F335" s="69"/>
      <c r="G335" s="17" t="s">
        <v>1597</v>
      </c>
      <c r="Z335" s="101"/>
      <c r="AA335" s="101"/>
      <c r="AB335" s="101"/>
      <c r="AC335" s="101"/>
      <c r="AD335" s="101"/>
      <c r="AE335" s="101"/>
      <c r="AF335" s="101"/>
      <c r="AG335" s="101"/>
      <c r="AH335" s="101"/>
      <c r="AI335" s="101"/>
      <c r="AJ335" s="101"/>
      <c r="AK335" s="101"/>
      <c r="AL335" s="101"/>
      <c r="AM335" s="101"/>
      <c r="AN335" s="101"/>
    </row>
    <row r="336" spans="1:40" ht="16.5" customHeight="1" x14ac:dyDescent="0.3">
      <c r="A336" s="69"/>
      <c r="B336" s="69"/>
      <c r="C336" s="69"/>
      <c r="D336" s="69"/>
      <c r="E336" s="69"/>
      <c r="F336" s="69"/>
      <c r="G336" s="17" t="s">
        <v>1405</v>
      </c>
      <c r="Z336" s="101"/>
      <c r="AA336" s="101"/>
      <c r="AB336" s="101"/>
      <c r="AC336" s="101"/>
      <c r="AD336" s="101"/>
      <c r="AE336" s="101"/>
      <c r="AF336" s="101"/>
      <c r="AG336" s="101"/>
      <c r="AH336" s="101"/>
      <c r="AI336" s="101"/>
      <c r="AJ336" s="101"/>
      <c r="AK336" s="101"/>
      <c r="AL336" s="101"/>
      <c r="AM336" s="101"/>
      <c r="AN336" s="101"/>
    </row>
    <row r="337" spans="1:40" ht="16.5" customHeight="1" x14ac:dyDescent="0.3">
      <c r="A337" s="59"/>
      <c r="B337" s="68" t="str">
        <f>"     V="&amp;Z337&amp;",    W="&amp;AD337&amp;",    E="&amp;AH337&amp;""</f>
        <v xml:space="preserve">     V=1,    W=0.45,    E=0.6</v>
      </c>
      <c r="C337" s="69"/>
      <c r="D337" s="69"/>
      <c r="E337" s="69"/>
      <c r="F337" s="69"/>
      <c r="G337" s="17" t="s">
        <v>1573</v>
      </c>
      <c r="Z337" s="102">
        <v>1</v>
      </c>
      <c r="AA337" s="35" t="s">
        <v>1410</v>
      </c>
      <c r="AB337" s="103">
        <f>Z337</f>
        <v>1</v>
      </c>
      <c r="AC337" s="105" t="s">
        <v>1453</v>
      </c>
      <c r="AD337" s="104">
        <v>0.45</v>
      </c>
      <c r="AE337" s="35" t="s">
        <v>1410</v>
      </c>
      <c r="AF337" s="103">
        <f>AD337</f>
        <v>0.45</v>
      </c>
      <c r="AG337" s="105" t="s">
        <v>1453</v>
      </c>
      <c r="AH337" s="104">
        <v>0.6</v>
      </c>
      <c r="AI337" s="35" t="s">
        <v>1410</v>
      </c>
      <c r="AJ337" s="103">
        <f>AH337</f>
        <v>0.6</v>
      </c>
      <c r="AK337" s="101"/>
      <c r="AL337" s="101"/>
      <c r="AM337" s="101"/>
      <c r="AN337" s="101"/>
    </row>
    <row r="338" spans="1:40" ht="16.5" customHeight="1" x14ac:dyDescent="0.3">
      <c r="A338" s="69"/>
      <c r="B338" s="69"/>
      <c r="C338" s="69"/>
      <c r="D338" s="69"/>
      <c r="E338" s="69"/>
      <c r="F338" s="69"/>
      <c r="G338" s="17" t="s">
        <v>1405</v>
      </c>
      <c r="Z338" s="101"/>
      <c r="AA338" s="101"/>
      <c r="AB338" s="101"/>
      <c r="AC338" s="101"/>
      <c r="AD338" s="101"/>
      <c r="AE338" s="101"/>
      <c r="AF338" s="101"/>
      <c r="AG338" s="101"/>
      <c r="AH338" s="101"/>
      <c r="AI338" s="101"/>
      <c r="AJ338" s="101"/>
      <c r="AK338" s="101"/>
      <c r="AL338" s="101"/>
      <c r="AM338" s="101"/>
      <c r="AN338" s="101"/>
    </row>
    <row r="339" spans="1:40" ht="16.5" customHeight="1" x14ac:dyDescent="0.3">
      <c r="A339" s="59"/>
      <c r="B339" s="68" t="str">
        <f>"     D="&amp;Z339&amp;" M , f="&amp;AD339&amp;",    N="&amp;AH339&amp;" 회 "</f>
        <v xml:space="preserve">     D=0.2 M , f=1,    N=6 회 </v>
      </c>
      <c r="C339" s="69"/>
      <c r="D339" s="69"/>
      <c r="E339" s="69"/>
      <c r="F339" s="69"/>
      <c r="G339" s="17" t="s">
        <v>1599</v>
      </c>
      <c r="Z339" s="104">
        <v>0.2</v>
      </c>
      <c r="AA339" s="35" t="s">
        <v>1410</v>
      </c>
      <c r="AB339" s="103">
        <f>Z339</f>
        <v>0.2</v>
      </c>
      <c r="AC339" s="105" t="s">
        <v>1453</v>
      </c>
      <c r="AD339" s="102">
        <v>1</v>
      </c>
      <c r="AE339" s="35" t="s">
        <v>1410</v>
      </c>
      <c r="AF339" s="103">
        <f>AD339</f>
        <v>1</v>
      </c>
      <c r="AG339" s="105" t="s">
        <v>1453</v>
      </c>
      <c r="AH339" s="102">
        <v>6</v>
      </c>
      <c r="AI339" s="35" t="s">
        <v>1410</v>
      </c>
      <c r="AJ339" s="103">
        <f>AH339</f>
        <v>6</v>
      </c>
      <c r="AK339" s="101"/>
      <c r="AL339" s="101"/>
      <c r="AM339" s="101"/>
      <c r="AN339" s="101"/>
    </row>
    <row r="340" spans="1:40" ht="16.5" customHeight="1" x14ac:dyDescent="0.3">
      <c r="A340" s="69"/>
      <c r="B340" s="69"/>
      <c r="C340" s="69"/>
      <c r="D340" s="69"/>
      <c r="E340" s="69"/>
      <c r="F340" s="69"/>
      <c r="G340" s="17" t="s">
        <v>1405</v>
      </c>
      <c r="Z340" s="101"/>
      <c r="AA340" s="101"/>
      <c r="AB340" s="101"/>
      <c r="AC340" s="101"/>
      <c r="AD340" s="101"/>
      <c r="AE340" s="101"/>
      <c r="AF340" s="101"/>
      <c r="AG340" s="101"/>
      <c r="AH340" s="101"/>
      <c r="AI340" s="101"/>
      <c r="AJ340" s="101"/>
      <c r="AK340" s="101"/>
      <c r="AL340" s="101"/>
      <c r="AM340" s="101"/>
      <c r="AN340" s="101"/>
    </row>
    <row r="341" spans="1:40" ht="16.5" customHeight="1" x14ac:dyDescent="0.3">
      <c r="A341" s="59"/>
      <c r="B341" s="68" t="str">
        <f>"     Q="&amp;Z341&amp;"*V*W*E*D*f/N= "&amp;AN341&amp;" ㎥/Hr "</f>
        <v xml:space="preserve">     Q=1000*V*W*E*D*f/N= 9.000 ㎥/Hr </v>
      </c>
      <c r="C341" s="69"/>
      <c r="D341" s="69"/>
      <c r="E341" s="69"/>
      <c r="F341" s="69"/>
      <c r="G341" s="17" t="s">
        <v>1575</v>
      </c>
      <c r="Z341" s="102">
        <v>1000</v>
      </c>
      <c r="AA341" s="35" t="s">
        <v>1436</v>
      </c>
      <c r="AB341" s="103">
        <f>AB337</f>
        <v>1</v>
      </c>
      <c r="AC341" s="35" t="s">
        <v>1436</v>
      </c>
      <c r="AD341" s="103">
        <f>AF337</f>
        <v>0.45</v>
      </c>
      <c r="AE341" s="35" t="s">
        <v>1436</v>
      </c>
      <c r="AF341" s="103">
        <f>AJ337</f>
        <v>0.6</v>
      </c>
      <c r="AG341" s="35" t="s">
        <v>1436</v>
      </c>
      <c r="AH341" s="103">
        <f>AB339</f>
        <v>0.2</v>
      </c>
      <c r="AI341" s="35" t="s">
        <v>1436</v>
      </c>
      <c r="AJ341" s="103">
        <f>AF339</f>
        <v>1</v>
      </c>
      <c r="AK341" s="35" t="s">
        <v>1413</v>
      </c>
      <c r="AL341" s="103">
        <f>AJ339</f>
        <v>6</v>
      </c>
      <c r="AM341" s="35" t="s">
        <v>1410</v>
      </c>
      <c r="AN341" s="103" t="str">
        <f>TEXT(ROUND(Z341*AB337*AF337*AJ337*AB339*AF339/AJ339,3),"#,0.000")</f>
        <v>9.000</v>
      </c>
    </row>
    <row r="342" spans="1:40" ht="16.5" customHeight="1" x14ac:dyDescent="0.3">
      <c r="A342" s="69"/>
      <c r="B342" s="69"/>
      <c r="C342" s="69"/>
      <c r="D342" s="69"/>
      <c r="E342" s="69"/>
      <c r="F342" s="69"/>
      <c r="G342" s="17" t="s">
        <v>1405</v>
      </c>
      <c r="Z342" s="101"/>
      <c r="AA342" s="101"/>
      <c r="AB342" s="101"/>
      <c r="AC342" s="101"/>
      <c r="AD342" s="101"/>
      <c r="AE342" s="101"/>
      <c r="AF342" s="101"/>
      <c r="AG342" s="101"/>
      <c r="AH342" s="101"/>
      <c r="AI342" s="101"/>
      <c r="AJ342" s="101"/>
      <c r="AK342" s="101"/>
      <c r="AL342" s="101"/>
      <c r="AM342" s="101"/>
      <c r="AN342" s="101"/>
    </row>
    <row r="343" spans="1:40" ht="16.5" customHeight="1" x14ac:dyDescent="0.3">
      <c r="A343" s="59" t="s">
        <v>1601</v>
      </c>
      <c r="B343" s="89" t="str">
        <f>"     경  비 : "&amp;TEXT(I343,"#,##0"&amp;IF(I343&lt;&gt;INT(I343),".###",""))&amp;"/Q= "&amp;TEXT(C343,"#,##0.0")&amp;""</f>
        <v xml:space="preserve">     경  비 : 620/Q= 68.8</v>
      </c>
      <c r="C343" s="91">
        <f>E343+D343+F343</f>
        <v>68.8</v>
      </c>
      <c r="D343" s="91">
        <f>IF(H343=0,0,ROUNDDOWN(J343*H343,1))</f>
        <v>0</v>
      </c>
      <c r="E343" s="91">
        <f>IF(H343=0,0,ROUNDDOWN(K343*H343,1))</f>
        <v>0</v>
      </c>
      <c r="F343" s="91">
        <f>IF(H343=0,0,ROUNDDOWN(L343*H343,1))</f>
        <v>68.8</v>
      </c>
      <c r="G343" s="17" t="s">
        <v>1600</v>
      </c>
      <c r="H343" s="97">
        <f>ROUNDUP(AC343,14-LEN(ABS(INT(AC343))))</f>
        <v>0.11111111111120001</v>
      </c>
      <c r="I343" s="98">
        <f>K343+J343+L343</f>
        <v>620</v>
      </c>
      <c r="L343" s="38">
        <f>중기목록표!H36</f>
        <v>620</v>
      </c>
      <c r="M343" s="35" t="s">
        <v>1313</v>
      </c>
      <c r="N343" s="35" t="s">
        <v>1262</v>
      </c>
      <c r="X343" s="100" t="str">
        <f>중기목록표!B36&amp;" / "&amp;중기목록표!C36</f>
        <v>플레이트 콤팩터 / 1.5톤</v>
      </c>
      <c r="Y343" s="3" t="str">
        <f ca="1">HYPERLINK("#"&amp;중기목록표!J2&amp;"!A"&amp;ROW(중기목록표!A36),"중기33 →")</f>
        <v>중기33 →</v>
      </c>
      <c r="Z343" s="35" t="s">
        <v>1417</v>
      </c>
      <c r="AA343" s="103" t="str">
        <f>AN341</f>
        <v>9.000</v>
      </c>
      <c r="AB343" s="35" t="s">
        <v>1410</v>
      </c>
      <c r="AC343" s="103">
        <f>1/AN341</f>
        <v>0.1111111111111111</v>
      </c>
      <c r="AD343" s="101"/>
      <c r="AE343" s="101"/>
      <c r="AF343" s="101"/>
      <c r="AG343" s="101"/>
      <c r="AH343" s="101"/>
      <c r="AI343" s="101"/>
      <c r="AJ343" s="101"/>
      <c r="AK343" s="101"/>
      <c r="AL343" s="101"/>
      <c r="AM343" s="101"/>
      <c r="AN343" s="101"/>
    </row>
    <row r="344" spans="1:40" ht="16.5" customHeight="1" x14ac:dyDescent="0.3">
      <c r="A344" s="69"/>
      <c r="B344" s="69"/>
      <c r="C344" s="69"/>
      <c r="D344" s="69"/>
      <c r="E344" s="69"/>
      <c r="F344" s="69"/>
      <c r="G344" s="17" t="s">
        <v>1405</v>
      </c>
      <c r="Z344" s="101"/>
      <c r="AA344" s="101"/>
      <c r="AB344" s="101"/>
      <c r="AC344" s="101"/>
      <c r="AD344" s="101"/>
      <c r="AE344" s="101"/>
      <c r="AF344" s="101"/>
      <c r="AG344" s="101"/>
      <c r="AH344" s="101"/>
      <c r="AI344" s="101"/>
      <c r="AJ344" s="101"/>
      <c r="AK344" s="101"/>
      <c r="AL344" s="101"/>
      <c r="AM344" s="101"/>
      <c r="AN344" s="101"/>
    </row>
    <row r="345" spans="1:40" ht="16.5" customHeight="1" x14ac:dyDescent="0.3">
      <c r="A345" s="59" t="s">
        <v>1603</v>
      </c>
      <c r="B345" s="89" t="str">
        <f>"     노무비 : "&amp;TEXT(I345,"#,##0"&amp;IF(I345&lt;&gt;INT(I345),".###",""))&amp;"/Q= "&amp;TEXT(C345,"#,##0.0")&amp;""</f>
        <v xml:space="preserve">     노무비 : 36,248/Q= 4,027.5</v>
      </c>
      <c r="C345" s="91">
        <f>E345+D345+F345</f>
        <v>4027.5</v>
      </c>
      <c r="D345" s="91">
        <f>IF(H345=0,0,ROUNDDOWN(J345*H345,1))</f>
        <v>4027.5</v>
      </c>
      <c r="E345" s="91">
        <f>IF(H345=0,0,ROUNDDOWN(K345*H345,1))</f>
        <v>0</v>
      </c>
      <c r="F345" s="91">
        <f>IF(H345=0,0,ROUNDDOWN(L345*H345,1))</f>
        <v>0</v>
      </c>
      <c r="G345" s="17" t="s">
        <v>1602</v>
      </c>
      <c r="H345" s="97">
        <f>ROUNDUP(AC345,14-LEN(ABS(INT(AC345))))</f>
        <v>0.11111111111120001</v>
      </c>
      <c r="I345" s="98">
        <f>K345+J345+L345</f>
        <v>36248</v>
      </c>
      <c r="J345" s="38">
        <f>중기목록표!F36</f>
        <v>36248</v>
      </c>
      <c r="M345" s="35" t="s">
        <v>1313</v>
      </c>
      <c r="N345" s="35" t="s">
        <v>1262</v>
      </c>
      <c r="X345" s="100" t="str">
        <f>중기목록표!B36&amp;" / "&amp;중기목록표!C36</f>
        <v>플레이트 콤팩터 / 1.5톤</v>
      </c>
      <c r="Y345" s="3" t="str">
        <f ca="1">HYPERLINK("#"&amp;중기목록표!J2&amp;"!A"&amp;ROW(중기목록표!A36),"중기33 →")</f>
        <v>중기33 →</v>
      </c>
      <c r="Z345" s="35" t="s">
        <v>1417</v>
      </c>
      <c r="AA345" s="103" t="str">
        <f>AN341</f>
        <v>9.000</v>
      </c>
      <c r="AB345" s="35" t="s">
        <v>1410</v>
      </c>
      <c r="AC345" s="103">
        <f>1/AN341</f>
        <v>0.1111111111111111</v>
      </c>
      <c r="AD345" s="101"/>
      <c r="AE345" s="101"/>
      <c r="AF345" s="101"/>
      <c r="AG345" s="101"/>
      <c r="AH345" s="101"/>
      <c r="AI345" s="101"/>
      <c r="AJ345" s="101"/>
      <c r="AK345" s="101"/>
      <c r="AL345" s="101"/>
      <c r="AM345" s="101"/>
      <c r="AN345" s="101"/>
    </row>
    <row r="346" spans="1:40" ht="16.5" customHeight="1" x14ac:dyDescent="0.3">
      <c r="A346" s="69"/>
      <c r="B346" s="69"/>
      <c r="C346" s="69"/>
      <c r="D346" s="69"/>
      <c r="E346" s="69"/>
      <c r="F346" s="69"/>
      <c r="G346" s="17" t="s">
        <v>1405</v>
      </c>
      <c r="Z346" s="101"/>
      <c r="AA346" s="101"/>
      <c r="AB346" s="101"/>
      <c r="AC346" s="101"/>
      <c r="AD346" s="101"/>
      <c r="AE346" s="101"/>
      <c r="AF346" s="101"/>
      <c r="AG346" s="101"/>
      <c r="AH346" s="101"/>
      <c r="AI346" s="101"/>
      <c r="AJ346" s="101"/>
      <c r="AK346" s="101"/>
      <c r="AL346" s="101"/>
      <c r="AM346" s="101"/>
      <c r="AN346" s="101"/>
    </row>
    <row r="347" spans="1:40" ht="16.5" customHeight="1" x14ac:dyDescent="0.3">
      <c r="A347" s="59" t="s">
        <v>1605</v>
      </c>
      <c r="B347" s="89" t="str">
        <f>"     재료비 : "&amp;TEXT(I347,"#,##0"&amp;IF(I347&lt;&gt;INT(I347),".###",""))&amp;"/Q= "&amp;TEXT(C347,"#,##0.0")&amp;""</f>
        <v xml:space="preserve">     재료비 : 2,166/Q= 240.6</v>
      </c>
      <c r="C347" s="91">
        <f>E347+D347+F347</f>
        <v>240.6</v>
      </c>
      <c r="D347" s="91">
        <f>IF(H347=0,0,ROUNDDOWN(J347*H347,1))</f>
        <v>0</v>
      </c>
      <c r="E347" s="91">
        <f>IF(H347=0,0,ROUNDDOWN(K347*H347,1))</f>
        <v>240.6</v>
      </c>
      <c r="F347" s="91">
        <f>IF(H347=0,0,ROUNDDOWN(L347*H347,1))</f>
        <v>0</v>
      </c>
      <c r="G347" s="17" t="s">
        <v>1604</v>
      </c>
      <c r="H347" s="97">
        <f>ROUNDUP(AC347,14-LEN(ABS(INT(AC347))))</f>
        <v>0.11111111111120001</v>
      </c>
      <c r="I347" s="98">
        <f>K347+J347+L347</f>
        <v>2166</v>
      </c>
      <c r="K347" s="38">
        <f>중기목록표!G36</f>
        <v>2166</v>
      </c>
      <c r="M347" s="35" t="s">
        <v>1313</v>
      </c>
      <c r="N347" s="35" t="s">
        <v>1262</v>
      </c>
      <c r="X347" s="100" t="str">
        <f>중기목록표!B36&amp;" / "&amp;중기목록표!C36</f>
        <v>플레이트 콤팩터 / 1.5톤</v>
      </c>
      <c r="Y347" s="3" t="str">
        <f ca="1">HYPERLINK("#"&amp;중기목록표!J2&amp;"!A"&amp;ROW(중기목록표!A36),"중기33 →")</f>
        <v>중기33 →</v>
      </c>
      <c r="Z347" s="35" t="s">
        <v>1417</v>
      </c>
      <c r="AA347" s="103" t="str">
        <f>AN341</f>
        <v>9.000</v>
      </c>
      <c r="AB347" s="35" t="s">
        <v>1410</v>
      </c>
      <c r="AC347" s="103">
        <f>1/AN341</f>
        <v>0.1111111111111111</v>
      </c>
      <c r="AD347" s="101"/>
      <c r="AE347" s="101"/>
      <c r="AF347" s="101"/>
      <c r="AG347" s="101"/>
      <c r="AH347" s="101"/>
      <c r="AI347" s="101"/>
      <c r="AJ347" s="101"/>
      <c r="AK347" s="101"/>
      <c r="AL347" s="101"/>
      <c r="AM347" s="101"/>
      <c r="AN347" s="101"/>
    </row>
    <row r="348" spans="1:40" ht="16.5" customHeight="1" x14ac:dyDescent="0.3">
      <c r="A348" s="69"/>
      <c r="B348" s="69"/>
      <c r="C348" s="69"/>
      <c r="D348" s="69"/>
      <c r="E348" s="69"/>
      <c r="F348" s="69"/>
      <c r="G348" s="17" t="s">
        <v>1405</v>
      </c>
      <c r="Z348" s="101"/>
      <c r="AA348" s="101"/>
      <c r="AB348" s="101"/>
      <c r="AC348" s="101"/>
      <c r="AD348" s="101"/>
      <c r="AE348" s="101"/>
      <c r="AF348" s="101"/>
      <c r="AG348" s="101"/>
      <c r="AH348" s="101"/>
      <c r="AI348" s="101"/>
      <c r="AJ348" s="101"/>
      <c r="AK348" s="101"/>
      <c r="AL348" s="101"/>
      <c r="AM348" s="101"/>
      <c r="AN348" s="101"/>
    </row>
    <row r="349" spans="1:40" ht="16.5" customHeight="1" x14ac:dyDescent="0.3">
      <c r="A349" s="59"/>
      <c r="B349" s="68" t="s">
        <v>1260</v>
      </c>
      <c r="C349" s="92">
        <f>E349+D349+F349</f>
        <v>4336.9000000000005</v>
      </c>
      <c r="D349" s="92">
        <f>SUMIF(N333:N348,M349,D333:D348)</f>
        <v>4027.5</v>
      </c>
      <c r="E349" s="92">
        <f>SUMIF(N333:N348,M349,E333:E348)</f>
        <v>240.6</v>
      </c>
      <c r="F349" s="92">
        <f>SUMIF(N333:N348,M349,F333:F348)</f>
        <v>68.8</v>
      </c>
      <c r="G349" s="17" t="s">
        <v>1430</v>
      </c>
      <c r="M349" s="35" t="s">
        <v>1262</v>
      </c>
      <c r="N349" s="35" t="s">
        <v>1253</v>
      </c>
      <c r="Z349" s="101"/>
      <c r="AA349" s="101"/>
      <c r="AB349" s="101"/>
      <c r="AC349" s="101"/>
      <c r="AD349" s="101"/>
      <c r="AE349" s="101"/>
      <c r="AF349" s="101"/>
      <c r="AG349" s="101"/>
      <c r="AH349" s="101"/>
      <c r="AI349" s="101"/>
      <c r="AJ349" s="101"/>
      <c r="AK349" s="101"/>
      <c r="AL349" s="101"/>
      <c r="AM349" s="101"/>
      <c r="AN349" s="101"/>
    </row>
    <row r="350" spans="1:40" ht="16.5" customHeight="1" x14ac:dyDescent="0.3">
      <c r="A350" s="69"/>
      <c r="B350" s="69"/>
      <c r="C350" s="90"/>
      <c r="D350" s="90"/>
      <c r="E350" s="90"/>
      <c r="F350" s="90"/>
      <c r="G350" s="17" t="s">
        <v>1405</v>
      </c>
      <c r="Z350" s="101"/>
      <c r="AA350" s="101"/>
      <c r="AB350" s="101"/>
      <c r="AC350" s="101"/>
      <c r="AD350" s="101"/>
      <c r="AE350" s="101"/>
      <c r="AF350" s="101"/>
      <c r="AG350" s="101"/>
      <c r="AH350" s="101"/>
      <c r="AI350" s="101"/>
      <c r="AJ350" s="101"/>
      <c r="AK350" s="101"/>
      <c r="AL350" s="101"/>
      <c r="AM350" s="101"/>
      <c r="AN350" s="101"/>
    </row>
    <row r="351" spans="1:40" ht="16.5" customHeight="1" x14ac:dyDescent="0.3">
      <c r="A351" s="59"/>
      <c r="B351" s="68" t="s">
        <v>1251</v>
      </c>
      <c r="C351" s="92">
        <f>E351+D351+F351</f>
        <v>5664.5</v>
      </c>
      <c r="D351" s="92">
        <f>SUMIF(N307:N350,M351,D307:D350)</f>
        <v>4928</v>
      </c>
      <c r="E351" s="92">
        <f>SUMIF(N307:N350,M351,E307:E350)</f>
        <v>477.1</v>
      </c>
      <c r="F351" s="92">
        <f>SUMIF(N307:N350,M351,F307:F350)</f>
        <v>259.39999999999998</v>
      </c>
      <c r="G351" s="17" t="s">
        <v>1476</v>
      </c>
      <c r="M351" s="35" t="s">
        <v>1253</v>
      </c>
      <c r="N351" s="35" t="s">
        <v>1209</v>
      </c>
      <c r="Z351" s="101"/>
      <c r="AA351" s="101"/>
      <c r="AB351" s="101"/>
      <c r="AC351" s="101"/>
      <c r="AD351" s="101"/>
      <c r="AE351" s="101"/>
      <c r="AF351" s="101"/>
      <c r="AG351" s="101"/>
      <c r="AH351" s="101"/>
      <c r="AI351" s="101"/>
      <c r="AJ351" s="101"/>
      <c r="AK351" s="101"/>
      <c r="AL351" s="101"/>
      <c r="AM351" s="101"/>
      <c r="AN351" s="101"/>
    </row>
    <row r="352" spans="1:40" ht="16.5" customHeight="1" x14ac:dyDescent="0.3">
      <c r="A352" s="69"/>
      <c r="B352" s="69"/>
      <c r="C352" s="90"/>
      <c r="D352" s="90"/>
      <c r="E352" s="90"/>
      <c r="F352" s="90"/>
      <c r="Z352" s="101"/>
      <c r="AA352" s="101"/>
      <c r="AB352" s="101"/>
      <c r="AC352" s="101"/>
      <c r="AD352" s="101"/>
      <c r="AE352" s="101"/>
      <c r="AF352" s="101"/>
      <c r="AG352" s="101"/>
      <c r="AH352" s="101"/>
      <c r="AI352" s="101"/>
      <c r="AJ352" s="101"/>
      <c r="AK352" s="101"/>
      <c r="AL352" s="101"/>
      <c r="AM352" s="101"/>
      <c r="AN352" s="101"/>
    </row>
    <row r="353" spans="1:40" ht="16.5" customHeight="1" x14ac:dyDescent="0.3">
      <c r="A353" s="74"/>
      <c r="B353" s="74"/>
      <c r="C353" s="74"/>
      <c r="D353" s="74"/>
      <c r="E353" s="74"/>
      <c r="F353" s="74"/>
      <c r="Z353" s="101"/>
      <c r="AA353" s="101"/>
      <c r="AB353" s="101"/>
      <c r="AC353" s="101"/>
      <c r="AD353" s="101"/>
      <c r="AE353" s="101"/>
      <c r="AF353" s="101"/>
      <c r="AG353" s="101"/>
      <c r="AH353" s="101"/>
      <c r="AI353" s="101"/>
      <c r="AJ353" s="101"/>
      <c r="AK353" s="101"/>
      <c r="AL353" s="101"/>
      <c r="AM353" s="101"/>
      <c r="AN353" s="101"/>
    </row>
    <row r="354" spans="1:40" ht="16.5" customHeight="1" x14ac:dyDescent="0.3">
      <c r="A354" s="150" t="s">
        <v>1477</v>
      </c>
      <c r="B354" s="143"/>
      <c r="C354" s="47">
        <f>E354+D354+F354</f>
        <v>5664</v>
      </c>
      <c r="D354" s="46">
        <f>ROUNDDOWN(SUMIF(N307:N351,M354,D307:D351),0)</f>
        <v>4928</v>
      </c>
      <c r="E354" s="55">
        <f>ROUNDDOWN(SUMIF(N307:N351,M354,E307:E351),0)</f>
        <v>477</v>
      </c>
      <c r="F354" s="47">
        <f>ROUNDDOWN(SUMIF(N307:N351,M354,F307:F351),0)</f>
        <v>259</v>
      </c>
      <c r="M354" s="35" t="s">
        <v>1209</v>
      </c>
      <c r="Z354" s="101"/>
      <c r="AA354" s="101"/>
      <c r="AB354" s="101"/>
      <c r="AC354" s="101"/>
      <c r="AD354" s="101"/>
      <c r="AE354" s="101"/>
      <c r="AF354" s="101"/>
      <c r="AG354" s="101"/>
      <c r="AH354" s="101"/>
      <c r="AI354" s="101"/>
      <c r="AJ354" s="101"/>
      <c r="AK354" s="101"/>
      <c r="AL354" s="101"/>
      <c r="AM354" s="101"/>
      <c r="AN354" s="101"/>
    </row>
    <row r="355" spans="1:40" ht="16.5" customHeight="1" x14ac:dyDescent="0.3">
      <c r="A355" s="86" t="s">
        <v>40</v>
      </c>
      <c r="B355" s="88" t="s">
        <v>40</v>
      </c>
      <c r="C355" s="151">
        <f>C404</f>
        <v>6200</v>
      </c>
      <c r="D355" s="151">
        <f>D404</f>
        <v>3724</v>
      </c>
      <c r="E355" s="151">
        <f>E404</f>
        <v>1371</v>
      </c>
      <c r="F355" s="151">
        <f>F404</f>
        <v>1105</v>
      </c>
      <c r="G355" s="84" t="str">
        <f>HYPERLINK("#G"&amp;ROW(G375),"_x0005_`BDCOD|D00785_x0007_`POSS|"&amp;ROW(G357)&amp;"_x0007_`POSE|"&amp;ROW(G375)&amp;"_x0007_`")</f>
        <v>_x0005_`BDCOD|D00785_x0007_`POSS|357_x0007_`POSE|375_x0007_`</v>
      </c>
      <c r="Z355" s="101"/>
      <c r="AA355" s="101"/>
      <c r="AB355" s="101"/>
      <c r="AC355" s="101"/>
      <c r="AD355" s="101"/>
      <c r="AE355" s="101"/>
      <c r="AF355" s="101"/>
      <c r="AG355" s="101"/>
      <c r="AH355" s="101"/>
      <c r="AI355" s="101"/>
      <c r="AJ355" s="101"/>
      <c r="AK355" s="101"/>
      <c r="AL355" s="101"/>
      <c r="AM355" s="101"/>
      <c r="AN355" s="101"/>
    </row>
    <row r="356" spans="1:40" ht="16.5" customHeight="1" x14ac:dyDescent="0.3">
      <c r="A356" s="87"/>
      <c r="B356" s="88" t="s">
        <v>144</v>
      </c>
      <c r="C356" s="136"/>
      <c r="D356" s="136"/>
      <c r="E356" s="136"/>
      <c r="F356" s="136"/>
      <c r="M356" s="35" t="s">
        <v>1606</v>
      </c>
      <c r="Z356" s="101"/>
      <c r="AA356" s="101"/>
      <c r="AB356" s="101"/>
      <c r="AC356" s="101"/>
      <c r="AD356" s="101"/>
      <c r="AE356" s="101"/>
      <c r="AF356" s="101"/>
      <c r="AG356" s="101"/>
      <c r="AH356" s="101"/>
      <c r="AI356" s="101"/>
      <c r="AJ356" s="101"/>
      <c r="AK356" s="101"/>
      <c r="AL356" s="101"/>
      <c r="AM356" s="101"/>
      <c r="AN356" s="101"/>
    </row>
    <row r="357" spans="1:40" ht="16.5" customHeight="1" x14ac:dyDescent="0.3">
      <c r="A357" s="69"/>
      <c r="B357" s="69"/>
      <c r="C357" s="90"/>
      <c r="D357" s="90"/>
      <c r="E357" s="90"/>
      <c r="F357" s="90"/>
      <c r="G357" s="17" t="s">
        <v>1405</v>
      </c>
      <c r="Z357" s="101"/>
      <c r="AA357" s="101"/>
      <c r="AB357" s="101"/>
      <c r="AC357" s="101"/>
      <c r="AD357" s="101"/>
      <c r="AE357" s="101"/>
      <c r="AF357" s="101"/>
      <c r="AG357" s="101"/>
      <c r="AH357" s="101"/>
      <c r="AI357" s="101"/>
      <c r="AJ357" s="101"/>
      <c r="AK357" s="101"/>
      <c r="AL357" s="101"/>
      <c r="AM357" s="101"/>
      <c r="AN357" s="101"/>
    </row>
    <row r="358" spans="1:40" ht="16.5" customHeight="1" x14ac:dyDescent="0.3">
      <c r="A358" s="59"/>
      <c r="B358" s="68" t="s">
        <v>1608</v>
      </c>
      <c r="C358" s="69"/>
      <c r="D358" s="69"/>
      <c r="E358" s="69"/>
      <c r="F358" s="69"/>
      <c r="G358" s="17" t="s">
        <v>1607</v>
      </c>
      <c r="Z358" s="101"/>
      <c r="AA358" s="101"/>
      <c r="AB358" s="101"/>
      <c r="AC358" s="101"/>
      <c r="AD358" s="101"/>
      <c r="AE358" s="101"/>
      <c r="AF358" s="101"/>
      <c r="AG358" s="101"/>
      <c r="AH358" s="101"/>
      <c r="AI358" s="101"/>
      <c r="AJ358" s="101"/>
      <c r="AK358" s="101"/>
      <c r="AL358" s="101"/>
      <c r="AM358" s="101"/>
      <c r="AN358" s="101"/>
    </row>
    <row r="359" spans="1:40" ht="16.5" customHeight="1" x14ac:dyDescent="0.3">
      <c r="A359" s="69"/>
      <c r="B359" s="69"/>
      <c r="C359" s="69"/>
      <c r="D359" s="69"/>
      <c r="E359" s="69"/>
      <c r="F359" s="69"/>
      <c r="G359" s="17" t="s">
        <v>1405</v>
      </c>
      <c r="Z359" s="101"/>
      <c r="AA359" s="101"/>
      <c r="AB359" s="101"/>
      <c r="AC359" s="101"/>
      <c r="AD359" s="101"/>
      <c r="AE359" s="101"/>
      <c r="AF359" s="101"/>
      <c r="AG359" s="101"/>
      <c r="AH359" s="101"/>
      <c r="AI359" s="101"/>
      <c r="AJ359" s="101"/>
      <c r="AK359" s="101"/>
      <c r="AL359" s="101"/>
      <c r="AM359" s="101"/>
      <c r="AN359" s="101"/>
    </row>
    <row r="360" spans="1:40" ht="16.5" customHeight="1" x14ac:dyDescent="0.3">
      <c r="A360" s="59"/>
      <c r="B360" s="68" t="str">
        <f>"   qo="&amp;Z360&amp;",         K="&amp;AD360&amp;""</f>
        <v xml:space="preserve">   qo=0.4,         K=0.55</v>
      </c>
      <c r="C360" s="69"/>
      <c r="D360" s="69"/>
      <c r="E360" s="69"/>
      <c r="F360" s="69"/>
      <c r="G360" s="17" t="s">
        <v>1609</v>
      </c>
      <c r="Z360" s="104">
        <v>0.4</v>
      </c>
      <c r="AA360" s="35" t="s">
        <v>1410</v>
      </c>
      <c r="AB360" s="103">
        <f>Z360</f>
        <v>0.4</v>
      </c>
      <c r="AC360" s="105" t="s">
        <v>1453</v>
      </c>
      <c r="AD360" s="104">
        <v>0.55000000000000004</v>
      </c>
      <c r="AE360" s="35" t="s">
        <v>1410</v>
      </c>
      <c r="AF360" s="103">
        <f>AD360</f>
        <v>0.55000000000000004</v>
      </c>
      <c r="AG360" s="101"/>
      <c r="AH360" s="101"/>
      <c r="AI360" s="101"/>
      <c r="AJ360" s="101"/>
      <c r="AK360" s="101"/>
      <c r="AL360" s="101"/>
      <c r="AM360" s="101"/>
      <c r="AN360" s="101"/>
    </row>
    <row r="361" spans="1:40" ht="16.5" customHeight="1" x14ac:dyDescent="0.3">
      <c r="A361" s="69"/>
      <c r="B361" s="69"/>
      <c r="C361" s="69"/>
      <c r="D361" s="69"/>
      <c r="E361" s="69"/>
      <c r="F361" s="69"/>
      <c r="G361" s="17" t="s">
        <v>1405</v>
      </c>
      <c r="Z361" s="101"/>
      <c r="AA361" s="101"/>
      <c r="AB361" s="101"/>
      <c r="AC361" s="101"/>
      <c r="AD361" s="101"/>
      <c r="AE361" s="101"/>
      <c r="AF361" s="101"/>
      <c r="AG361" s="101"/>
      <c r="AH361" s="101"/>
      <c r="AI361" s="101"/>
      <c r="AJ361" s="101"/>
      <c r="AK361" s="101"/>
      <c r="AL361" s="101"/>
      <c r="AM361" s="101"/>
      <c r="AN361" s="101"/>
    </row>
    <row r="362" spans="1:40" ht="16.5" customHeight="1" x14ac:dyDescent="0.3">
      <c r="A362" s="59"/>
      <c r="B362" s="68" t="str">
        <f>"   f="&amp;Z362&amp;"/"&amp;AB362&amp;"= "&amp;AD362&amp;" ,      Eo = "&amp;AF362&amp;""</f>
        <v xml:space="preserve">   f=1/1.5= 0.667 ,      Eo = 0.45</v>
      </c>
      <c r="C362" s="69"/>
      <c r="D362" s="69"/>
      <c r="E362" s="69"/>
      <c r="F362" s="69"/>
      <c r="G362" s="17" t="s">
        <v>1610</v>
      </c>
      <c r="Z362" s="102">
        <v>1</v>
      </c>
      <c r="AA362" s="35" t="s">
        <v>1413</v>
      </c>
      <c r="AB362" s="104">
        <v>1.5</v>
      </c>
      <c r="AC362" s="35" t="s">
        <v>1410</v>
      </c>
      <c r="AD362" s="103" t="str">
        <f>TEXT(ROUND(Z362/AB362,3),"#,0.000")</f>
        <v>0.667</v>
      </c>
      <c r="AE362" s="105" t="s">
        <v>1453</v>
      </c>
      <c r="AF362" s="104">
        <v>0.45</v>
      </c>
      <c r="AG362" s="35" t="s">
        <v>1410</v>
      </c>
      <c r="AH362" s="103">
        <f>AF362</f>
        <v>0.45</v>
      </c>
      <c r="AI362" s="101"/>
      <c r="AJ362" s="101"/>
      <c r="AK362" s="101"/>
      <c r="AL362" s="101"/>
      <c r="AM362" s="101"/>
      <c r="AN362" s="101"/>
    </row>
    <row r="363" spans="1:40" ht="16.5" customHeight="1" x14ac:dyDescent="0.3">
      <c r="A363" s="69"/>
      <c r="B363" s="69"/>
      <c r="C363" s="69"/>
      <c r="D363" s="69"/>
      <c r="E363" s="69"/>
      <c r="F363" s="69"/>
      <c r="G363" s="17" t="s">
        <v>1405</v>
      </c>
      <c r="Z363" s="101"/>
      <c r="AA363" s="101"/>
      <c r="AB363" s="101"/>
      <c r="AC363" s="101"/>
      <c r="AD363" s="101"/>
      <c r="AE363" s="101"/>
      <c r="AF363" s="101"/>
      <c r="AG363" s="101"/>
      <c r="AH363" s="101"/>
      <c r="AI363" s="101"/>
      <c r="AJ363" s="101"/>
      <c r="AK363" s="101"/>
      <c r="AL363" s="101"/>
      <c r="AM363" s="101"/>
      <c r="AN363" s="101"/>
    </row>
    <row r="364" spans="1:40" ht="16.5" customHeight="1" x14ac:dyDescent="0.3">
      <c r="A364" s="59"/>
      <c r="B364" s="68" t="str">
        <f>"   Cm = "&amp;Z364&amp;"  sec(90°) "</f>
        <v xml:space="preserve">   Cm = 15  sec(90°) </v>
      </c>
      <c r="C364" s="69"/>
      <c r="D364" s="69"/>
      <c r="E364" s="69"/>
      <c r="F364" s="69"/>
      <c r="G364" s="17" t="s">
        <v>1611</v>
      </c>
      <c r="Z364" s="102">
        <v>15</v>
      </c>
      <c r="AA364" s="35" t="s">
        <v>1410</v>
      </c>
      <c r="AB364" s="103">
        <f>Z364</f>
        <v>15</v>
      </c>
      <c r="AC364" s="101"/>
      <c r="AD364" s="101"/>
      <c r="AE364" s="101"/>
      <c r="AF364" s="101"/>
      <c r="AG364" s="101"/>
      <c r="AH364" s="101"/>
      <c r="AI364" s="101"/>
      <c r="AJ364" s="101"/>
      <c r="AK364" s="101"/>
      <c r="AL364" s="101"/>
      <c r="AM364" s="101"/>
      <c r="AN364" s="101"/>
    </row>
    <row r="365" spans="1:40" ht="16.5" customHeight="1" x14ac:dyDescent="0.3">
      <c r="A365" s="69"/>
      <c r="B365" s="69"/>
      <c r="C365" s="69"/>
      <c r="D365" s="69"/>
      <c r="E365" s="69"/>
      <c r="F365" s="69"/>
      <c r="G365" s="17" t="s">
        <v>1405</v>
      </c>
      <c r="Z365" s="101"/>
      <c r="AA365" s="101"/>
      <c r="AB365" s="101"/>
      <c r="AC365" s="101"/>
      <c r="AD365" s="101"/>
      <c r="AE365" s="101"/>
      <c r="AF365" s="101"/>
      <c r="AG365" s="101"/>
      <c r="AH365" s="101"/>
      <c r="AI365" s="101"/>
      <c r="AJ365" s="101"/>
      <c r="AK365" s="101"/>
      <c r="AL365" s="101"/>
      <c r="AM365" s="101"/>
      <c r="AN365" s="101"/>
    </row>
    <row r="366" spans="1:40" ht="16.5" customHeight="1" x14ac:dyDescent="0.3">
      <c r="A366" s="59"/>
      <c r="B366" s="68" t="str">
        <f>"   Q="&amp;Z366&amp;"*qo*K*Eo*f/Cm  = "&amp;AL366&amp;"  ㎥/hr "</f>
        <v xml:space="preserve">   Q=3600*qo*K*Eo*f/Cm  = 15.848  ㎥/hr </v>
      </c>
      <c r="C366" s="69"/>
      <c r="D366" s="69"/>
      <c r="E366" s="69"/>
      <c r="F366" s="69"/>
      <c r="G366" s="17" t="s">
        <v>1612</v>
      </c>
      <c r="Z366" s="102">
        <v>3600</v>
      </c>
      <c r="AA366" s="35" t="s">
        <v>1436</v>
      </c>
      <c r="AB366" s="103">
        <f>AB360</f>
        <v>0.4</v>
      </c>
      <c r="AC366" s="35" t="s">
        <v>1436</v>
      </c>
      <c r="AD366" s="103">
        <f>AF360</f>
        <v>0.55000000000000004</v>
      </c>
      <c r="AE366" s="35" t="s">
        <v>1436</v>
      </c>
      <c r="AF366" s="103">
        <f>AH362</f>
        <v>0.45</v>
      </c>
      <c r="AG366" s="35" t="s">
        <v>1436</v>
      </c>
      <c r="AH366" s="103" t="str">
        <f>AD362</f>
        <v>0.667</v>
      </c>
      <c r="AI366" s="35" t="s">
        <v>1413</v>
      </c>
      <c r="AJ366" s="103">
        <f>AB364</f>
        <v>15</v>
      </c>
      <c r="AK366" s="35" t="s">
        <v>1410</v>
      </c>
      <c r="AL366" s="103" t="str">
        <f>TEXT(ROUND(Z366*AB360*AF360*AH362*AD362/AB364,3),"#,0.000")</f>
        <v>15.848</v>
      </c>
      <c r="AM366" s="101"/>
      <c r="AN366" s="101"/>
    </row>
    <row r="367" spans="1:40" ht="16.5" customHeight="1" x14ac:dyDescent="0.3">
      <c r="A367" s="69"/>
      <c r="B367" s="69"/>
      <c r="C367" s="69"/>
      <c r="D367" s="69"/>
      <c r="E367" s="69"/>
      <c r="F367" s="69"/>
      <c r="G367" s="17" t="s">
        <v>1405</v>
      </c>
      <c r="Z367" s="101"/>
      <c r="AA367" s="101"/>
      <c r="AB367" s="101"/>
      <c r="AC367" s="101"/>
      <c r="AD367" s="101"/>
      <c r="AE367" s="101"/>
      <c r="AF367" s="101"/>
      <c r="AG367" s="101"/>
      <c r="AH367" s="101"/>
      <c r="AI367" s="101"/>
      <c r="AJ367" s="101"/>
      <c r="AK367" s="101"/>
      <c r="AL367" s="101"/>
      <c r="AM367" s="101"/>
      <c r="AN367" s="101"/>
    </row>
    <row r="368" spans="1:40" ht="16.5" customHeight="1" x14ac:dyDescent="0.3">
      <c r="A368" s="69"/>
      <c r="B368" s="69"/>
      <c r="C368" s="69"/>
      <c r="D368" s="69"/>
      <c r="E368" s="69"/>
      <c r="F368" s="69"/>
      <c r="G368" s="17" t="s">
        <v>1405</v>
      </c>
      <c r="Z368" s="101"/>
      <c r="AA368" s="101"/>
      <c r="AB368" s="101"/>
      <c r="AC368" s="101"/>
      <c r="AD368" s="101"/>
      <c r="AE368" s="101"/>
      <c r="AF368" s="101"/>
      <c r="AG368" s="101"/>
      <c r="AH368" s="101"/>
      <c r="AI368" s="101"/>
      <c r="AJ368" s="101"/>
      <c r="AK368" s="101"/>
      <c r="AL368" s="101"/>
      <c r="AM368" s="101"/>
      <c r="AN368" s="101"/>
    </row>
    <row r="369" spans="1:40" ht="16.5" customHeight="1" x14ac:dyDescent="0.3">
      <c r="A369" s="59" t="s">
        <v>1543</v>
      </c>
      <c r="B369" s="89" t="str">
        <f>"   노무비: "&amp;TEXT(I369,"#,##0"&amp;IF(I369&lt;&gt;INT(I369),".###",""))&amp;"/Q = "&amp;TEXT(C369,"#,##0.0")&amp;""</f>
        <v xml:space="preserve">   노무비: 59,020/Q = 3,724.1</v>
      </c>
      <c r="C369" s="91">
        <f>E369+D369+F369</f>
        <v>3724.1</v>
      </c>
      <c r="D369" s="91">
        <f>IF(H369=0,0,ROUNDDOWN(J369*H369,1))</f>
        <v>3724.1</v>
      </c>
      <c r="E369" s="91">
        <f>IF(H369=0,0,ROUNDDOWN(K369*H369,1))</f>
        <v>0</v>
      </c>
      <c r="F369" s="91">
        <f>IF(H369=0,0,ROUNDDOWN(L369*H369,1))</f>
        <v>0</v>
      </c>
      <c r="G369" s="17" t="s">
        <v>1613</v>
      </c>
      <c r="H369" s="97">
        <f>ROUNDUP(AC369,14-LEN(ABS(INT(AC369))))</f>
        <v>6.3099444724900006E-2</v>
      </c>
      <c r="I369" s="98">
        <f>K369+J369+L369</f>
        <v>59020</v>
      </c>
      <c r="J369" s="38">
        <f>중기목록표!F6</f>
        <v>59020</v>
      </c>
      <c r="M369" s="35" t="s">
        <v>1544</v>
      </c>
      <c r="N369" s="35" t="s">
        <v>1253</v>
      </c>
      <c r="X369" s="100" t="str">
        <f>중기목록표!B6&amp;" / "&amp;중기목록표!C6</f>
        <v>굴착기(무한궤도) / 0.4㎥</v>
      </c>
      <c r="Y369" s="3" t="str">
        <f ca="1">HYPERLINK("#"&amp;중기목록표!J2&amp;"!A"&amp;ROW(중기목록표!A6),"중기3 →")</f>
        <v>중기3 →</v>
      </c>
      <c r="Z369" s="35" t="s">
        <v>1417</v>
      </c>
      <c r="AA369" s="103" t="str">
        <f>AL366</f>
        <v>15.848</v>
      </c>
      <c r="AB369" s="35" t="s">
        <v>1410</v>
      </c>
      <c r="AC369" s="103">
        <f>1/AL366</f>
        <v>6.3099444724886419E-2</v>
      </c>
      <c r="AD369" s="101"/>
      <c r="AE369" s="101"/>
      <c r="AF369" s="101"/>
      <c r="AG369" s="101"/>
      <c r="AH369" s="101"/>
      <c r="AI369" s="101"/>
      <c r="AJ369" s="101"/>
      <c r="AK369" s="101"/>
      <c r="AL369" s="101"/>
      <c r="AM369" s="101"/>
      <c r="AN369" s="101"/>
    </row>
    <row r="370" spans="1:40" ht="16.5" customHeight="1" x14ac:dyDescent="0.3">
      <c r="A370" s="69"/>
      <c r="B370" s="69"/>
      <c r="C370" s="69"/>
      <c r="D370" s="69"/>
      <c r="E370" s="69"/>
      <c r="F370" s="69"/>
      <c r="G370" s="17" t="s">
        <v>1405</v>
      </c>
      <c r="Z370" s="101"/>
      <c r="AA370" s="101"/>
      <c r="AB370" s="101"/>
      <c r="AC370" s="101"/>
      <c r="AD370" s="101"/>
      <c r="AE370" s="101"/>
      <c r="AF370" s="101"/>
      <c r="AG370" s="101"/>
      <c r="AH370" s="101"/>
      <c r="AI370" s="101"/>
      <c r="AJ370" s="101"/>
      <c r="AK370" s="101"/>
      <c r="AL370" s="101"/>
      <c r="AM370" s="101"/>
      <c r="AN370" s="101"/>
    </row>
    <row r="371" spans="1:40" ht="16.5" customHeight="1" x14ac:dyDescent="0.3">
      <c r="A371" s="59" t="s">
        <v>1546</v>
      </c>
      <c r="B371" s="89" t="str">
        <f>"   재료비: "&amp;TEXT(I371,"#,##0"&amp;IF(I371&lt;&gt;INT(I371),".###",""))&amp;"/Q = "&amp;TEXT(C371,"#,##0.0")&amp;""</f>
        <v xml:space="preserve">   재료비: 21,728/Q = 1,371.0</v>
      </c>
      <c r="C371" s="91">
        <f>E371+D371+F371</f>
        <v>1371</v>
      </c>
      <c r="D371" s="91">
        <f>IF(H371=0,0,ROUNDDOWN(J371*H371,1))</f>
        <v>0</v>
      </c>
      <c r="E371" s="91">
        <f>IF(H371=0,0,ROUNDDOWN(K371*H371,1))</f>
        <v>1371</v>
      </c>
      <c r="F371" s="91">
        <f>IF(H371=0,0,ROUNDDOWN(L371*H371,1))</f>
        <v>0</v>
      </c>
      <c r="G371" s="17" t="s">
        <v>1614</v>
      </c>
      <c r="H371" s="97">
        <f>ROUNDUP(AC371,14-LEN(ABS(INT(AC371))))</f>
        <v>6.3099444724900006E-2</v>
      </c>
      <c r="I371" s="98">
        <f>K371+J371+L371</f>
        <v>21728</v>
      </c>
      <c r="K371" s="38">
        <f>중기목록표!G6</f>
        <v>21728</v>
      </c>
      <c r="M371" s="35" t="s">
        <v>1544</v>
      </c>
      <c r="N371" s="35" t="s">
        <v>1253</v>
      </c>
      <c r="X371" s="100" t="str">
        <f>중기목록표!B6&amp;" / "&amp;중기목록표!C6</f>
        <v>굴착기(무한궤도) / 0.4㎥</v>
      </c>
      <c r="Y371" s="3" t="str">
        <f ca="1">HYPERLINK("#"&amp;중기목록표!J2&amp;"!A"&amp;ROW(중기목록표!A6),"중기3 →")</f>
        <v>중기3 →</v>
      </c>
      <c r="Z371" s="35" t="s">
        <v>1417</v>
      </c>
      <c r="AA371" s="103" t="str">
        <f>AL366</f>
        <v>15.848</v>
      </c>
      <c r="AB371" s="35" t="s">
        <v>1410</v>
      </c>
      <c r="AC371" s="103">
        <f>1/AL366</f>
        <v>6.3099444724886419E-2</v>
      </c>
      <c r="AD371" s="101"/>
      <c r="AE371" s="101"/>
      <c r="AF371" s="101"/>
      <c r="AG371" s="101"/>
      <c r="AH371" s="101"/>
      <c r="AI371" s="101"/>
      <c r="AJ371" s="101"/>
      <c r="AK371" s="101"/>
      <c r="AL371" s="101"/>
      <c r="AM371" s="101"/>
      <c r="AN371" s="101"/>
    </row>
    <row r="372" spans="1:40" ht="16.5" customHeight="1" x14ac:dyDescent="0.3">
      <c r="A372" s="69"/>
      <c r="B372" s="69"/>
      <c r="C372" s="69"/>
      <c r="D372" s="69"/>
      <c r="E372" s="69"/>
      <c r="F372" s="69"/>
      <c r="G372" s="17" t="s">
        <v>1405</v>
      </c>
      <c r="Z372" s="101"/>
      <c r="AA372" s="101"/>
      <c r="AB372" s="101"/>
      <c r="AC372" s="101"/>
      <c r="AD372" s="101"/>
      <c r="AE372" s="101"/>
      <c r="AF372" s="101"/>
      <c r="AG372" s="101"/>
      <c r="AH372" s="101"/>
      <c r="AI372" s="101"/>
      <c r="AJ372" s="101"/>
      <c r="AK372" s="101"/>
      <c r="AL372" s="101"/>
      <c r="AM372" s="101"/>
      <c r="AN372" s="101"/>
    </row>
    <row r="373" spans="1:40" ht="16.5" customHeight="1" x14ac:dyDescent="0.3">
      <c r="A373" s="59" t="s">
        <v>1548</v>
      </c>
      <c r="B373" s="89" t="str">
        <f>"   경  비: "&amp;TEXT(I373,"#,##0"&amp;IF(I373&lt;&gt;INT(I373),".###",""))&amp;"/Q = "&amp;TEXT(C373,"#,##0.0")&amp;""</f>
        <v xml:space="preserve">   경  비: 17,514/Q = 1,105.1</v>
      </c>
      <c r="C373" s="91">
        <f>E373+D373+F373</f>
        <v>1105.0999999999999</v>
      </c>
      <c r="D373" s="91">
        <f>IF(H373=0,0,ROUNDDOWN(J373*H373,1))</f>
        <v>0</v>
      </c>
      <c r="E373" s="91">
        <f>IF(H373=0,0,ROUNDDOWN(K373*H373,1))</f>
        <v>0</v>
      </c>
      <c r="F373" s="91">
        <f>IF(H373=0,0,ROUNDDOWN(L373*H373,1))</f>
        <v>1105.0999999999999</v>
      </c>
      <c r="G373" s="17" t="s">
        <v>1615</v>
      </c>
      <c r="H373" s="97">
        <f>ROUNDUP(AC373,14-LEN(ABS(INT(AC373))))</f>
        <v>6.3099444724900006E-2</v>
      </c>
      <c r="I373" s="98">
        <f>K373+J373+L373</f>
        <v>17514</v>
      </c>
      <c r="L373" s="38">
        <f>중기목록표!H6</f>
        <v>17514</v>
      </c>
      <c r="M373" s="35" t="s">
        <v>1544</v>
      </c>
      <c r="N373" s="35" t="s">
        <v>1253</v>
      </c>
      <c r="X373" s="100" t="str">
        <f>중기목록표!B6&amp;" / "&amp;중기목록표!C6</f>
        <v>굴착기(무한궤도) / 0.4㎥</v>
      </c>
      <c r="Y373" s="3" t="str">
        <f ca="1">HYPERLINK("#"&amp;중기목록표!J2&amp;"!A"&amp;ROW(중기목록표!A6),"중기3 →")</f>
        <v>중기3 →</v>
      </c>
      <c r="Z373" s="35" t="s">
        <v>1417</v>
      </c>
      <c r="AA373" s="103" t="str">
        <f>AL366</f>
        <v>15.848</v>
      </c>
      <c r="AB373" s="35" t="s">
        <v>1410</v>
      </c>
      <c r="AC373" s="103">
        <f>1/AL366</f>
        <v>6.3099444724886419E-2</v>
      </c>
      <c r="AD373" s="101"/>
      <c r="AE373" s="101"/>
      <c r="AF373" s="101"/>
      <c r="AG373" s="101"/>
      <c r="AH373" s="101"/>
      <c r="AI373" s="101"/>
      <c r="AJ373" s="101"/>
      <c r="AK373" s="101"/>
      <c r="AL373" s="101"/>
      <c r="AM373" s="101"/>
      <c r="AN373" s="101"/>
    </row>
    <row r="374" spans="1:40" ht="16.5" customHeight="1" x14ac:dyDescent="0.3">
      <c r="A374" s="69"/>
      <c r="B374" s="69"/>
      <c r="C374" s="69"/>
      <c r="D374" s="69"/>
      <c r="E374" s="69"/>
      <c r="F374" s="69"/>
      <c r="G374" s="17" t="s">
        <v>1405</v>
      </c>
      <c r="Z374" s="101"/>
      <c r="AA374" s="101"/>
      <c r="AB374" s="101"/>
      <c r="AC374" s="101"/>
      <c r="AD374" s="101"/>
      <c r="AE374" s="101"/>
      <c r="AF374" s="101"/>
      <c r="AG374" s="101"/>
      <c r="AH374" s="101"/>
      <c r="AI374" s="101"/>
      <c r="AJ374" s="101"/>
      <c r="AK374" s="101"/>
      <c r="AL374" s="101"/>
      <c r="AM374" s="101"/>
      <c r="AN374" s="101"/>
    </row>
    <row r="375" spans="1:40" ht="16.5" customHeight="1" x14ac:dyDescent="0.3">
      <c r="A375" s="59"/>
      <c r="B375" s="68" t="s">
        <v>1251</v>
      </c>
      <c r="C375" s="92">
        <f>E375+D375+F375</f>
        <v>6200.2000000000007</v>
      </c>
      <c r="D375" s="92">
        <f>SUMIF(N357:N374,M375,D357:D374)</f>
        <v>3724.1</v>
      </c>
      <c r="E375" s="92">
        <f>SUMIF(N357:N374,M375,E357:E374)</f>
        <v>1371</v>
      </c>
      <c r="F375" s="92">
        <f>SUMIF(N357:N374,M375,F357:F374)</f>
        <v>1105.0999999999999</v>
      </c>
      <c r="G375" s="17" t="s">
        <v>1476</v>
      </c>
      <c r="M375" s="35" t="s">
        <v>1253</v>
      </c>
      <c r="N375" s="35" t="s">
        <v>1209</v>
      </c>
      <c r="Z375" s="101"/>
      <c r="AA375" s="101"/>
      <c r="AB375" s="101"/>
      <c r="AC375" s="101"/>
      <c r="AD375" s="101"/>
      <c r="AE375" s="101"/>
      <c r="AF375" s="101"/>
      <c r="AG375" s="101"/>
      <c r="AH375" s="101"/>
      <c r="AI375" s="101"/>
      <c r="AJ375" s="101"/>
      <c r="AK375" s="101"/>
      <c r="AL375" s="101"/>
      <c r="AM375" s="101"/>
      <c r="AN375" s="101"/>
    </row>
    <row r="376" spans="1:40" ht="16.5" customHeight="1" x14ac:dyDescent="0.3">
      <c r="A376" s="69"/>
      <c r="B376" s="69"/>
      <c r="C376" s="90"/>
      <c r="D376" s="90"/>
      <c r="E376" s="90"/>
      <c r="F376" s="90"/>
      <c r="Z376" s="101"/>
      <c r="AA376" s="101"/>
      <c r="AB376" s="101"/>
      <c r="AC376" s="101"/>
      <c r="AD376" s="101"/>
      <c r="AE376" s="101"/>
      <c r="AF376" s="101"/>
      <c r="AG376" s="101"/>
      <c r="AH376" s="101"/>
      <c r="AI376" s="101"/>
      <c r="AJ376" s="101"/>
      <c r="AK376" s="101"/>
      <c r="AL376" s="101"/>
      <c r="AM376" s="101"/>
      <c r="AN376" s="101"/>
    </row>
    <row r="377" spans="1:40" ht="16.5" customHeight="1" x14ac:dyDescent="0.3">
      <c r="A377" s="69"/>
      <c r="B377" s="69"/>
      <c r="C377" s="69"/>
      <c r="D377" s="69"/>
      <c r="E377" s="69"/>
      <c r="F377" s="69"/>
      <c r="Z377" s="101"/>
      <c r="AA377" s="101"/>
      <c r="AB377" s="101"/>
      <c r="AC377" s="101"/>
      <c r="AD377" s="101"/>
      <c r="AE377" s="101"/>
      <c r="AF377" s="101"/>
      <c r="AG377" s="101"/>
      <c r="AH377" s="101"/>
      <c r="AI377" s="101"/>
      <c r="AJ377" s="101"/>
      <c r="AK377" s="101"/>
      <c r="AL377" s="101"/>
      <c r="AM377" s="101"/>
      <c r="AN377" s="101"/>
    </row>
    <row r="378" spans="1:40" ht="16.5" customHeight="1" x14ac:dyDescent="0.3">
      <c r="A378" s="69"/>
      <c r="B378" s="69"/>
      <c r="C378" s="69"/>
      <c r="D378" s="69"/>
      <c r="E378" s="69"/>
      <c r="F378" s="69"/>
      <c r="Z378" s="101"/>
      <c r="AA378" s="101"/>
      <c r="AB378" s="101"/>
      <c r="AC378" s="101"/>
      <c r="AD378" s="101"/>
      <c r="AE378" s="101"/>
      <c r="AF378" s="101"/>
      <c r="AG378" s="101"/>
      <c r="AH378" s="101"/>
      <c r="AI378" s="101"/>
      <c r="AJ378" s="101"/>
      <c r="AK378" s="101"/>
      <c r="AL378" s="101"/>
      <c r="AM378" s="101"/>
      <c r="AN378" s="101"/>
    </row>
    <row r="379" spans="1:40" ht="16.5" customHeight="1" x14ac:dyDescent="0.3">
      <c r="A379" s="69"/>
      <c r="B379" s="69"/>
      <c r="C379" s="69"/>
      <c r="D379" s="69"/>
      <c r="E379" s="69"/>
      <c r="F379" s="69"/>
      <c r="Z379" s="101"/>
      <c r="AA379" s="101"/>
      <c r="AB379" s="101"/>
      <c r="AC379" s="101"/>
      <c r="AD379" s="101"/>
      <c r="AE379" s="101"/>
      <c r="AF379" s="101"/>
      <c r="AG379" s="101"/>
      <c r="AH379" s="101"/>
      <c r="AI379" s="101"/>
      <c r="AJ379" s="101"/>
      <c r="AK379" s="101"/>
      <c r="AL379" s="101"/>
      <c r="AM379" s="101"/>
      <c r="AN379" s="101"/>
    </row>
    <row r="380" spans="1:40" ht="16.5" customHeight="1" x14ac:dyDescent="0.3">
      <c r="A380" s="69"/>
      <c r="B380" s="69"/>
      <c r="C380" s="69"/>
      <c r="D380" s="69"/>
      <c r="E380" s="69"/>
      <c r="F380" s="69"/>
      <c r="Z380" s="101"/>
      <c r="AA380" s="101"/>
      <c r="AB380" s="101"/>
      <c r="AC380" s="101"/>
      <c r="AD380" s="101"/>
      <c r="AE380" s="101"/>
      <c r="AF380" s="101"/>
      <c r="AG380" s="101"/>
      <c r="AH380" s="101"/>
      <c r="AI380" s="101"/>
      <c r="AJ380" s="101"/>
      <c r="AK380" s="101"/>
      <c r="AL380" s="101"/>
      <c r="AM380" s="101"/>
      <c r="AN380" s="101"/>
    </row>
    <row r="381" spans="1:40" ht="16.5" customHeight="1" x14ac:dyDescent="0.3">
      <c r="A381" s="69"/>
      <c r="B381" s="69"/>
      <c r="C381" s="69"/>
      <c r="D381" s="69"/>
      <c r="E381" s="69"/>
      <c r="F381" s="69"/>
      <c r="Z381" s="101"/>
      <c r="AA381" s="101"/>
      <c r="AB381" s="101"/>
      <c r="AC381" s="101"/>
      <c r="AD381" s="101"/>
      <c r="AE381" s="101"/>
      <c r="AF381" s="101"/>
      <c r="AG381" s="101"/>
      <c r="AH381" s="101"/>
      <c r="AI381" s="101"/>
      <c r="AJ381" s="101"/>
      <c r="AK381" s="101"/>
      <c r="AL381" s="101"/>
      <c r="AM381" s="101"/>
      <c r="AN381" s="101"/>
    </row>
    <row r="382" spans="1:40" ht="16.5" customHeight="1" x14ac:dyDescent="0.3">
      <c r="A382" s="69"/>
      <c r="B382" s="69"/>
      <c r="C382" s="69"/>
      <c r="D382" s="69"/>
      <c r="E382" s="69"/>
      <c r="F382" s="69"/>
      <c r="Z382" s="101"/>
      <c r="AA382" s="101"/>
      <c r="AB382" s="101"/>
      <c r="AC382" s="101"/>
      <c r="AD382" s="101"/>
      <c r="AE382" s="101"/>
      <c r="AF382" s="101"/>
      <c r="AG382" s="101"/>
      <c r="AH382" s="101"/>
      <c r="AI382" s="101"/>
      <c r="AJ382" s="101"/>
      <c r="AK382" s="101"/>
      <c r="AL382" s="101"/>
      <c r="AM382" s="101"/>
      <c r="AN382" s="101"/>
    </row>
    <row r="383" spans="1:40" ht="16.5" customHeight="1" x14ac:dyDescent="0.3">
      <c r="A383" s="69"/>
      <c r="B383" s="69"/>
      <c r="C383" s="69"/>
      <c r="D383" s="69"/>
      <c r="E383" s="69"/>
      <c r="F383" s="69"/>
      <c r="Z383" s="101"/>
      <c r="AA383" s="101"/>
      <c r="AB383" s="101"/>
      <c r="AC383" s="101"/>
      <c r="AD383" s="101"/>
      <c r="AE383" s="101"/>
      <c r="AF383" s="101"/>
      <c r="AG383" s="101"/>
      <c r="AH383" s="101"/>
      <c r="AI383" s="101"/>
      <c r="AJ383" s="101"/>
      <c r="AK383" s="101"/>
      <c r="AL383" s="101"/>
      <c r="AM383" s="101"/>
      <c r="AN383" s="101"/>
    </row>
    <row r="384" spans="1:40" ht="16.5" customHeight="1" x14ac:dyDescent="0.3">
      <c r="A384" s="69"/>
      <c r="B384" s="69"/>
      <c r="C384" s="69"/>
      <c r="D384" s="69"/>
      <c r="E384" s="69"/>
      <c r="F384" s="69"/>
      <c r="Z384" s="101"/>
      <c r="AA384" s="101"/>
      <c r="AB384" s="101"/>
      <c r="AC384" s="101"/>
      <c r="AD384" s="101"/>
      <c r="AE384" s="101"/>
      <c r="AF384" s="101"/>
      <c r="AG384" s="101"/>
      <c r="AH384" s="101"/>
      <c r="AI384" s="101"/>
      <c r="AJ384" s="101"/>
      <c r="AK384" s="101"/>
      <c r="AL384" s="101"/>
      <c r="AM384" s="101"/>
      <c r="AN384" s="101"/>
    </row>
    <row r="385" spans="1:40" ht="16.5" customHeight="1" x14ac:dyDescent="0.3">
      <c r="A385" s="69"/>
      <c r="B385" s="69"/>
      <c r="C385" s="69"/>
      <c r="D385" s="69"/>
      <c r="E385" s="69"/>
      <c r="F385" s="69"/>
      <c r="Z385" s="101"/>
      <c r="AA385" s="101"/>
      <c r="AB385" s="101"/>
      <c r="AC385" s="101"/>
      <c r="AD385" s="101"/>
      <c r="AE385" s="101"/>
      <c r="AF385" s="101"/>
      <c r="AG385" s="101"/>
      <c r="AH385" s="101"/>
      <c r="AI385" s="101"/>
      <c r="AJ385" s="101"/>
      <c r="AK385" s="101"/>
      <c r="AL385" s="101"/>
      <c r="AM385" s="101"/>
      <c r="AN385" s="101"/>
    </row>
    <row r="386" spans="1:40" ht="16.5" customHeight="1" x14ac:dyDescent="0.3">
      <c r="A386" s="69"/>
      <c r="B386" s="69"/>
      <c r="C386" s="69"/>
      <c r="D386" s="69"/>
      <c r="E386" s="69"/>
      <c r="F386" s="69"/>
      <c r="Z386" s="101"/>
      <c r="AA386" s="101"/>
      <c r="AB386" s="101"/>
      <c r="AC386" s="101"/>
      <c r="AD386" s="101"/>
      <c r="AE386" s="101"/>
      <c r="AF386" s="101"/>
      <c r="AG386" s="101"/>
      <c r="AH386" s="101"/>
      <c r="AI386" s="101"/>
      <c r="AJ386" s="101"/>
      <c r="AK386" s="101"/>
      <c r="AL386" s="101"/>
      <c r="AM386" s="101"/>
      <c r="AN386" s="101"/>
    </row>
    <row r="387" spans="1:40" ht="16.5" customHeight="1" x14ac:dyDescent="0.3">
      <c r="A387" s="69"/>
      <c r="B387" s="69"/>
      <c r="C387" s="69"/>
      <c r="D387" s="69"/>
      <c r="E387" s="69"/>
      <c r="F387" s="69"/>
      <c r="Z387" s="101"/>
      <c r="AA387" s="101"/>
      <c r="AB387" s="101"/>
      <c r="AC387" s="101"/>
      <c r="AD387" s="101"/>
      <c r="AE387" s="101"/>
      <c r="AF387" s="101"/>
      <c r="AG387" s="101"/>
      <c r="AH387" s="101"/>
      <c r="AI387" s="101"/>
      <c r="AJ387" s="101"/>
      <c r="AK387" s="101"/>
      <c r="AL387" s="101"/>
      <c r="AM387" s="101"/>
      <c r="AN387" s="101"/>
    </row>
    <row r="388" spans="1:40" ht="16.5" customHeight="1" x14ac:dyDescent="0.3">
      <c r="A388" s="69"/>
      <c r="B388" s="69"/>
      <c r="C388" s="69"/>
      <c r="D388" s="69"/>
      <c r="E388" s="69"/>
      <c r="F388" s="69"/>
      <c r="Z388" s="101"/>
      <c r="AA388" s="101"/>
      <c r="AB388" s="101"/>
      <c r="AC388" s="101"/>
      <c r="AD388" s="101"/>
      <c r="AE388" s="101"/>
      <c r="AF388" s="101"/>
      <c r="AG388" s="101"/>
      <c r="AH388" s="101"/>
      <c r="AI388" s="101"/>
      <c r="AJ388" s="101"/>
      <c r="AK388" s="101"/>
      <c r="AL388" s="101"/>
      <c r="AM388" s="101"/>
      <c r="AN388" s="101"/>
    </row>
    <row r="389" spans="1:40" ht="16.5" customHeight="1" x14ac:dyDescent="0.3">
      <c r="A389" s="69"/>
      <c r="B389" s="69"/>
      <c r="C389" s="69"/>
      <c r="D389" s="69"/>
      <c r="E389" s="69"/>
      <c r="F389" s="69"/>
      <c r="Z389" s="101"/>
      <c r="AA389" s="101"/>
      <c r="AB389" s="101"/>
      <c r="AC389" s="101"/>
      <c r="AD389" s="101"/>
      <c r="AE389" s="101"/>
      <c r="AF389" s="101"/>
      <c r="AG389" s="101"/>
      <c r="AH389" s="101"/>
      <c r="AI389" s="101"/>
      <c r="AJ389" s="101"/>
      <c r="AK389" s="101"/>
      <c r="AL389" s="101"/>
      <c r="AM389" s="101"/>
      <c r="AN389" s="101"/>
    </row>
    <row r="390" spans="1:40" ht="16.5" customHeight="1" x14ac:dyDescent="0.3">
      <c r="A390" s="69"/>
      <c r="B390" s="69"/>
      <c r="C390" s="69"/>
      <c r="D390" s="69"/>
      <c r="E390" s="69"/>
      <c r="F390" s="69"/>
      <c r="Z390" s="101"/>
      <c r="AA390" s="101"/>
      <c r="AB390" s="101"/>
      <c r="AC390" s="101"/>
      <c r="AD390" s="101"/>
      <c r="AE390" s="101"/>
      <c r="AF390" s="101"/>
      <c r="AG390" s="101"/>
      <c r="AH390" s="101"/>
      <c r="AI390" s="101"/>
      <c r="AJ390" s="101"/>
      <c r="AK390" s="101"/>
      <c r="AL390" s="101"/>
      <c r="AM390" s="101"/>
      <c r="AN390" s="101"/>
    </row>
    <row r="391" spans="1:40" ht="16.5" customHeight="1" x14ac:dyDescent="0.3">
      <c r="A391" s="69"/>
      <c r="B391" s="69"/>
      <c r="C391" s="69"/>
      <c r="D391" s="69"/>
      <c r="E391" s="69"/>
      <c r="F391" s="69"/>
      <c r="Z391" s="101"/>
      <c r="AA391" s="101"/>
      <c r="AB391" s="101"/>
      <c r="AC391" s="101"/>
      <c r="AD391" s="101"/>
      <c r="AE391" s="101"/>
      <c r="AF391" s="101"/>
      <c r="AG391" s="101"/>
      <c r="AH391" s="101"/>
      <c r="AI391" s="101"/>
      <c r="AJ391" s="101"/>
      <c r="AK391" s="101"/>
      <c r="AL391" s="101"/>
      <c r="AM391" s="101"/>
      <c r="AN391" s="101"/>
    </row>
    <row r="392" spans="1:40" ht="16.5" customHeight="1" x14ac:dyDescent="0.3">
      <c r="A392" s="69"/>
      <c r="B392" s="69"/>
      <c r="C392" s="69"/>
      <c r="D392" s="69"/>
      <c r="E392" s="69"/>
      <c r="F392" s="69"/>
      <c r="Z392" s="101"/>
      <c r="AA392" s="101"/>
      <c r="AB392" s="101"/>
      <c r="AC392" s="101"/>
      <c r="AD392" s="101"/>
      <c r="AE392" s="101"/>
      <c r="AF392" s="101"/>
      <c r="AG392" s="101"/>
      <c r="AH392" s="101"/>
      <c r="AI392" s="101"/>
      <c r="AJ392" s="101"/>
      <c r="AK392" s="101"/>
      <c r="AL392" s="101"/>
      <c r="AM392" s="101"/>
      <c r="AN392" s="101"/>
    </row>
    <row r="393" spans="1:40" ht="16.5" customHeight="1" x14ac:dyDescent="0.3">
      <c r="A393" s="69"/>
      <c r="B393" s="69"/>
      <c r="C393" s="69"/>
      <c r="D393" s="69"/>
      <c r="E393" s="69"/>
      <c r="F393" s="69"/>
      <c r="Z393" s="101"/>
      <c r="AA393" s="101"/>
      <c r="AB393" s="101"/>
      <c r="AC393" s="101"/>
      <c r="AD393" s="101"/>
      <c r="AE393" s="101"/>
      <c r="AF393" s="101"/>
      <c r="AG393" s="101"/>
      <c r="AH393" s="101"/>
      <c r="AI393" s="101"/>
      <c r="AJ393" s="101"/>
      <c r="AK393" s="101"/>
      <c r="AL393" s="101"/>
      <c r="AM393" s="101"/>
      <c r="AN393" s="101"/>
    </row>
    <row r="394" spans="1:40" ht="16.5" customHeight="1" x14ac:dyDescent="0.3">
      <c r="A394" s="69"/>
      <c r="B394" s="69"/>
      <c r="C394" s="69"/>
      <c r="D394" s="69"/>
      <c r="E394" s="69"/>
      <c r="F394" s="69"/>
      <c r="Z394" s="101"/>
      <c r="AA394" s="101"/>
      <c r="AB394" s="101"/>
      <c r="AC394" s="101"/>
      <c r="AD394" s="101"/>
      <c r="AE394" s="101"/>
      <c r="AF394" s="101"/>
      <c r="AG394" s="101"/>
      <c r="AH394" s="101"/>
      <c r="AI394" s="101"/>
      <c r="AJ394" s="101"/>
      <c r="AK394" s="101"/>
      <c r="AL394" s="101"/>
      <c r="AM394" s="101"/>
      <c r="AN394" s="101"/>
    </row>
    <row r="395" spans="1:40" ht="16.5" customHeight="1" x14ac:dyDescent="0.3">
      <c r="A395" s="69"/>
      <c r="B395" s="69"/>
      <c r="C395" s="69"/>
      <c r="D395" s="69"/>
      <c r="E395" s="69"/>
      <c r="F395" s="69"/>
      <c r="Z395" s="101"/>
      <c r="AA395" s="101"/>
      <c r="AB395" s="101"/>
      <c r="AC395" s="101"/>
      <c r="AD395" s="101"/>
      <c r="AE395" s="101"/>
      <c r="AF395" s="101"/>
      <c r="AG395" s="101"/>
      <c r="AH395" s="101"/>
      <c r="AI395" s="101"/>
      <c r="AJ395" s="101"/>
      <c r="AK395" s="101"/>
      <c r="AL395" s="101"/>
      <c r="AM395" s="101"/>
      <c r="AN395" s="101"/>
    </row>
    <row r="396" spans="1:40" ht="16.5" customHeight="1" x14ac:dyDescent="0.3">
      <c r="A396" s="69"/>
      <c r="B396" s="69"/>
      <c r="C396" s="69"/>
      <c r="D396" s="69"/>
      <c r="E396" s="69"/>
      <c r="F396" s="69"/>
      <c r="Z396" s="101"/>
      <c r="AA396" s="101"/>
      <c r="AB396" s="101"/>
      <c r="AC396" s="101"/>
      <c r="AD396" s="101"/>
      <c r="AE396" s="101"/>
      <c r="AF396" s="101"/>
      <c r="AG396" s="101"/>
      <c r="AH396" s="101"/>
      <c r="AI396" s="101"/>
      <c r="AJ396" s="101"/>
      <c r="AK396" s="101"/>
      <c r="AL396" s="101"/>
      <c r="AM396" s="101"/>
      <c r="AN396" s="101"/>
    </row>
    <row r="397" spans="1:40" ht="16.5" customHeight="1" x14ac:dyDescent="0.3">
      <c r="A397" s="69"/>
      <c r="B397" s="69"/>
      <c r="C397" s="69"/>
      <c r="D397" s="69"/>
      <c r="E397" s="69"/>
      <c r="F397" s="69"/>
      <c r="Z397" s="101"/>
      <c r="AA397" s="101"/>
      <c r="AB397" s="101"/>
      <c r="AC397" s="101"/>
      <c r="AD397" s="101"/>
      <c r="AE397" s="101"/>
      <c r="AF397" s="101"/>
      <c r="AG397" s="101"/>
      <c r="AH397" s="101"/>
      <c r="AI397" s="101"/>
      <c r="AJ397" s="101"/>
      <c r="AK397" s="101"/>
      <c r="AL397" s="101"/>
      <c r="AM397" s="101"/>
      <c r="AN397" s="101"/>
    </row>
    <row r="398" spans="1:40" ht="16.5" customHeight="1" x14ac:dyDescent="0.3">
      <c r="A398" s="69"/>
      <c r="B398" s="69"/>
      <c r="C398" s="69"/>
      <c r="D398" s="69"/>
      <c r="E398" s="69"/>
      <c r="F398" s="69"/>
      <c r="Z398" s="101"/>
      <c r="AA398" s="101"/>
      <c r="AB398" s="101"/>
      <c r="AC398" s="101"/>
      <c r="AD398" s="101"/>
      <c r="AE398" s="101"/>
      <c r="AF398" s="101"/>
      <c r="AG398" s="101"/>
      <c r="AH398" s="101"/>
      <c r="AI398" s="101"/>
      <c r="AJ398" s="101"/>
      <c r="AK398" s="101"/>
      <c r="AL398" s="101"/>
      <c r="AM398" s="101"/>
      <c r="AN398" s="101"/>
    </row>
    <row r="399" spans="1:40" ht="16.5" customHeight="1" x14ac:dyDescent="0.3">
      <c r="A399" s="69"/>
      <c r="B399" s="69"/>
      <c r="C399" s="69"/>
      <c r="D399" s="69"/>
      <c r="E399" s="69"/>
      <c r="F399" s="69"/>
      <c r="Z399" s="101"/>
      <c r="AA399" s="101"/>
      <c r="AB399" s="101"/>
      <c r="AC399" s="101"/>
      <c r="AD399" s="101"/>
      <c r="AE399" s="101"/>
      <c r="AF399" s="101"/>
      <c r="AG399" s="101"/>
      <c r="AH399" s="101"/>
      <c r="AI399" s="101"/>
      <c r="AJ399" s="101"/>
      <c r="AK399" s="101"/>
      <c r="AL399" s="101"/>
      <c r="AM399" s="101"/>
      <c r="AN399" s="101"/>
    </row>
    <row r="400" spans="1:40" ht="16.5" customHeight="1" x14ac:dyDescent="0.3">
      <c r="A400" s="69"/>
      <c r="B400" s="69"/>
      <c r="C400" s="69"/>
      <c r="D400" s="69"/>
      <c r="E400" s="69"/>
      <c r="F400" s="69"/>
      <c r="Z400" s="101"/>
      <c r="AA400" s="101"/>
      <c r="AB400" s="101"/>
      <c r="AC400" s="101"/>
      <c r="AD400" s="101"/>
      <c r="AE400" s="101"/>
      <c r="AF400" s="101"/>
      <c r="AG400" s="101"/>
      <c r="AH400" s="101"/>
      <c r="AI400" s="101"/>
      <c r="AJ400" s="101"/>
      <c r="AK400" s="101"/>
      <c r="AL400" s="101"/>
      <c r="AM400" s="101"/>
      <c r="AN400" s="101"/>
    </row>
    <row r="401" spans="1:40" ht="16.5" customHeight="1" x14ac:dyDescent="0.3">
      <c r="A401" s="69"/>
      <c r="B401" s="69"/>
      <c r="C401" s="69"/>
      <c r="D401" s="69"/>
      <c r="E401" s="69"/>
      <c r="F401" s="69"/>
      <c r="Z401" s="101"/>
      <c r="AA401" s="101"/>
      <c r="AB401" s="101"/>
      <c r="AC401" s="101"/>
      <c r="AD401" s="101"/>
      <c r="AE401" s="101"/>
      <c r="AF401" s="101"/>
      <c r="AG401" s="101"/>
      <c r="AH401" s="101"/>
      <c r="AI401" s="101"/>
      <c r="AJ401" s="101"/>
      <c r="AK401" s="101"/>
      <c r="AL401" s="101"/>
      <c r="AM401" s="101"/>
      <c r="AN401" s="101"/>
    </row>
    <row r="402" spans="1:40" ht="16.5" customHeight="1" x14ac:dyDescent="0.3">
      <c r="A402" s="69"/>
      <c r="B402" s="69"/>
      <c r="C402" s="69"/>
      <c r="D402" s="69"/>
      <c r="E402" s="69"/>
      <c r="F402" s="69"/>
      <c r="Z402" s="101"/>
      <c r="AA402" s="101"/>
      <c r="AB402" s="101"/>
      <c r="AC402" s="101"/>
      <c r="AD402" s="101"/>
      <c r="AE402" s="101"/>
      <c r="AF402" s="101"/>
      <c r="AG402" s="101"/>
      <c r="AH402" s="101"/>
      <c r="AI402" s="101"/>
      <c r="AJ402" s="101"/>
      <c r="AK402" s="101"/>
      <c r="AL402" s="101"/>
      <c r="AM402" s="101"/>
      <c r="AN402" s="101"/>
    </row>
    <row r="403" spans="1:40" ht="16.5" customHeight="1" x14ac:dyDescent="0.3">
      <c r="A403" s="74"/>
      <c r="B403" s="74"/>
      <c r="C403" s="74"/>
      <c r="D403" s="74"/>
      <c r="E403" s="74"/>
      <c r="F403" s="74"/>
      <c r="Z403" s="101"/>
      <c r="AA403" s="101"/>
      <c r="AB403" s="101"/>
      <c r="AC403" s="101"/>
      <c r="AD403" s="101"/>
      <c r="AE403" s="101"/>
      <c r="AF403" s="101"/>
      <c r="AG403" s="101"/>
      <c r="AH403" s="101"/>
      <c r="AI403" s="101"/>
      <c r="AJ403" s="101"/>
      <c r="AK403" s="101"/>
      <c r="AL403" s="101"/>
      <c r="AM403" s="101"/>
      <c r="AN403" s="101"/>
    </row>
    <row r="404" spans="1:40" ht="16.5" customHeight="1" x14ac:dyDescent="0.3">
      <c r="A404" s="150" t="s">
        <v>1477</v>
      </c>
      <c r="B404" s="143"/>
      <c r="C404" s="47">
        <f>E404+D404+F404</f>
        <v>6200</v>
      </c>
      <c r="D404" s="46">
        <f>ROUNDDOWN(SUMIF(N357:N375,M404,D357:D375),0)</f>
        <v>3724</v>
      </c>
      <c r="E404" s="55">
        <f>ROUNDDOWN(SUMIF(N357:N375,M404,E357:E375),0)</f>
        <v>1371</v>
      </c>
      <c r="F404" s="47">
        <f>ROUNDDOWN(SUMIF(N357:N375,M404,F357:F375),0)</f>
        <v>1105</v>
      </c>
      <c r="M404" s="35" t="s">
        <v>1209</v>
      </c>
      <c r="Z404" s="101"/>
      <c r="AA404" s="101"/>
      <c r="AB404" s="101"/>
      <c r="AC404" s="101"/>
      <c r="AD404" s="101"/>
      <c r="AE404" s="101"/>
      <c r="AF404" s="101"/>
      <c r="AG404" s="101"/>
      <c r="AH404" s="101"/>
      <c r="AI404" s="101"/>
      <c r="AJ404" s="101"/>
      <c r="AK404" s="101"/>
      <c r="AL404" s="101"/>
      <c r="AM404" s="101"/>
      <c r="AN404" s="101"/>
    </row>
    <row r="405" spans="1:40" ht="16.5" customHeight="1" x14ac:dyDescent="0.3">
      <c r="A405" s="86" t="s">
        <v>44</v>
      </c>
      <c r="B405" s="88" t="s">
        <v>44</v>
      </c>
      <c r="C405" s="151">
        <f>C504</f>
        <v>11517</v>
      </c>
      <c r="D405" s="151">
        <f>D504</f>
        <v>0</v>
      </c>
      <c r="E405" s="151">
        <f>E504</f>
        <v>0</v>
      </c>
      <c r="F405" s="151">
        <f>F504</f>
        <v>11517</v>
      </c>
      <c r="G405" s="84" t="str">
        <f>HYPERLINK("#G"&amp;ROW(G458),"_x0005_`BDCOD|D04064_x0007_`POSS|"&amp;ROW(G407)&amp;"_x0007_`POSE|"&amp;ROW(G458)&amp;"_x0007_`")</f>
        <v>_x0005_`BDCOD|D04064_x0007_`POSS|407_x0007_`POSE|458_x0007_`</v>
      </c>
      <c r="Z405" s="101"/>
      <c r="AA405" s="101"/>
      <c r="AB405" s="101"/>
      <c r="AC405" s="101"/>
      <c r="AD405" s="101"/>
      <c r="AE405" s="101"/>
      <c r="AF405" s="101"/>
      <c r="AG405" s="101"/>
      <c r="AH405" s="101"/>
      <c r="AI405" s="101"/>
      <c r="AJ405" s="101"/>
      <c r="AK405" s="101"/>
      <c r="AL405" s="101"/>
      <c r="AM405" s="101"/>
      <c r="AN405" s="101"/>
    </row>
    <row r="406" spans="1:40" ht="16.5" customHeight="1" x14ac:dyDescent="0.3">
      <c r="A406" s="87"/>
      <c r="B406" s="88" t="s">
        <v>147</v>
      </c>
      <c r="C406" s="136"/>
      <c r="D406" s="136"/>
      <c r="E406" s="136"/>
      <c r="F406" s="136"/>
      <c r="M406" s="35" t="s">
        <v>1616</v>
      </c>
      <c r="Z406" s="101"/>
      <c r="AA406" s="101"/>
      <c r="AB406" s="101"/>
      <c r="AC406" s="101"/>
      <c r="AD406" s="101"/>
      <c r="AE406" s="101"/>
      <c r="AF406" s="101"/>
      <c r="AG406" s="101"/>
      <c r="AH406" s="101"/>
      <c r="AI406" s="101"/>
      <c r="AJ406" s="101"/>
      <c r="AK406" s="101"/>
      <c r="AL406" s="101"/>
      <c r="AM406" s="101"/>
      <c r="AN406" s="101"/>
    </row>
    <row r="407" spans="1:40" ht="16.5" customHeight="1" x14ac:dyDescent="0.3">
      <c r="A407" s="59"/>
      <c r="B407" s="68" t="s">
        <v>1618</v>
      </c>
      <c r="C407" s="90"/>
      <c r="D407" s="90"/>
      <c r="E407" s="90"/>
      <c r="F407" s="90"/>
      <c r="G407" s="17" t="s">
        <v>1617</v>
      </c>
      <c r="Z407" s="101"/>
      <c r="AA407" s="101"/>
      <c r="AB407" s="101"/>
      <c r="AC407" s="101"/>
      <c r="AD407" s="101"/>
      <c r="AE407" s="101"/>
      <c r="AF407" s="101"/>
      <c r="AG407" s="101"/>
      <c r="AH407" s="101"/>
      <c r="AI407" s="101"/>
      <c r="AJ407" s="101"/>
      <c r="AK407" s="101"/>
      <c r="AL407" s="101"/>
      <c r="AM407" s="101"/>
      <c r="AN407" s="101"/>
    </row>
    <row r="408" spans="1:40" ht="16.5" customHeight="1" x14ac:dyDescent="0.3">
      <c r="A408" s="69"/>
      <c r="B408" s="69"/>
      <c r="C408" s="69"/>
      <c r="D408" s="69"/>
      <c r="E408" s="69"/>
      <c r="F408" s="69"/>
      <c r="G408" s="17" t="s">
        <v>1405</v>
      </c>
      <c r="Z408" s="101"/>
      <c r="AA408" s="101"/>
      <c r="AB408" s="101"/>
      <c r="AC408" s="101"/>
      <c r="AD408" s="101"/>
      <c r="AE408" s="101"/>
      <c r="AF408" s="101"/>
      <c r="AG408" s="101"/>
      <c r="AH408" s="101"/>
      <c r="AI408" s="101"/>
      <c r="AJ408" s="101"/>
      <c r="AK408" s="101"/>
      <c r="AL408" s="101"/>
      <c r="AM408" s="101"/>
      <c r="AN408" s="101"/>
    </row>
    <row r="409" spans="1:40" ht="16.5" customHeight="1" x14ac:dyDescent="0.3">
      <c r="A409" s="59"/>
      <c r="B409" s="68" t="s">
        <v>1620</v>
      </c>
      <c r="C409" s="69"/>
      <c r="D409" s="69"/>
      <c r="E409" s="69"/>
      <c r="F409" s="69"/>
      <c r="G409" s="17" t="s">
        <v>1619</v>
      </c>
      <c r="Z409" s="101"/>
      <c r="AA409" s="101"/>
      <c r="AB409" s="101"/>
      <c r="AC409" s="101"/>
      <c r="AD409" s="101"/>
      <c r="AE409" s="101"/>
      <c r="AF409" s="101"/>
      <c r="AG409" s="101"/>
      <c r="AH409" s="101"/>
      <c r="AI409" s="101"/>
      <c r="AJ409" s="101"/>
      <c r="AK409" s="101"/>
      <c r="AL409" s="101"/>
      <c r="AM409" s="101"/>
      <c r="AN409" s="101"/>
    </row>
    <row r="410" spans="1:40" ht="16.5" customHeight="1" x14ac:dyDescent="0.3">
      <c r="A410" s="69"/>
      <c r="B410" s="69"/>
      <c r="C410" s="69"/>
      <c r="D410" s="69"/>
      <c r="E410" s="69"/>
      <c r="F410" s="69"/>
      <c r="G410" s="17" t="s">
        <v>1405</v>
      </c>
      <c r="Z410" s="101"/>
      <c r="AA410" s="101"/>
      <c r="AB410" s="101"/>
      <c r="AC410" s="101"/>
      <c r="AD410" s="101"/>
      <c r="AE410" s="101"/>
      <c r="AF410" s="101"/>
      <c r="AG410" s="101"/>
      <c r="AH410" s="101"/>
      <c r="AI410" s="101"/>
      <c r="AJ410" s="101"/>
      <c r="AK410" s="101"/>
      <c r="AL410" s="101"/>
      <c r="AM410" s="101"/>
      <c r="AN410" s="101"/>
    </row>
    <row r="411" spans="1:40" ht="16.5" customHeight="1" x14ac:dyDescent="0.3">
      <c r="A411" s="59"/>
      <c r="B411" s="68" t="s">
        <v>1622</v>
      </c>
      <c r="C411" s="69"/>
      <c r="D411" s="69"/>
      <c r="E411" s="69"/>
      <c r="F411" s="69"/>
      <c r="G411" s="17" t="s">
        <v>1621</v>
      </c>
      <c r="Z411" s="101"/>
      <c r="AA411" s="101"/>
      <c r="AB411" s="101"/>
      <c r="AC411" s="101"/>
      <c r="AD411" s="101"/>
      <c r="AE411" s="101"/>
      <c r="AF411" s="101"/>
      <c r="AG411" s="101"/>
      <c r="AH411" s="101"/>
      <c r="AI411" s="101"/>
      <c r="AJ411" s="101"/>
      <c r="AK411" s="101"/>
      <c r="AL411" s="101"/>
      <c r="AM411" s="101"/>
      <c r="AN411" s="101"/>
    </row>
    <row r="412" spans="1:40" ht="16.5" customHeight="1" x14ac:dyDescent="0.3">
      <c r="A412" s="69"/>
      <c r="B412" s="69"/>
      <c r="C412" s="69"/>
      <c r="D412" s="69"/>
      <c r="E412" s="69"/>
      <c r="F412" s="69"/>
      <c r="G412" s="17" t="s">
        <v>1405</v>
      </c>
      <c r="Z412" s="101"/>
      <c r="AA412" s="101"/>
      <c r="AB412" s="101"/>
      <c r="AC412" s="101"/>
      <c r="AD412" s="101"/>
      <c r="AE412" s="101"/>
      <c r="AF412" s="101"/>
      <c r="AG412" s="101"/>
      <c r="AH412" s="101"/>
      <c r="AI412" s="101"/>
      <c r="AJ412" s="101"/>
      <c r="AK412" s="101"/>
      <c r="AL412" s="101"/>
      <c r="AM412" s="101"/>
      <c r="AN412" s="101"/>
    </row>
    <row r="413" spans="1:40" ht="16.5" customHeight="1" x14ac:dyDescent="0.3">
      <c r="A413" s="59"/>
      <c r="B413" s="68" t="s">
        <v>1624</v>
      </c>
      <c r="C413" s="69"/>
      <c r="D413" s="69"/>
      <c r="E413" s="69"/>
      <c r="F413" s="69"/>
      <c r="G413" s="17" t="s">
        <v>1623</v>
      </c>
      <c r="Z413" s="101"/>
      <c r="AA413" s="101"/>
      <c r="AB413" s="101"/>
      <c r="AC413" s="101"/>
      <c r="AD413" s="101"/>
      <c r="AE413" s="101"/>
      <c r="AF413" s="101"/>
      <c r="AG413" s="101"/>
      <c r="AH413" s="101"/>
      <c r="AI413" s="101"/>
      <c r="AJ413" s="101"/>
      <c r="AK413" s="101"/>
      <c r="AL413" s="101"/>
      <c r="AM413" s="101"/>
      <c r="AN413" s="101"/>
    </row>
    <row r="414" spans="1:40" ht="16.5" customHeight="1" x14ac:dyDescent="0.3">
      <c r="A414" s="69"/>
      <c r="B414" s="69"/>
      <c r="C414" s="69"/>
      <c r="D414" s="69"/>
      <c r="E414" s="69"/>
      <c r="F414" s="69"/>
      <c r="G414" s="17" t="s">
        <v>1405</v>
      </c>
      <c r="Z414" s="101"/>
      <c r="AA414" s="101"/>
      <c r="AB414" s="101"/>
      <c r="AC414" s="101"/>
      <c r="AD414" s="101"/>
      <c r="AE414" s="101"/>
      <c r="AF414" s="101"/>
      <c r="AG414" s="101"/>
      <c r="AH414" s="101"/>
      <c r="AI414" s="101"/>
      <c r="AJ414" s="101"/>
      <c r="AK414" s="101"/>
      <c r="AL414" s="101"/>
      <c r="AM414" s="101"/>
      <c r="AN414" s="101"/>
    </row>
    <row r="415" spans="1:40" ht="16.5" customHeight="1" x14ac:dyDescent="0.3">
      <c r="A415" s="59"/>
      <c r="B415" s="68" t="str">
        <f>"    K="&amp;Z415&amp;",     Es="&amp;AD415&amp;", L="&amp;AH415&amp;" Km "</f>
        <v xml:space="preserve">    K=0.9,     Es=0.7, L=10 Km </v>
      </c>
      <c r="C415" s="69"/>
      <c r="D415" s="69"/>
      <c r="E415" s="69"/>
      <c r="F415" s="69"/>
      <c r="G415" s="17" t="s">
        <v>1625</v>
      </c>
      <c r="Z415" s="104">
        <v>0.9</v>
      </c>
      <c r="AA415" s="35" t="s">
        <v>1410</v>
      </c>
      <c r="AB415" s="103">
        <f>Z415</f>
        <v>0.9</v>
      </c>
      <c r="AC415" s="105" t="s">
        <v>1453</v>
      </c>
      <c r="AD415" s="104">
        <v>0.7</v>
      </c>
      <c r="AE415" s="35" t="s">
        <v>1410</v>
      </c>
      <c r="AF415" s="103">
        <f>AD415</f>
        <v>0.7</v>
      </c>
      <c r="AG415" s="105" t="s">
        <v>1453</v>
      </c>
      <c r="AH415" s="102">
        <v>10</v>
      </c>
      <c r="AI415" s="35" t="s">
        <v>1410</v>
      </c>
      <c r="AJ415" s="103">
        <f>AH415</f>
        <v>10</v>
      </c>
      <c r="AK415" s="101"/>
      <c r="AL415" s="101"/>
      <c r="AM415" s="101"/>
      <c r="AN415" s="101"/>
    </row>
    <row r="416" spans="1:40" ht="16.5" customHeight="1" x14ac:dyDescent="0.3">
      <c r="A416" s="69"/>
      <c r="B416" s="69"/>
      <c r="C416" s="69"/>
      <c r="D416" s="69"/>
      <c r="E416" s="69"/>
      <c r="F416" s="69"/>
      <c r="G416" s="17" t="s">
        <v>1405</v>
      </c>
      <c r="Z416" s="101"/>
      <c r="AA416" s="101"/>
      <c r="AB416" s="101"/>
      <c r="AC416" s="101"/>
      <c r="AD416" s="101"/>
      <c r="AE416" s="101"/>
      <c r="AF416" s="101"/>
      <c r="AG416" s="101"/>
      <c r="AH416" s="101"/>
      <c r="AI416" s="101"/>
      <c r="AJ416" s="101"/>
      <c r="AK416" s="101"/>
      <c r="AL416" s="101"/>
      <c r="AM416" s="101"/>
      <c r="AN416" s="101"/>
    </row>
    <row r="417" spans="1:40" ht="16.5" customHeight="1" x14ac:dyDescent="0.3">
      <c r="A417" s="59"/>
      <c r="B417" s="68" t="str">
        <f>"   Cms="&amp;Z417&amp;"  (90°회전) ,"</f>
        <v xml:space="preserve">   Cms=15  (90°회전) ,</v>
      </c>
      <c r="C417" s="69"/>
      <c r="D417" s="69"/>
      <c r="E417" s="69"/>
      <c r="F417" s="69"/>
      <c r="G417" s="17" t="s">
        <v>1626</v>
      </c>
      <c r="Z417" s="102">
        <v>15</v>
      </c>
      <c r="AA417" s="35" t="s">
        <v>1410</v>
      </c>
      <c r="AB417" s="103">
        <f>Z417</f>
        <v>15</v>
      </c>
      <c r="AC417" s="105" t="s">
        <v>1453</v>
      </c>
      <c r="AD417" s="101"/>
      <c r="AE417" s="101"/>
      <c r="AF417" s="101"/>
      <c r="AG417" s="101"/>
      <c r="AH417" s="101"/>
      <c r="AI417" s="101"/>
      <c r="AJ417" s="101"/>
      <c r="AK417" s="101"/>
      <c r="AL417" s="101"/>
      <c r="AM417" s="101"/>
      <c r="AN417" s="101"/>
    </row>
    <row r="418" spans="1:40" ht="16.5" customHeight="1" x14ac:dyDescent="0.3">
      <c r="A418" s="69"/>
      <c r="B418" s="69"/>
      <c r="C418" s="69"/>
      <c r="D418" s="69"/>
      <c r="E418" s="69"/>
      <c r="F418" s="69"/>
      <c r="G418" s="17" t="s">
        <v>1405</v>
      </c>
      <c r="Z418" s="101"/>
      <c r="AA418" s="101"/>
      <c r="AB418" s="101"/>
      <c r="AC418" s="101"/>
      <c r="AD418" s="101"/>
      <c r="AE418" s="101"/>
      <c r="AF418" s="101"/>
      <c r="AG418" s="101"/>
      <c r="AH418" s="101"/>
      <c r="AI418" s="101"/>
      <c r="AJ418" s="101"/>
      <c r="AK418" s="101"/>
      <c r="AL418" s="101"/>
      <c r="AM418" s="101"/>
      <c r="AN418" s="101"/>
    </row>
    <row r="419" spans="1:40" ht="16.5" customHeight="1" x14ac:dyDescent="0.3">
      <c r="A419" s="59"/>
      <c r="B419" s="68" t="str">
        <f>"   E="&amp;Z419&amp;",     f="&amp;AD419&amp;"/"&amp;AF419&amp;"= "&amp;AH419&amp;""</f>
        <v xml:space="preserve">   E=0.9,     f=1/1.25= 0.800</v>
      </c>
      <c r="C419" s="69"/>
      <c r="D419" s="69"/>
      <c r="E419" s="69"/>
      <c r="F419" s="69"/>
      <c r="G419" s="17" t="s">
        <v>1627</v>
      </c>
      <c r="Z419" s="104">
        <v>0.9</v>
      </c>
      <c r="AA419" s="35" t="s">
        <v>1410</v>
      </c>
      <c r="AB419" s="103">
        <f>Z419</f>
        <v>0.9</v>
      </c>
      <c r="AC419" s="105" t="s">
        <v>1453</v>
      </c>
      <c r="AD419" s="102">
        <v>1</v>
      </c>
      <c r="AE419" s="35" t="s">
        <v>1413</v>
      </c>
      <c r="AF419" s="104">
        <v>1.25</v>
      </c>
      <c r="AG419" s="35" t="s">
        <v>1410</v>
      </c>
      <c r="AH419" s="103" t="str">
        <f>TEXT(ROUND(AD419/AF419,3),"#,0.000")</f>
        <v>0.800</v>
      </c>
      <c r="AI419" s="101"/>
      <c r="AJ419" s="101"/>
      <c r="AK419" s="101"/>
      <c r="AL419" s="101"/>
      <c r="AM419" s="101"/>
      <c r="AN419" s="101"/>
    </row>
    <row r="420" spans="1:40" ht="16.5" customHeight="1" x14ac:dyDescent="0.3">
      <c r="A420" s="69"/>
      <c r="B420" s="69"/>
      <c r="C420" s="69"/>
      <c r="D420" s="69"/>
      <c r="E420" s="69"/>
      <c r="F420" s="69"/>
      <c r="G420" s="17" t="s">
        <v>1405</v>
      </c>
      <c r="Z420" s="101"/>
      <c r="AA420" s="101"/>
      <c r="AB420" s="101"/>
      <c r="AC420" s="101"/>
      <c r="AD420" s="101"/>
      <c r="AE420" s="101"/>
      <c r="AF420" s="101"/>
      <c r="AG420" s="101"/>
      <c r="AH420" s="101"/>
      <c r="AI420" s="101"/>
      <c r="AJ420" s="101"/>
      <c r="AK420" s="101"/>
      <c r="AL420" s="101"/>
      <c r="AM420" s="101"/>
      <c r="AN420" s="101"/>
    </row>
    <row r="421" spans="1:40" ht="16.5" customHeight="1" x14ac:dyDescent="0.3">
      <c r="A421" s="59"/>
      <c r="B421" s="68" t="str">
        <f>"   q1="&amp;Z421&amp;"/"&amp;AB421&amp;"*"&amp;AD421&amp;"= "&amp;AF421&amp;""</f>
        <v xml:space="preserve">   q1=15/1.6*1.25= 11.719</v>
      </c>
      <c r="C421" s="69"/>
      <c r="D421" s="69"/>
      <c r="E421" s="69"/>
      <c r="F421" s="69"/>
      <c r="G421" s="17" t="s">
        <v>1628</v>
      </c>
      <c r="Z421" s="102">
        <v>15</v>
      </c>
      <c r="AA421" s="35" t="s">
        <v>1413</v>
      </c>
      <c r="AB421" s="104">
        <v>1.6</v>
      </c>
      <c r="AC421" s="35" t="s">
        <v>1436</v>
      </c>
      <c r="AD421" s="104">
        <v>1.25</v>
      </c>
      <c r="AE421" s="35" t="s">
        <v>1410</v>
      </c>
      <c r="AF421" s="103" t="str">
        <f>TEXT(ROUND(Z421/AB421*AD421,3),"#,0.000")</f>
        <v>11.719</v>
      </c>
      <c r="AG421" s="101"/>
      <c r="AH421" s="101"/>
      <c r="AI421" s="101"/>
      <c r="AJ421" s="101"/>
      <c r="AK421" s="101"/>
      <c r="AL421" s="101"/>
      <c r="AM421" s="101"/>
      <c r="AN421" s="101"/>
    </row>
    <row r="422" spans="1:40" ht="16.5" customHeight="1" x14ac:dyDescent="0.3">
      <c r="A422" s="69"/>
      <c r="B422" s="69"/>
      <c r="C422" s="69"/>
      <c r="D422" s="69"/>
      <c r="E422" s="69"/>
      <c r="F422" s="69"/>
      <c r="G422" s="17" t="s">
        <v>1405</v>
      </c>
      <c r="Z422" s="101"/>
      <c r="AA422" s="101"/>
      <c r="AB422" s="101"/>
      <c r="AC422" s="101"/>
      <c r="AD422" s="101"/>
      <c r="AE422" s="101"/>
      <c r="AF422" s="101"/>
      <c r="AG422" s="101"/>
      <c r="AH422" s="101"/>
      <c r="AI422" s="101"/>
      <c r="AJ422" s="101"/>
      <c r="AK422" s="101"/>
      <c r="AL422" s="101"/>
      <c r="AM422" s="101"/>
      <c r="AN422" s="101"/>
    </row>
    <row r="423" spans="1:40" ht="16.5" customHeight="1" x14ac:dyDescent="0.3">
      <c r="A423" s="59"/>
      <c r="B423" s="68" t="str">
        <f>"   n=q1/("&amp;AB423&amp;"*K)= "&amp;AG423&amp;" 회 "</f>
        <v xml:space="preserve">   n=q1/(0.4*K)= 32.553 회 </v>
      </c>
      <c r="C423" s="69"/>
      <c r="D423" s="69"/>
      <c r="E423" s="69"/>
      <c r="F423" s="69"/>
      <c r="G423" s="17" t="s">
        <v>1629</v>
      </c>
      <c r="Z423" s="103" t="str">
        <f>AF421</f>
        <v>11.719</v>
      </c>
      <c r="AA423" s="35" t="s">
        <v>1467</v>
      </c>
      <c r="AB423" s="104">
        <v>0.4</v>
      </c>
      <c r="AC423" s="35" t="s">
        <v>1436</v>
      </c>
      <c r="AD423" s="103">
        <f>AB415</f>
        <v>0.9</v>
      </c>
      <c r="AE423" s="35" t="s">
        <v>1468</v>
      </c>
      <c r="AF423" s="35" t="s">
        <v>1410</v>
      </c>
      <c r="AG423" s="103" t="str">
        <f>TEXT(ROUND(AF421/(AB423*AB415),3),"#,0.000")</f>
        <v>32.553</v>
      </c>
      <c r="AH423" s="101"/>
      <c r="AI423" s="101"/>
      <c r="AJ423" s="101"/>
      <c r="AK423" s="101"/>
      <c r="AL423" s="101"/>
      <c r="AM423" s="101"/>
      <c r="AN423" s="101"/>
    </row>
    <row r="424" spans="1:40" ht="16.5" customHeight="1" x14ac:dyDescent="0.3">
      <c r="A424" s="69"/>
      <c r="B424" s="69"/>
      <c r="C424" s="69"/>
      <c r="D424" s="69"/>
      <c r="E424" s="69"/>
      <c r="F424" s="69"/>
      <c r="G424" s="17" t="s">
        <v>1405</v>
      </c>
      <c r="Z424" s="101"/>
      <c r="AA424" s="101"/>
      <c r="AB424" s="101"/>
      <c r="AC424" s="101"/>
      <c r="AD424" s="101"/>
      <c r="AE424" s="101"/>
      <c r="AF424" s="101"/>
      <c r="AG424" s="101"/>
      <c r="AH424" s="101"/>
      <c r="AI424" s="101"/>
      <c r="AJ424" s="101"/>
      <c r="AK424" s="101"/>
      <c r="AL424" s="101"/>
      <c r="AM424" s="101"/>
      <c r="AN424" s="101"/>
    </row>
    <row r="425" spans="1:40" ht="16.5" customHeight="1" x14ac:dyDescent="0.3">
      <c r="A425" s="59"/>
      <c r="B425" s="68" t="str">
        <f>"  t1=Cms*n/("&amp;AD425&amp;"*Es)= "&amp;AI425&amp;" min "</f>
        <v xml:space="preserve">  t1=Cms*n/(60*Es)= 11.626 min </v>
      </c>
      <c r="C425" s="69"/>
      <c r="D425" s="69"/>
      <c r="E425" s="69"/>
      <c r="F425" s="69"/>
      <c r="G425" s="17" t="s">
        <v>1630</v>
      </c>
      <c r="Z425" s="103">
        <f>AB417</f>
        <v>15</v>
      </c>
      <c r="AA425" s="35" t="s">
        <v>1436</v>
      </c>
      <c r="AB425" s="103" t="str">
        <f>AG423</f>
        <v>32.553</v>
      </c>
      <c r="AC425" s="35" t="s">
        <v>1467</v>
      </c>
      <c r="AD425" s="102">
        <v>60</v>
      </c>
      <c r="AE425" s="35" t="s">
        <v>1436</v>
      </c>
      <c r="AF425" s="103">
        <f>AF415</f>
        <v>0.7</v>
      </c>
      <c r="AG425" s="35" t="s">
        <v>1468</v>
      </c>
      <c r="AH425" s="35" t="s">
        <v>1410</v>
      </c>
      <c r="AI425" s="103" t="str">
        <f>TEXT(ROUND(AB417*AG423/(AD425*AF415),3),"#,0.000")</f>
        <v>11.626</v>
      </c>
      <c r="AJ425" s="101"/>
      <c r="AK425" s="101"/>
      <c r="AL425" s="101"/>
      <c r="AM425" s="101"/>
      <c r="AN425" s="101"/>
    </row>
    <row r="426" spans="1:40" ht="16.5" customHeight="1" x14ac:dyDescent="0.3">
      <c r="A426" s="69"/>
      <c r="B426" s="69"/>
      <c r="C426" s="69"/>
      <c r="D426" s="69"/>
      <c r="E426" s="69"/>
      <c r="F426" s="69"/>
      <c r="G426" s="17" t="s">
        <v>1405</v>
      </c>
      <c r="Z426" s="101"/>
      <c r="AA426" s="101"/>
      <c r="AB426" s="101"/>
      <c r="AC426" s="101"/>
      <c r="AD426" s="101"/>
      <c r="AE426" s="101"/>
      <c r="AF426" s="101"/>
      <c r="AG426" s="101"/>
      <c r="AH426" s="101"/>
      <c r="AI426" s="101"/>
      <c r="AJ426" s="101"/>
      <c r="AK426" s="101"/>
      <c r="AL426" s="101"/>
      <c r="AM426" s="101"/>
      <c r="AN426" s="101"/>
    </row>
    <row r="427" spans="1:40" ht="16.5" customHeight="1" x14ac:dyDescent="0.3">
      <c r="A427" s="59"/>
      <c r="B427" s="68" t="str">
        <f>"   t2=((L/"&amp;AC427&amp;")+(L/"&amp;AG427&amp;"))*"&amp;AI427&amp;" = "&amp;AK427&amp;" mim "</f>
        <v xml:space="preserve">   t2=((L/35)+(L/35))*60 = 34.286 mim </v>
      </c>
      <c r="C427" s="69"/>
      <c r="D427" s="69"/>
      <c r="E427" s="69"/>
      <c r="F427" s="69"/>
      <c r="G427" s="17" t="s">
        <v>1631</v>
      </c>
      <c r="Z427" s="35" t="s">
        <v>1633</v>
      </c>
      <c r="AA427" s="103">
        <f>AJ415</f>
        <v>10</v>
      </c>
      <c r="AB427" s="35" t="s">
        <v>1413</v>
      </c>
      <c r="AC427" s="102">
        <v>35</v>
      </c>
      <c r="AD427" s="35" t="s">
        <v>1634</v>
      </c>
      <c r="AE427" s="103">
        <f>AJ415</f>
        <v>10</v>
      </c>
      <c r="AF427" s="35" t="s">
        <v>1413</v>
      </c>
      <c r="AG427" s="102">
        <v>35</v>
      </c>
      <c r="AH427" s="35" t="s">
        <v>1635</v>
      </c>
      <c r="AI427" s="102">
        <v>60</v>
      </c>
      <c r="AJ427" s="35" t="s">
        <v>1410</v>
      </c>
      <c r="AK427" s="103" t="str">
        <f>TEXT(ROUND(((AJ415/AC427)+(AJ415/AG427))*AI427,3),"#,0.000")</f>
        <v>34.286</v>
      </c>
      <c r="AL427" s="101"/>
      <c r="AM427" s="101"/>
      <c r="AN427" s="101"/>
    </row>
    <row r="428" spans="1:40" ht="16.5" customHeight="1" x14ac:dyDescent="0.3">
      <c r="A428" s="69"/>
      <c r="B428" s="69"/>
      <c r="C428" s="69"/>
      <c r="D428" s="69"/>
      <c r="E428" s="69"/>
      <c r="F428" s="69"/>
      <c r="G428" s="17" t="s">
        <v>1405</v>
      </c>
      <c r="Z428" s="101"/>
      <c r="AA428" s="101"/>
      <c r="AB428" s="101"/>
      <c r="AC428" s="101"/>
      <c r="AD428" s="101"/>
      <c r="AE428" s="101"/>
      <c r="AF428" s="101"/>
      <c r="AG428" s="101"/>
      <c r="AH428" s="101"/>
      <c r="AI428" s="101"/>
      <c r="AJ428" s="101"/>
      <c r="AK428" s="101"/>
      <c r="AL428" s="101"/>
      <c r="AM428" s="101"/>
      <c r="AN428" s="101"/>
    </row>
    <row r="429" spans="1:40" ht="16.5" customHeight="1" x14ac:dyDescent="0.3">
      <c r="A429" s="59"/>
      <c r="B429" s="68" t="str">
        <f>"   t3="&amp;Z429&amp;",   t4="&amp;AD429&amp;",  t5="&amp;AH429&amp;""</f>
        <v xml:space="preserve">   t3=0.8,   t4=0.42,  t5=0.5</v>
      </c>
      <c r="C429" s="69"/>
      <c r="D429" s="69"/>
      <c r="E429" s="69"/>
      <c r="F429" s="69"/>
      <c r="G429" s="17" t="s">
        <v>1632</v>
      </c>
      <c r="Z429" s="104">
        <v>0.8</v>
      </c>
      <c r="AA429" s="35" t="s">
        <v>1410</v>
      </c>
      <c r="AB429" s="103">
        <f>Z429</f>
        <v>0.8</v>
      </c>
      <c r="AC429" s="105" t="s">
        <v>1453</v>
      </c>
      <c r="AD429" s="104">
        <v>0.42</v>
      </c>
      <c r="AE429" s="35" t="s">
        <v>1410</v>
      </c>
      <c r="AF429" s="103">
        <f>AD429</f>
        <v>0.42</v>
      </c>
      <c r="AG429" s="105" t="s">
        <v>1453</v>
      </c>
      <c r="AH429" s="104">
        <v>0.5</v>
      </c>
      <c r="AI429" s="35" t="s">
        <v>1410</v>
      </c>
      <c r="AJ429" s="103">
        <f>AH429</f>
        <v>0.5</v>
      </c>
      <c r="AK429" s="101"/>
      <c r="AL429" s="101"/>
      <c r="AM429" s="101"/>
      <c r="AN429" s="101"/>
    </row>
    <row r="430" spans="1:40" ht="16.5" customHeight="1" x14ac:dyDescent="0.3">
      <c r="A430" s="69"/>
      <c r="B430" s="69"/>
      <c r="C430" s="69"/>
      <c r="D430" s="69"/>
      <c r="E430" s="69"/>
      <c r="F430" s="69"/>
      <c r="G430" s="17" t="s">
        <v>1405</v>
      </c>
      <c r="Z430" s="101"/>
      <c r="AA430" s="101"/>
      <c r="AB430" s="101"/>
      <c r="AC430" s="101"/>
      <c r="AD430" s="101"/>
      <c r="AE430" s="101"/>
      <c r="AF430" s="101"/>
      <c r="AG430" s="101"/>
      <c r="AH430" s="101"/>
      <c r="AI430" s="101"/>
      <c r="AJ430" s="101"/>
      <c r="AK430" s="101"/>
      <c r="AL430" s="101"/>
      <c r="AM430" s="101"/>
      <c r="AN430" s="101"/>
    </row>
    <row r="431" spans="1:40" ht="16.5" customHeight="1" x14ac:dyDescent="0.3">
      <c r="A431" s="59"/>
      <c r="B431" s="68" t="str">
        <f>"   Cm=t1+t2+t3+t4+t5= "&amp;AJ431&amp;""</f>
        <v xml:space="preserve">   Cm=t1+t2+t3+t4+t5= 47.632</v>
      </c>
      <c r="C431" s="69"/>
      <c r="D431" s="69"/>
      <c r="E431" s="69"/>
      <c r="F431" s="69"/>
      <c r="G431" s="17" t="s">
        <v>1636</v>
      </c>
      <c r="Z431" s="103" t="str">
        <f>AI425</f>
        <v>11.626</v>
      </c>
      <c r="AA431" s="35" t="s">
        <v>1462</v>
      </c>
      <c r="AB431" s="103" t="str">
        <f>AK427</f>
        <v>34.286</v>
      </c>
      <c r="AC431" s="35" t="s">
        <v>1462</v>
      </c>
      <c r="AD431" s="103">
        <f>AB429</f>
        <v>0.8</v>
      </c>
      <c r="AE431" s="35" t="s">
        <v>1462</v>
      </c>
      <c r="AF431" s="103">
        <f>AF429</f>
        <v>0.42</v>
      </c>
      <c r="AG431" s="35" t="s">
        <v>1462</v>
      </c>
      <c r="AH431" s="103">
        <f>AJ429</f>
        <v>0.5</v>
      </c>
      <c r="AI431" s="35" t="s">
        <v>1410</v>
      </c>
      <c r="AJ431" s="103" t="str">
        <f>TEXT(ROUND(AI425+AK427+AB429+AF429+AJ429,3),"#,0.000")</f>
        <v>47.632</v>
      </c>
      <c r="AK431" s="101"/>
      <c r="AL431" s="101"/>
      <c r="AM431" s="101"/>
      <c r="AN431" s="101"/>
    </row>
    <row r="432" spans="1:40" ht="16.5" customHeight="1" x14ac:dyDescent="0.3">
      <c r="A432" s="69"/>
      <c r="B432" s="69"/>
      <c r="C432" s="69"/>
      <c r="D432" s="69"/>
      <c r="E432" s="69"/>
      <c r="F432" s="69"/>
      <c r="G432" s="17" t="s">
        <v>1405</v>
      </c>
      <c r="Z432" s="101"/>
      <c r="AA432" s="101"/>
      <c r="AB432" s="101"/>
      <c r="AC432" s="101"/>
      <c r="AD432" s="101"/>
      <c r="AE432" s="101"/>
      <c r="AF432" s="101"/>
      <c r="AG432" s="101"/>
      <c r="AH432" s="101"/>
      <c r="AI432" s="101"/>
      <c r="AJ432" s="101"/>
      <c r="AK432" s="101"/>
      <c r="AL432" s="101"/>
      <c r="AM432" s="101"/>
      <c r="AN432" s="101"/>
    </row>
    <row r="433" spans="1:40" ht="16.5" customHeight="1" x14ac:dyDescent="0.3">
      <c r="A433" s="59"/>
      <c r="B433" s="68" t="str">
        <f>"   Q="&amp;Z433&amp;"*q1*f*E/Cm= "&amp;AJ433&amp;" ㎥/hr "</f>
        <v xml:space="preserve">   Q=60*q1*f*E/Cm= 10.629 ㎥/hr </v>
      </c>
      <c r="C433" s="69"/>
      <c r="D433" s="69"/>
      <c r="E433" s="69"/>
      <c r="F433" s="69"/>
      <c r="G433" s="17" t="s">
        <v>1637</v>
      </c>
      <c r="Z433" s="102">
        <v>60</v>
      </c>
      <c r="AA433" s="35" t="s">
        <v>1436</v>
      </c>
      <c r="AB433" s="103" t="str">
        <f>AF421</f>
        <v>11.719</v>
      </c>
      <c r="AC433" s="35" t="s">
        <v>1436</v>
      </c>
      <c r="AD433" s="103" t="str">
        <f>AH419</f>
        <v>0.800</v>
      </c>
      <c r="AE433" s="35" t="s">
        <v>1436</v>
      </c>
      <c r="AF433" s="103">
        <f>AB419</f>
        <v>0.9</v>
      </c>
      <c r="AG433" s="35" t="s">
        <v>1413</v>
      </c>
      <c r="AH433" s="103" t="str">
        <f>AJ431</f>
        <v>47.632</v>
      </c>
      <c r="AI433" s="35" t="s">
        <v>1410</v>
      </c>
      <c r="AJ433" s="103" t="str">
        <f>TEXT(ROUND(Z433*AF421*AH419*AB419/AJ431,3),"#,0.000")</f>
        <v>10.629</v>
      </c>
      <c r="AK433" s="101"/>
      <c r="AL433" s="101"/>
      <c r="AM433" s="101"/>
      <c r="AN433" s="101"/>
    </row>
    <row r="434" spans="1:40" ht="16.5" customHeight="1" x14ac:dyDescent="0.3">
      <c r="A434" s="69"/>
      <c r="B434" s="69"/>
      <c r="C434" s="69"/>
      <c r="D434" s="69"/>
      <c r="E434" s="69"/>
      <c r="F434" s="69"/>
      <c r="G434" s="17" t="s">
        <v>1405</v>
      </c>
      <c r="Z434" s="101"/>
      <c r="AA434" s="101"/>
      <c r="AB434" s="101"/>
      <c r="AC434" s="101"/>
      <c r="AD434" s="101"/>
      <c r="AE434" s="101"/>
      <c r="AF434" s="101"/>
      <c r="AG434" s="101"/>
      <c r="AH434" s="101"/>
      <c r="AI434" s="101"/>
      <c r="AJ434" s="101"/>
      <c r="AK434" s="101"/>
      <c r="AL434" s="101"/>
      <c r="AM434" s="101"/>
      <c r="AN434" s="101"/>
    </row>
    <row r="435" spans="1:40" ht="16.5" customHeight="1" x14ac:dyDescent="0.3">
      <c r="A435" s="69"/>
      <c r="B435" s="69"/>
      <c r="C435" s="69"/>
      <c r="D435" s="69"/>
      <c r="E435" s="69"/>
      <c r="F435" s="69"/>
      <c r="G435" s="17" t="s">
        <v>1405</v>
      </c>
      <c r="Z435" s="101"/>
      <c r="AA435" s="101"/>
      <c r="AB435" s="101"/>
      <c r="AC435" s="101"/>
      <c r="AD435" s="101"/>
      <c r="AE435" s="101"/>
      <c r="AF435" s="101"/>
      <c r="AG435" s="101"/>
      <c r="AH435" s="101"/>
      <c r="AI435" s="101"/>
      <c r="AJ435" s="101"/>
      <c r="AK435" s="101"/>
      <c r="AL435" s="101"/>
      <c r="AM435" s="101"/>
      <c r="AN435" s="101"/>
    </row>
    <row r="436" spans="1:40" ht="16.5" customHeight="1" x14ac:dyDescent="0.3">
      <c r="A436" s="59" t="s">
        <v>1639</v>
      </c>
      <c r="B436" s="89" t="str">
        <f>"   노무비: "&amp;TEXT(I436,"#,##0"&amp;IF(I436&lt;&gt;INT(I436),".###",""))&amp;"/Q = "&amp;TEXT(C436,"#,##0.0")&amp;""</f>
        <v xml:space="preserve">   노무비: 59,020/Q = 5,552.7</v>
      </c>
      <c r="C436" s="91">
        <f>E436+D436+F436</f>
        <v>5552.7</v>
      </c>
      <c r="D436" s="91">
        <f>IF(H436=0,0,ROUNDDOWN(J436*H436,1))</f>
        <v>5552.7</v>
      </c>
      <c r="E436" s="91">
        <f>IF(H436=0,0,ROUNDDOWN(K436*H436,1))</f>
        <v>0</v>
      </c>
      <c r="F436" s="91">
        <f>IF(H436=0,0,ROUNDDOWN(L436*H436,1))</f>
        <v>0</v>
      </c>
      <c r="G436" s="17" t="s">
        <v>1638</v>
      </c>
      <c r="H436" s="97">
        <f>ROUNDUP(AC436,14-LEN(ABS(INT(AC436))))</f>
        <v>9.4082227867199997E-2</v>
      </c>
      <c r="I436" s="98">
        <f>K436+J436+L436</f>
        <v>59020</v>
      </c>
      <c r="J436" s="38">
        <f>중기목록표!F13</f>
        <v>59020</v>
      </c>
      <c r="M436" s="35" t="s">
        <v>1640</v>
      </c>
      <c r="N436" s="35" t="s">
        <v>1262</v>
      </c>
      <c r="X436" s="100" t="str">
        <f>중기목록표!B13&amp;" / "&amp;중기목록표!C13</f>
        <v>덤프트럭 / 15톤</v>
      </c>
      <c r="Y436" s="3" t="str">
        <f ca="1">HYPERLINK("#"&amp;중기목록표!J2&amp;"!A"&amp;ROW(중기목록표!A13),"중기10 →")</f>
        <v>중기10 →</v>
      </c>
      <c r="Z436" s="35" t="s">
        <v>1417</v>
      </c>
      <c r="AA436" s="103" t="str">
        <f>AJ433</f>
        <v>10.629</v>
      </c>
      <c r="AB436" s="35" t="s">
        <v>1410</v>
      </c>
      <c r="AC436" s="103">
        <f>1/AJ433</f>
        <v>9.4082227867155893E-2</v>
      </c>
      <c r="AD436" s="101"/>
      <c r="AE436" s="101"/>
      <c r="AF436" s="101"/>
      <c r="AG436" s="101"/>
      <c r="AH436" s="101"/>
      <c r="AI436" s="101"/>
      <c r="AJ436" s="101"/>
      <c r="AK436" s="101"/>
      <c r="AL436" s="101"/>
      <c r="AM436" s="101"/>
      <c r="AN436" s="101"/>
    </row>
    <row r="437" spans="1:40" ht="16.5" customHeight="1" x14ac:dyDescent="0.3">
      <c r="A437" s="69"/>
      <c r="B437" s="69"/>
      <c r="C437" s="69"/>
      <c r="D437" s="69"/>
      <c r="E437" s="69"/>
      <c r="F437" s="69"/>
      <c r="G437" s="17" t="s">
        <v>1405</v>
      </c>
      <c r="Z437" s="101"/>
      <c r="AA437" s="101"/>
      <c r="AB437" s="101"/>
      <c r="AC437" s="101"/>
      <c r="AD437" s="101"/>
      <c r="AE437" s="101"/>
      <c r="AF437" s="101"/>
      <c r="AG437" s="101"/>
      <c r="AH437" s="101"/>
      <c r="AI437" s="101"/>
      <c r="AJ437" s="101"/>
      <c r="AK437" s="101"/>
      <c r="AL437" s="101"/>
      <c r="AM437" s="101"/>
      <c r="AN437" s="101"/>
    </row>
    <row r="438" spans="1:40" ht="16.5" customHeight="1" x14ac:dyDescent="0.3">
      <c r="A438" s="59" t="s">
        <v>1642</v>
      </c>
      <c r="B438" s="89" t="str">
        <f>"   재료비: "&amp;TEXT(I438,"#,##0"&amp;IF(I438&lt;&gt;INT(I438),".###",""))&amp;"/Q = "&amp;TEXT(C438,"#,##0.0")&amp;""</f>
        <v xml:space="preserve">   재료비: 39,473/Q = 3,713.7</v>
      </c>
      <c r="C438" s="91">
        <f>E438+D438+F438</f>
        <v>3713.7</v>
      </c>
      <c r="D438" s="91">
        <f>IF(H438=0,0,ROUNDDOWN(J438*H438,1))</f>
        <v>0</v>
      </c>
      <c r="E438" s="91">
        <f>IF(H438=0,0,ROUNDDOWN(K438*H438,1))</f>
        <v>3713.7</v>
      </c>
      <c r="F438" s="91">
        <f>IF(H438=0,0,ROUNDDOWN(L438*H438,1))</f>
        <v>0</v>
      </c>
      <c r="G438" s="17" t="s">
        <v>1641</v>
      </c>
      <c r="H438" s="97">
        <f>ROUNDUP(AC438,14-LEN(ABS(INT(AC438))))</f>
        <v>9.4082227867199997E-2</v>
      </c>
      <c r="I438" s="98">
        <f>K438+J438+L438</f>
        <v>39473</v>
      </c>
      <c r="K438" s="38">
        <f>중기목록표!G13</f>
        <v>39473</v>
      </c>
      <c r="M438" s="35" t="s">
        <v>1640</v>
      </c>
      <c r="N438" s="35" t="s">
        <v>1262</v>
      </c>
      <c r="X438" s="100" t="str">
        <f>중기목록표!B13&amp;" / "&amp;중기목록표!C13</f>
        <v>덤프트럭 / 15톤</v>
      </c>
      <c r="Y438" s="3" t="str">
        <f ca="1">HYPERLINK("#"&amp;중기목록표!J2&amp;"!A"&amp;ROW(중기목록표!A13),"중기10 →")</f>
        <v>중기10 →</v>
      </c>
      <c r="Z438" s="35" t="s">
        <v>1417</v>
      </c>
      <c r="AA438" s="103" t="str">
        <f>AJ433</f>
        <v>10.629</v>
      </c>
      <c r="AB438" s="35" t="s">
        <v>1410</v>
      </c>
      <c r="AC438" s="103">
        <f>1/AJ433</f>
        <v>9.4082227867155893E-2</v>
      </c>
      <c r="AD438" s="101"/>
      <c r="AE438" s="101"/>
      <c r="AF438" s="101"/>
      <c r="AG438" s="101"/>
      <c r="AH438" s="101"/>
      <c r="AI438" s="101"/>
      <c r="AJ438" s="101"/>
      <c r="AK438" s="101"/>
      <c r="AL438" s="101"/>
      <c r="AM438" s="101"/>
      <c r="AN438" s="101"/>
    </row>
    <row r="439" spans="1:40" ht="16.5" customHeight="1" x14ac:dyDescent="0.3">
      <c r="A439" s="69"/>
      <c r="B439" s="69"/>
      <c r="C439" s="69"/>
      <c r="D439" s="69"/>
      <c r="E439" s="69"/>
      <c r="F439" s="69"/>
      <c r="G439" s="17" t="s">
        <v>1405</v>
      </c>
      <c r="Z439" s="101"/>
      <c r="AA439" s="101"/>
      <c r="AB439" s="101"/>
      <c r="AC439" s="101"/>
      <c r="AD439" s="101"/>
      <c r="AE439" s="101"/>
      <c r="AF439" s="101"/>
      <c r="AG439" s="101"/>
      <c r="AH439" s="101"/>
      <c r="AI439" s="101"/>
      <c r="AJ439" s="101"/>
      <c r="AK439" s="101"/>
      <c r="AL439" s="101"/>
      <c r="AM439" s="101"/>
      <c r="AN439" s="101"/>
    </row>
    <row r="440" spans="1:40" ht="16.5" customHeight="1" x14ac:dyDescent="0.3">
      <c r="A440" s="59" t="s">
        <v>1644</v>
      </c>
      <c r="B440" s="89" t="str">
        <f>"   경  비: "&amp;TEXT(I440,"#,##0"&amp;IF(I440&lt;&gt;INT(I440),".###",""))&amp;"/Q = "&amp;TEXT(C440,"#,##0.0")&amp;""</f>
        <v xml:space="preserve">   경  비: 20,659/Q = 1,943.6</v>
      </c>
      <c r="C440" s="91">
        <f>E440+D440+F440</f>
        <v>1943.6</v>
      </c>
      <c r="D440" s="91">
        <f>IF(H440=0,0,ROUNDDOWN(J440*H440,1))</f>
        <v>0</v>
      </c>
      <c r="E440" s="91">
        <f>IF(H440=0,0,ROUNDDOWN(K440*H440,1))</f>
        <v>0</v>
      </c>
      <c r="F440" s="91">
        <f>IF(H440=0,0,ROUNDDOWN(L440*H440,1))</f>
        <v>1943.6</v>
      </c>
      <c r="G440" s="17" t="s">
        <v>1643</v>
      </c>
      <c r="H440" s="97">
        <f>ROUNDUP(AC440,14-LEN(ABS(INT(AC440))))</f>
        <v>9.4082227867199997E-2</v>
      </c>
      <c r="I440" s="98">
        <f>K440+J440+L440</f>
        <v>20659</v>
      </c>
      <c r="L440" s="38">
        <f>중기목록표!H13</f>
        <v>20659</v>
      </c>
      <c r="M440" s="35" t="s">
        <v>1640</v>
      </c>
      <c r="N440" s="35" t="s">
        <v>1262</v>
      </c>
      <c r="X440" s="100" t="str">
        <f>중기목록표!B13&amp;" / "&amp;중기목록표!C13</f>
        <v>덤프트럭 / 15톤</v>
      </c>
      <c r="Y440" s="3" t="str">
        <f ca="1">HYPERLINK("#"&amp;중기목록표!J2&amp;"!A"&amp;ROW(중기목록표!A13),"중기10 →")</f>
        <v>중기10 →</v>
      </c>
      <c r="Z440" s="35" t="s">
        <v>1417</v>
      </c>
      <c r="AA440" s="103" t="str">
        <f>AJ433</f>
        <v>10.629</v>
      </c>
      <c r="AB440" s="35" t="s">
        <v>1410</v>
      </c>
      <c r="AC440" s="103">
        <f>1/AJ433</f>
        <v>9.4082227867155893E-2</v>
      </c>
      <c r="AD440" s="101"/>
      <c r="AE440" s="101"/>
      <c r="AF440" s="101"/>
      <c r="AG440" s="101"/>
      <c r="AH440" s="101"/>
      <c r="AI440" s="101"/>
      <c r="AJ440" s="101"/>
      <c r="AK440" s="101"/>
      <c r="AL440" s="101"/>
      <c r="AM440" s="101"/>
      <c r="AN440" s="101"/>
    </row>
    <row r="441" spans="1:40" ht="16.5" customHeight="1" x14ac:dyDescent="0.3">
      <c r="A441" s="69"/>
      <c r="B441" s="69"/>
      <c r="C441" s="69"/>
      <c r="D441" s="69"/>
      <c r="E441" s="69"/>
      <c r="F441" s="69"/>
      <c r="G441" s="17" t="s">
        <v>1405</v>
      </c>
      <c r="Z441" s="101"/>
      <c r="AA441" s="101"/>
      <c r="AB441" s="101"/>
      <c r="AC441" s="101"/>
      <c r="AD441" s="101"/>
      <c r="AE441" s="101"/>
      <c r="AF441" s="101"/>
      <c r="AG441" s="101"/>
      <c r="AH441" s="101"/>
      <c r="AI441" s="101"/>
      <c r="AJ441" s="101"/>
      <c r="AK441" s="101"/>
      <c r="AL441" s="101"/>
      <c r="AM441" s="101"/>
      <c r="AN441" s="101"/>
    </row>
    <row r="442" spans="1:40" ht="16.5" customHeight="1" x14ac:dyDescent="0.3">
      <c r="A442" s="59"/>
      <c r="B442" s="68" t="s">
        <v>1260</v>
      </c>
      <c r="C442" s="92">
        <f>E442+D442+F442</f>
        <v>11210</v>
      </c>
      <c r="D442" s="92">
        <f>SUMIF(N407:N441,M442,D407:D441)</f>
        <v>5552.7</v>
      </c>
      <c r="E442" s="92">
        <f>SUMIF(N407:N441,M442,E407:E441)</f>
        <v>3713.7</v>
      </c>
      <c r="F442" s="92">
        <f>SUMIF(N407:N441,M442,F407:F441)</f>
        <v>1943.6</v>
      </c>
      <c r="G442" s="17" t="s">
        <v>1430</v>
      </c>
      <c r="M442" s="35" t="s">
        <v>1262</v>
      </c>
      <c r="N442" s="35" t="s">
        <v>1658</v>
      </c>
      <c r="Z442" s="101"/>
      <c r="AA442" s="101"/>
      <c r="AB442" s="101"/>
      <c r="AC442" s="101"/>
      <c r="AD442" s="101"/>
      <c r="AE442" s="101"/>
      <c r="AF442" s="101"/>
      <c r="AG442" s="101"/>
      <c r="AH442" s="101"/>
      <c r="AI442" s="101"/>
      <c r="AJ442" s="101"/>
      <c r="AK442" s="101"/>
      <c r="AL442" s="101"/>
      <c r="AM442" s="101"/>
      <c r="AN442" s="101"/>
    </row>
    <row r="443" spans="1:40" ht="16.5" customHeight="1" x14ac:dyDescent="0.3">
      <c r="A443" s="69"/>
      <c r="B443" s="69"/>
      <c r="C443" s="90"/>
      <c r="D443" s="90"/>
      <c r="E443" s="90"/>
      <c r="F443" s="90"/>
      <c r="G443" s="17" t="s">
        <v>1405</v>
      </c>
      <c r="Z443" s="101"/>
      <c r="AA443" s="101"/>
      <c r="AB443" s="101"/>
      <c r="AC443" s="101"/>
      <c r="AD443" s="101"/>
      <c r="AE443" s="101"/>
      <c r="AF443" s="101"/>
      <c r="AG443" s="101"/>
      <c r="AH443" s="101"/>
      <c r="AI443" s="101"/>
      <c r="AJ443" s="101"/>
      <c r="AK443" s="101"/>
      <c r="AL443" s="101"/>
      <c r="AM443" s="101"/>
      <c r="AN443" s="101"/>
    </row>
    <row r="444" spans="1:40" ht="16.5" customHeight="1" x14ac:dyDescent="0.3">
      <c r="A444" s="59"/>
      <c r="B444" s="68" t="s">
        <v>1646</v>
      </c>
      <c r="C444" s="69"/>
      <c r="D444" s="69"/>
      <c r="E444" s="69"/>
      <c r="F444" s="69"/>
      <c r="G444" s="17" t="s">
        <v>1645</v>
      </c>
      <c r="Z444" s="101"/>
      <c r="AA444" s="101"/>
      <c r="AB444" s="101"/>
      <c r="AC444" s="101"/>
      <c r="AD444" s="101"/>
      <c r="AE444" s="101"/>
      <c r="AF444" s="101"/>
      <c r="AG444" s="101"/>
      <c r="AH444" s="101"/>
      <c r="AI444" s="101"/>
      <c r="AJ444" s="101"/>
      <c r="AK444" s="101"/>
      <c r="AL444" s="101"/>
      <c r="AM444" s="101"/>
      <c r="AN444" s="101"/>
    </row>
    <row r="445" spans="1:40" ht="16.5" customHeight="1" x14ac:dyDescent="0.3">
      <c r="A445" s="69"/>
      <c r="B445" s="69"/>
      <c r="C445" s="69"/>
      <c r="D445" s="69"/>
      <c r="E445" s="69"/>
      <c r="F445" s="69"/>
      <c r="G445" s="17" t="s">
        <v>1405</v>
      </c>
      <c r="Z445" s="101"/>
      <c r="AA445" s="101"/>
      <c r="AB445" s="101"/>
      <c r="AC445" s="101"/>
      <c r="AD445" s="101"/>
      <c r="AE445" s="101"/>
      <c r="AF445" s="101"/>
      <c r="AG445" s="101"/>
      <c r="AH445" s="101"/>
      <c r="AI445" s="101"/>
      <c r="AJ445" s="101"/>
      <c r="AK445" s="101"/>
      <c r="AL445" s="101"/>
      <c r="AM445" s="101"/>
      <c r="AN445" s="101"/>
    </row>
    <row r="446" spans="1:40" ht="16.5" customHeight="1" x14ac:dyDescent="0.3">
      <c r="A446" s="59"/>
      <c r="B446" s="68" t="s">
        <v>1648</v>
      </c>
      <c r="C446" s="69"/>
      <c r="D446" s="69"/>
      <c r="E446" s="69"/>
      <c r="F446" s="69"/>
      <c r="G446" s="17" t="s">
        <v>1647</v>
      </c>
      <c r="Z446" s="101"/>
      <c r="AA446" s="101"/>
      <c r="AB446" s="101"/>
      <c r="AC446" s="101"/>
      <c r="AD446" s="101"/>
      <c r="AE446" s="101"/>
      <c r="AF446" s="101"/>
      <c r="AG446" s="101"/>
      <c r="AH446" s="101"/>
      <c r="AI446" s="101"/>
      <c r="AJ446" s="101"/>
      <c r="AK446" s="101"/>
      <c r="AL446" s="101"/>
      <c r="AM446" s="101"/>
      <c r="AN446" s="101"/>
    </row>
    <row r="447" spans="1:40" ht="16.5" customHeight="1" x14ac:dyDescent="0.3">
      <c r="A447" s="69"/>
      <c r="B447" s="69"/>
      <c r="C447" s="69"/>
      <c r="D447" s="69"/>
      <c r="E447" s="69"/>
      <c r="F447" s="69"/>
      <c r="G447" s="17" t="s">
        <v>1405</v>
      </c>
      <c r="Z447" s="101"/>
      <c r="AA447" s="101"/>
      <c r="AB447" s="101"/>
      <c r="AC447" s="101"/>
      <c r="AD447" s="101"/>
      <c r="AE447" s="101"/>
      <c r="AF447" s="101"/>
      <c r="AG447" s="101"/>
      <c r="AH447" s="101"/>
      <c r="AI447" s="101"/>
      <c r="AJ447" s="101"/>
      <c r="AK447" s="101"/>
      <c r="AL447" s="101"/>
      <c r="AM447" s="101"/>
      <c r="AN447" s="101"/>
    </row>
    <row r="448" spans="1:40" ht="16.5" customHeight="1" x14ac:dyDescent="0.3">
      <c r="A448" s="59" t="s">
        <v>1650</v>
      </c>
      <c r="B448" s="89" t="str">
        <f>"   노무비: "&amp;TEXT(I448,"#,##0"&amp;IF(I448&lt;&gt;INT(I448),".###",""))&amp;"*"&amp;AA448&amp;"   = "&amp;TEXT(C448,"#,##0.0")&amp;""</f>
        <v xml:space="preserve">   노무비: 412*0.3   = 123.6</v>
      </c>
      <c r="C448" s="91">
        <f>E448+D448+F448</f>
        <v>123.6</v>
      </c>
      <c r="D448" s="91">
        <f>IF(H448=0,0,ROUNDDOWN(J448*H448,1))</f>
        <v>123.6</v>
      </c>
      <c r="E448" s="91">
        <f>IF(H448=0,0,ROUNDDOWN(K448*H448,1))</f>
        <v>0</v>
      </c>
      <c r="F448" s="91">
        <f>IF(H448=0,0,ROUNDDOWN(L448*H448,1))</f>
        <v>0</v>
      </c>
      <c r="G448" s="17" t="s">
        <v>1649</v>
      </c>
      <c r="H448" s="97">
        <f>ROUNDUP(AC448,14-LEN(ABS(INT(AC448))))</f>
        <v>0.3</v>
      </c>
      <c r="I448" s="98">
        <f>K448+J448+L448</f>
        <v>412</v>
      </c>
      <c r="J448" s="38">
        <f>단가산출근거목록표!F29</f>
        <v>412</v>
      </c>
      <c r="M448" s="35" t="s">
        <v>1651</v>
      </c>
      <c r="N448" s="35" t="s">
        <v>1262</v>
      </c>
      <c r="X448" s="100" t="str">
        <f>단가산출근거목록표!B29&amp;" / "&amp;단가산출근거목록표!C29</f>
        <v>정지:토사 / (B.D 19ton)</v>
      </c>
      <c r="Y448" s="3" t="str">
        <f ca="1">HYPERLINK("#"&amp;단가산출근거목록표!J2&amp;"!A"&amp;ROW(단가산출근거목록표!A29),"산근26 →")</f>
        <v>산근26 →</v>
      </c>
      <c r="Z448" s="35" t="s">
        <v>1446</v>
      </c>
      <c r="AA448" s="104">
        <v>0.3</v>
      </c>
      <c r="AB448" s="35" t="s">
        <v>1410</v>
      </c>
      <c r="AC448" s="103">
        <f>1*AA448</f>
        <v>0.3</v>
      </c>
      <c r="AD448" s="101"/>
      <c r="AE448" s="101"/>
      <c r="AF448" s="101"/>
      <c r="AG448" s="101"/>
      <c r="AH448" s="101"/>
      <c r="AI448" s="101"/>
      <c r="AJ448" s="101"/>
      <c r="AK448" s="101"/>
      <c r="AL448" s="101"/>
      <c r="AM448" s="101"/>
      <c r="AN448" s="101"/>
    </row>
    <row r="449" spans="1:40" ht="16.5" customHeight="1" x14ac:dyDescent="0.3">
      <c r="A449" s="69"/>
      <c r="B449" s="69"/>
      <c r="C449" s="69"/>
      <c r="D449" s="69"/>
      <c r="E449" s="69"/>
      <c r="F449" s="69"/>
      <c r="G449" s="17" t="s">
        <v>1405</v>
      </c>
      <c r="Z449" s="101"/>
      <c r="AA449" s="101"/>
      <c r="AB449" s="101"/>
      <c r="AC449" s="101"/>
      <c r="AD449" s="101"/>
      <c r="AE449" s="101"/>
      <c r="AF449" s="101"/>
      <c r="AG449" s="101"/>
      <c r="AH449" s="101"/>
      <c r="AI449" s="101"/>
      <c r="AJ449" s="101"/>
      <c r="AK449" s="101"/>
      <c r="AL449" s="101"/>
      <c r="AM449" s="101"/>
      <c r="AN449" s="101"/>
    </row>
    <row r="450" spans="1:40" ht="16.5" customHeight="1" x14ac:dyDescent="0.3">
      <c r="A450" s="59" t="s">
        <v>1653</v>
      </c>
      <c r="B450" s="89" t="str">
        <f>"   재료비: "&amp;TEXT(I450,"#,##0"&amp;IF(I450&lt;&gt;INT(I450),".###",""))&amp;"*"&amp;AA450&amp;"   = "&amp;TEXT(C450,"#,##0.0")&amp;""</f>
        <v xml:space="preserve">   재료비: 364*0.3   = 109.2</v>
      </c>
      <c r="C450" s="91">
        <f>E450+D450+F450</f>
        <v>109.2</v>
      </c>
      <c r="D450" s="91">
        <f>IF(H450=0,0,ROUNDDOWN(J450*H450,1))</f>
        <v>0</v>
      </c>
      <c r="E450" s="91">
        <f>IF(H450=0,0,ROUNDDOWN(K450*H450,1))</f>
        <v>109.2</v>
      </c>
      <c r="F450" s="91">
        <f>IF(H450=0,0,ROUNDDOWN(L450*H450,1))</f>
        <v>0</v>
      </c>
      <c r="G450" s="17" t="s">
        <v>1652</v>
      </c>
      <c r="H450" s="97">
        <f>ROUNDUP(AC450,14-LEN(ABS(INT(AC450))))</f>
        <v>0.3</v>
      </c>
      <c r="I450" s="98">
        <f>K450+J450+L450</f>
        <v>364</v>
      </c>
      <c r="K450" s="38">
        <f>단가산출근거목록표!G29</f>
        <v>364</v>
      </c>
      <c r="M450" s="35" t="s">
        <v>1651</v>
      </c>
      <c r="N450" s="35" t="s">
        <v>1262</v>
      </c>
      <c r="X450" s="100" t="str">
        <f>단가산출근거목록표!B29&amp;" / "&amp;단가산출근거목록표!C29</f>
        <v>정지:토사 / (B.D 19ton)</v>
      </c>
      <c r="Y450" s="3" t="str">
        <f ca="1">HYPERLINK("#"&amp;단가산출근거목록표!J2&amp;"!A"&amp;ROW(단가산출근거목록표!A29),"산근26 →")</f>
        <v>산근26 →</v>
      </c>
      <c r="Z450" s="35" t="s">
        <v>1446</v>
      </c>
      <c r="AA450" s="104">
        <v>0.3</v>
      </c>
      <c r="AB450" s="35" t="s">
        <v>1410</v>
      </c>
      <c r="AC450" s="103">
        <f>1*AA450</f>
        <v>0.3</v>
      </c>
      <c r="AD450" s="101"/>
      <c r="AE450" s="101"/>
      <c r="AF450" s="101"/>
      <c r="AG450" s="101"/>
      <c r="AH450" s="101"/>
      <c r="AI450" s="101"/>
      <c r="AJ450" s="101"/>
      <c r="AK450" s="101"/>
      <c r="AL450" s="101"/>
      <c r="AM450" s="101"/>
      <c r="AN450" s="101"/>
    </row>
    <row r="451" spans="1:40" ht="16.5" customHeight="1" x14ac:dyDescent="0.3">
      <c r="A451" s="69"/>
      <c r="B451" s="69"/>
      <c r="C451" s="69"/>
      <c r="D451" s="69"/>
      <c r="E451" s="69"/>
      <c r="F451" s="69"/>
      <c r="G451" s="17" t="s">
        <v>1405</v>
      </c>
      <c r="Z451" s="101"/>
      <c r="AA451" s="101"/>
      <c r="AB451" s="101"/>
      <c r="AC451" s="101"/>
      <c r="AD451" s="101"/>
      <c r="AE451" s="101"/>
      <c r="AF451" s="101"/>
      <c r="AG451" s="101"/>
      <c r="AH451" s="101"/>
      <c r="AI451" s="101"/>
      <c r="AJ451" s="101"/>
      <c r="AK451" s="101"/>
      <c r="AL451" s="101"/>
      <c r="AM451" s="101"/>
      <c r="AN451" s="101"/>
    </row>
    <row r="452" spans="1:40" ht="16.5" customHeight="1" x14ac:dyDescent="0.3">
      <c r="A452" s="59" t="s">
        <v>1655</v>
      </c>
      <c r="B452" s="89" t="str">
        <f>"   경  비: "&amp;TEXT(I452,"#,##0"&amp;IF(I452&lt;&gt;INT(I452),".###",""))&amp;"*"&amp;AA452&amp;"   = "&amp;TEXT(C452,"#,##0.0")&amp;""</f>
        <v xml:space="preserve">   경  비: 250*0.3   = 75.0</v>
      </c>
      <c r="C452" s="91">
        <f>E452+D452+F452</f>
        <v>75</v>
      </c>
      <c r="D452" s="91">
        <f>IF(H452=0,0,ROUNDDOWN(J452*H452,1))</f>
        <v>0</v>
      </c>
      <c r="E452" s="91">
        <f>IF(H452=0,0,ROUNDDOWN(K452*H452,1))</f>
        <v>0</v>
      </c>
      <c r="F452" s="91">
        <f>IF(H452=0,0,ROUNDDOWN(L452*H452,1))</f>
        <v>75</v>
      </c>
      <c r="G452" s="17" t="s">
        <v>1654</v>
      </c>
      <c r="H452" s="97">
        <f>ROUNDUP(AC452,14-LEN(ABS(INT(AC452))))</f>
        <v>0.3</v>
      </c>
      <c r="I452" s="98">
        <f>K452+J452+L452</f>
        <v>250</v>
      </c>
      <c r="L452" s="38">
        <f>단가산출근거목록표!H29</f>
        <v>250</v>
      </c>
      <c r="M452" s="35" t="s">
        <v>1651</v>
      </c>
      <c r="N452" s="35" t="s">
        <v>1262</v>
      </c>
      <c r="X452" s="100" t="str">
        <f>단가산출근거목록표!B29&amp;" / "&amp;단가산출근거목록표!C29</f>
        <v>정지:토사 / (B.D 19ton)</v>
      </c>
      <c r="Y452" s="3" t="str">
        <f ca="1">HYPERLINK("#"&amp;단가산출근거목록표!J2&amp;"!A"&amp;ROW(단가산출근거목록표!A29),"산근26 →")</f>
        <v>산근26 →</v>
      </c>
      <c r="Z452" s="35" t="s">
        <v>1446</v>
      </c>
      <c r="AA452" s="104">
        <v>0.3</v>
      </c>
      <c r="AB452" s="35" t="s">
        <v>1410</v>
      </c>
      <c r="AC452" s="103">
        <f>1*AA452</f>
        <v>0.3</v>
      </c>
      <c r="AD452" s="101"/>
      <c r="AE452" s="101"/>
      <c r="AF452" s="101"/>
      <c r="AG452" s="101"/>
      <c r="AH452" s="101"/>
      <c r="AI452" s="101"/>
      <c r="AJ452" s="101"/>
      <c r="AK452" s="101"/>
      <c r="AL452" s="101"/>
      <c r="AM452" s="101"/>
      <c r="AN452" s="101"/>
    </row>
    <row r="453" spans="1:40" ht="16.5" customHeight="1" x14ac:dyDescent="0.3">
      <c r="A453" s="69"/>
      <c r="B453" s="69"/>
      <c r="C453" s="69"/>
      <c r="D453" s="69"/>
      <c r="E453" s="69"/>
      <c r="F453" s="69"/>
      <c r="G453" s="17" t="s">
        <v>1405</v>
      </c>
      <c r="Z453" s="101"/>
      <c r="AA453" s="101"/>
      <c r="AB453" s="101"/>
      <c r="AC453" s="101"/>
      <c r="AD453" s="101"/>
      <c r="AE453" s="101"/>
      <c r="AF453" s="101"/>
      <c r="AG453" s="101"/>
      <c r="AH453" s="101"/>
      <c r="AI453" s="101"/>
      <c r="AJ453" s="101"/>
      <c r="AK453" s="101"/>
      <c r="AL453" s="101"/>
      <c r="AM453" s="101"/>
      <c r="AN453" s="101"/>
    </row>
    <row r="454" spans="1:40" ht="16.5" customHeight="1" x14ac:dyDescent="0.3">
      <c r="A454" s="59"/>
      <c r="B454" s="68" t="s">
        <v>1260</v>
      </c>
      <c r="C454" s="92">
        <f>E454+D454+F454</f>
        <v>307.8</v>
      </c>
      <c r="D454" s="92">
        <f>SUMIF(N443:N453,M454,D443:D453)</f>
        <v>123.6</v>
      </c>
      <c r="E454" s="92">
        <f>SUMIF(N443:N453,M454,E443:E453)</f>
        <v>109.2</v>
      </c>
      <c r="F454" s="92">
        <f>SUMIF(N443:N453,M454,F443:F453)</f>
        <v>75</v>
      </c>
      <c r="G454" s="17" t="s">
        <v>1430</v>
      </c>
      <c r="M454" s="35" t="s">
        <v>1262</v>
      </c>
      <c r="N454" s="35" t="s">
        <v>1658</v>
      </c>
      <c r="Z454" s="101"/>
      <c r="AA454" s="101"/>
      <c r="AB454" s="101"/>
      <c r="AC454" s="101"/>
      <c r="AD454" s="101"/>
      <c r="AE454" s="101"/>
      <c r="AF454" s="101"/>
      <c r="AG454" s="101"/>
      <c r="AH454" s="101"/>
      <c r="AI454" s="101"/>
      <c r="AJ454" s="101"/>
      <c r="AK454" s="101"/>
      <c r="AL454" s="101"/>
      <c r="AM454" s="101"/>
      <c r="AN454" s="101"/>
    </row>
    <row r="455" spans="1:40" ht="16.5" customHeight="1" x14ac:dyDescent="0.3">
      <c r="A455" s="69"/>
      <c r="B455" s="69"/>
      <c r="C455" s="90"/>
      <c r="D455" s="90"/>
      <c r="E455" s="90"/>
      <c r="F455" s="90"/>
      <c r="G455" s="17" t="s">
        <v>1405</v>
      </c>
      <c r="Z455" s="101"/>
      <c r="AA455" s="101"/>
      <c r="AB455" s="101"/>
      <c r="AC455" s="101"/>
      <c r="AD455" s="101"/>
      <c r="AE455" s="101"/>
      <c r="AF455" s="101"/>
      <c r="AG455" s="101"/>
      <c r="AH455" s="101"/>
      <c r="AI455" s="101"/>
      <c r="AJ455" s="101"/>
      <c r="AK455" s="101"/>
      <c r="AL455" s="101"/>
      <c r="AM455" s="101"/>
      <c r="AN455" s="101"/>
    </row>
    <row r="456" spans="1:40" ht="16.5" customHeight="1" x14ac:dyDescent="0.3">
      <c r="A456" s="59"/>
      <c r="B456" s="68" t="s">
        <v>1657</v>
      </c>
      <c r="C456" s="93">
        <f>E456+D456+F456</f>
        <v>11517.800000000001</v>
      </c>
      <c r="D456" s="93">
        <f>SUMIF(N407:N455,M456,D407:D455)</f>
        <v>5676.3</v>
      </c>
      <c r="E456" s="93">
        <f>SUMIF(N407:N455,M456,E407:E455)</f>
        <v>3822.8999999999996</v>
      </c>
      <c r="F456" s="93">
        <f>SUMIF(N407:N455,M456,F407:F455)</f>
        <v>2018.6</v>
      </c>
      <c r="G456" s="17" t="s">
        <v>1656</v>
      </c>
      <c r="M456" s="35" t="s">
        <v>1658</v>
      </c>
      <c r="Z456" s="101"/>
      <c r="AA456" s="101"/>
      <c r="AB456" s="101"/>
      <c r="AC456" s="101"/>
      <c r="AD456" s="101"/>
      <c r="AE456" s="101"/>
      <c r="AF456" s="101"/>
      <c r="AG456" s="101"/>
      <c r="AH456" s="101"/>
      <c r="AI456" s="101"/>
      <c r="AJ456" s="101"/>
      <c r="AK456" s="101"/>
      <c r="AL456" s="101"/>
      <c r="AM456" s="101"/>
      <c r="AN456" s="101"/>
    </row>
    <row r="457" spans="1:40" ht="16.5" customHeight="1" x14ac:dyDescent="0.3">
      <c r="A457" s="69"/>
      <c r="B457" s="69"/>
      <c r="C457" s="94"/>
      <c r="D457" s="94"/>
      <c r="E457" s="94"/>
      <c r="F457" s="94"/>
      <c r="G457" s="17" t="s">
        <v>1405</v>
      </c>
      <c r="Z457" s="101"/>
      <c r="AA457" s="101"/>
      <c r="AB457" s="101"/>
      <c r="AC457" s="101"/>
      <c r="AD457" s="101"/>
      <c r="AE457" s="101"/>
      <c r="AF457" s="101"/>
      <c r="AG457" s="101"/>
      <c r="AH457" s="101"/>
      <c r="AI457" s="101"/>
      <c r="AJ457" s="101"/>
      <c r="AK457" s="101"/>
      <c r="AL457" s="101"/>
      <c r="AM457" s="101"/>
      <c r="AN457" s="101"/>
    </row>
    <row r="458" spans="1:40" ht="16.5" customHeight="1" x14ac:dyDescent="0.3">
      <c r="A458" s="59" t="s">
        <v>1660</v>
      </c>
      <c r="B458" s="89" t="str">
        <f>""&amp;TEXT(I458,"#,##0"&amp;IF(I458&lt;&gt;INT(I458),".###",""))&amp;" * "&amp;AA458&amp;" = "&amp;TEXT(C458,"#,##0.0")&amp;""</f>
        <v>11,517.8 * 1 = 11,517.8</v>
      </c>
      <c r="C458" s="91">
        <f>E458+D458+F458</f>
        <v>11517.8</v>
      </c>
      <c r="D458" s="91">
        <f>IF(H458=0,0,ROUNDDOWN(J458*H458,1))</f>
        <v>0</v>
      </c>
      <c r="E458" s="91">
        <f>IF(H458=0,0,ROUNDDOWN(K458*H458,1))</f>
        <v>0</v>
      </c>
      <c r="F458" s="91">
        <f>IF(H458=0,0,ROUNDDOWN(L458*H458,1))</f>
        <v>11517.8</v>
      </c>
      <c r="G458" s="17" t="s">
        <v>1659</v>
      </c>
      <c r="H458" s="97">
        <f>ROUNDUP(AC458,14-LEN(ABS(INT(AC458))))</f>
        <v>1</v>
      </c>
      <c r="I458" s="98">
        <f>K458+J458+L458</f>
        <v>11517.8</v>
      </c>
      <c r="J458" s="36">
        <v>0</v>
      </c>
      <c r="K458" s="36">
        <v>0</v>
      </c>
      <c r="L458" s="99">
        <v>11517.8</v>
      </c>
      <c r="M458" s="35" t="s">
        <v>1661</v>
      </c>
      <c r="N458" s="35" t="s">
        <v>1209</v>
      </c>
      <c r="Z458" s="35" t="s">
        <v>1446</v>
      </c>
      <c r="AA458" s="102">
        <v>1</v>
      </c>
      <c r="AB458" s="35" t="s">
        <v>1410</v>
      </c>
      <c r="AC458" s="103">
        <f>1*AA458</f>
        <v>1</v>
      </c>
      <c r="AD458" s="101"/>
      <c r="AE458" s="101"/>
      <c r="AF458" s="101"/>
      <c r="AG458" s="101"/>
      <c r="AH458" s="101"/>
      <c r="AI458" s="101"/>
      <c r="AJ458" s="101"/>
      <c r="AK458" s="101"/>
      <c r="AL458" s="101"/>
      <c r="AM458" s="101"/>
      <c r="AN458" s="101"/>
    </row>
    <row r="459" spans="1:40" ht="16.5" customHeight="1" x14ac:dyDescent="0.3">
      <c r="A459" s="69"/>
      <c r="B459" s="69"/>
      <c r="C459" s="69"/>
      <c r="D459" s="69"/>
      <c r="E459" s="69"/>
      <c r="F459" s="69"/>
      <c r="Z459" s="101"/>
      <c r="AA459" s="101"/>
      <c r="AB459" s="101"/>
      <c r="AC459" s="101"/>
      <c r="AD459" s="101"/>
      <c r="AE459" s="101"/>
      <c r="AF459" s="101"/>
      <c r="AG459" s="101"/>
      <c r="AH459" s="101"/>
      <c r="AI459" s="101"/>
      <c r="AJ459" s="101"/>
      <c r="AK459" s="101"/>
      <c r="AL459" s="101"/>
      <c r="AM459" s="101"/>
      <c r="AN459" s="101"/>
    </row>
    <row r="460" spans="1:40" ht="16.5" customHeight="1" x14ac:dyDescent="0.3">
      <c r="A460" s="69"/>
      <c r="B460" s="69"/>
      <c r="C460" s="69"/>
      <c r="D460" s="69"/>
      <c r="E460" s="69"/>
      <c r="F460" s="69"/>
      <c r="Z460" s="101"/>
      <c r="AA460" s="101"/>
      <c r="AB460" s="101"/>
      <c r="AC460" s="101"/>
      <c r="AD460" s="101"/>
      <c r="AE460" s="101"/>
      <c r="AF460" s="101"/>
      <c r="AG460" s="101"/>
      <c r="AH460" s="101"/>
      <c r="AI460" s="101"/>
      <c r="AJ460" s="101"/>
      <c r="AK460" s="101"/>
      <c r="AL460" s="101"/>
      <c r="AM460" s="101"/>
      <c r="AN460" s="101"/>
    </row>
    <row r="461" spans="1:40" ht="16.5" customHeight="1" x14ac:dyDescent="0.3">
      <c r="A461" s="69"/>
      <c r="B461" s="69"/>
      <c r="C461" s="69"/>
      <c r="D461" s="69"/>
      <c r="E461" s="69"/>
      <c r="F461" s="69"/>
      <c r="Z461" s="101"/>
      <c r="AA461" s="101"/>
      <c r="AB461" s="101"/>
      <c r="AC461" s="101"/>
      <c r="AD461" s="101"/>
      <c r="AE461" s="101"/>
      <c r="AF461" s="101"/>
      <c r="AG461" s="101"/>
      <c r="AH461" s="101"/>
      <c r="AI461" s="101"/>
      <c r="AJ461" s="101"/>
      <c r="AK461" s="101"/>
      <c r="AL461" s="101"/>
      <c r="AM461" s="101"/>
      <c r="AN461" s="101"/>
    </row>
    <row r="462" spans="1:40" ht="16.5" customHeight="1" x14ac:dyDescent="0.3">
      <c r="A462" s="69"/>
      <c r="B462" s="69"/>
      <c r="C462" s="69"/>
      <c r="D462" s="69"/>
      <c r="E462" s="69"/>
      <c r="F462" s="69"/>
      <c r="Z462" s="101"/>
      <c r="AA462" s="101"/>
      <c r="AB462" s="101"/>
      <c r="AC462" s="101"/>
      <c r="AD462" s="101"/>
      <c r="AE462" s="101"/>
      <c r="AF462" s="101"/>
      <c r="AG462" s="101"/>
      <c r="AH462" s="101"/>
      <c r="AI462" s="101"/>
      <c r="AJ462" s="101"/>
      <c r="AK462" s="101"/>
      <c r="AL462" s="101"/>
      <c r="AM462" s="101"/>
      <c r="AN462" s="101"/>
    </row>
    <row r="463" spans="1:40" ht="16.5" customHeight="1" x14ac:dyDescent="0.3">
      <c r="A463" s="69"/>
      <c r="B463" s="69"/>
      <c r="C463" s="69"/>
      <c r="D463" s="69"/>
      <c r="E463" s="69"/>
      <c r="F463" s="69"/>
      <c r="Z463" s="101"/>
      <c r="AA463" s="101"/>
      <c r="AB463" s="101"/>
      <c r="AC463" s="101"/>
      <c r="AD463" s="101"/>
      <c r="AE463" s="101"/>
      <c r="AF463" s="101"/>
      <c r="AG463" s="101"/>
      <c r="AH463" s="101"/>
      <c r="AI463" s="101"/>
      <c r="AJ463" s="101"/>
      <c r="AK463" s="101"/>
      <c r="AL463" s="101"/>
      <c r="AM463" s="101"/>
      <c r="AN463" s="101"/>
    </row>
    <row r="464" spans="1:40" ht="16.5" customHeight="1" x14ac:dyDescent="0.3">
      <c r="A464" s="69"/>
      <c r="B464" s="69"/>
      <c r="C464" s="69"/>
      <c r="D464" s="69"/>
      <c r="E464" s="69"/>
      <c r="F464" s="69"/>
      <c r="Z464" s="101"/>
      <c r="AA464" s="101"/>
      <c r="AB464" s="101"/>
      <c r="AC464" s="101"/>
      <c r="AD464" s="101"/>
      <c r="AE464" s="101"/>
      <c r="AF464" s="101"/>
      <c r="AG464" s="101"/>
      <c r="AH464" s="101"/>
      <c r="AI464" s="101"/>
      <c r="AJ464" s="101"/>
      <c r="AK464" s="101"/>
      <c r="AL464" s="101"/>
      <c r="AM464" s="101"/>
      <c r="AN464" s="101"/>
    </row>
    <row r="465" spans="1:40" ht="16.5" customHeight="1" x14ac:dyDescent="0.3">
      <c r="A465" s="69"/>
      <c r="B465" s="69"/>
      <c r="C465" s="69"/>
      <c r="D465" s="69"/>
      <c r="E465" s="69"/>
      <c r="F465" s="69"/>
      <c r="Z465" s="101"/>
      <c r="AA465" s="101"/>
      <c r="AB465" s="101"/>
      <c r="AC465" s="101"/>
      <c r="AD465" s="101"/>
      <c r="AE465" s="101"/>
      <c r="AF465" s="101"/>
      <c r="AG465" s="101"/>
      <c r="AH465" s="101"/>
      <c r="AI465" s="101"/>
      <c r="AJ465" s="101"/>
      <c r="AK465" s="101"/>
      <c r="AL465" s="101"/>
      <c r="AM465" s="101"/>
      <c r="AN465" s="101"/>
    </row>
    <row r="466" spans="1:40" ht="16.5" customHeight="1" x14ac:dyDescent="0.3">
      <c r="A466" s="69"/>
      <c r="B466" s="69"/>
      <c r="C466" s="69"/>
      <c r="D466" s="69"/>
      <c r="E466" s="69"/>
      <c r="F466" s="69"/>
      <c r="Z466" s="101"/>
      <c r="AA466" s="101"/>
      <c r="AB466" s="101"/>
      <c r="AC466" s="101"/>
      <c r="AD466" s="101"/>
      <c r="AE466" s="101"/>
      <c r="AF466" s="101"/>
      <c r="AG466" s="101"/>
      <c r="AH466" s="101"/>
      <c r="AI466" s="101"/>
      <c r="AJ466" s="101"/>
      <c r="AK466" s="101"/>
      <c r="AL466" s="101"/>
      <c r="AM466" s="101"/>
      <c r="AN466" s="101"/>
    </row>
    <row r="467" spans="1:40" ht="16.5" customHeight="1" x14ac:dyDescent="0.3">
      <c r="A467" s="69"/>
      <c r="B467" s="69"/>
      <c r="C467" s="69"/>
      <c r="D467" s="69"/>
      <c r="E467" s="69"/>
      <c r="F467" s="69"/>
      <c r="Z467" s="101"/>
      <c r="AA467" s="101"/>
      <c r="AB467" s="101"/>
      <c r="AC467" s="101"/>
      <c r="AD467" s="101"/>
      <c r="AE467" s="101"/>
      <c r="AF467" s="101"/>
      <c r="AG467" s="101"/>
      <c r="AH467" s="101"/>
      <c r="AI467" s="101"/>
      <c r="AJ467" s="101"/>
      <c r="AK467" s="101"/>
      <c r="AL467" s="101"/>
      <c r="AM467" s="101"/>
      <c r="AN467" s="101"/>
    </row>
    <row r="468" spans="1:40" ht="16.5" customHeight="1" x14ac:dyDescent="0.3">
      <c r="A468" s="69"/>
      <c r="B468" s="69"/>
      <c r="C468" s="69"/>
      <c r="D468" s="69"/>
      <c r="E468" s="69"/>
      <c r="F468" s="69"/>
      <c r="Z468" s="101"/>
      <c r="AA468" s="101"/>
      <c r="AB468" s="101"/>
      <c r="AC468" s="101"/>
      <c r="AD468" s="101"/>
      <c r="AE468" s="101"/>
      <c r="AF468" s="101"/>
      <c r="AG468" s="101"/>
      <c r="AH468" s="101"/>
      <c r="AI468" s="101"/>
      <c r="AJ468" s="101"/>
      <c r="AK468" s="101"/>
      <c r="AL468" s="101"/>
      <c r="AM468" s="101"/>
      <c r="AN468" s="101"/>
    </row>
    <row r="469" spans="1:40" ht="16.5" customHeight="1" x14ac:dyDescent="0.3">
      <c r="A469" s="69"/>
      <c r="B469" s="69"/>
      <c r="C469" s="69"/>
      <c r="D469" s="69"/>
      <c r="E469" s="69"/>
      <c r="F469" s="69"/>
      <c r="Z469" s="101"/>
      <c r="AA469" s="101"/>
      <c r="AB469" s="101"/>
      <c r="AC469" s="101"/>
      <c r="AD469" s="101"/>
      <c r="AE469" s="101"/>
      <c r="AF469" s="101"/>
      <c r="AG469" s="101"/>
      <c r="AH469" s="101"/>
      <c r="AI469" s="101"/>
      <c r="AJ469" s="101"/>
      <c r="AK469" s="101"/>
      <c r="AL469" s="101"/>
      <c r="AM469" s="101"/>
      <c r="AN469" s="101"/>
    </row>
    <row r="470" spans="1:40" ht="16.5" customHeight="1" x14ac:dyDescent="0.3">
      <c r="A470" s="69"/>
      <c r="B470" s="69"/>
      <c r="C470" s="69"/>
      <c r="D470" s="69"/>
      <c r="E470" s="69"/>
      <c r="F470" s="69"/>
      <c r="Z470" s="101"/>
      <c r="AA470" s="101"/>
      <c r="AB470" s="101"/>
      <c r="AC470" s="101"/>
      <c r="AD470" s="101"/>
      <c r="AE470" s="101"/>
      <c r="AF470" s="101"/>
      <c r="AG470" s="101"/>
      <c r="AH470" s="101"/>
      <c r="AI470" s="101"/>
      <c r="AJ470" s="101"/>
      <c r="AK470" s="101"/>
      <c r="AL470" s="101"/>
      <c r="AM470" s="101"/>
      <c r="AN470" s="101"/>
    </row>
    <row r="471" spans="1:40" ht="16.5" customHeight="1" x14ac:dyDescent="0.3">
      <c r="A471" s="69"/>
      <c r="B471" s="69"/>
      <c r="C471" s="69"/>
      <c r="D471" s="69"/>
      <c r="E471" s="69"/>
      <c r="F471" s="69"/>
      <c r="Z471" s="101"/>
      <c r="AA471" s="101"/>
      <c r="AB471" s="101"/>
      <c r="AC471" s="101"/>
      <c r="AD471" s="101"/>
      <c r="AE471" s="101"/>
      <c r="AF471" s="101"/>
      <c r="AG471" s="101"/>
      <c r="AH471" s="101"/>
      <c r="AI471" s="101"/>
      <c r="AJ471" s="101"/>
      <c r="AK471" s="101"/>
      <c r="AL471" s="101"/>
      <c r="AM471" s="101"/>
      <c r="AN471" s="101"/>
    </row>
    <row r="472" spans="1:40" ht="16.5" customHeight="1" x14ac:dyDescent="0.3">
      <c r="A472" s="69"/>
      <c r="B472" s="69"/>
      <c r="C472" s="69"/>
      <c r="D472" s="69"/>
      <c r="E472" s="69"/>
      <c r="F472" s="69"/>
      <c r="Z472" s="101"/>
      <c r="AA472" s="101"/>
      <c r="AB472" s="101"/>
      <c r="AC472" s="101"/>
      <c r="AD472" s="101"/>
      <c r="AE472" s="101"/>
      <c r="AF472" s="101"/>
      <c r="AG472" s="101"/>
      <c r="AH472" s="101"/>
      <c r="AI472" s="101"/>
      <c r="AJ472" s="101"/>
      <c r="AK472" s="101"/>
      <c r="AL472" s="101"/>
      <c r="AM472" s="101"/>
      <c r="AN472" s="101"/>
    </row>
    <row r="473" spans="1:40" ht="16.5" customHeight="1" x14ac:dyDescent="0.3">
      <c r="A473" s="69"/>
      <c r="B473" s="69"/>
      <c r="C473" s="69"/>
      <c r="D473" s="69"/>
      <c r="E473" s="69"/>
      <c r="F473" s="69"/>
      <c r="Z473" s="101"/>
      <c r="AA473" s="101"/>
      <c r="AB473" s="101"/>
      <c r="AC473" s="101"/>
      <c r="AD473" s="101"/>
      <c r="AE473" s="101"/>
      <c r="AF473" s="101"/>
      <c r="AG473" s="101"/>
      <c r="AH473" s="101"/>
      <c r="AI473" s="101"/>
      <c r="AJ473" s="101"/>
      <c r="AK473" s="101"/>
      <c r="AL473" s="101"/>
      <c r="AM473" s="101"/>
      <c r="AN473" s="101"/>
    </row>
    <row r="474" spans="1:40" ht="16.5" customHeight="1" x14ac:dyDescent="0.3">
      <c r="A474" s="69"/>
      <c r="B474" s="69"/>
      <c r="C474" s="69"/>
      <c r="D474" s="69"/>
      <c r="E474" s="69"/>
      <c r="F474" s="69"/>
      <c r="Z474" s="101"/>
      <c r="AA474" s="101"/>
      <c r="AB474" s="101"/>
      <c r="AC474" s="101"/>
      <c r="AD474" s="101"/>
      <c r="AE474" s="101"/>
      <c r="AF474" s="101"/>
      <c r="AG474" s="101"/>
      <c r="AH474" s="101"/>
      <c r="AI474" s="101"/>
      <c r="AJ474" s="101"/>
      <c r="AK474" s="101"/>
      <c r="AL474" s="101"/>
      <c r="AM474" s="101"/>
      <c r="AN474" s="101"/>
    </row>
    <row r="475" spans="1:40" ht="16.5" customHeight="1" x14ac:dyDescent="0.3">
      <c r="A475" s="69"/>
      <c r="B475" s="69"/>
      <c r="C475" s="69"/>
      <c r="D475" s="69"/>
      <c r="E475" s="69"/>
      <c r="F475" s="69"/>
      <c r="Z475" s="101"/>
      <c r="AA475" s="101"/>
      <c r="AB475" s="101"/>
      <c r="AC475" s="101"/>
      <c r="AD475" s="101"/>
      <c r="AE475" s="101"/>
      <c r="AF475" s="101"/>
      <c r="AG475" s="101"/>
      <c r="AH475" s="101"/>
      <c r="AI475" s="101"/>
      <c r="AJ475" s="101"/>
      <c r="AK475" s="101"/>
      <c r="AL475" s="101"/>
      <c r="AM475" s="101"/>
      <c r="AN475" s="101"/>
    </row>
    <row r="476" spans="1:40" ht="16.5" customHeight="1" x14ac:dyDescent="0.3">
      <c r="A476" s="69"/>
      <c r="B476" s="69"/>
      <c r="C476" s="69"/>
      <c r="D476" s="69"/>
      <c r="E476" s="69"/>
      <c r="F476" s="69"/>
      <c r="Z476" s="101"/>
      <c r="AA476" s="101"/>
      <c r="AB476" s="101"/>
      <c r="AC476" s="101"/>
      <c r="AD476" s="101"/>
      <c r="AE476" s="101"/>
      <c r="AF476" s="101"/>
      <c r="AG476" s="101"/>
      <c r="AH476" s="101"/>
      <c r="AI476" s="101"/>
      <c r="AJ476" s="101"/>
      <c r="AK476" s="101"/>
      <c r="AL476" s="101"/>
      <c r="AM476" s="101"/>
      <c r="AN476" s="101"/>
    </row>
    <row r="477" spans="1:40" ht="16.5" customHeight="1" x14ac:dyDescent="0.3">
      <c r="A477" s="69"/>
      <c r="B477" s="69"/>
      <c r="C477" s="69"/>
      <c r="D477" s="69"/>
      <c r="E477" s="69"/>
      <c r="F477" s="69"/>
      <c r="Z477" s="101"/>
      <c r="AA477" s="101"/>
      <c r="AB477" s="101"/>
      <c r="AC477" s="101"/>
      <c r="AD477" s="101"/>
      <c r="AE477" s="101"/>
      <c r="AF477" s="101"/>
      <c r="AG477" s="101"/>
      <c r="AH477" s="101"/>
      <c r="AI477" s="101"/>
      <c r="AJ477" s="101"/>
      <c r="AK477" s="101"/>
      <c r="AL477" s="101"/>
      <c r="AM477" s="101"/>
      <c r="AN477" s="101"/>
    </row>
    <row r="478" spans="1:40" ht="16.5" customHeight="1" x14ac:dyDescent="0.3">
      <c r="A478" s="69"/>
      <c r="B478" s="69"/>
      <c r="C478" s="69"/>
      <c r="D478" s="69"/>
      <c r="E478" s="69"/>
      <c r="F478" s="69"/>
      <c r="Z478" s="101"/>
      <c r="AA478" s="101"/>
      <c r="AB478" s="101"/>
      <c r="AC478" s="101"/>
      <c r="AD478" s="101"/>
      <c r="AE478" s="101"/>
      <c r="AF478" s="101"/>
      <c r="AG478" s="101"/>
      <c r="AH478" s="101"/>
      <c r="AI478" s="101"/>
      <c r="AJ478" s="101"/>
      <c r="AK478" s="101"/>
      <c r="AL478" s="101"/>
      <c r="AM478" s="101"/>
      <c r="AN478" s="101"/>
    </row>
    <row r="479" spans="1:40" ht="16.5" customHeight="1" x14ac:dyDescent="0.3">
      <c r="A479" s="69"/>
      <c r="B479" s="69"/>
      <c r="C479" s="69"/>
      <c r="D479" s="69"/>
      <c r="E479" s="69"/>
      <c r="F479" s="69"/>
      <c r="Z479" s="101"/>
      <c r="AA479" s="101"/>
      <c r="AB479" s="101"/>
      <c r="AC479" s="101"/>
      <c r="AD479" s="101"/>
      <c r="AE479" s="101"/>
      <c r="AF479" s="101"/>
      <c r="AG479" s="101"/>
      <c r="AH479" s="101"/>
      <c r="AI479" s="101"/>
      <c r="AJ479" s="101"/>
      <c r="AK479" s="101"/>
      <c r="AL479" s="101"/>
      <c r="AM479" s="101"/>
      <c r="AN479" s="101"/>
    </row>
    <row r="480" spans="1:40" ht="16.5" customHeight="1" x14ac:dyDescent="0.3">
      <c r="A480" s="69"/>
      <c r="B480" s="69"/>
      <c r="C480" s="69"/>
      <c r="D480" s="69"/>
      <c r="E480" s="69"/>
      <c r="F480" s="69"/>
      <c r="Z480" s="101"/>
      <c r="AA480" s="101"/>
      <c r="AB480" s="101"/>
      <c r="AC480" s="101"/>
      <c r="AD480" s="101"/>
      <c r="AE480" s="101"/>
      <c r="AF480" s="101"/>
      <c r="AG480" s="101"/>
      <c r="AH480" s="101"/>
      <c r="AI480" s="101"/>
      <c r="AJ480" s="101"/>
      <c r="AK480" s="101"/>
      <c r="AL480" s="101"/>
      <c r="AM480" s="101"/>
      <c r="AN480" s="101"/>
    </row>
    <row r="481" spans="1:40" ht="16.5" customHeight="1" x14ac:dyDescent="0.3">
      <c r="A481" s="69"/>
      <c r="B481" s="69"/>
      <c r="C481" s="69"/>
      <c r="D481" s="69"/>
      <c r="E481" s="69"/>
      <c r="F481" s="69"/>
      <c r="Z481" s="101"/>
      <c r="AA481" s="101"/>
      <c r="AB481" s="101"/>
      <c r="AC481" s="101"/>
      <c r="AD481" s="101"/>
      <c r="AE481" s="101"/>
      <c r="AF481" s="101"/>
      <c r="AG481" s="101"/>
      <c r="AH481" s="101"/>
      <c r="AI481" s="101"/>
      <c r="AJ481" s="101"/>
      <c r="AK481" s="101"/>
      <c r="AL481" s="101"/>
      <c r="AM481" s="101"/>
      <c r="AN481" s="101"/>
    </row>
    <row r="482" spans="1:40" ht="16.5" customHeight="1" x14ac:dyDescent="0.3">
      <c r="A482" s="69"/>
      <c r="B482" s="69"/>
      <c r="C482" s="69"/>
      <c r="D482" s="69"/>
      <c r="E482" s="69"/>
      <c r="F482" s="69"/>
      <c r="Z482" s="101"/>
      <c r="AA482" s="101"/>
      <c r="AB482" s="101"/>
      <c r="AC482" s="101"/>
      <c r="AD482" s="101"/>
      <c r="AE482" s="101"/>
      <c r="AF482" s="101"/>
      <c r="AG482" s="101"/>
      <c r="AH482" s="101"/>
      <c r="AI482" s="101"/>
      <c r="AJ482" s="101"/>
      <c r="AK482" s="101"/>
      <c r="AL482" s="101"/>
      <c r="AM482" s="101"/>
      <c r="AN482" s="101"/>
    </row>
    <row r="483" spans="1:40" ht="16.5" customHeight="1" x14ac:dyDescent="0.3">
      <c r="A483" s="69"/>
      <c r="B483" s="69"/>
      <c r="C483" s="69"/>
      <c r="D483" s="69"/>
      <c r="E483" s="69"/>
      <c r="F483" s="69"/>
      <c r="Z483" s="101"/>
      <c r="AA483" s="101"/>
      <c r="AB483" s="101"/>
      <c r="AC483" s="101"/>
      <c r="AD483" s="101"/>
      <c r="AE483" s="101"/>
      <c r="AF483" s="101"/>
      <c r="AG483" s="101"/>
      <c r="AH483" s="101"/>
      <c r="AI483" s="101"/>
      <c r="AJ483" s="101"/>
      <c r="AK483" s="101"/>
      <c r="AL483" s="101"/>
      <c r="AM483" s="101"/>
      <c r="AN483" s="101"/>
    </row>
    <row r="484" spans="1:40" ht="16.5" customHeight="1" x14ac:dyDescent="0.3">
      <c r="A484" s="69"/>
      <c r="B484" s="69"/>
      <c r="C484" s="69"/>
      <c r="D484" s="69"/>
      <c r="E484" s="69"/>
      <c r="F484" s="69"/>
      <c r="Z484" s="101"/>
      <c r="AA484" s="101"/>
      <c r="AB484" s="101"/>
      <c r="AC484" s="101"/>
      <c r="AD484" s="101"/>
      <c r="AE484" s="101"/>
      <c r="AF484" s="101"/>
      <c r="AG484" s="101"/>
      <c r="AH484" s="101"/>
      <c r="AI484" s="101"/>
      <c r="AJ484" s="101"/>
      <c r="AK484" s="101"/>
      <c r="AL484" s="101"/>
      <c r="AM484" s="101"/>
      <c r="AN484" s="101"/>
    </row>
    <row r="485" spans="1:40" ht="16.5" customHeight="1" x14ac:dyDescent="0.3">
      <c r="A485" s="69"/>
      <c r="B485" s="69"/>
      <c r="C485" s="69"/>
      <c r="D485" s="69"/>
      <c r="E485" s="69"/>
      <c r="F485" s="69"/>
      <c r="Z485" s="101"/>
      <c r="AA485" s="101"/>
      <c r="AB485" s="101"/>
      <c r="AC485" s="101"/>
      <c r="AD485" s="101"/>
      <c r="AE485" s="101"/>
      <c r="AF485" s="101"/>
      <c r="AG485" s="101"/>
      <c r="AH485" s="101"/>
      <c r="AI485" s="101"/>
      <c r="AJ485" s="101"/>
      <c r="AK485" s="101"/>
      <c r="AL485" s="101"/>
      <c r="AM485" s="101"/>
      <c r="AN485" s="101"/>
    </row>
    <row r="486" spans="1:40" ht="16.5" customHeight="1" x14ac:dyDescent="0.3">
      <c r="A486" s="69"/>
      <c r="B486" s="69"/>
      <c r="C486" s="69"/>
      <c r="D486" s="69"/>
      <c r="E486" s="69"/>
      <c r="F486" s="69"/>
      <c r="Z486" s="101"/>
      <c r="AA486" s="101"/>
      <c r="AB486" s="101"/>
      <c r="AC486" s="101"/>
      <c r="AD486" s="101"/>
      <c r="AE486" s="101"/>
      <c r="AF486" s="101"/>
      <c r="AG486" s="101"/>
      <c r="AH486" s="101"/>
      <c r="AI486" s="101"/>
      <c r="AJ486" s="101"/>
      <c r="AK486" s="101"/>
      <c r="AL486" s="101"/>
      <c r="AM486" s="101"/>
      <c r="AN486" s="101"/>
    </row>
    <row r="487" spans="1:40" ht="16.5" customHeight="1" x14ac:dyDescent="0.3">
      <c r="A487" s="69"/>
      <c r="B487" s="69"/>
      <c r="C487" s="69"/>
      <c r="D487" s="69"/>
      <c r="E487" s="69"/>
      <c r="F487" s="69"/>
      <c r="Z487" s="101"/>
      <c r="AA487" s="101"/>
      <c r="AB487" s="101"/>
      <c r="AC487" s="101"/>
      <c r="AD487" s="101"/>
      <c r="AE487" s="101"/>
      <c r="AF487" s="101"/>
      <c r="AG487" s="101"/>
      <c r="AH487" s="101"/>
      <c r="AI487" s="101"/>
      <c r="AJ487" s="101"/>
      <c r="AK487" s="101"/>
      <c r="AL487" s="101"/>
      <c r="AM487" s="101"/>
      <c r="AN487" s="101"/>
    </row>
    <row r="488" spans="1:40" ht="16.5" customHeight="1" x14ac:dyDescent="0.3">
      <c r="A488" s="69"/>
      <c r="B488" s="69"/>
      <c r="C488" s="69"/>
      <c r="D488" s="69"/>
      <c r="E488" s="69"/>
      <c r="F488" s="69"/>
      <c r="Z488" s="101"/>
      <c r="AA488" s="101"/>
      <c r="AB488" s="101"/>
      <c r="AC488" s="101"/>
      <c r="AD488" s="101"/>
      <c r="AE488" s="101"/>
      <c r="AF488" s="101"/>
      <c r="AG488" s="101"/>
      <c r="AH488" s="101"/>
      <c r="AI488" s="101"/>
      <c r="AJ488" s="101"/>
      <c r="AK488" s="101"/>
      <c r="AL488" s="101"/>
      <c r="AM488" s="101"/>
      <c r="AN488" s="101"/>
    </row>
    <row r="489" spans="1:40" ht="16.5" customHeight="1" x14ac:dyDescent="0.3">
      <c r="A489" s="69"/>
      <c r="B489" s="69"/>
      <c r="C489" s="69"/>
      <c r="D489" s="69"/>
      <c r="E489" s="69"/>
      <c r="F489" s="69"/>
      <c r="Z489" s="101"/>
      <c r="AA489" s="101"/>
      <c r="AB489" s="101"/>
      <c r="AC489" s="101"/>
      <c r="AD489" s="101"/>
      <c r="AE489" s="101"/>
      <c r="AF489" s="101"/>
      <c r="AG489" s="101"/>
      <c r="AH489" s="101"/>
      <c r="AI489" s="101"/>
      <c r="AJ489" s="101"/>
      <c r="AK489" s="101"/>
      <c r="AL489" s="101"/>
      <c r="AM489" s="101"/>
      <c r="AN489" s="101"/>
    </row>
    <row r="490" spans="1:40" ht="16.5" customHeight="1" x14ac:dyDescent="0.3">
      <c r="A490" s="69"/>
      <c r="B490" s="69"/>
      <c r="C490" s="69"/>
      <c r="D490" s="69"/>
      <c r="E490" s="69"/>
      <c r="F490" s="69"/>
      <c r="Z490" s="101"/>
      <c r="AA490" s="101"/>
      <c r="AB490" s="101"/>
      <c r="AC490" s="101"/>
      <c r="AD490" s="101"/>
      <c r="AE490" s="101"/>
      <c r="AF490" s="101"/>
      <c r="AG490" s="101"/>
      <c r="AH490" s="101"/>
      <c r="AI490" s="101"/>
      <c r="AJ490" s="101"/>
      <c r="AK490" s="101"/>
      <c r="AL490" s="101"/>
      <c r="AM490" s="101"/>
      <c r="AN490" s="101"/>
    </row>
    <row r="491" spans="1:40" ht="16.5" customHeight="1" x14ac:dyDescent="0.3">
      <c r="A491" s="69"/>
      <c r="B491" s="69"/>
      <c r="C491" s="69"/>
      <c r="D491" s="69"/>
      <c r="E491" s="69"/>
      <c r="F491" s="69"/>
      <c r="Z491" s="101"/>
      <c r="AA491" s="101"/>
      <c r="AB491" s="101"/>
      <c r="AC491" s="101"/>
      <c r="AD491" s="101"/>
      <c r="AE491" s="101"/>
      <c r="AF491" s="101"/>
      <c r="AG491" s="101"/>
      <c r="AH491" s="101"/>
      <c r="AI491" s="101"/>
      <c r="AJ491" s="101"/>
      <c r="AK491" s="101"/>
      <c r="AL491" s="101"/>
      <c r="AM491" s="101"/>
      <c r="AN491" s="101"/>
    </row>
    <row r="492" spans="1:40" ht="16.5" customHeight="1" x14ac:dyDescent="0.3">
      <c r="A492" s="69"/>
      <c r="B492" s="69"/>
      <c r="C492" s="69"/>
      <c r="D492" s="69"/>
      <c r="E492" s="69"/>
      <c r="F492" s="69"/>
      <c r="Z492" s="101"/>
      <c r="AA492" s="101"/>
      <c r="AB492" s="101"/>
      <c r="AC492" s="101"/>
      <c r="AD492" s="101"/>
      <c r="AE492" s="101"/>
      <c r="AF492" s="101"/>
      <c r="AG492" s="101"/>
      <c r="AH492" s="101"/>
      <c r="AI492" s="101"/>
      <c r="AJ492" s="101"/>
      <c r="AK492" s="101"/>
      <c r="AL492" s="101"/>
      <c r="AM492" s="101"/>
      <c r="AN492" s="101"/>
    </row>
    <row r="493" spans="1:40" ht="16.5" customHeight="1" x14ac:dyDescent="0.3">
      <c r="A493" s="69"/>
      <c r="B493" s="69"/>
      <c r="C493" s="69"/>
      <c r="D493" s="69"/>
      <c r="E493" s="69"/>
      <c r="F493" s="69"/>
      <c r="Z493" s="101"/>
      <c r="AA493" s="101"/>
      <c r="AB493" s="101"/>
      <c r="AC493" s="101"/>
      <c r="AD493" s="101"/>
      <c r="AE493" s="101"/>
      <c r="AF493" s="101"/>
      <c r="AG493" s="101"/>
      <c r="AH493" s="101"/>
      <c r="AI493" s="101"/>
      <c r="AJ493" s="101"/>
      <c r="AK493" s="101"/>
      <c r="AL493" s="101"/>
      <c r="AM493" s="101"/>
      <c r="AN493" s="101"/>
    </row>
    <row r="494" spans="1:40" ht="16.5" customHeight="1" x14ac:dyDescent="0.3">
      <c r="A494" s="69"/>
      <c r="B494" s="69"/>
      <c r="C494" s="69"/>
      <c r="D494" s="69"/>
      <c r="E494" s="69"/>
      <c r="F494" s="69"/>
      <c r="Z494" s="101"/>
      <c r="AA494" s="101"/>
      <c r="AB494" s="101"/>
      <c r="AC494" s="101"/>
      <c r="AD494" s="101"/>
      <c r="AE494" s="101"/>
      <c r="AF494" s="101"/>
      <c r="AG494" s="101"/>
      <c r="AH494" s="101"/>
      <c r="AI494" s="101"/>
      <c r="AJ494" s="101"/>
      <c r="AK494" s="101"/>
      <c r="AL494" s="101"/>
      <c r="AM494" s="101"/>
      <c r="AN494" s="101"/>
    </row>
    <row r="495" spans="1:40" ht="16.5" customHeight="1" x14ac:dyDescent="0.3">
      <c r="A495" s="69"/>
      <c r="B495" s="69"/>
      <c r="C495" s="69"/>
      <c r="D495" s="69"/>
      <c r="E495" s="69"/>
      <c r="F495" s="69"/>
      <c r="Z495" s="101"/>
      <c r="AA495" s="101"/>
      <c r="AB495" s="101"/>
      <c r="AC495" s="101"/>
      <c r="AD495" s="101"/>
      <c r="AE495" s="101"/>
      <c r="AF495" s="101"/>
      <c r="AG495" s="101"/>
      <c r="AH495" s="101"/>
      <c r="AI495" s="101"/>
      <c r="AJ495" s="101"/>
      <c r="AK495" s="101"/>
      <c r="AL495" s="101"/>
      <c r="AM495" s="101"/>
      <c r="AN495" s="101"/>
    </row>
    <row r="496" spans="1:40" ht="16.5" customHeight="1" x14ac:dyDescent="0.3">
      <c r="A496" s="69"/>
      <c r="B496" s="69"/>
      <c r="C496" s="69"/>
      <c r="D496" s="69"/>
      <c r="E496" s="69"/>
      <c r="F496" s="69"/>
      <c r="Z496" s="101"/>
      <c r="AA496" s="101"/>
      <c r="AB496" s="101"/>
      <c r="AC496" s="101"/>
      <c r="AD496" s="101"/>
      <c r="AE496" s="101"/>
      <c r="AF496" s="101"/>
      <c r="AG496" s="101"/>
      <c r="AH496" s="101"/>
      <c r="AI496" s="101"/>
      <c r="AJ496" s="101"/>
      <c r="AK496" s="101"/>
      <c r="AL496" s="101"/>
      <c r="AM496" s="101"/>
      <c r="AN496" s="101"/>
    </row>
    <row r="497" spans="1:40" ht="16.5" customHeight="1" x14ac:dyDescent="0.3">
      <c r="A497" s="69"/>
      <c r="B497" s="69"/>
      <c r="C497" s="69"/>
      <c r="D497" s="69"/>
      <c r="E497" s="69"/>
      <c r="F497" s="69"/>
      <c r="Z497" s="101"/>
      <c r="AA497" s="101"/>
      <c r="AB497" s="101"/>
      <c r="AC497" s="101"/>
      <c r="AD497" s="101"/>
      <c r="AE497" s="101"/>
      <c r="AF497" s="101"/>
      <c r="AG497" s="101"/>
      <c r="AH497" s="101"/>
      <c r="AI497" s="101"/>
      <c r="AJ497" s="101"/>
      <c r="AK497" s="101"/>
      <c r="AL497" s="101"/>
      <c r="AM497" s="101"/>
      <c r="AN497" s="101"/>
    </row>
    <row r="498" spans="1:40" ht="16.5" customHeight="1" x14ac:dyDescent="0.3">
      <c r="A498" s="69"/>
      <c r="B498" s="69"/>
      <c r="C498" s="69"/>
      <c r="D498" s="69"/>
      <c r="E498" s="69"/>
      <c r="F498" s="69"/>
      <c r="Z498" s="101"/>
      <c r="AA498" s="101"/>
      <c r="AB498" s="101"/>
      <c r="AC498" s="101"/>
      <c r="AD498" s="101"/>
      <c r="AE498" s="101"/>
      <c r="AF498" s="101"/>
      <c r="AG498" s="101"/>
      <c r="AH498" s="101"/>
      <c r="AI498" s="101"/>
      <c r="AJ498" s="101"/>
      <c r="AK498" s="101"/>
      <c r="AL498" s="101"/>
      <c r="AM498" s="101"/>
      <c r="AN498" s="101"/>
    </row>
    <row r="499" spans="1:40" ht="16.5" customHeight="1" x14ac:dyDescent="0.3">
      <c r="A499" s="69"/>
      <c r="B499" s="69"/>
      <c r="C499" s="69"/>
      <c r="D499" s="69"/>
      <c r="E499" s="69"/>
      <c r="F499" s="69"/>
      <c r="Z499" s="101"/>
      <c r="AA499" s="101"/>
      <c r="AB499" s="101"/>
      <c r="AC499" s="101"/>
      <c r="AD499" s="101"/>
      <c r="AE499" s="101"/>
      <c r="AF499" s="101"/>
      <c r="AG499" s="101"/>
      <c r="AH499" s="101"/>
      <c r="AI499" s="101"/>
      <c r="AJ499" s="101"/>
      <c r="AK499" s="101"/>
      <c r="AL499" s="101"/>
      <c r="AM499" s="101"/>
      <c r="AN499" s="101"/>
    </row>
    <row r="500" spans="1:40" ht="16.5" customHeight="1" x14ac:dyDescent="0.3">
      <c r="A500" s="69"/>
      <c r="B500" s="69"/>
      <c r="C500" s="69"/>
      <c r="D500" s="69"/>
      <c r="E500" s="69"/>
      <c r="F500" s="69"/>
      <c r="Z500" s="101"/>
      <c r="AA500" s="101"/>
      <c r="AB500" s="101"/>
      <c r="AC500" s="101"/>
      <c r="AD500" s="101"/>
      <c r="AE500" s="101"/>
      <c r="AF500" s="101"/>
      <c r="AG500" s="101"/>
      <c r="AH500" s="101"/>
      <c r="AI500" s="101"/>
      <c r="AJ500" s="101"/>
      <c r="AK500" s="101"/>
      <c r="AL500" s="101"/>
      <c r="AM500" s="101"/>
      <c r="AN500" s="101"/>
    </row>
    <row r="501" spans="1:40" ht="16.5" customHeight="1" x14ac:dyDescent="0.3">
      <c r="A501" s="69"/>
      <c r="B501" s="69"/>
      <c r="C501" s="69"/>
      <c r="D501" s="69"/>
      <c r="E501" s="69"/>
      <c r="F501" s="69"/>
      <c r="Z501" s="101"/>
      <c r="AA501" s="101"/>
      <c r="AB501" s="101"/>
      <c r="AC501" s="101"/>
      <c r="AD501" s="101"/>
      <c r="AE501" s="101"/>
      <c r="AF501" s="101"/>
      <c r="AG501" s="101"/>
      <c r="AH501" s="101"/>
      <c r="AI501" s="101"/>
      <c r="AJ501" s="101"/>
      <c r="AK501" s="101"/>
      <c r="AL501" s="101"/>
      <c r="AM501" s="101"/>
      <c r="AN501" s="101"/>
    </row>
    <row r="502" spans="1:40" ht="16.5" customHeight="1" x14ac:dyDescent="0.3">
      <c r="A502" s="69"/>
      <c r="B502" s="69"/>
      <c r="C502" s="69"/>
      <c r="D502" s="69"/>
      <c r="E502" s="69"/>
      <c r="F502" s="69"/>
      <c r="Z502" s="101"/>
      <c r="AA502" s="101"/>
      <c r="AB502" s="101"/>
      <c r="AC502" s="101"/>
      <c r="AD502" s="101"/>
      <c r="AE502" s="101"/>
      <c r="AF502" s="101"/>
      <c r="AG502" s="101"/>
      <c r="AH502" s="101"/>
      <c r="AI502" s="101"/>
      <c r="AJ502" s="101"/>
      <c r="AK502" s="101"/>
      <c r="AL502" s="101"/>
      <c r="AM502" s="101"/>
      <c r="AN502" s="101"/>
    </row>
    <row r="503" spans="1:40" ht="16.5" customHeight="1" x14ac:dyDescent="0.3">
      <c r="A503" s="74"/>
      <c r="B503" s="74"/>
      <c r="C503" s="74"/>
      <c r="D503" s="74"/>
      <c r="E503" s="74"/>
      <c r="F503" s="74"/>
      <c r="Z503" s="101"/>
      <c r="AA503" s="101"/>
      <c r="AB503" s="101"/>
      <c r="AC503" s="101"/>
      <c r="AD503" s="101"/>
      <c r="AE503" s="101"/>
      <c r="AF503" s="101"/>
      <c r="AG503" s="101"/>
      <c r="AH503" s="101"/>
      <c r="AI503" s="101"/>
      <c r="AJ503" s="101"/>
      <c r="AK503" s="101"/>
      <c r="AL503" s="101"/>
      <c r="AM503" s="101"/>
      <c r="AN503" s="101"/>
    </row>
    <row r="504" spans="1:40" ht="16.5" customHeight="1" x14ac:dyDescent="0.3">
      <c r="A504" s="150" t="s">
        <v>1477</v>
      </c>
      <c r="B504" s="143"/>
      <c r="C504" s="47">
        <f>E504+D504+F504</f>
        <v>11517</v>
      </c>
      <c r="D504" s="46">
        <f>ROUNDDOWN(SUMIF(N407:N458,M504,D407:D458),0)</f>
        <v>0</v>
      </c>
      <c r="E504" s="55">
        <f>ROUNDDOWN(SUMIF(N407:N458,M504,E407:E458),0)</f>
        <v>0</v>
      </c>
      <c r="F504" s="47">
        <f>ROUNDDOWN(SUMIF(N407:N458,M504,F407:F458),0)</f>
        <v>11517</v>
      </c>
      <c r="M504" s="35" t="s">
        <v>1209</v>
      </c>
      <c r="Z504" s="101"/>
      <c r="AA504" s="101"/>
      <c r="AB504" s="101"/>
      <c r="AC504" s="101"/>
      <c r="AD504" s="101"/>
      <c r="AE504" s="101"/>
      <c r="AF504" s="101"/>
      <c r="AG504" s="101"/>
      <c r="AH504" s="101"/>
      <c r="AI504" s="101"/>
      <c r="AJ504" s="101"/>
      <c r="AK504" s="101"/>
      <c r="AL504" s="101"/>
      <c r="AM504" s="101"/>
      <c r="AN504" s="101"/>
    </row>
    <row r="505" spans="1:40" ht="16.5" customHeight="1" x14ac:dyDescent="0.3">
      <c r="A505" s="86" t="s">
        <v>48</v>
      </c>
      <c r="B505" s="88" t="s">
        <v>48</v>
      </c>
      <c r="C505" s="151">
        <f>C554</f>
        <v>335510</v>
      </c>
      <c r="D505" s="151">
        <f>D554</f>
        <v>251342</v>
      </c>
      <c r="E505" s="151">
        <f>E554</f>
        <v>16203</v>
      </c>
      <c r="F505" s="151">
        <f>F554</f>
        <v>67965</v>
      </c>
      <c r="G505" s="84" t="str">
        <f>HYPERLINK("#G"&amp;ROW(G541),"_x0005_`BDCOD|D03180_x0007_`POSS|"&amp;ROW(G507)&amp;"_x0007_`POSE|"&amp;ROW(G541)&amp;"_x0007_`")</f>
        <v>_x0005_`BDCOD|D03180_x0007_`POSS|507_x0007_`POSE|541_x0007_`</v>
      </c>
      <c r="Z505" s="101"/>
      <c r="AA505" s="101"/>
      <c r="AB505" s="101"/>
      <c r="AC505" s="101"/>
      <c r="AD505" s="101"/>
      <c r="AE505" s="101"/>
      <c r="AF505" s="101"/>
      <c r="AG505" s="101"/>
      <c r="AH505" s="101"/>
      <c r="AI505" s="101"/>
      <c r="AJ505" s="101"/>
      <c r="AK505" s="101"/>
      <c r="AL505" s="101"/>
      <c r="AM505" s="101"/>
      <c r="AN505" s="101"/>
    </row>
    <row r="506" spans="1:40" ht="16.5" customHeight="1" x14ac:dyDescent="0.3">
      <c r="A506" s="87"/>
      <c r="B506" s="88" t="s">
        <v>150</v>
      </c>
      <c r="C506" s="136"/>
      <c r="D506" s="136"/>
      <c r="E506" s="136"/>
      <c r="F506" s="136"/>
      <c r="M506" s="35" t="s">
        <v>1662</v>
      </c>
      <c r="Z506" s="101"/>
      <c r="AA506" s="101"/>
      <c r="AB506" s="101"/>
      <c r="AC506" s="101"/>
      <c r="AD506" s="101"/>
      <c r="AE506" s="101"/>
      <c r="AF506" s="101"/>
      <c r="AG506" s="101"/>
      <c r="AH506" s="101"/>
      <c r="AI506" s="101"/>
      <c r="AJ506" s="101"/>
      <c r="AK506" s="101"/>
      <c r="AL506" s="101"/>
      <c r="AM506" s="101"/>
      <c r="AN506" s="101"/>
    </row>
    <row r="507" spans="1:40" ht="16.5" customHeight="1" x14ac:dyDescent="0.3">
      <c r="A507" s="69"/>
      <c r="B507" s="69"/>
      <c r="C507" s="90"/>
      <c r="D507" s="90"/>
      <c r="E507" s="90"/>
      <c r="F507" s="90"/>
      <c r="G507" s="17" t="s">
        <v>1405</v>
      </c>
      <c r="Z507" s="101"/>
      <c r="AA507" s="101"/>
      <c r="AB507" s="101"/>
      <c r="AC507" s="101"/>
      <c r="AD507" s="101"/>
      <c r="AE507" s="101"/>
      <c r="AF507" s="101"/>
      <c r="AG507" s="101"/>
      <c r="AH507" s="101"/>
      <c r="AI507" s="101"/>
      <c r="AJ507" s="101"/>
      <c r="AK507" s="101"/>
      <c r="AL507" s="101"/>
      <c r="AM507" s="101"/>
      <c r="AN507" s="101"/>
    </row>
    <row r="508" spans="1:40" ht="16.5" customHeight="1" x14ac:dyDescent="0.3">
      <c r="A508" s="69"/>
      <c r="B508" s="69"/>
      <c r="C508" s="69"/>
      <c r="D508" s="69"/>
      <c r="E508" s="69"/>
      <c r="F508" s="69"/>
      <c r="G508" s="17" t="s">
        <v>1405</v>
      </c>
      <c r="Z508" s="101"/>
      <c r="AA508" s="101"/>
      <c r="AB508" s="101"/>
      <c r="AC508" s="101"/>
      <c r="AD508" s="101"/>
      <c r="AE508" s="101"/>
      <c r="AF508" s="101"/>
      <c r="AG508" s="101"/>
      <c r="AH508" s="101"/>
      <c r="AI508" s="101"/>
      <c r="AJ508" s="101"/>
      <c r="AK508" s="101"/>
      <c r="AL508" s="101"/>
      <c r="AM508" s="101"/>
      <c r="AN508" s="101"/>
    </row>
    <row r="509" spans="1:40" ht="16.5" customHeight="1" x14ac:dyDescent="0.3">
      <c r="A509" s="59"/>
      <c r="B509" s="68" t="s">
        <v>1664</v>
      </c>
      <c r="C509" s="69"/>
      <c r="D509" s="69"/>
      <c r="E509" s="69"/>
      <c r="F509" s="69"/>
      <c r="G509" s="17" t="s">
        <v>1663</v>
      </c>
      <c r="Z509" s="101"/>
      <c r="AA509" s="101"/>
      <c r="AB509" s="101"/>
      <c r="AC509" s="101"/>
      <c r="AD509" s="101"/>
      <c r="AE509" s="101"/>
      <c r="AF509" s="101"/>
      <c r="AG509" s="101"/>
      <c r="AH509" s="101"/>
      <c r="AI509" s="101"/>
      <c r="AJ509" s="101"/>
      <c r="AK509" s="101"/>
      <c r="AL509" s="101"/>
      <c r="AM509" s="101"/>
      <c r="AN509" s="101"/>
    </row>
    <row r="510" spans="1:40" ht="16.5" customHeight="1" x14ac:dyDescent="0.3">
      <c r="A510" s="69"/>
      <c r="B510" s="69"/>
      <c r="C510" s="69"/>
      <c r="D510" s="69"/>
      <c r="E510" s="69"/>
      <c r="F510" s="69"/>
      <c r="G510" s="17" t="s">
        <v>1405</v>
      </c>
      <c r="Z510" s="101"/>
      <c r="AA510" s="101"/>
      <c r="AB510" s="101"/>
      <c r="AC510" s="101"/>
      <c r="AD510" s="101"/>
      <c r="AE510" s="101"/>
      <c r="AF510" s="101"/>
      <c r="AG510" s="101"/>
      <c r="AH510" s="101"/>
      <c r="AI510" s="101"/>
      <c r="AJ510" s="101"/>
      <c r="AK510" s="101"/>
      <c r="AL510" s="101"/>
      <c r="AM510" s="101"/>
      <c r="AN510" s="101"/>
    </row>
    <row r="511" spans="1:40" ht="16.5" customHeight="1" x14ac:dyDescent="0.3">
      <c r="A511" s="69"/>
      <c r="B511" s="69"/>
      <c r="C511" s="69"/>
      <c r="D511" s="69"/>
      <c r="E511" s="69"/>
      <c r="F511" s="69"/>
      <c r="G511" s="17" t="s">
        <v>1405</v>
      </c>
      <c r="Z511" s="101"/>
      <c r="AA511" s="101"/>
      <c r="AB511" s="101"/>
      <c r="AC511" s="101"/>
      <c r="AD511" s="101"/>
      <c r="AE511" s="101"/>
      <c r="AF511" s="101"/>
      <c r="AG511" s="101"/>
      <c r="AH511" s="101"/>
      <c r="AI511" s="101"/>
      <c r="AJ511" s="101"/>
      <c r="AK511" s="101"/>
      <c r="AL511" s="101"/>
      <c r="AM511" s="101"/>
      <c r="AN511" s="101"/>
    </row>
    <row r="512" spans="1:40" ht="16.5" customHeight="1" x14ac:dyDescent="0.3">
      <c r="A512" s="59"/>
      <c r="B512" s="68" t="s">
        <v>1666</v>
      </c>
      <c r="C512" s="69"/>
      <c r="D512" s="69"/>
      <c r="E512" s="69"/>
      <c r="F512" s="69"/>
      <c r="G512" s="17" t="s">
        <v>1665</v>
      </c>
      <c r="Z512" s="101"/>
      <c r="AA512" s="101"/>
      <c r="AB512" s="101"/>
      <c r="AC512" s="101"/>
      <c r="AD512" s="101"/>
      <c r="AE512" s="101"/>
      <c r="AF512" s="101"/>
      <c r="AG512" s="101"/>
      <c r="AH512" s="101"/>
      <c r="AI512" s="101"/>
      <c r="AJ512" s="101"/>
      <c r="AK512" s="101"/>
      <c r="AL512" s="101"/>
      <c r="AM512" s="101"/>
      <c r="AN512" s="101"/>
    </row>
    <row r="513" spans="1:40" ht="16.5" customHeight="1" x14ac:dyDescent="0.3">
      <c r="A513" s="69"/>
      <c r="B513" s="69"/>
      <c r="C513" s="69"/>
      <c r="D513" s="69"/>
      <c r="E513" s="69"/>
      <c r="F513" s="69"/>
      <c r="G513" s="17" t="s">
        <v>1405</v>
      </c>
      <c r="Z513" s="101"/>
      <c r="AA513" s="101"/>
      <c r="AB513" s="101"/>
      <c r="AC513" s="101"/>
      <c r="AD513" s="101"/>
      <c r="AE513" s="101"/>
      <c r="AF513" s="101"/>
      <c r="AG513" s="101"/>
      <c r="AH513" s="101"/>
      <c r="AI513" s="101"/>
      <c r="AJ513" s="101"/>
      <c r="AK513" s="101"/>
      <c r="AL513" s="101"/>
      <c r="AM513" s="101"/>
      <c r="AN513" s="101"/>
    </row>
    <row r="514" spans="1:40" ht="16.5" customHeight="1" x14ac:dyDescent="0.3">
      <c r="A514" s="69"/>
      <c r="B514" s="69"/>
      <c r="C514" s="69"/>
      <c r="D514" s="69"/>
      <c r="E514" s="69"/>
      <c r="F514" s="69"/>
      <c r="G514" s="17" t="s">
        <v>1405</v>
      </c>
      <c r="Z514" s="101"/>
      <c r="AA514" s="101"/>
      <c r="AB514" s="101"/>
      <c r="AC514" s="101"/>
      <c r="AD514" s="101"/>
      <c r="AE514" s="101"/>
      <c r="AF514" s="101"/>
      <c r="AG514" s="101"/>
      <c r="AH514" s="101"/>
      <c r="AI514" s="101"/>
      <c r="AJ514" s="101"/>
      <c r="AK514" s="101"/>
      <c r="AL514" s="101"/>
      <c r="AM514" s="101"/>
      <c r="AN514" s="101"/>
    </row>
    <row r="515" spans="1:40" ht="16.5" customHeight="1" x14ac:dyDescent="0.3">
      <c r="A515" s="59" t="s">
        <v>1668</v>
      </c>
      <c r="B515" s="89" t="str">
        <f>"    경  비 "&amp;Z515&amp;" hr *"&amp;TEXT(I515,"#,##0"&amp;IF(I515&lt;&gt;INT(I515),".###",""))&amp;"= "&amp;TEXT(C515,"#,##0.0")&amp;""</f>
        <v xml:space="preserve">    경  비 1.2 hr *53,629= 64,354.8</v>
      </c>
      <c r="C515" s="91">
        <f>E515+D515+F515</f>
        <v>64354.8</v>
      </c>
      <c r="D515" s="91">
        <f>IF(H515=0,0,ROUNDDOWN(J515*H515,1))</f>
        <v>0</v>
      </c>
      <c r="E515" s="91">
        <f>IF(H515=0,0,ROUNDDOWN(K515*H515,1))</f>
        <v>0</v>
      </c>
      <c r="F515" s="91">
        <f>IF(H515=0,0,ROUNDDOWN(L515*H515,1))</f>
        <v>64354.8</v>
      </c>
      <c r="G515" s="17" t="s">
        <v>1667</v>
      </c>
      <c r="H515" s="97">
        <f>ROUNDUP(AC515,14-LEN(ABS(INT(AC515))))</f>
        <v>1.2</v>
      </c>
      <c r="I515" s="98">
        <f>K515+J515+L515</f>
        <v>53629</v>
      </c>
      <c r="L515" s="38">
        <f>중기목록표!H30</f>
        <v>53629</v>
      </c>
      <c r="M515" s="35" t="s">
        <v>1669</v>
      </c>
      <c r="N515" s="35" t="s">
        <v>1262</v>
      </c>
      <c r="X515" s="100" t="str">
        <f>중기목록표!B30&amp;" / "&amp;중기목록표!C30</f>
        <v>크레인(타이어) / 20톤</v>
      </c>
      <c r="Y515" s="3" t="str">
        <f ca="1">HYPERLINK("#"&amp;중기목록표!J2&amp;"!A"&amp;ROW(중기목록표!A30),"중기27 →")</f>
        <v>중기27 →</v>
      </c>
      <c r="Z515" s="104">
        <v>1.2</v>
      </c>
      <c r="AA515" s="35" t="s">
        <v>1670</v>
      </c>
      <c r="AB515" s="35" t="s">
        <v>1410</v>
      </c>
      <c r="AC515" s="103">
        <f>Z515*1</f>
        <v>1.2</v>
      </c>
      <c r="AD515" s="101"/>
      <c r="AE515" s="101"/>
      <c r="AF515" s="101"/>
      <c r="AG515" s="101"/>
      <c r="AH515" s="101"/>
      <c r="AI515" s="101"/>
      <c r="AJ515" s="101"/>
      <c r="AK515" s="101"/>
      <c r="AL515" s="101"/>
      <c r="AM515" s="101"/>
      <c r="AN515" s="101"/>
    </row>
    <row r="516" spans="1:40" ht="16.5" customHeight="1" x14ac:dyDescent="0.3">
      <c r="A516" s="69"/>
      <c r="B516" s="69"/>
      <c r="C516" s="69"/>
      <c r="D516" s="69"/>
      <c r="E516" s="69"/>
      <c r="F516" s="69"/>
      <c r="G516" s="17" t="s">
        <v>1405</v>
      </c>
      <c r="Z516" s="101"/>
      <c r="AA516" s="101"/>
      <c r="AB516" s="101"/>
      <c r="AC516" s="101"/>
      <c r="AD516" s="101"/>
      <c r="AE516" s="101"/>
      <c r="AF516" s="101"/>
      <c r="AG516" s="101"/>
      <c r="AH516" s="101"/>
      <c r="AI516" s="101"/>
      <c r="AJ516" s="101"/>
      <c r="AK516" s="101"/>
      <c r="AL516" s="101"/>
      <c r="AM516" s="101"/>
      <c r="AN516" s="101"/>
    </row>
    <row r="517" spans="1:40" ht="16.5" customHeight="1" x14ac:dyDescent="0.3">
      <c r="A517" s="69"/>
      <c r="B517" s="69"/>
      <c r="C517" s="69"/>
      <c r="D517" s="69"/>
      <c r="E517" s="69"/>
      <c r="F517" s="69"/>
      <c r="G517" s="17" t="s">
        <v>1405</v>
      </c>
      <c r="Z517" s="101"/>
      <c r="AA517" s="101"/>
      <c r="AB517" s="101"/>
      <c r="AC517" s="101"/>
      <c r="AD517" s="101"/>
      <c r="AE517" s="101"/>
      <c r="AF517" s="101"/>
      <c r="AG517" s="101"/>
      <c r="AH517" s="101"/>
      <c r="AI517" s="101"/>
      <c r="AJ517" s="101"/>
      <c r="AK517" s="101"/>
      <c r="AL517" s="101"/>
      <c r="AM517" s="101"/>
      <c r="AN517" s="101"/>
    </row>
    <row r="518" spans="1:40" ht="16.5" customHeight="1" x14ac:dyDescent="0.3">
      <c r="A518" s="59" t="s">
        <v>1672</v>
      </c>
      <c r="B518" s="89" t="str">
        <f>"    노무비 "&amp;Z518&amp;" hr *"&amp;TEXT(I518,"#,##0"&amp;IF(I518&lt;&gt;INT(I518),".###",""))&amp;"= "&amp;TEXT(C518,"#,##0.0")&amp;""</f>
        <v xml:space="preserve">    노무비 1.2 hr *59,020= 70,824.0</v>
      </c>
      <c r="C518" s="91">
        <f>E518+D518+F518</f>
        <v>70824</v>
      </c>
      <c r="D518" s="91">
        <f>IF(H518=0,0,ROUNDDOWN(J518*H518,1))</f>
        <v>70824</v>
      </c>
      <c r="E518" s="91">
        <f>IF(H518=0,0,ROUNDDOWN(K518*H518,1))</f>
        <v>0</v>
      </c>
      <c r="F518" s="91">
        <f>IF(H518=0,0,ROUNDDOWN(L518*H518,1))</f>
        <v>0</v>
      </c>
      <c r="G518" s="17" t="s">
        <v>1671</v>
      </c>
      <c r="H518" s="97">
        <f>ROUNDUP(AC518,14-LEN(ABS(INT(AC518))))</f>
        <v>1.2</v>
      </c>
      <c r="I518" s="98">
        <f>K518+J518+L518</f>
        <v>59020</v>
      </c>
      <c r="J518" s="38">
        <f>중기목록표!F30</f>
        <v>59020</v>
      </c>
      <c r="M518" s="35" t="s">
        <v>1669</v>
      </c>
      <c r="N518" s="35" t="s">
        <v>1262</v>
      </c>
      <c r="X518" s="100" t="str">
        <f>중기목록표!B30&amp;" / "&amp;중기목록표!C30</f>
        <v>크레인(타이어) / 20톤</v>
      </c>
      <c r="Y518" s="3" t="str">
        <f ca="1">HYPERLINK("#"&amp;중기목록표!J2&amp;"!A"&amp;ROW(중기목록표!A30),"중기27 →")</f>
        <v>중기27 →</v>
      </c>
      <c r="Z518" s="104">
        <v>1.2</v>
      </c>
      <c r="AA518" s="35" t="s">
        <v>1670</v>
      </c>
      <c r="AB518" s="35" t="s">
        <v>1410</v>
      </c>
      <c r="AC518" s="103">
        <f>Z518*1</f>
        <v>1.2</v>
      </c>
      <c r="AD518" s="101"/>
      <c r="AE518" s="101"/>
      <c r="AF518" s="101"/>
      <c r="AG518" s="101"/>
      <c r="AH518" s="101"/>
      <c r="AI518" s="101"/>
      <c r="AJ518" s="101"/>
      <c r="AK518" s="101"/>
      <c r="AL518" s="101"/>
      <c r="AM518" s="101"/>
      <c r="AN518" s="101"/>
    </row>
    <row r="519" spans="1:40" ht="16.5" customHeight="1" x14ac:dyDescent="0.3">
      <c r="A519" s="69"/>
      <c r="B519" s="69"/>
      <c r="C519" s="69"/>
      <c r="D519" s="69"/>
      <c r="E519" s="69"/>
      <c r="F519" s="69"/>
      <c r="G519" s="17" t="s">
        <v>1405</v>
      </c>
      <c r="Z519" s="101"/>
      <c r="AA519" s="101"/>
      <c r="AB519" s="101"/>
      <c r="AC519" s="101"/>
      <c r="AD519" s="101"/>
      <c r="AE519" s="101"/>
      <c r="AF519" s="101"/>
      <c r="AG519" s="101"/>
      <c r="AH519" s="101"/>
      <c r="AI519" s="101"/>
      <c r="AJ519" s="101"/>
      <c r="AK519" s="101"/>
      <c r="AL519" s="101"/>
      <c r="AM519" s="101"/>
      <c r="AN519" s="101"/>
    </row>
    <row r="520" spans="1:40" ht="16.5" customHeight="1" x14ac:dyDescent="0.3">
      <c r="A520" s="69"/>
      <c r="B520" s="69"/>
      <c r="C520" s="69"/>
      <c r="D520" s="69"/>
      <c r="E520" s="69"/>
      <c r="F520" s="69"/>
      <c r="G520" s="17" t="s">
        <v>1405</v>
      </c>
      <c r="Z520" s="101"/>
      <c r="AA520" s="101"/>
      <c r="AB520" s="101"/>
      <c r="AC520" s="101"/>
      <c r="AD520" s="101"/>
      <c r="AE520" s="101"/>
      <c r="AF520" s="101"/>
      <c r="AG520" s="101"/>
      <c r="AH520" s="101"/>
      <c r="AI520" s="101"/>
      <c r="AJ520" s="101"/>
      <c r="AK520" s="101"/>
      <c r="AL520" s="101"/>
      <c r="AM520" s="101"/>
      <c r="AN520" s="101"/>
    </row>
    <row r="521" spans="1:40" ht="16.5" customHeight="1" x14ac:dyDescent="0.3">
      <c r="A521" s="59" t="s">
        <v>1674</v>
      </c>
      <c r="B521" s="89" t="str">
        <f>"    재료비 "&amp;Z521&amp;" hr *"&amp;TEXT(I521,"#,##0"&amp;IF(I521&lt;&gt;INT(I521),".###",""))&amp;"= "&amp;TEXT(C521,"#,##0.0")&amp;""</f>
        <v xml:space="preserve">    재료비 1.2 hr *13,503= 16,203.6</v>
      </c>
      <c r="C521" s="91">
        <f>E521+D521+F521</f>
        <v>16203.6</v>
      </c>
      <c r="D521" s="91">
        <f>IF(H521=0,0,ROUNDDOWN(J521*H521,1))</f>
        <v>0</v>
      </c>
      <c r="E521" s="91">
        <f>IF(H521=0,0,ROUNDDOWN(K521*H521,1))</f>
        <v>16203.6</v>
      </c>
      <c r="F521" s="91">
        <f>IF(H521=0,0,ROUNDDOWN(L521*H521,1))</f>
        <v>0</v>
      </c>
      <c r="G521" s="17" t="s">
        <v>1673</v>
      </c>
      <c r="H521" s="97">
        <f>ROUNDUP(AC521,14-LEN(ABS(INT(AC521))))</f>
        <v>1.2</v>
      </c>
      <c r="I521" s="98">
        <f>K521+J521+L521</f>
        <v>13503</v>
      </c>
      <c r="K521" s="38">
        <f>중기목록표!G30</f>
        <v>13503</v>
      </c>
      <c r="M521" s="35" t="s">
        <v>1669</v>
      </c>
      <c r="N521" s="35" t="s">
        <v>1262</v>
      </c>
      <c r="X521" s="100" t="str">
        <f>중기목록표!B30&amp;" / "&amp;중기목록표!C30</f>
        <v>크레인(타이어) / 20톤</v>
      </c>
      <c r="Y521" s="3" t="str">
        <f ca="1">HYPERLINK("#"&amp;중기목록표!J2&amp;"!A"&amp;ROW(중기목록표!A30),"중기27 →")</f>
        <v>중기27 →</v>
      </c>
      <c r="Z521" s="104">
        <v>1.2</v>
      </c>
      <c r="AA521" s="35" t="s">
        <v>1670</v>
      </c>
      <c r="AB521" s="35" t="s">
        <v>1410</v>
      </c>
      <c r="AC521" s="103">
        <f>Z521*1</f>
        <v>1.2</v>
      </c>
      <c r="AD521" s="101"/>
      <c r="AE521" s="101"/>
      <c r="AF521" s="101"/>
      <c r="AG521" s="101"/>
      <c r="AH521" s="101"/>
      <c r="AI521" s="101"/>
      <c r="AJ521" s="101"/>
      <c r="AK521" s="101"/>
      <c r="AL521" s="101"/>
      <c r="AM521" s="101"/>
      <c r="AN521" s="101"/>
    </row>
    <row r="522" spans="1:40" ht="16.5" customHeight="1" x14ac:dyDescent="0.3">
      <c r="A522" s="69"/>
      <c r="B522" s="69"/>
      <c r="C522" s="69"/>
      <c r="D522" s="69"/>
      <c r="E522" s="69"/>
      <c r="F522" s="69"/>
      <c r="G522" s="17" t="s">
        <v>1405</v>
      </c>
      <c r="Z522" s="101"/>
      <c r="AA522" s="101"/>
      <c r="AB522" s="101"/>
      <c r="AC522" s="101"/>
      <c r="AD522" s="101"/>
      <c r="AE522" s="101"/>
      <c r="AF522" s="101"/>
      <c r="AG522" s="101"/>
      <c r="AH522" s="101"/>
      <c r="AI522" s="101"/>
      <c r="AJ522" s="101"/>
      <c r="AK522" s="101"/>
      <c r="AL522" s="101"/>
      <c r="AM522" s="101"/>
      <c r="AN522" s="101"/>
    </row>
    <row r="523" spans="1:40" ht="16.5" customHeight="1" x14ac:dyDescent="0.3">
      <c r="A523" s="59"/>
      <c r="B523" s="68" t="s">
        <v>1260</v>
      </c>
      <c r="C523" s="92">
        <f>E523+D523+F523</f>
        <v>151382.40000000002</v>
      </c>
      <c r="D523" s="92">
        <f>SUMIF(N507:N522,M523,D507:D522)</f>
        <v>70824</v>
      </c>
      <c r="E523" s="92">
        <f>SUMIF(N507:N522,M523,E507:E522)</f>
        <v>16203.6</v>
      </c>
      <c r="F523" s="92">
        <f>SUMIF(N507:N522,M523,F507:F522)</f>
        <v>64354.8</v>
      </c>
      <c r="G523" s="17" t="s">
        <v>1430</v>
      </c>
      <c r="M523" s="35" t="s">
        <v>1262</v>
      </c>
      <c r="N523" s="35" t="s">
        <v>1253</v>
      </c>
      <c r="Z523" s="101"/>
      <c r="AA523" s="101"/>
      <c r="AB523" s="101"/>
      <c r="AC523" s="101"/>
      <c r="AD523" s="101"/>
      <c r="AE523" s="101"/>
      <c r="AF523" s="101"/>
      <c r="AG523" s="101"/>
      <c r="AH523" s="101"/>
      <c r="AI523" s="101"/>
      <c r="AJ523" s="101"/>
      <c r="AK523" s="101"/>
      <c r="AL523" s="101"/>
      <c r="AM523" s="101"/>
      <c r="AN523" s="101"/>
    </row>
    <row r="524" spans="1:40" ht="16.5" customHeight="1" x14ac:dyDescent="0.3">
      <c r="A524" s="69"/>
      <c r="B524" s="69"/>
      <c r="C524" s="90"/>
      <c r="D524" s="90"/>
      <c r="E524" s="90"/>
      <c r="F524" s="90"/>
      <c r="G524" s="17" t="s">
        <v>1405</v>
      </c>
      <c r="Z524" s="101"/>
      <c r="AA524" s="101"/>
      <c r="AB524" s="101"/>
      <c r="AC524" s="101"/>
      <c r="AD524" s="101"/>
      <c r="AE524" s="101"/>
      <c r="AF524" s="101"/>
      <c r="AG524" s="101"/>
      <c r="AH524" s="101"/>
      <c r="AI524" s="101"/>
      <c r="AJ524" s="101"/>
      <c r="AK524" s="101"/>
      <c r="AL524" s="101"/>
      <c r="AM524" s="101"/>
      <c r="AN524" s="101"/>
    </row>
    <row r="525" spans="1:40" ht="16.5" customHeight="1" x14ac:dyDescent="0.3">
      <c r="A525" s="59"/>
      <c r="B525" s="68" t="s">
        <v>1676</v>
      </c>
      <c r="C525" s="69"/>
      <c r="D525" s="69"/>
      <c r="E525" s="69"/>
      <c r="F525" s="69"/>
      <c r="G525" s="17" t="s">
        <v>1675</v>
      </c>
      <c r="Z525" s="101"/>
      <c r="AA525" s="101"/>
      <c r="AB525" s="101"/>
      <c r="AC525" s="101"/>
      <c r="AD525" s="101"/>
      <c r="AE525" s="101"/>
      <c r="AF525" s="101"/>
      <c r="AG525" s="101"/>
      <c r="AH525" s="101"/>
      <c r="AI525" s="101"/>
      <c r="AJ525" s="101"/>
      <c r="AK525" s="101"/>
      <c r="AL525" s="101"/>
      <c r="AM525" s="101"/>
      <c r="AN525" s="101"/>
    </row>
    <row r="526" spans="1:40" ht="16.5" customHeight="1" x14ac:dyDescent="0.3">
      <c r="A526" s="69"/>
      <c r="B526" s="69"/>
      <c r="C526" s="69"/>
      <c r="D526" s="69"/>
      <c r="E526" s="69"/>
      <c r="F526" s="69"/>
      <c r="G526" s="17" t="s">
        <v>1405</v>
      </c>
      <c r="Z526" s="101"/>
      <c r="AA526" s="101"/>
      <c r="AB526" s="101"/>
      <c r="AC526" s="101"/>
      <c r="AD526" s="101"/>
      <c r="AE526" s="101"/>
      <c r="AF526" s="101"/>
      <c r="AG526" s="101"/>
      <c r="AH526" s="101"/>
      <c r="AI526" s="101"/>
      <c r="AJ526" s="101"/>
      <c r="AK526" s="101"/>
      <c r="AL526" s="101"/>
      <c r="AM526" s="101"/>
      <c r="AN526" s="101"/>
    </row>
    <row r="527" spans="1:40" ht="16.5" customHeight="1" x14ac:dyDescent="0.3">
      <c r="A527" s="69"/>
      <c r="B527" s="69"/>
      <c r="C527" s="69"/>
      <c r="D527" s="69"/>
      <c r="E527" s="69"/>
      <c r="F527" s="69"/>
      <c r="G527" s="17" t="s">
        <v>1405</v>
      </c>
      <c r="Z527" s="101"/>
      <c r="AA527" s="101"/>
      <c r="AB527" s="101"/>
      <c r="AC527" s="101"/>
      <c r="AD527" s="101"/>
      <c r="AE527" s="101"/>
      <c r="AF527" s="101"/>
      <c r="AG527" s="101"/>
      <c r="AH527" s="101"/>
      <c r="AI527" s="101"/>
      <c r="AJ527" s="101"/>
      <c r="AK527" s="101"/>
      <c r="AL527" s="101"/>
      <c r="AM527" s="101"/>
      <c r="AN527" s="101"/>
    </row>
    <row r="528" spans="1:40" ht="16.5" customHeight="1" x14ac:dyDescent="0.3">
      <c r="A528" s="59" t="s">
        <v>1416</v>
      </c>
      <c r="B528" s="89" t="str">
        <f>"    특별인부  "&amp;Z528&amp;" 인 *"&amp;TEXT(I528,"#,##0"&amp;IF(I528&lt;&gt;INT(I528),".###",""))&amp;"= "&amp;TEXT(C528,"#,##0.0")&amp;""</f>
        <v xml:space="preserve">    특별인부  0.22 인 *226,122= 49,746.8</v>
      </c>
      <c r="C528" s="91">
        <f>E528+D528+F528</f>
        <v>49746.8</v>
      </c>
      <c r="D528" s="91">
        <f>IF(H528=0,0,ROUNDDOWN(J528*H528,1))</f>
        <v>49746.8</v>
      </c>
      <c r="E528" s="91">
        <f>IF(H528=0,0,ROUNDDOWN(K528*H528,1))</f>
        <v>0</v>
      </c>
      <c r="F528" s="91">
        <f>IF(H528=0,0,ROUNDDOWN(L528*H528,1))</f>
        <v>0</v>
      </c>
      <c r="G528" s="17" t="s">
        <v>1677</v>
      </c>
      <c r="H528" s="97">
        <f>ROUNDUP(AC528,14-LEN(ABS(INT(AC528))))</f>
        <v>0.22</v>
      </c>
      <c r="I528" s="98">
        <f>K528+J528+L528</f>
        <v>226122</v>
      </c>
      <c r="J528" s="38">
        <f>노무비목록표!E13</f>
        <v>226122</v>
      </c>
      <c r="M528" s="35" t="s">
        <v>1215</v>
      </c>
      <c r="N528" s="35" t="s">
        <v>1262</v>
      </c>
      <c r="X528" s="100" t="str">
        <f>노무비목록표!B13&amp;" / "&amp;노무비목록표!C13</f>
        <v xml:space="preserve">특별인부 / </v>
      </c>
      <c r="Y528" s="3" t="str">
        <f ca="1">HYPERLINK("#"&amp;노무비목록표!G2&amp;"!A"&amp;ROW(노무비목록표!A13),"노무10 →")</f>
        <v>노무10 →</v>
      </c>
      <c r="Z528" s="104">
        <v>0.22</v>
      </c>
      <c r="AA528" s="35" t="s">
        <v>1670</v>
      </c>
      <c r="AB528" s="35" t="s">
        <v>1410</v>
      </c>
      <c r="AC528" s="103">
        <f>Z528*1</f>
        <v>0.22</v>
      </c>
      <c r="AD528" s="101"/>
      <c r="AE528" s="101"/>
      <c r="AF528" s="101"/>
      <c r="AG528" s="101"/>
      <c r="AH528" s="101"/>
      <c r="AI528" s="101"/>
      <c r="AJ528" s="101"/>
      <c r="AK528" s="101"/>
      <c r="AL528" s="101"/>
      <c r="AM528" s="101"/>
      <c r="AN528" s="101"/>
    </row>
    <row r="529" spans="1:40" ht="16.5" customHeight="1" x14ac:dyDescent="0.3">
      <c r="A529" s="69"/>
      <c r="B529" s="69"/>
      <c r="C529" s="69"/>
      <c r="D529" s="69"/>
      <c r="E529" s="69"/>
      <c r="F529" s="69"/>
      <c r="G529" s="17" t="s">
        <v>1405</v>
      </c>
      <c r="Z529" s="101"/>
      <c r="AA529" s="101"/>
      <c r="AB529" s="101"/>
      <c r="AC529" s="101"/>
      <c r="AD529" s="101"/>
      <c r="AE529" s="101"/>
      <c r="AF529" s="101"/>
      <c r="AG529" s="101"/>
      <c r="AH529" s="101"/>
      <c r="AI529" s="101"/>
      <c r="AJ529" s="101"/>
      <c r="AK529" s="101"/>
      <c r="AL529" s="101"/>
      <c r="AM529" s="101"/>
      <c r="AN529" s="101"/>
    </row>
    <row r="530" spans="1:40" ht="16.5" customHeight="1" x14ac:dyDescent="0.3">
      <c r="A530" s="69"/>
      <c r="B530" s="69"/>
      <c r="C530" s="69"/>
      <c r="D530" s="69"/>
      <c r="E530" s="69"/>
      <c r="F530" s="69"/>
      <c r="G530" s="17" t="s">
        <v>1405</v>
      </c>
      <c r="Z530" s="101"/>
      <c r="AA530" s="101"/>
      <c r="AB530" s="101"/>
      <c r="AC530" s="101"/>
      <c r="AD530" s="101"/>
      <c r="AE530" s="101"/>
      <c r="AF530" s="101"/>
      <c r="AG530" s="101"/>
      <c r="AH530" s="101"/>
      <c r="AI530" s="101"/>
      <c r="AJ530" s="101"/>
      <c r="AK530" s="101"/>
      <c r="AL530" s="101"/>
      <c r="AM530" s="101"/>
      <c r="AN530" s="101"/>
    </row>
    <row r="531" spans="1:40" ht="16.5" customHeight="1" x14ac:dyDescent="0.3">
      <c r="A531" s="59" t="s">
        <v>1419</v>
      </c>
      <c r="B531" s="89" t="str">
        <f>"    인  부  "&amp;Z531&amp;" 인 *"&amp;TEXT(I531,"#,##0"&amp;IF(I531&lt;&gt;INT(I531),".###",""))&amp;"= "&amp;TEXT(C531,"#,##0.0")&amp;""</f>
        <v xml:space="preserve">    인  부  0.76 인 *172,068= 130,771.6</v>
      </c>
      <c r="C531" s="91">
        <f>E531+D531+F531</f>
        <v>130771.6</v>
      </c>
      <c r="D531" s="91">
        <f>IF(H531=0,0,ROUNDDOWN(J531*H531,1))</f>
        <v>130771.6</v>
      </c>
      <c r="E531" s="91">
        <f>IF(H531=0,0,ROUNDDOWN(K531*H531,1))</f>
        <v>0</v>
      </c>
      <c r="F531" s="91">
        <f>IF(H531=0,0,ROUNDDOWN(L531*H531,1))</f>
        <v>0</v>
      </c>
      <c r="G531" s="17" t="s">
        <v>1678</v>
      </c>
      <c r="H531" s="97">
        <f>ROUNDUP(AC531,14-LEN(ABS(INT(AC531))))</f>
        <v>0.76</v>
      </c>
      <c r="I531" s="98">
        <f>K531+J531+L531</f>
        <v>172068</v>
      </c>
      <c r="J531" s="38">
        <f>노무비목록표!E8</f>
        <v>172068</v>
      </c>
      <c r="M531" s="35" t="s">
        <v>1219</v>
      </c>
      <c r="N531" s="35" t="s">
        <v>1262</v>
      </c>
      <c r="X531" s="100" t="str">
        <f>노무비목록표!B8&amp;" / "&amp;노무비목록표!C8</f>
        <v xml:space="preserve">보통인부 / </v>
      </c>
      <c r="Y531" s="3" t="str">
        <f ca="1">HYPERLINK("#"&amp;노무비목록표!G2&amp;"!A"&amp;ROW(노무비목록표!A8),"노무5 →")</f>
        <v>노무5 →</v>
      </c>
      <c r="Z531" s="104">
        <v>0.76</v>
      </c>
      <c r="AA531" s="35" t="s">
        <v>1670</v>
      </c>
      <c r="AB531" s="35" t="s">
        <v>1410</v>
      </c>
      <c r="AC531" s="103">
        <f>Z531*1</f>
        <v>0.76</v>
      </c>
      <c r="AD531" s="101"/>
      <c r="AE531" s="101"/>
      <c r="AF531" s="101"/>
      <c r="AG531" s="101"/>
      <c r="AH531" s="101"/>
      <c r="AI531" s="101"/>
      <c r="AJ531" s="101"/>
      <c r="AK531" s="101"/>
      <c r="AL531" s="101"/>
      <c r="AM531" s="101"/>
      <c r="AN531" s="101"/>
    </row>
    <row r="532" spans="1:40" ht="16.5" customHeight="1" x14ac:dyDescent="0.3">
      <c r="A532" s="69"/>
      <c r="B532" s="69"/>
      <c r="C532" s="69"/>
      <c r="D532" s="69"/>
      <c r="E532" s="69"/>
      <c r="F532" s="69"/>
      <c r="G532" s="17" t="s">
        <v>1405</v>
      </c>
      <c r="Z532" s="101"/>
      <c r="AA532" s="101"/>
      <c r="AB532" s="101"/>
      <c r="AC532" s="101"/>
      <c r="AD532" s="101"/>
      <c r="AE532" s="101"/>
      <c r="AF532" s="101"/>
      <c r="AG532" s="101"/>
      <c r="AH532" s="101"/>
      <c r="AI532" s="101"/>
      <c r="AJ532" s="101"/>
      <c r="AK532" s="101"/>
      <c r="AL532" s="101"/>
      <c r="AM532" s="101"/>
      <c r="AN532" s="101"/>
    </row>
    <row r="533" spans="1:40" ht="16.5" customHeight="1" x14ac:dyDescent="0.3">
      <c r="A533" s="69"/>
      <c r="B533" s="69"/>
      <c r="C533" s="69"/>
      <c r="D533" s="69"/>
      <c r="E533" s="69"/>
      <c r="F533" s="69"/>
      <c r="G533" s="17" t="s">
        <v>1405</v>
      </c>
      <c r="Z533" s="101"/>
      <c r="AA533" s="101"/>
      <c r="AB533" s="101"/>
      <c r="AC533" s="101"/>
      <c r="AD533" s="101"/>
      <c r="AE533" s="101"/>
      <c r="AF533" s="101"/>
      <c r="AG533" s="101"/>
      <c r="AH533" s="101"/>
      <c r="AI533" s="101"/>
      <c r="AJ533" s="101"/>
      <c r="AK533" s="101"/>
      <c r="AL533" s="101"/>
      <c r="AM533" s="101"/>
      <c r="AN533" s="101"/>
    </row>
    <row r="534" spans="1:40" ht="16.5" customHeight="1" x14ac:dyDescent="0.3">
      <c r="A534" s="59"/>
      <c r="B534" s="68" t="s">
        <v>1680</v>
      </c>
      <c r="C534" s="69"/>
      <c r="D534" s="69"/>
      <c r="E534" s="69"/>
      <c r="F534" s="69"/>
      <c r="G534" s="17" t="s">
        <v>1679</v>
      </c>
      <c r="Z534" s="101"/>
      <c r="AA534" s="101"/>
      <c r="AB534" s="101"/>
      <c r="AC534" s="101"/>
      <c r="AD534" s="101"/>
      <c r="AE534" s="101"/>
      <c r="AF534" s="101"/>
      <c r="AG534" s="101"/>
      <c r="AH534" s="101"/>
      <c r="AI534" s="101"/>
      <c r="AJ534" s="101"/>
      <c r="AK534" s="101"/>
      <c r="AL534" s="101"/>
      <c r="AM534" s="101"/>
      <c r="AN534" s="101"/>
    </row>
    <row r="535" spans="1:40" ht="16.5" customHeight="1" x14ac:dyDescent="0.3">
      <c r="A535" s="69"/>
      <c r="B535" s="69"/>
      <c r="C535" s="69"/>
      <c r="D535" s="69"/>
      <c r="E535" s="69"/>
      <c r="F535" s="69"/>
      <c r="G535" s="17" t="s">
        <v>1405</v>
      </c>
      <c r="Z535" s="101"/>
      <c r="AA535" s="101"/>
      <c r="AB535" s="101"/>
      <c r="AC535" s="101"/>
      <c r="AD535" s="101"/>
      <c r="AE535" s="101"/>
      <c r="AF535" s="101"/>
      <c r="AG535" s="101"/>
      <c r="AH535" s="101"/>
      <c r="AI535" s="101"/>
      <c r="AJ535" s="101"/>
      <c r="AK535" s="101"/>
      <c r="AL535" s="101"/>
      <c r="AM535" s="101"/>
      <c r="AN535" s="101"/>
    </row>
    <row r="536" spans="1:40" ht="16.5" customHeight="1" x14ac:dyDescent="0.3">
      <c r="A536" s="69"/>
      <c r="B536" s="69"/>
      <c r="C536" s="69"/>
      <c r="D536" s="69"/>
      <c r="E536" s="69"/>
      <c r="F536" s="69"/>
      <c r="G536" s="17" t="s">
        <v>1405</v>
      </c>
      <c r="Z536" s="101"/>
      <c r="AA536" s="101"/>
      <c r="AB536" s="101"/>
      <c r="AC536" s="101"/>
      <c r="AD536" s="101"/>
      <c r="AE536" s="101"/>
      <c r="AF536" s="101"/>
      <c r="AG536" s="101"/>
      <c r="AH536" s="101"/>
      <c r="AI536" s="101"/>
      <c r="AJ536" s="101"/>
      <c r="AK536" s="101"/>
      <c r="AL536" s="101"/>
      <c r="AM536" s="101"/>
      <c r="AN536" s="101"/>
    </row>
    <row r="537" spans="1:40" ht="16.5" customHeight="1" x14ac:dyDescent="0.3">
      <c r="A537" s="59" t="s">
        <v>1682</v>
      </c>
      <c r="B537" s="89" t="str">
        <f>"   "&amp;TEXT(I537,"#,##0"&amp;IF(I537&lt;&gt;INT(I537),".###",""))&amp;"  *  "&amp;AA537&amp;" % = "&amp;TEXT(C537,"#,##0.0")&amp;""</f>
        <v xml:space="preserve">   180,518.4  *  2 % = 3,610.3</v>
      </c>
      <c r="C537" s="91">
        <f>E537+D537+F537</f>
        <v>3610.3</v>
      </c>
      <c r="D537" s="91">
        <f>IF(H537=0,0,ROUNDDOWN(J537*H537/100,1))</f>
        <v>0</v>
      </c>
      <c r="E537" s="91">
        <f>IF(H537=0,0,ROUNDDOWN(K537*H537/100,1))</f>
        <v>0</v>
      </c>
      <c r="F537" s="91">
        <f>IF(H537=0,0,ROUNDDOWN(L537*H537/100,1))</f>
        <v>3610.3</v>
      </c>
      <c r="G537" s="17" t="s">
        <v>1681</v>
      </c>
      <c r="H537" s="97">
        <f>ROUNDUP(AC537,14-LEN(ABS(INT(AC537))))</f>
        <v>2</v>
      </c>
      <c r="I537" s="98">
        <f>K537+J537+L537</f>
        <v>180518.39999999999</v>
      </c>
      <c r="J537" s="36">
        <v>0</v>
      </c>
      <c r="K537" s="36">
        <v>0</v>
      </c>
      <c r="L537" s="99">
        <v>180518.39999999999</v>
      </c>
      <c r="M537" s="35" t="s">
        <v>1683</v>
      </c>
      <c r="N537" s="35" t="s">
        <v>1262</v>
      </c>
      <c r="Z537" s="35" t="s">
        <v>1446</v>
      </c>
      <c r="AA537" s="102">
        <v>2</v>
      </c>
      <c r="AB537" s="35" t="s">
        <v>1410</v>
      </c>
      <c r="AC537" s="103">
        <f>1*AA537</f>
        <v>2</v>
      </c>
      <c r="AD537" s="101"/>
      <c r="AE537" s="101"/>
      <c r="AF537" s="101"/>
      <c r="AG537" s="101"/>
      <c r="AH537" s="101"/>
      <c r="AI537" s="101"/>
      <c r="AJ537" s="101"/>
      <c r="AK537" s="101"/>
      <c r="AL537" s="101"/>
      <c r="AM537" s="101"/>
      <c r="AN537" s="101"/>
    </row>
    <row r="538" spans="1:40" ht="16.5" customHeight="1" x14ac:dyDescent="0.3">
      <c r="A538" s="69"/>
      <c r="B538" s="69"/>
      <c r="C538" s="69"/>
      <c r="D538" s="69"/>
      <c r="E538" s="69"/>
      <c r="F538" s="69"/>
      <c r="G538" s="17" t="s">
        <v>1405</v>
      </c>
      <c r="Z538" s="101"/>
      <c r="AA538" s="101"/>
      <c r="AB538" s="101"/>
      <c r="AC538" s="101"/>
      <c r="AD538" s="101"/>
      <c r="AE538" s="101"/>
      <c r="AF538" s="101"/>
      <c r="AG538" s="101"/>
      <c r="AH538" s="101"/>
      <c r="AI538" s="101"/>
      <c r="AJ538" s="101"/>
      <c r="AK538" s="101"/>
      <c r="AL538" s="101"/>
      <c r="AM538" s="101"/>
      <c r="AN538" s="101"/>
    </row>
    <row r="539" spans="1:40" ht="16.5" customHeight="1" x14ac:dyDescent="0.3">
      <c r="A539" s="59"/>
      <c r="B539" s="68" t="s">
        <v>1260</v>
      </c>
      <c r="C539" s="92">
        <f>E539+D539+F539</f>
        <v>184128.7</v>
      </c>
      <c r="D539" s="92">
        <f>SUMIF(N524:N538,M539,D524:D538)</f>
        <v>180518.40000000002</v>
      </c>
      <c r="E539" s="92">
        <f>SUMIF(N524:N538,M539,E524:E538)</f>
        <v>0</v>
      </c>
      <c r="F539" s="92">
        <f>SUMIF(N524:N538,M539,F524:F538)</f>
        <v>3610.3</v>
      </c>
      <c r="G539" s="17" t="s">
        <v>1430</v>
      </c>
      <c r="M539" s="35" t="s">
        <v>1262</v>
      </c>
      <c r="N539" s="35" t="s">
        <v>1253</v>
      </c>
      <c r="Z539" s="101"/>
      <c r="AA539" s="101"/>
      <c r="AB539" s="101"/>
      <c r="AC539" s="101"/>
      <c r="AD539" s="101"/>
      <c r="AE539" s="101"/>
      <c r="AF539" s="101"/>
      <c r="AG539" s="101"/>
      <c r="AH539" s="101"/>
      <c r="AI539" s="101"/>
      <c r="AJ539" s="101"/>
      <c r="AK539" s="101"/>
      <c r="AL539" s="101"/>
      <c r="AM539" s="101"/>
      <c r="AN539" s="101"/>
    </row>
    <row r="540" spans="1:40" ht="16.5" customHeight="1" x14ac:dyDescent="0.3">
      <c r="A540" s="69"/>
      <c r="B540" s="69"/>
      <c r="C540" s="90"/>
      <c r="D540" s="90"/>
      <c r="E540" s="90"/>
      <c r="F540" s="90"/>
      <c r="G540" s="17" t="s">
        <v>1405</v>
      </c>
      <c r="Z540" s="101"/>
      <c r="AA540" s="101"/>
      <c r="AB540" s="101"/>
      <c r="AC540" s="101"/>
      <c r="AD540" s="101"/>
      <c r="AE540" s="101"/>
      <c r="AF540" s="101"/>
      <c r="AG540" s="101"/>
      <c r="AH540" s="101"/>
      <c r="AI540" s="101"/>
      <c r="AJ540" s="101"/>
      <c r="AK540" s="101"/>
      <c r="AL540" s="101"/>
      <c r="AM540" s="101"/>
      <c r="AN540" s="101"/>
    </row>
    <row r="541" spans="1:40" ht="16.5" customHeight="1" x14ac:dyDescent="0.3">
      <c r="A541" s="59"/>
      <c r="B541" s="68" t="s">
        <v>1251</v>
      </c>
      <c r="C541" s="92">
        <f>E541+D541+F541</f>
        <v>335511.09999999998</v>
      </c>
      <c r="D541" s="92">
        <f>SUMIF(N507:N540,M541,D507:D540)</f>
        <v>251342.40000000002</v>
      </c>
      <c r="E541" s="92">
        <f>SUMIF(N507:N540,M541,E507:E540)</f>
        <v>16203.6</v>
      </c>
      <c r="F541" s="92">
        <f>SUMIF(N507:N540,M541,F507:F540)</f>
        <v>67965.100000000006</v>
      </c>
      <c r="G541" s="17" t="s">
        <v>1476</v>
      </c>
      <c r="M541" s="35" t="s">
        <v>1253</v>
      </c>
      <c r="N541" s="35" t="s">
        <v>1209</v>
      </c>
      <c r="Z541" s="101"/>
      <c r="AA541" s="101"/>
      <c r="AB541" s="101"/>
      <c r="AC541" s="101"/>
      <c r="AD541" s="101"/>
      <c r="AE541" s="101"/>
      <c r="AF541" s="101"/>
      <c r="AG541" s="101"/>
      <c r="AH541" s="101"/>
      <c r="AI541" s="101"/>
      <c r="AJ541" s="101"/>
      <c r="AK541" s="101"/>
      <c r="AL541" s="101"/>
      <c r="AM541" s="101"/>
      <c r="AN541" s="101"/>
    </row>
    <row r="542" spans="1:40" ht="16.5" customHeight="1" x14ac:dyDescent="0.3">
      <c r="A542" s="69"/>
      <c r="B542" s="69"/>
      <c r="C542" s="90"/>
      <c r="D542" s="90"/>
      <c r="E542" s="90"/>
      <c r="F542" s="90"/>
      <c r="Z542" s="101"/>
      <c r="AA542" s="101"/>
      <c r="AB542" s="101"/>
      <c r="AC542" s="101"/>
      <c r="AD542" s="101"/>
      <c r="AE542" s="101"/>
      <c r="AF542" s="101"/>
      <c r="AG542" s="101"/>
      <c r="AH542" s="101"/>
      <c r="AI542" s="101"/>
      <c r="AJ542" s="101"/>
      <c r="AK542" s="101"/>
      <c r="AL542" s="101"/>
      <c r="AM542" s="101"/>
      <c r="AN542" s="101"/>
    </row>
    <row r="543" spans="1:40" ht="16.5" customHeight="1" x14ac:dyDescent="0.3">
      <c r="A543" s="69"/>
      <c r="B543" s="69"/>
      <c r="C543" s="69"/>
      <c r="D543" s="69"/>
      <c r="E543" s="69"/>
      <c r="F543" s="69"/>
      <c r="Z543" s="101"/>
      <c r="AA543" s="101"/>
      <c r="AB543" s="101"/>
      <c r="AC543" s="101"/>
      <c r="AD543" s="101"/>
      <c r="AE543" s="101"/>
      <c r="AF543" s="101"/>
      <c r="AG543" s="101"/>
      <c r="AH543" s="101"/>
      <c r="AI543" s="101"/>
      <c r="AJ543" s="101"/>
      <c r="AK543" s="101"/>
      <c r="AL543" s="101"/>
      <c r="AM543" s="101"/>
      <c r="AN543" s="101"/>
    </row>
    <row r="544" spans="1:40" ht="16.5" customHeight="1" x14ac:dyDescent="0.3">
      <c r="A544" s="69"/>
      <c r="B544" s="69"/>
      <c r="C544" s="69"/>
      <c r="D544" s="69"/>
      <c r="E544" s="69"/>
      <c r="F544" s="69"/>
      <c r="Z544" s="101"/>
      <c r="AA544" s="101"/>
      <c r="AB544" s="101"/>
      <c r="AC544" s="101"/>
      <c r="AD544" s="101"/>
      <c r="AE544" s="101"/>
      <c r="AF544" s="101"/>
      <c r="AG544" s="101"/>
      <c r="AH544" s="101"/>
      <c r="AI544" s="101"/>
      <c r="AJ544" s="101"/>
      <c r="AK544" s="101"/>
      <c r="AL544" s="101"/>
      <c r="AM544" s="101"/>
      <c r="AN544" s="101"/>
    </row>
    <row r="545" spans="1:40" ht="16.5" customHeight="1" x14ac:dyDescent="0.3">
      <c r="A545" s="69"/>
      <c r="B545" s="69"/>
      <c r="C545" s="69"/>
      <c r="D545" s="69"/>
      <c r="E545" s="69"/>
      <c r="F545" s="69"/>
      <c r="Z545" s="101"/>
      <c r="AA545" s="101"/>
      <c r="AB545" s="101"/>
      <c r="AC545" s="101"/>
      <c r="AD545" s="101"/>
      <c r="AE545" s="101"/>
      <c r="AF545" s="101"/>
      <c r="AG545" s="101"/>
      <c r="AH545" s="101"/>
      <c r="AI545" s="101"/>
      <c r="AJ545" s="101"/>
      <c r="AK545" s="101"/>
      <c r="AL545" s="101"/>
      <c r="AM545" s="101"/>
      <c r="AN545" s="101"/>
    </row>
    <row r="546" spans="1:40" ht="16.5" customHeight="1" x14ac:dyDescent="0.3">
      <c r="A546" s="69"/>
      <c r="B546" s="69"/>
      <c r="C546" s="69"/>
      <c r="D546" s="69"/>
      <c r="E546" s="69"/>
      <c r="F546" s="69"/>
      <c r="Z546" s="101"/>
      <c r="AA546" s="101"/>
      <c r="AB546" s="101"/>
      <c r="AC546" s="101"/>
      <c r="AD546" s="101"/>
      <c r="AE546" s="101"/>
      <c r="AF546" s="101"/>
      <c r="AG546" s="101"/>
      <c r="AH546" s="101"/>
      <c r="AI546" s="101"/>
      <c r="AJ546" s="101"/>
      <c r="AK546" s="101"/>
      <c r="AL546" s="101"/>
      <c r="AM546" s="101"/>
      <c r="AN546" s="101"/>
    </row>
    <row r="547" spans="1:40" ht="16.5" customHeight="1" x14ac:dyDescent="0.3">
      <c r="A547" s="69"/>
      <c r="B547" s="69"/>
      <c r="C547" s="69"/>
      <c r="D547" s="69"/>
      <c r="E547" s="69"/>
      <c r="F547" s="69"/>
      <c r="Z547" s="101"/>
      <c r="AA547" s="101"/>
      <c r="AB547" s="101"/>
      <c r="AC547" s="101"/>
      <c r="AD547" s="101"/>
      <c r="AE547" s="101"/>
      <c r="AF547" s="101"/>
      <c r="AG547" s="101"/>
      <c r="AH547" s="101"/>
      <c r="AI547" s="101"/>
      <c r="AJ547" s="101"/>
      <c r="AK547" s="101"/>
      <c r="AL547" s="101"/>
      <c r="AM547" s="101"/>
      <c r="AN547" s="101"/>
    </row>
    <row r="548" spans="1:40" ht="16.5" customHeight="1" x14ac:dyDescent="0.3">
      <c r="A548" s="69"/>
      <c r="B548" s="69"/>
      <c r="C548" s="69"/>
      <c r="D548" s="69"/>
      <c r="E548" s="69"/>
      <c r="F548" s="69"/>
      <c r="Z548" s="101"/>
      <c r="AA548" s="101"/>
      <c r="AB548" s="101"/>
      <c r="AC548" s="101"/>
      <c r="AD548" s="101"/>
      <c r="AE548" s="101"/>
      <c r="AF548" s="101"/>
      <c r="AG548" s="101"/>
      <c r="AH548" s="101"/>
      <c r="AI548" s="101"/>
      <c r="AJ548" s="101"/>
      <c r="AK548" s="101"/>
      <c r="AL548" s="101"/>
      <c r="AM548" s="101"/>
      <c r="AN548" s="101"/>
    </row>
    <row r="549" spans="1:40" ht="16.5" customHeight="1" x14ac:dyDescent="0.3">
      <c r="A549" s="69"/>
      <c r="B549" s="69"/>
      <c r="C549" s="69"/>
      <c r="D549" s="69"/>
      <c r="E549" s="69"/>
      <c r="F549" s="69"/>
      <c r="Z549" s="101"/>
      <c r="AA549" s="101"/>
      <c r="AB549" s="101"/>
      <c r="AC549" s="101"/>
      <c r="AD549" s="101"/>
      <c r="AE549" s="101"/>
      <c r="AF549" s="101"/>
      <c r="AG549" s="101"/>
      <c r="AH549" s="101"/>
      <c r="AI549" s="101"/>
      <c r="AJ549" s="101"/>
      <c r="AK549" s="101"/>
      <c r="AL549" s="101"/>
      <c r="AM549" s="101"/>
      <c r="AN549" s="101"/>
    </row>
    <row r="550" spans="1:40" ht="16.5" customHeight="1" x14ac:dyDescent="0.3">
      <c r="A550" s="69"/>
      <c r="B550" s="69"/>
      <c r="C550" s="69"/>
      <c r="D550" s="69"/>
      <c r="E550" s="69"/>
      <c r="F550" s="69"/>
      <c r="Z550" s="101"/>
      <c r="AA550" s="101"/>
      <c r="AB550" s="101"/>
      <c r="AC550" s="101"/>
      <c r="AD550" s="101"/>
      <c r="AE550" s="101"/>
      <c r="AF550" s="101"/>
      <c r="AG550" s="101"/>
      <c r="AH550" s="101"/>
      <c r="AI550" s="101"/>
      <c r="AJ550" s="101"/>
      <c r="AK550" s="101"/>
      <c r="AL550" s="101"/>
      <c r="AM550" s="101"/>
      <c r="AN550" s="101"/>
    </row>
    <row r="551" spans="1:40" ht="16.5" customHeight="1" x14ac:dyDescent="0.3">
      <c r="A551" s="69"/>
      <c r="B551" s="69"/>
      <c r="C551" s="69"/>
      <c r="D551" s="69"/>
      <c r="E551" s="69"/>
      <c r="F551" s="69"/>
      <c r="Z551" s="101"/>
      <c r="AA551" s="101"/>
      <c r="AB551" s="101"/>
      <c r="AC551" s="101"/>
      <c r="AD551" s="101"/>
      <c r="AE551" s="101"/>
      <c r="AF551" s="101"/>
      <c r="AG551" s="101"/>
      <c r="AH551" s="101"/>
      <c r="AI551" s="101"/>
      <c r="AJ551" s="101"/>
      <c r="AK551" s="101"/>
      <c r="AL551" s="101"/>
      <c r="AM551" s="101"/>
      <c r="AN551" s="101"/>
    </row>
    <row r="552" spans="1:40" ht="16.5" customHeight="1" x14ac:dyDescent="0.3">
      <c r="A552" s="69"/>
      <c r="B552" s="69"/>
      <c r="C552" s="69"/>
      <c r="D552" s="69"/>
      <c r="E552" s="69"/>
      <c r="F552" s="69"/>
      <c r="Z552" s="101"/>
      <c r="AA552" s="101"/>
      <c r="AB552" s="101"/>
      <c r="AC552" s="101"/>
      <c r="AD552" s="101"/>
      <c r="AE552" s="101"/>
      <c r="AF552" s="101"/>
      <c r="AG552" s="101"/>
      <c r="AH552" s="101"/>
      <c r="AI552" s="101"/>
      <c r="AJ552" s="101"/>
      <c r="AK552" s="101"/>
      <c r="AL552" s="101"/>
      <c r="AM552" s="101"/>
      <c r="AN552" s="101"/>
    </row>
    <row r="553" spans="1:40" ht="16.5" customHeight="1" x14ac:dyDescent="0.3">
      <c r="A553" s="74"/>
      <c r="B553" s="74"/>
      <c r="C553" s="74"/>
      <c r="D553" s="74"/>
      <c r="E553" s="74"/>
      <c r="F553" s="74"/>
      <c r="Z553" s="101"/>
      <c r="AA553" s="101"/>
      <c r="AB553" s="101"/>
      <c r="AC553" s="101"/>
      <c r="AD553" s="101"/>
      <c r="AE553" s="101"/>
      <c r="AF553" s="101"/>
      <c r="AG553" s="101"/>
      <c r="AH553" s="101"/>
      <c r="AI553" s="101"/>
      <c r="AJ553" s="101"/>
      <c r="AK553" s="101"/>
      <c r="AL553" s="101"/>
      <c r="AM553" s="101"/>
      <c r="AN553" s="101"/>
    </row>
    <row r="554" spans="1:40" ht="16.5" customHeight="1" x14ac:dyDescent="0.3">
      <c r="A554" s="150" t="s">
        <v>1477</v>
      </c>
      <c r="B554" s="143"/>
      <c r="C554" s="47">
        <f>E554+D554+F554</f>
        <v>335510</v>
      </c>
      <c r="D554" s="46">
        <f>ROUNDDOWN(SUMIF(N507:N541,M554,D507:D541),0)</f>
        <v>251342</v>
      </c>
      <c r="E554" s="55">
        <f>ROUNDDOWN(SUMIF(N507:N541,M554,E507:E541),0)</f>
        <v>16203</v>
      </c>
      <c r="F554" s="47">
        <f>ROUNDDOWN(SUMIF(N507:N541,M554,F507:F541),0)</f>
        <v>67965</v>
      </c>
      <c r="M554" s="35" t="s">
        <v>1209</v>
      </c>
      <c r="Z554" s="101"/>
      <c r="AA554" s="101"/>
      <c r="AB554" s="101"/>
      <c r="AC554" s="101"/>
      <c r="AD554" s="101"/>
      <c r="AE554" s="101"/>
      <c r="AF554" s="101"/>
      <c r="AG554" s="101"/>
      <c r="AH554" s="101"/>
      <c r="AI554" s="101"/>
      <c r="AJ554" s="101"/>
      <c r="AK554" s="101"/>
      <c r="AL554" s="101"/>
      <c r="AM554" s="101"/>
      <c r="AN554" s="101"/>
    </row>
    <row r="555" spans="1:40" ht="16.5" customHeight="1" x14ac:dyDescent="0.3">
      <c r="A555" s="86" t="s">
        <v>52</v>
      </c>
      <c r="B555" s="88" t="s">
        <v>52</v>
      </c>
      <c r="C555" s="151">
        <f>C604</f>
        <v>27750</v>
      </c>
      <c r="D555" s="151">
        <f>D604</f>
        <v>27750</v>
      </c>
      <c r="E555" s="151">
        <f>E604</f>
        <v>0</v>
      </c>
      <c r="F555" s="151">
        <f>F604</f>
        <v>0</v>
      </c>
      <c r="G555" s="84" t="str">
        <f>HYPERLINK("#G"&amp;ROW(G572),"_x0005_`BDCOD|D02908_x0007_`POSS|"&amp;ROW(G557)&amp;"_x0007_`POSE|"&amp;ROW(G572)&amp;"_x0007_`")</f>
        <v>_x0005_`BDCOD|D02908_x0007_`POSS|557_x0007_`POSE|572_x0007_`</v>
      </c>
      <c r="Z555" s="101"/>
      <c r="AA555" s="101"/>
      <c r="AB555" s="101"/>
      <c r="AC555" s="101"/>
      <c r="AD555" s="101"/>
      <c r="AE555" s="101"/>
      <c r="AF555" s="101"/>
      <c r="AG555" s="101"/>
      <c r="AH555" s="101"/>
      <c r="AI555" s="101"/>
      <c r="AJ555" s="101"/>
      <c r="AK555" s="101"/>
      <c r="AL555" s="101"/>
      <c r="AM555" s="101"/>
      <c r="AN555" s="101"/>
    </row>
    <row r="556" spans="1:40" ht="16.5" customHeight="1" x14ac:dyDescent="0.3">
      <c r="A556" s="87"/>
      <c r="B556" s="88" t="s">
        <v>153</v>
      </c>
      <c r="C556" s="136"/>
      <c r="D556" s="136"/>
      <c r="E556" s="136"/>
      <c r="F556" s="136"/>
      <c r="M556" s="35" t="s">
        <v>1684</v>
      </c>
      <c r="Z556" s="101"/>
      <c r="AA556" s="101"/>
      <c r="AB556" s="101"/>
      <c r="AC556" s="101"/>
      <c r="AD556" s="101"/>
      <c r="AE556" s="101"/>
      <c r="AF556" s="101"/>
      <c r="AG556" s="101"/>
      <c r="AH556" s="101"/>
      <c r="AI556" s="101"/>
      <c r="AJ556" s="101"/>
      <c r="AK556" s="101"/>
      <c r="AL556" s="101"/>
      <c r="AM556" s="101"/>
      <c r="AN556" s="101"/>
    </row>
    <row r="557" spans="1:40" ht="16.5" customHeight="1" x14ac:dyDescent="0.3">
      <c r="A557" s="69"/>
      <c r="B557" s="69"/>
      <c r="C557" s="90"/>
      <c r="D557" s="90"/>
      <c r="E557" s="90"/>
      <c r="F557" s="90"/>
      <c r="G557" s="17" t="s">
        <v>1405</v>
      </c>
      <c r="Z557" s="101"/>
      <c r="AA557" s="101"/>
      <c r="AB557" s="101"/>
      <c r="AC557" s="101"/>
      <c r="AD557" s="101"/>
      <c r="AE557" s="101"/>
      <c r="AF557" s="101"/>
      <c r="AG557" s="101"/>
      <c r="AH557" s="101"/>
      <c r="AI557" s="101"/>
      <c r="AJ557" s="101"/>
      <c r="AK557" s="101"/>
      <c r="AL557" s="101"/>
      <c r="AM557" s="101"/>
      <c r="AN557" s="101"/>
    </row>
    <row r="558" spans="1:40" ht="16.5" customHeight="1" x14ac:dyDescent="0.3">
      <c r="A558" s="59"/>
      <c r="B558" s="68" t="s">
        <v>1686</v>
      </c>
      <c r="C558" s="69"/>
      <c r="D558" s="69"/>
      <c r="E558" s="69"/>
      <c r="F558" s="69"/>
      <c r="G558" s="17" t="s">
        <v>1685</v>
      </c>
      <c r="Z558" s="101"/>
      <c r="AA558" s="101"/>
      <c r="AB558" s="101"/>
      <c r="AC558" s="101"/>
      <c r="AD558" s="101"/>
      <c r="AE558" s="101"/>
      <c r="AF558" s="101"/>
      <c r="AG558" s="101"/>
      <c r="AH558" s="101"/>
      <c r="AI558" s="101"/>
      <c r="AJ558" s="101"/>
      <c r="AK558" s="101"/>
      <c r="AL558" s="101"/>
      <c r="AM558" s="101"/>
      <c r="AN558" s="101"/>
    </row>
    <row r="559" spans="1:40" ht="16.5" customHeight="1" x14ac:dyDescent="0.3">
      <c r="A559" s="69"/>
      <c r="B559" s="69"/>
      <c r="C559" s="69"/>
      <c r="D559" s="69"/>
      <c r="E559" s="69"/>
      <c r="F559" s="69"/>
      <c r="G559" s="17" t="s">
        <v>1405</v>
      </c>
      <c r="Z559" s="101"/>
      <c r="AA559" s="101"/>
      <c r="AB559" s="101"/>
      <c r="AC559" s="101"/>
      <c r="AD559" s="101"/>
      <c r="AE559" s="101"/>
      <c r="AF559" s="101"/>
      <c r="AG559" s="101"/>
      <c r="AH559" s="101"/>
      <c r="AI559" s="101"/>
      <c r="AJ559" s="101"/>
      <c r="AK559" s="101"/>
      <c r="AL559" s="101"/>
      <c r="AM559" s="101"/>
      <c r="AN559" s="101"/>
    </row>
    <row r="560" spans="1:40" ht="16.5" customHeight="1" x14ac:dyDescent="0.3">
      <c r="A560" s="59" t="s">
        <v>1688</v>
      </c>
      <c r="B560" s="89" t="str">
        <f>"   맨홀뚜껑(관급) : "&amp;TEXT(I560,"#,##0"&amp;IF(I560&lt;&gt;INT(I560),".###",""))&amp;" * "&amp;AA560&amp;" 조  = "&amp;TEXT(C560,"#,##0.0")&amp;""</f>
        <v xml:space="preserve">   맨홀뚜껑(관급) : 555,000 * 1 조  = 555,000.0</v>
      </c>
      <c r="C560" s="91">
        <f>E560+D560+F560</f>
        <v>555000</v>
      </c>
      <c r="D560" s="91">
        <f>IF(H560=0,0,ROUNDDOWN(J560*H560,1))</f>
        <v>0</v>
      </c>
      <c r="E560" s="91">
        <f>IF(H560=0,0,ROUNDDOWN(K560*H560,1))</f>
        <v>555000</v>
      </c>
      <c r="F560" s="91">
        <f>IF(H560=0,0,ROUNDDOWN(L560*H560,1))</f>
        <v>0</v>
      </c>
      <c r="G560" s="17" t="s">
        <v>1687</v>
      </c>
      <c r="H560" s="97">
        <f>ROUNDUP(AC560,14-LEN(ABS(INT(AC560))))</f>
        <v>1</v>
      </c>
      <c r="I560" s="98">
        <f>K560+J560+L560</f>
        <v>555000</v>
      </c>
      <c r="K560" s="38">
        <f>재료비목록표!E25</f>
        <v>555000</v>
      </c>
      <c r="M560" s="35" t="s">
        <v>1056</v>
      </c>
      <c r="N560" s="35" t="s">
        <v>1689</v>
      </c>
      <c r="O560" s="35" t="s">
        <v>1214</v>
      </c>
      <c r="X560" s="100" t="str">
        <f>재료비목록표!B25&amp;" / "&amp;재료비목록표!C25</f>
        <v>맨홀뚜껑(관급) / 상수도용φ648 DKC-648251</v>
      </c>
      <c r="Y560" s="3" t="str">
        <f ca="1">HYPERLINK("#"&amp;재료비목록표!G2&amp;"!A"&amp;ROW(재료비목록표!A25),"자재22 →")</f>
        <v>자재22 →</v>
      </c>
      <c r="Z560" s="35" t="s">
        <v>1446</v>
      </c>
      <c r="AA560" s="102">
        <v>1</v>
      </c>
      <c r="AB560" s="35" t="s">
        <v>1410</v>
      </c>
      <c r="AC560" s="103">
        <f>1*AA560</f>
        <v>1</v>
      </c>
      <c r="AD560" s="101"/>
      <c r="AE560" s="101"/>
      <c r="AF560" s="101"/>
      <c r="AG560" s="101"/>
      <c r="AH560" s="101"/>
      <c r="AI560" s="101"/>
      <c r="AJ560" s="101"/>
      <c r="AK560" s="101"/>
      <c r="AL560" s="101"/>
      <c r="AM560" s="101"/>
      <c r="AN560" s="101"/>
    </row>
    <row r="561" spans="1:40" ht="16.5" customHeight="1" x14ac:dyDescent="0.3">
      <c r="A561" s="69"/>
      <c r="B561" s="69"/>
      <c r="C561" s="69"/>
      <c r="D561" s="69"/>
      <c r="E561" s="69"/>
      <c r="F561" s="69"/>
      <c r="G561" s="17" t="s">
        <v>1405</v>
      </c>
      <c r="Z561" s="101"/>
      <c r="AA561" s="101"/>
      <c r="AB561" s="101"/>
      <c r="AC561" s="101"/>
      <c r="AD561" s="101"/>
      <c r="AE561" s="101"/>
      <c r="AF561" s="101"/>
      <c r="AG561" s="101"/>
      <c r="AH561" s="101"/>
      <c r="AI561" s="101"/>
      <c r="AJ561" s="101"/>
      <c r="AK561" s="101"/>
      <c r="AL561" s="101"/>
      <c r="AM561" s="101"/>
      <c r="AN561" s="101"/>
    </row>
    <row r="562" spans="1:40" ht="16.5" customHeight="1" x14ac:dyDescent="0.3">
      <c r="A562" s="59"/>
      <c r="B562" s="68" t="s">
        <v>1260</v>
      </c>
      <c r="C562" s="92">
        <f>E562+D562+F562</f>
        <v>0</v>
      </c>
      <c r="D562" s="92">
        <f>SUMIF(N557:N561,M562,D557:D561)</f>
        <v>0</v>
      </c>
      <c r="E562" s="92">
        <f>SUMIF(N557:N561,M562,E557:E561)</f>
        <v>0</v>
      </c>
      <c r="F562" s="92">
        <f>SUMIF(N557:N561,M562,F557:F561)</f>
        <v>0</v>
      </c>
      <c r="G562" s="17" t="s">
        <v>1430</v>
      </c>
      <c r="M562" s="35" t="s">
        <v>1262</v>
      </c>
      <c r="N562" s="35" t="s">
        <v>1253</v>
      </c>
      <c r="Z562" s="101"/>
      <c r="AA562" s="101"/>
      <c r="AB562" s="101"/>
      <c r="AC562" s="101"/>
      <c r="AD562" s="101"/>
      <c r="AE562" s="101"/>
      <c r="AF562" s="101"/>
      <c r="AG562" s="101"/>
      <c r="AH562" s="101"/>
      <c r="AI562" s="101"/>
      <c r="AJ562" s="101"/>
      <c r="AK562" s="101"/>
      <c r="AL562" s="101"/>
      <c r="AM562" s="101"/>
      <c r="AN562" s="101"/>
    </row>
    <row r="563" spans="1:40" ht="16.5" customHeight="1" x14ac:dyDescent="0.3">
      <c r="A563" s="69"/>
      <c r="B563" s="69"/>
      <c r="C563" s="90"/>
      <c r="D563" s="90"/>
      <c r="E563" s="90"/>
      <c r="F563" s="90"/>
      <c r="G563" s="17" t="s">
        <v>1405</v>
      </c>
      <c r="Z563" s="101"/>
      <c r="AA563" s="101"/>
      <c r="AB563" s="101"/>
      <c r="AC563" s="101"/>
      <c r="AD563" s="101"/>
      <c r="AE563" s="101"/>
      <c r="AF563" s="101"/>
      <c r="AG563" s="101"/>
      <c r="AH563" s="101"/>
      <c r="AI563" s="101"/>
      <c r="AJ563" s="101"/>
      <c r="AK563" s="101"/>
      <c r="AL563" s="101"/>
      <c r="AM563" s="101"/>
      <c r="AN563" s="101"/>
    </row>
    <row r="564" spans="1:40" ht="16.5" customHeight="1" x14ac:dyDescent="0.3">
      <c r="A564" s="69"/>
      <c r="B564" s="69"/>
      <c r="C564" s="69"/>
      <c r="D564" s="69"/>
      <c r="E564" s="69"/>
      <c r="F564" s="69"/>
      <c r="G564" s="17" t="s">
        <v>1405</v>
      </c>
      <c r="Z564" s="101"/>
      <c r="AA564" s="101"/>
      <c r="AB564" s="101"/>
      <c r="AC564" s="101"/>
      <c r="AD564" s="101"/>
      <c r="AE564" s="101"/>
      <c r="AF564" s="101"/>
      <c r="AG564" s="101"/>
      <c r="AH564" s="101"/>
      <c r="AI564" s="101"/>
      <c r="AJ564" s="101"/>
      <c r="AK564" s="101"/>
      <c r="AL564" s="101"/>
      <c r="AM564" s="101"/>
      <c r="AN564" s="101"/>
    </row>
    <row r="565" spans="1:40" ht="16.5" customHeight="1" x14ac:dyDescent="0.3">
      <c r="A565" s="59"/>
      <c r="B565" s="68" t="s">
        <v>1691</v>
      </c>
      <c r="C565" s="69"/>
      <c r="D565" s="69"/>
      <c r="E565" s="69"/>
      <c r="F565" s="69"/>
      <c r="G565" s="17" t="s">
        <v>1690</v>
      </c>
      <c r="Z565" s="101"/>
      <c r="AA565" s="101"/>
      <c r="AB565" s="101"/>
      <c r="AC565" s="101"/>
      <c r="AD565" s="101"/>
      <c r="AE565" s="101"/>
      <c r="AF565" s="101"/>
      <c r="AG565" s="101"/>
      <c r="AH565" s="101"/>
      <c r="AI565" s="101"/>
      <c r="AJ565" s="101"/>
      <c r="AK565" s="101"/>
      <c r="AL565" s="101"/>
      <c r="AM565" s="101"/>
      <c r="AN565" s="101"/>
    </row>
    <row r="566" spans="1:40" ht="16.5" customHeight="1" x14ac:dyDescent="0.3">
      <c r="A566" s="69"/>
      <c r="B566" s="69"/>
      <c r="C566" s="69"/>
      <c r="D566" s="69"/>
      <c r="E566" s="69"/>
      <c r="F566" s="69"/>
      <c r="G566" s="17" t="s">
        <v>1405</v>
      </c>
      <c r="Z566" s="101"/>
      <c r="AA566" s="101"/>
      <c r="AB566" s="101"/>
      <c r="AC566" s="101"/>
      <c r="AD566" s="101"/>
      <c r="AE566" s="101"/>
      <c r="AF566" s="101"/>
      <c r="AG566" s="101"/>
      <c r="AH566" s="101"/>
      <c r="AI566" s="101"/>
      <c r="AJ566" s="101"/>
      <c r="AK566" s="101"/>
      <c r="AL566" s="101"/>
      <c r="AM566" s="101"/>
      <c r="AN566" s="101"/>
    </row>
    <row r="567" spans="1:40" ht="16.5" customHeight="1" x14ac:dyDescent="0.3">
      <c r="A567" s="59"/>
      <c r="B567" s="89" t="str">
        <f>"   손료계산 : "&amp;TEXT(I567,"#,##0.0")&amp;" * "&amp;AA567&amp;" %  = "&amp;TEXT(C567,"#,##0.0")&amp;""</f>
        <v xml:space="preserve">   손료계산 : 555,000.0 * 5 %  = 27,750.0</v>
      </c>
      <c r="C567" s="91">
        <f>E567+D567+F567</f>
        <v>27750</v>
      </c>
      <c r="D567" s="91">
        <f>IF(H567=0,0,ROUNDDOWN(J567*H567/100,1))</f>
        <v>27750</v>
      </c>
      <c r="E567" s="91">
        <f>IF(H567=0,0,ROUNDDOWN(K567*H567/100,1))</f>
        <v>0</v>
      </c>
      <c r="F567" s="91">
        <f>IF(H567=0,0,ROUNDDOWN(L567*H567/100,1))</f>
        <v>0</v>
      </c>
      <c r="G567" s="17" t="s">
        <v>1692</v>
      </c>
      <c r="H567" s="97">
        <f>ROUNDUP(AC567,14-LEN(ABS(INT(AC567))))</f>
        <v>5</v>
      </c>
      <c r="I567" s="98">
        <f>K567+J567+L567</f>
        <v>555000</v>
      </c>
      <c r="J567" s="38">
        <f>E560</f>
        <v>555000</v>
      </c>
      <c r="K567" s="36">
        <v>0</v>
      </c>
      <c r="L567" s="36">
        <v>0</v>
      </c>
      <c r="M567" s="35" t="s">
        <v>1059</v>
      </c>
      <c r="N567" s="35" t="s">
        <v>1262</v>
      </c>
      <c r="Z567" s="35" t="s">
        <v>1446</v>
      </c>
      <c r="AA567" s="102">
        <v>5</v>
      </c>
      <c r="AB567" s="35" t="s">
        <v>1410</v>
      </c>
      <c r="AC567" s="103">
        <f>1*AA567</f>
        <v>5</v>
      </c>
      <c r="AD567" s="101"/>
      <c r="AE567" s="101"/>
      <c r="AF567" s="101"/>
      <c r="AG567" s="101"/>
      <c r="AH567" s="101"/>
      <c r="AI567" s="101"/>
      <c r="AJ567" s="101"/>
      <c r="AK567" s="101"/>
      <c r="AL567" s="101"/>
      <c r="AM567" s="101"/>
      <c r="AN567" s="101"/>
    </row>
    <row r="568" spans="1:40" ht="16.5" customHeight="1" x14ac:dyDescent="0.3">
      <c r="A568" s="69"/>
      <c r="B568" s="69"/>
      <c r="C568" s="69"/>
      <c r="D568" s="69"/>
      <c r="E568" s="69"/>
      <c r="F568" s="69"/>
      <c r="G568" s="17" t="s">
        <v>1405</v>
      </c>
      <c r="Z568" s="101"/>
      <c r="AA568" s="101"/>
      <c r="AB568" s="101"/>
      <c r="AC568" s="101"/>
      <c r="AD568" s="101"/>
      <c r="AE568" s="101"/>
      <c r="AF568" s="101"/>
      <c r="AG568" s="101"/>
      <c r="AH568" s="101"/>
      <c r="AI568" s="101"/>
      <c r="AJ568" s="101"/>
      <c r="AK568" s="101"/>
      <c r="AL568" s="101"/>
      <c r="AM568" s="101"/>
      <c r="AN568" s="101"/>
    </row>
    <row r="569" spans="1:40" ht="16.5" customHeight="1" x14ac:dyDescent="0.3">
      <c r="A569" s="59"/>
      <c r="B569" s="68" t="s">
        <v>1260</v>
      </c>
      <c r="C569" s="92">
        <f>E569+D569+F569</f>
        <v>27750</v>
      </c>
      <c r="D569" s="92">
        <f>SUMIF(N563:N568,M569,D563:D568)</f>
        <v>27750</v>
      </c>
      <c r="E569" s="92">
        <f>SUMIF(N563:N568,M569,E563:E568)</f>
        <v>0</v>
      </c>
      <c r="F569" s="92">
        <f>SUMIF(N563:N568,M569,F563:F568)</f>
        <v>0</v>
      </c>
      <c r="G569" s="17" t="s">
        <v>1430</v>
      </c>
      <c r="M569" s="35" t="s">
        <v>1262</v>
      </c>
      <c r="N569" s="35" t="s">
        <v>1253</v>
      </c>
      <c r="Z569" s="101"/>
      <c r="AA569" s="101"/>
      <c r="AB569" s="101"/>
      <c r="AC569" s="101"/>
      <c r="AD569" s="101"/>
      <c r="AE569" s="101"/>
      <c r="AF569" s="101"/>
      <c r="AG569" s="101"/>
      <c r="AH569" s="101"/>
      <c r="AI569" s="101"/>
      <c r="AJ569" s="101"/>
      <c r="AK569" s="101"/>
      <c r="AL569" s="101"/>
      <c r="AM569" s="101"/>
      <c r="AN569" s="101"/>
    </row>
    <row r="570" spans="1:40" ht="16.5" customHeight="1" x14ac:dyDescent="0.3">
      <c r="A570" s="69"/>
      <c r="B570" s="69"/>
      <c r="C570" s="90"/>
      <c r="D570" s="90"/>
      <c r="E570" s="90"/>
      <c r="F570" s="90"/>
      <c r="G570" s="17" t="s">
        <v>1405</v>
      </c>
      <c r="Z570" s="101"/>
      <c r="AA570" s="101"/>
      <c r="AB570" s="101"/>
      <c r="AC570" s="101"/>
      <c r="AD570" s="101"/>
      <c r="AE570" s="101"/>
      <c r="AF570" s="101"/>
      <c r="AG570" s="101"/>
      <c r="AH570" s="101"/>
      <c r="AI570" s="101"/>
      <c r="AJ570" s="101"/>
      <c r="AK570" s="101"/>
      <c r="AL570" s="101"/>
      <c r="AM570" s="101"/>
      <c r="AN570" s="101"/>
    </row>
    <row r="571" spans="1:40" ht="16.5" customHeight="1" x14ac:dyDescent="0.3">
      <c r="A571" s="59"/>
      <c r="B571" s="68" t="s">
        <v>1251</v>
      </c>
      <c r="C571" s="92">
        <f>E571+D571+F571</f>
        <v>27750</v>
      </c>
      <c r="D571" s="92">
        <f>SUMIF(N557:N570,M571,D557:D570)</f>
        <v>27750</v>
      </c>
      <c r="E571" s="92">
        <f>SUMIF(N557:N570,M571,E557:E570)</f>
        <v>0</v>
      </c>
      <c r="F571" s="92">
        <f>SUMIF(N557:N570,M571,F557:F570)</f>
        <v>0</v>
      </c>
      <c r="G571" s="17" t="s">
        <v>1476</v>
      </c>
      <c r="M571" s="35" t="s">
        <v>1253</v>
      </c>
      <c r="N571" s="35" t="s">
        <v>1209</v>
      </c>
      <c r="Z571" s="101"/>
      <c r="AA571" s="101"/>
      <c r="AB571" s="101"/>
      <c r="AC571" s="101"/>
      <c r="AD571" s="101"/>
      <c r="AE571" s="101"/>
      <c r="AF571" s="101"/>
      <c r="AG571" s="101"/>
      <c r="AH571" s="101"/>
      <c r="AI571" s="101"/>
      <c r="AJ571" s="101"/>
      <c r="AK571" s="101"/>
      <c r="AL571" s="101"/>
      <c r="AM571" s="101"/>
      <c r="AN571" s="101"/>
    </row>
    <row r="572" spans="1:40" ht="16.5" customHeight="1" x14ac:dyDescent="0.3">
      <c r="A572" s="69"/>
      <c r="B572" s="69"/>
      <c r="C572" s="90"/>
      <c r="D572" s="90"/>
      <c r="E572" s="90"/>
      <c r="F572" s="90"/>
      <c r="G572" s="17" t="s">
        <v>1512</v>
      </c>
      <c r="Z572" s="101"/>
      <c r="AA572" s="101"/>
      <c r="AB572" s="101"/>
      <c r="AC572" s="101"/>
      <c r="AD572" s="101"/>
      <c r="AE572" s="101"/>
      <c r="AF572" s="101"/>
      <c r="AG572" s="101"/>
      <c r="AH572" s="101"/>
      <c r="AI572" s="101"/>
      <c r="AJ572" s="101"/>
      <c r="AK572" s="101"/>
      <c r="AL572" s="101"/>
      <c r="AM572" s="101"/>
      <c r="AN572" s="101"/>
    </row>
    <row r="573" spans="1:40" ht="16.5" customHeight="1" x14ac:dyDescent="0.3">
      <c r="A573" s="69"/>
      <c r="B573" s="69"/>
      <c r="C573" s="69"/>
      <c r="D573" s="69"/>
      <c r="E573" s="69"/>
      <c r="F573" s="69"/>
      <c r="Z573" s="101"/>
      <c r="AA573" s="101"/>
      <c r="AB573" s="101"/>
      <c r="AC573" s="101"/>
      <c r="AD573" s="101"/>
      <c r="AE573" s="101"/>
      <c r="AF573" s="101"/>
      <c r="AG573" s="101"/>
      <c r="AH573" s="101"/>
      <c r="AI573" s="101"/>
      <c r="AJ573" s="101"/>
      <c r="AK573" s="101"/>
      <c r="AL573" s="101"/>
      <c r="AM573" s="101"/>
      <c r="AN573" s="101"/>
    </row>
    <row r="574" spans="1:40" ht="16.5" customHeight="1" x14ac:dyDescent="0.3">
      <c r="A574" s="69"/>
      <c r="B574" s="69"/>
      <c r="C574" s="69"/>
      <c r="D574" s="69"/>
      <c r="E574" s="69"/>
      <c r="F574" s="69"/>
      <c r="Z574" s="101"/>
      <c r="AA574" s="101"/>
      <c r="AB574" s="101"/>
      <c r="AC574" s="101"/>
      <c r="AD574" s="101"/>
      <c r="AE574" s="101"/>
      <c r="AF574" s="101"/>
      <c r="AG574" s="101"/>
      <c r="AH574" s="101"/>
      <c r="AI574" s="101"/>
      <c r="AJ574" s="101"/>
      <c r="AK574" s="101"/>
      <c r="AL574" s="101"/>
      <c r="AM574" s="101"/>
      <c r="AN574" s="101"/>
    </row>
    <row r="575" spans="1:40" ht="16.5" customHeight="1" x14ac:dyDescent="0.3">
      <c r="A575" s="69"/>
      <c r="B575" s="69"/>
      <c r="C575" s="69"/>
      <c r="D575" s="69"/>
      <c r="E575" s="69"/>
      <c r="F575" s="69"/>
      <c r="Z575" s="101"/>
      <c r="AA575" s="101"/>
      <c r="AB575" s="101"/>
      <c r="AC575" s="101"/>
      <c r="AD575" s="101"/>
      <c r="AE575" s="101"/>
      <c r="AF575" s="101"/>
      <c r="AG575" s="101"/>
      <c r="AH575" s="101"/>
      <c r="AI575" s="101"/>
      <c r="AJ575" s="101"/>
      <c r="AK575" s="101"/>
      <c r="AL575" s="101"/>
      <c r="AM575" s="101"/>
      <c r="AN575" s="101"/>
    </row>
    <row r="576" spans="1:40" ht="16.5" customHeight="1" x14ac:dyDescent="0.3">
      <c r="A576" s="69"/>
      <c r="B576" s="69"/>
      <c r="C576" s="69"/>
      <c r="D576" s="69"/>
      <c r="E576" s="69"/>
      <c r="F576" s="69"/>
      <c r="Z576" s="101"/>
      <c r="AA576" s="101"/>
      <c r="AB576" s="101"/>
      <c r="AC576" s="101"/>
      <c r="AD576" s="101"/>
      <c r="AE576" s="101"/>
      <c r="AF576" s="101"/>
      <c r="AG576" s="101"/>
      <c r="AH576" s="101"/>
      <c r="AI576" s="101"/>
      <c r="AJ576" s="101"/>
      <c r="AK576" s="101"/>
      <c r="AL576" s="101"/>
      <c r="AM576" s="101"/>
      <c r="AN576" s="101"/>
    </row>
    <row r="577" spans="1:40" ht="16.5" customHeight="1" x14ac:dyDescent="0.3">
      <c r="A577" s="69"/>
      <c r="B577" s="69"/>
      <c r="C577" s="69"/>
      <c r="D577" s="69"/>
      <c r="E577" s="69"/>
      <c r="F577" s="69"/>
      <c r="Z577" s="101"/>
      <c r="AA577" s="101"/>
      <c r="AB577" s="101"/>
      <c r="AC577" s="101"/>
      <c r="AD577" s="101"/>
      <c r="AE577" s="101"/>
      <c r="AF577" s="101"/>
      <c r="AG577" s="101"/>
      <c r="AH577" s="101"/>
      <c r="AI577" s="101"/>
      <c r="AJ577" s="101"/>
      <c r="AK577" s="101"/>
      <c r="AL577" s="101"/>
      <c r="AM577" s="101"/>
      <c r="AN577" s="101"/>
    </row>
    <row r="578" spans="1:40" ht="16.5" customHeight="1" x14ac:dyDescent="0.3">
      <c r="A578" s="69"/>
      <c r="B578" s="69"/>
      <c r="C578" s="69"/>
      <c r="D578" s="69"/>
      <c r="E578" s="69"/>
      <c r="F578" s="69"/>
      <c r="Z578" s="101"/>
      <c r="AA578" s="101"/>
      <c r="AB578" s="101"/>
      <c r="AC578" s="101"/>
      <c r="AD578" s="101"/>
      <c r="AE578" s="101"/>
      <c r="AF578" s="101"/>
      <c r="AG578" s="101"/>
      <c r="AH578" s="101"/>
      <c r="AI578" s="101"/>
      <c r="AJ578" s="101"/>
      <c r="AK578" s="101"/>
      <c r="AL578" s="101"/>
      <c r="AM578" s="101"/>
      <c r="AN578" s="101"/>
    </row>
    <row r="579" spans="1:40" ht="16.5" customHeight="1" x14ac:dyDescent="0.3">
      <c r="A579" s="69"/>
      <c r="B579" s="69"/>
      <c r="C579" s="69"/>
      <c r="D579" s="69"/>
      <c r="E579" s="69"/>
      <c r="F579" s="69"/>
      <c r="Z579" s="101"/>
      <c r="AA579" s="101"/>
      <c r="AB579" s="101"/>
      <c r="AC579" s="101"/>
      <c r="AD579" s="101"/>
      <c r="AE579" s="101"/>
      <c r="AF579" s="101"/>
      <c r="AG579" s="101"/>
      <c r="AH579" s="101"/>
      <c r="AI579" s="101"/>
      <c r="AJ579" s="101"/>
      <c r="AK579" s="101"/>
      <c r="AL579" s="101"/>
      <c r="AM579" s="101"/>
      <c r="AN579" s="101"/>
    </row>
    <row r="580" spans="1:40" ht="16.5" customHeight="1" x14ac:dyDescent="0.3">
      <c r="A580" s="69"/>
      <c r="B580" s="69"/>
      <c r="C580" s="69"/>
      <c r="D580" s="69"/>
      <c r="E580" s="69"/>
      <c r="F580" s="69"/>
      <c r="Z580" s="101"/>
      <c r="AA580" s="101"/>
      <c r="AB580" s="101"/>
      <c r="AC580" s="101"/>
      <c r="AD580" s="101"/>
      <c r="AE580" s="101"/>
      <c r="AF580" s="101"/>
      <c r="AG580" s="101"/>
      <c r="AH580" s="101"/>
      <c r="AI580" s="101"/>
      <c r="AJ580" s="101"/>
      <c r="AK580" s="101"/>
      <c r="AL580" s="101"/>
      <c r="AM580" s="101"/>
      <c r="AN580" s="101"/>
    </row>
    <row r="581" spans="1:40" ht="16.5" customHeight="1" x14ac:dyDescent="0.3">
      <c r="A581" s="69"/>
      <c r="B581" s="69"/>
      <c r="C581" s="69"/>
      <c r="D581" s="69"/>
      <c r="E581" s="69"/>
      <c r="F581" s="69"/>
      <c r="Z581" s="101"/>
      <c r="AA581" s="101"/>
      <c r="AB581" s="101"/>
      <c r="AC581" s="101"/>
      <c r="AD581" s="101"/>
      <c r="AE581" s="101"/>
      <c r="AF581" s="101"/>
      <c r="AG581" s="101"/>
      <c r="AH581" s="101"/>
      <c r="AI581" s="101"/>
      <c r="AJ581" s="101"/>
      <c r="AK581" s="101"/>
      <c r="AL581" s="101"/>
      <c r="AM581" s="101"/>
      <c r="AN581" s="101"/>
    </row>
    <row r="582" spans="1:40" ht="16.5" customHeight="1" x14ac:dyDescent="0.3">
      <c r="A582" s="69"/>
      <c r="B582" s="69"/>
      <c r="C582" s="69"/>
      <c r="D582" s="69"/>
      <c r="E582" s="69"/>
      <c r="F582" s="69"/>
      <c r="Z582" s="101"/>
      <c r="AA582" s="101"/>
      <c r="AB582" s="101"/>
      <c r="AC582" s="101"/>
      <c r="AD582" s="101"/>
      <c r="AE582" s="101"/>
      <c r="AF582" s="101"/>
      <c r="AG582" s="101"/>
      <c r="AH582" s="101"/>
      <c r="AI582" s="101"/>
      <c r="AJ582" s="101"/>
      <c r="AK582" s="101"/>
      <c r="AL582" s="101"/>
      <c r="AM582" s="101"/>
      <c r="AN582" s="101"/>
    </row>
    <row r="583" spans="1:40" ht="16.5" customHeight="1" x14ac:dyDescent="0.3">
      <c r="A583" s="69"/>
      <c r="B583" s="69"/>
      <c r="C583" s="69"/>
      <c r="D583" s="69"/>
      <c r="E583" s="69"/>
      <c r="F583" s="69"/>
      <c r="Z583" s="101"/>
      <c r="AA583" s="101"/>
      <c r="AB583" s="101"/>
      <c r="AC583" s="101"/>
      <c r="AD583" s="101"/>
      <c r="AE583" s="101"/>
      <c r="AF583" s="101"/>
      <c r="AG583" s="101"/>
      <c r="AH583" s="101"/>
      <c r="AI583" s="101"/>
      <c r="AJ583" s="101"/>
      <c r="AK583" s="101"/>
      <c r="AL583" s="101"/>
      <c r="AM583" s="101"/>
      <c r="AN583" s="101"/>
    </row>
    <row r="584" spans="1:40" ht="16.5" customHeight="1" x14ac:dyDescent="0.3">
      <c r="A584" s="69"/>
      <c r="B584" s="69"/>
      <c r="C584" s="69"/>
      <c r="D584" s="69"/>
      <c r="E584" s="69"/>
      <c r="F584" s="69"/>
      <c r="Z584" s="101"/>
      <c r="AA584" s="101"/>
      <c r="AB584" s="101"/>
      <c r="AC584" s="101"/>
      <c r="AD584" s="101"/>
      <c r="AE584" s="101"/>
      <c r="AF584" s="101"/>
      <c r="AG584" s="101"/>
      <c r="AH584" s="101"/>
      <c r="AI584" s="101"/>
      <c r="AJ584" s="101"/>
      <c r="AK584" s="101"/>
      <c r="AL584" s="101"/>
      <c r="AM584" s="101"/>
      <c r="AN584" s="101"/>
    </row>
    <row r="585" spans="1:40" ht="16.5" customHeight="1" x14ac:dyDescent="0.3">
      <c r="A585" s="69"/>
      <c r="B585" s="69"/>
      <c r="C585" s="69"/>
      <c r="D585" s="69"/>
      <c r="E585" s="69"/>
      <c r="F585" s="69"/>
      <c r="Z585" s="101"/>
      <c r="AA585" s="101"/>
      <c r="AB585" s="101"/>
      <c r="AC585" s="101"/>
      <c r="AD585" s="101"/>
      <c r="AE585" s="101"/>
      <c r="AF585" s="101"/>
      <c r="AG585" s="101"/>
      <c r="AH585" s="101"/>
      <c r="AI585" s="101"/>
      <c r="AJ585" s="101"/>
      <c r="AK585" s="101"/>
      <c r="AL585" s="101"/>
      <c r="AM585" s="101"/>
      <c r="AN585" s="101"/>
    </row>
    <row r="586" spans="1:40" ht="16.5" customHeight="1" x14ac:dyDescent="0.3">
      <c r="A586" s="69"/>
      <c r="B586" s="69"/>
      <c r="C586" s="69"/>
      <c r="D586" s="69"/>
      <c r="E586" s="69"/>
      <c r="F586" s="69"/>
      <c r="Z586" s="101"/>
      <c r="AA586" s="101"/>
      <c r="AB586" s="101"/>
      <c r="AC586" s="101"/>
      <c r="AD586" s="101"/>
      <c r="AE586" s="101"/>
      <c r="AF586" s="101"/>
      <c r="AG586" s="101"/>
      <c r="AH586" s="101"/>
      <c r="AI586" s="101"/>
      <c r="AJ586" s="101"/>
      <c r="AK586" s="101"/>
      <c r="AL586" s="101"/>
      <c r="AM586" s="101"/>
      <c r="AN586" s="101"/>
    </row>
    <row r="587" spans="1:40" ht="16.5" customHeight="1" x14ac:dyDescent="0.3">
      <c r="A587" s="69"/>
      <c r="B587" s="69"/>
      <c r="C587" s="69"/>
      <c r="D587" s="69"/>
      <c r="E587" s="69"/>
      <c r="F587" s="69"/>
      <c r="Z587" s="101"/>
      <c r="AA587" s="101"/>
      <c r="AB587" s="101"/>
      <c r="AC587" s="101"/>
      <c r="AD587" s="101"/>
      <c r="AE587" s="101"/>
      <c r="AF587" s="101"/>
      <c r="AG587" s="101"/>
      <c r="AH587" s="101"/>
      <c r="AI587" s="101"/>
      <c r="AJ587" s="101"/>
      <c r="AK587" s="101"/>
      <c r="AL587" s="101"/>
      <c r="AM587" s="101"/>
      <c r="AN587" s="101"/>
    </row>
    <row r="588" spans="1:40" ht="16.5" customHeight="1" x14ac:dyDescent="0.3">
      <c r="A588" s="69"/>
      <c r="B588" s="69"/>
      <c r="C588" s="69"/>
      <c r="D588" s="69"/>
      <c r="E588" s="69"/>
      <c r="F588" s="69"/>
      <c r="Z588" s="101"/>
      <c r="AA588" s="101"/>
      <c r="AB588" s="101"/>
      <c r="AC588" s="101"/>
      <c r="AD588" s="101"/>
      <c r="AE588" s="101"/>
      <c r="AF588" s="101"/>
      <c r="AG588" s="101"/>
      <c r="AH588" s="101"/>
      <c r="AI588" s="101"/>
      <c r="AJ588" s="101"/>
      <c r="AK588" s="101"/>
      <c r="AL588" s="101"/>
      <c r="AM588" s="101"/>
      <c r="AN588" s="101"/>
    </row>
    <row r="589" spans="1:40" ht="16.5" customHeight="1" x14ac:dyDescent="0.3">
      <c r="A589" s="69"/>
      <c r="B589" s="69"/>
      <c r="C589" s="69"/>
      <c r="D589" s="69"/>
      <c r="E589" s="69"/>
      <c r="F589" s="69"/>
      <c r="Z589" s="101"/>
      <c r="AA589" s="101"/>
      <c r="AB589" s="101"/>
      <c r="AC589" s="101"/>
      <c r="AD589" s="101"/>
      <c r="AE589" s="101"/>
      <c r="AF589" s="101"/>
      <c r="AG589" s="101"/>
      <c r="AH589" s="101"/>
      <c r="AI589" s="101"/>
      <c r="AJ589" s="101"/>
      <c r="AK589" s="101"/>
      <c r="AL589" s="101"/>
      <c r="AM589" s="101"/>
      <c r="AN589" s="101"/>
    </row>
    <row r="590" spans="1:40" ht="16.5" customHeight="1" x14ac:dyDescent="0.3">
      <c r="A590" s="69"/>
      <c r="B590" s="69"/>
      <c r="C590" s="69"/>
      <c r="D590" s="69"/>
      <c r="E590" s="69"/>
      <c r="F590" s="69"/>
      <c r="Z590" s="101"/>
      <c r="AA590" s="101"/>
      <c r="AB590" s="101"/>
      <c r="AC590" s="101"/>
      <c r="AD590" s="101"/>
      <c r="AE590" s="101"/>
      <c r="AF590" s="101"/>
      <c r="AG590" s="101"/>
      <c r="AH590" s="101"/>
      <c r="AI590" s="101"/>
      <c r="AJ590" s="101"/>
      <c r="AK590" s="101"/>
      <c r="AL590" s="101"/>
      <c r="AM590" s="101"/>
      <c r="AN590" s="101"/>
    </row>
    <row r="591" spans="1:40" ht="16.5" customHeight="1" x14ac:dyDescent="0.3">
      <c r="A591" s="69"/>
      <c r="B591" s="69"/>
      <c r="C591" s="69"/>
      <c r="D591" s="69"/>
      <c r="E591" s="69"/>
      <c r="F591" s="69"/>
      <c r="Z591" s="101"/>
      <c r="AA591" s="101"/>
      <c r="AB591" s="101"/>
      <c r="AC591" s="101"/>
      <c r="AD591" s="101"/>
      <c r="AE591" s="101"/>
      <c r="AF591" s="101"/>
      <c r="AG591" s="101"/>
      <c r="AH591" s="101"/>
      <c r="AI591" s="101"/>
      <c r="AJ591" s="101"/>
      <c r="AK591" s="101"/>
      <c r="AL591" s="101"/>
      <c r="AM591" s="101"/>
      <c r="AN591" s="101"/>
    </row>
    <row r="592" spans="1:40" ht="16.5" customHeight="1" x14ac:dyDescent="0.3">
      <c r="A592" s="69"/>
      <c r="B592" s="69"/>
      <c r="C592" s="69"/>
      <c r="D592" s="69"/>
      <c r="E592" s="69"/>
      <c r="F592" s="69"/>
      <c r="Z592" s="101"/>
      <c r="AA592" s="101"/>
      <c r="AB592" s="101"/>
      <c r="AC592" s="101"/>
      <c r="AD592" s="101"/>
      <c r="AE592" s="101"/>
      <c r="AF592" s="101"/>
      <c r="AG592" s="101"/>
      <c r="AH592" s="101"/>
      <c r="AI592" s="101"/>
      <c r="AJ592" s="101"/>
      <c r="AK592" s="101"/>
      <c r="AL592" s="101"/>
      <c r="AM592" s="101"/>
      <c r="AN592" s="101"/>
    </row>
    <row r="593" spans="1:40" ht="16.5" customHeight="1" x14ac:dyDescent="0.3">
      <c r="A593" s="69"/>
      <c r="B593" s="69"/>
      <c r="C593" s="69"/>
      <c r="D593" s="69"/>
      <c r="E593" s="69"/>
      <c r="F593" s="69"/>
      <c r="Z593" s="101"/>
      <c r="AA593" s="101"/>
      <c r="AB593" s="101"/>
      <c r="AC593" s="101"/>
      <c r="AD593" s="101"/>
      <c r="AE593" s="101"/>
      <c r="AF593" s="101"/>
      <c r="AG593" s="101"/>
      <c r="AH593" s="101"/>
      <c r="AI593" s="101"/>
      <c r="AJ593" s="101"/>
      <c r="AK593" s="101"/>
      <c r="AL593" s="101"/>
      <c r="AM593" s="101"/>
      <c r="AN593" s="101"/>
    </row>
    <row r="594" spans="1:40" ht="16.5" customHeight="1" x14ac:dyDescent="0.3">
      <c r="A594" s="69"/>
      <c r="B594" s="69"/>
      <c r="C594" s="69"/>
      <c r="D594" s="69"/>
      <c r="E594" s="69"/>
      <c r="F594" s="69"/>
      <c r="Z594" s="101"/>
      <c r="AA594" s="101"/>
      <c r="AB594" s="101"/>
      <c r="AC594" s="101"/>
      <c r="AD594" s="101"/>
      <c r="AE594" s="101"/>
      <c r="AF594" s="101"/>
      <c r="AG594" s="101"/>
      <c r="AH594" s="101"/>
      <c r="AI594" s="101"/>
      <c r="AJ594" s="101"/>
      <c r="AK594" s="101"/>
      <c r="AL594" s="101"/>
      <c r="AM594" s="101"/>
      <c r="AN594" s="101"/>
    </row>
    <row r="595" spans="1:40" ht="16.5" customHeight="1" x14ac:dyDescent="0.3">
      <c r="A595" s="69"/>
      <c r="B595" s="69"/>
      <c r="C595" s="69"/>
      <c r="D595" s="69"/>
      <c r="E595" s="69"/>
      <c r="F595" s="69"/>
      <c r="Z595" s="101"/>
      <c r="AA595" s="101"/>
      <c r="AB595" s="101"/>
      <c r="AC595" s="101"/>
      <c r="AD595" s="101"/>
      <c r="AE595" s="101"/>
      <c r="AF595" s="101"/>
      <c r="AG595" s="101"/>
      <c r="AH595" s="101"/>
      <c r="AI595" s="101"/>
      <c r="AJ595" s="101"/>
      <c r="AK595" s="101"/>
      <c r="AL595" s="101"/>
      <c r="AM595" s="101"/>
      <c r="AN595" s="101"/>
    </row>
    <row r="596" spans="1:40" ht="16.5" customHeight="1" x14ac:dyDescent="0.3">
      <c r="A596" s="69"/>
      <c r="B596" s="69"/>
      <c r="C596" s="69"/>
      <c r="D596" s="69"/>
      <c r="E596" s="69"/>
      <c r="F596" s="69"/>
      <c r="Z596" s="101"/>
      <c r="AA596" s="101"/>
      <c r="AB596" s="101"/>
      <c r="AC596" s="101"/>
      <c r="AD596" s="101"/>
      <c r="AE596" s="101"/>
      <c r="AF596" s="101"/>
      <c r="AG596" s="101"/>
      <c r="AH596" s="101"/>
      <c r="AI596" s="101"/>
      <c r="AJ596" s="101"/>
      <c r="AK596" s="101"/>
      <c r="AL596" s="101"/>
      <c r="AM596" s="101"/>
      <c r="AN596" s="101"/>
    </row>
    <row r="597" spans="1:40" ht="16.5" customHeight="1" x14ac:dyDescent="0.3">
      <c r="A597" s="69"/>
      <c r="B597" s="69"/>
      <c r="C597" s="69"/>
      <c r="D597" s="69"/>
      <c r="E597" s="69"/>
      <c r="F597" s="69"/>
      <c r="Z597" s="101"/>
      <c r="AA597" s="101"/>
      <c r="AB597" s="101"/>
      <c r="AC597" s="101"/>
      <c r="AD597" s="101"/>
      <c r="AE597" s="101"/>
      <c r="AF597" s="101"/>
      <c r="AG597" s="101"/>
      <c r="AH597" s="101"/>
      <c r="AI597" s="101"/>
      <c r="AJ597" s="101"/>
      <c r="AK597" s="101"/>
      <c r="AL597" s="101"/>
      <c r="AM597" s="101"/>
      <c r="AN597" s="101"/>
    </row>
    <row r="598" spans="1:40" ht="16.5" customHeight="1" x14ac:dyDescent="0.3">
      <c r="A598" s="69"/>
      <c r="B598" s="69"/>
      <c r="C598" s="69"/>
      <c r="D598" s="69"/>
      <c r="E598" s="69"/>
      <c r="F598" s="69"/>
      <c r="Z598" s="101"/>
      <c r="AA598" s="101"/>
      <c r="AB598" s="101"/>
      <c r="AC598" s="101"/>
      <c r="AD598" s="101"/>
      <c r="AE598" s="101"/>
      <c r="AF598" s="101"/>
      <c r="AG598" s="101"/>
      <c r="AH598" s="101"/>
      <c r="AI598" s="101"/>
      <c r="AJ598" s="101"/>
      <c r="AK598" s="101"/>
      <c r="AL598" s="101"/>
      <c r="AM598" s="101"/>
      <c r="AN598" s="101"/>
    </row>
    <row r="599" spans="1:40" ht="16.5" customHeight="1" x14ac:dyDescent="0.3">
      <c r="A599" s="69"/>
      <c r="B599" s="69"/>
      <c r="C599" s="69"/>
      <c r="D599" s="69"/>
      <c r="E599" s="69"/>
      <c r="F599" s="69"/>
      <c r="Z599" s="101"/>
      <c r="AA599" s="101"/>
      <c r="AB599" s="101"/>
      <c r="AC599" s="101"/>
      <c r="AD599" s="101"/>
      <c r="AE599" s="101"/>
      <c r="AF599" s="101"/>
      <c r="AG599" s="101"/>
      <c r="AH599" s="101"/>
      <c r="AI599" s="101"/>
      <c r="AJ599" s="101"/>
      <c r="AK599" s="101"/>
      <c r="AL599" s="101"/>
      <c r="AM599" s="101"/>
      <c r="AN599" s="101"/>
    </row>
    <row r="600" spans="1:40" ht="16.5" customHeight="1" x14ac:dyDescent="0.3">
      <c r="A600" s="69"/>
      <c r="B600" s="69"/>
      <c r="C600" s="69"/>
      <c r="D600" s="69"/>
      <c r="E600" s="69"/>
      <c r="F600" s="69"/>
      <c r="Z600" s="101"/>
      <c r="AA600" s="101"/>
      <c r="AB600" s="101"/>
      <c r="AC600" s="101"/>
      <c r="AD600" s="101"/>
      <c r="AE600" s="101"/>
      <c r="AF600" s="101"/>
      <c r="AG600" s="101"/>
      <c r="AH600" s="101"/>
      <c r="AI600" s="101"/>
      <c r="AJ600" s="101"/>
      <c r="AK600" s="101"/>
      <c r="AL600" s="101"/>
      <c r="AM600" s="101"/>
      <c r="AN600" s="101"/>
    </row>
    <row r="601" spans="1:40" ht="16.5" customHeight="1" x14ac:dyDescent="0.3">
      <c r="A601" s="69"/>
      <c r="B601" s="69"/>
      <c r="C601" s="69"/>
      <c r="D601" s="69"/>
      <c r="E601" s="69"/>
      <c r="F601" s="69"/>
      <c r="Z601" s="101"/>
      <c r="AA601" s="101"/>
      <c r="AB601" s="101"/>
      <c r="AC601" s="101"/>
      <c r="AD601" s="101"/>
      <c r="AE601" s="101"/>
      <c r="AF601" s="101"/>
      <c r="AG601" s="101"/>
      <c r="AH601" s="101"/>
      <c r="AI601" s="101"/>
      <c r="AJ601" s="101"/>
      <c r="AK601" s="101"/>
      <c r="AL601" s="101"/>
      <c r="AM601" s="101"/>
      <c r="AN601" s="101"/>
    </row>
    <row r="602" spans="1:40" ht="16.5" customHeight="1" x14ac:dyDescent="0.3">
      <c r="A602" s="69"/>
      <c r="B602" s="69"/>
      <c r="C602" s="69"/>
      <c r="D602" s="69"/>
      <c r="E602" s="69"/>
      <c r="F602" s="69"/>
      <c r="Z602" s="101"/>
      <c r="AA602" s="101"/>
      <c r="AB602" s="101"/>
      <c r="AC602" s="101"/>
      <c r="AD602" s="101"/>
      <c r="AE602" s="101"/>
      <c r="AF602" s="101"/>
      <c r="AG602" s="101"/>
      <c r="AH602" s="101"/>
      <c r="AI602" s="101"/>
      <c r="AJ602" s="101"/>
      <c r="AK602" s="101"/>
      <c r="AL602" s="101"/>
      <c r="AM602" s="101"/>
      <c r="AN602" s="101"/>
    </row>
    <row r="603" spans="1:40" ht="16.5" customHeight="1" x14ac:dyDescent="0.3">
      <c r="A603" s="74"/>
      <c r="B603" s="74"/>
      <c r="C603" s="74"/>
      <c r="D603" s="74"/>
      <c r="E603" s="74"/>
      <c r="F603" s="74"/>
      <c r="Z603" s="101"/>
      <c r="AA603" s="101"/>
      <c r="AB603" s="101"/>
      <c r="AC603" s="101"/>
      <c r="AD603" s="101"/>
      <c r="AE603" s="101"/>
      <c r="AF603" s="101"/>
      <c r="AG603" s="101"/>
      <c r="AH603" s="101"/>
      <c r="AI603" s="101"/>
      <c r="AJ603" s="101"/>
      <c r="AK603" s="101"/>
      <c r="AL603" s="101"/>
      <c r="AM603" s="101"/>
      <c r="AN603" s="101"/>
    </row>
    <row r="604" spans="1:40" ht="16.5" customHeight="1" x14ac:dyDescent="0.3">
      <c r="A604" s="150" t="s">
        <v>1477</v>
      </c>
      <c r="B604" s="143"/>
      <c r="C604" s="47">
        <f>E604+D604+F604</f>
        <v>27750</v>
      </c>
      <c r="D604" s="46">
        <f>ROUNDDOWN(SUMIF(N557:N572,M604,D557:D572),0)</f>
        <v>27750</v>
      </c>
      <c r="E604" s="55">
        <f>ROUNDDOWN(SUMIF(N557:N572,M604,E557:E572),0)</f>
        <v>0</v>
      </c>
      <c r="F604" s="47">
        <f>ROUNDDOWN(SUMIF(N557:N572,M604,F557:F572),0)</f>
        <v>0</v>
      </c>
      <c r="M604" s="35" t="s">
        <v>1209</v>
      </c>
      <c r="Z604" s="101"/>
      <c r="AA604" s="101"/>
      <c r="AB604" s="101"/>
      <c r="AC604" s="101"/>
      <c r="AD604" s="101"/>
      <c r="AE604" s="101"/>
      <c r="AF604" s="101"/>
      <c r="AG604" s="101"/>
      <c r="AH604" s="101"/>
      <c r="AI604" s="101"/>
      <c r="AJ604" s="101"/>
      <c r="AK604" s="101"/>
      <c r="AL604" s="101"/>
      <c r="AM604" s="101"/>
      <c r="AN604" s="101"/>
    </row>
    <row r="605" spans="1:40" ht="16.5" customHeight="1" x14ac:dyDescent="0.3">
      <c r="A605" s="86" t="s">
        <v>56</v>
      </c>
      <c r="B605" s="88" t="s">
        <v>56</v>
      </c>
      <c r="C605" s="151">
        <f>C654</f>
        <v>81</v>
      </c>
      <c r="D605" s="151">
        <f>D654</f>
        <v>79</v>
      </c>
      <c r="E605" s="151">
        <f>E654</f>
        <v>2</v>
      </c>
      <c r="F605" s="151">
        <f>F654</f>
        <v>0</v>
      </c>
      <c r="G605" s="84" t="str">
        <f>HYPERLINK("#G"&amp;ROW(G632),"_x0005_`BDCOD|D01361_x0007_`POSS|"&amp;ROW(G607)&amp;"_x0007_`POSE|"&amp;ROW(G632)&amp;"_x0007_`")</f>
        <v>_x0005_`BDCOD|D01361_x0007_`POSS|607_x0007_`POSE|632_x0007_`</v>
      </c>
      <c r="Z605" s="101"/>
      <c r="AA605" s="101"/>
      <c r="AB605" s="101"/>
      <c r="AC605" s="101"/>
      <c r="AD605" s="101"/>
      <c r="AE605" s="101"/>
      <c r="AF605" s="101"/>
      <c r="AG605" s="101"/>
      <c r="AH605" s="101"/>
      <c r="AI605" s="101"/>
      <c r="AJ605" s="101"/>
      <c r="AK605" s="101"/>
      <c r="AL605" s="101"/>
      <c r="AM605" s="101"/>
      <c r="AN605" s="101"/>
    </row>
    <row r="606" spans="1:40" ht="16.5" customHeight="1" x14ac:dyDescent="0.3">
      <c r="A606" s="87"/>
      <c r="B606" s="88" t="s">
        <v>157</v>
      </c>
      <c r="C606" s="136"/>
      <c r="D606" s="136"/>
      <c r="E606" s="136"/>
      <c r="F606" s="136"/>
      <c r="M606" s="35" t="s">
        <v>1693</v>
      </c>
      <c r="Z606" s="101"/>
      <c r="AA606" s="101"/>
      <c r="AB606" s="101"/>
      <c r="AC606" s="101"/>
      <c r="AD606" s="101"/>
      <c r="AE606" s="101"/>
      <c r="AF606" s="101"/>
      <c r="AG606" s="101"/>
      <c r="AH606" s="101"/>
      <c r="AI606" s="101"/>
      <c r="AJ606" s="101"/>
      <c r="AK606" s="101"/>
      <c r="AL606" s="101"/>
      <c r="AM606" s="101"/>
      <c r="AN606" s="101"/>
    </row>
    <row r="607" spans="1:40" ht="16.5" customHeight="1" x14ac:dyDescent="0.3">
      <c r="A607" s="69"/>
      <c r="B607" s="69"/>
      <c r="C607" s="90"/>
      <c r="D607" s="90"/>
      <c r="E607" s="90"/>
      <c r="F607" s="90"/>
      <c r="G607" s="17" t="s">
        <v>1405</v>
      </c>
      <c r="Z607" s="101"/>
      <c r="AA607" s="101"/>
      <c r="AB607" s="101"/>
      <c r="AC607" s="101"/>
      <c r="AD607" s="101"/>
      <c r="AE607" s="101"/>
      <c r="AF607" s="101"/>
      <c r="AG607" s="101"/>
      <c r="AH607" s="101"/>
      <c r="AI607" s="101"/>
      <c r="AJ607" s="101"/>
      <c r="AK607" s="101"/>
      <c r="AL607" s="101"/>
      <c r="AM607" s="101"/>
      <c r="AN607" s="101"/>
    </row>
    <row r="608" spans="1:40" ht="16.5" customHeight="1" x14ac:dyDescent="0.3">
      <c r="A608" s="59"/>
      <c r="B608" s="68" t="str">
        <f>" Q1 = "&amp;Z608&amp;" 인 /"&amp;AB608&amp;" hr/일 = "&amp;AD608&amp;" hr/일 "</f>
        <v xml:space="preserve"> Q1 = 2 인 /8 hr/일 = 0.250 hr/일 </v>
      </c>
      <c r="C608" s="69"/>
      <c r="D608" s="69"/>
      <c r="E608" s="69"/>
      <c r="F608" s="69"/>
      <c r="G608" s="17" t="s">
        <v>1694</v>
      </c>
      <c r="Z608" s="102">
        <v>2</v>
      </c>
      <c r="AA608" s="35" t="s">
        <v>1413</v>
      </c>
      <c r="AB608" s="102">
        <v>8</v>
      </c>
      <c r="AC608" s="35" t="s">
        <v>1410</v>
      </c>
      <c r="AD608" s="103" t="str">
        <f>TEXT(ROUND(Z608/AB608,3),"#,0.000")</f>
        <v>0.250</v>
      </c>
      <c r="AE608" s="101"/>
      <c r="AF608" s="101"/>
      <c r="AG608" s="101"/>
      <c r="AH608" s="101"/>
      <c r="AI608" s="101"/>
      <c r="AJ608" s="101"/>
      <c r="AK608" s="101"/>
      <c r="AL608" s="101"/>
      <c r="AM608" s="101"/>
      <c r="AN608" s="101"/>
    </row>
    <row r="609" spans="1:40" ht="16.5" customHeight="1" x14ac:dyDescent="0.3">
      <c r="A609" s="69"/>
      <c r="B609" s="69"/>
      <c r="C609" s="69"/>
      <c r="D609" s="69"/>
      <c r="E609" s="69"/>
      <c r="F609" s="69"/>
      <c r="G609" s="17" t="s">
        <v>1405</v>
      </c>
      <c r="Z609" s="101"/>
      <c r="AA609" s="101"/>
      <c r="AB609" s="101"/>
      <c r="AC609" s="101"/>
      <c r="AD609" s="101"/>
      <c r="AE609" s="101"/>
      <c r="AF609" s="101"/>
      <c r="AG609" s="101"/>
      <c r="AH609" s="101"/>
      <c r="AI609" s="101"/>
      <c r="AJ609" s="101"/>
      <c r="AK609" s="101"/>
      <c r="AL609" s="101"/>
      <c r="AM609" s="101"/>
      <c r="AN609" s="101"/>
    </row>
    <row r="610" spans="1:40" ht="16.5" customHeight="1" x14ac:dyDescent="0.3">
      <c r="A610" s="59"/>
      <c r="B610" s="68" t="str">
        <f>" Q = "&amp;Z610&amp;" ㎡/일 /"&amp;AB610&amp;" hr/일 = "&amp;AD610&amp;" ㎡/hr "</f>
        <v xml:space="preserve"> Q = 8000 ㎡/일 /8 hr/일 = 1,000.000 ㎡/hr </v>
      </c>
      <c r="C610" s="69"/>
      <c r="D610" s="69"/>
      <c r="E610" s="69"/>
      <c r="F610" s="69"/>
      <c r="G610" s="17" t="s">
        <v>1695</v>
      </c>
      <c r="Z610" s="102">
        <v>8000</v>
      </c>
      <c r="AA610" s="35" t="s">
        <v>1413</v>
      </c>
      <c r="AB610" s="102">
        <v>8</v>
      </c>
      <c r="AC610" s="35" t="s">
        <v>1410</v>
      </c>
      <c r="AD610" s="103" t="str">
        <f>TEXT(ROUND(Z610/AB610,3),"#,0.000")</f>
        <v>1,000.000</v>
      </c>
      <c r="AE610" s="101"/>
      <c r="AF610" s="101"/>
      <c r="AG610" s="101"/>
      <c r="AH610" s="101"/>
      <c r="AI610" s="101"/>
      <c r="AJ610" s="101"/>
      <c r="AK610" s="101"/>
      <c r="AL610" s="101"/>
      <c r="AM610" s="101"/>
      <c r="AN610" s="101"/>
    </row>
    <row r="611" spans="1:40" ht="16.5" customHeight="1" x14ac:dyDescent="0.3">
      <c r="A611" s="69"/>
      <c r="B611" s="69"/>
      <c r="C611" s="69"/>
      <c r="D611" s="69"/>
      <c r="E611" s="69"/>
      <c r="F611" s="69"/>
      <c r="G611" s="17" t="s">
        <v>1405</v>
      </c>
      <c r="Z611" s="101"/>
      <c r="AA611" s="101"/>
      <c r="AB611" s="101"/>
      <c r="AC611" s="101"/>
      <c r="AD611" s="101"/>
      <c r="AE611" s="101"/>
      <c r="AF611" s="101"/>
      <c r="AG611" s="101"/>
      <c r="AH611" s="101"/>
      <c r="AI611" s="101"/>
      <c r="AJ611" s="101"/>
      <c r="AK611" s="101"/>
      <c r="AL611" s="101"/>
      <c r="AM611" s="101"/>
      <c r="AN611" s="101"/>
    </row>
    <row r="612" spans="1:40" ht="16.5" customHeight="1" x14ac:dyDescent="0.3">
      <c r="A612" s="69"/>
      <c r="B612" s="69"/>
      <c r="C612" s="69"/>
      <c r="D612" s="69"/>
      <c r="E612" s="69"/>
      <c r="F612" s="69"/>
      <c r="G612" s="17" t="s">
        <v>1405</v>
      </c>
      <c r="Z612" s="101"/>
      <c r="AA612" s="101"/>
      <c r="AB612" s="101"/>
      <c r="AC612" s="101"/>
      <c r="AD612" s="101"/>
      <c r="AE612" s="101"/>
      <c r="AF612" s="101"/>
      <c r="AG612" s="101"/>
      <c r="AH612" s="101"/>
      <c r="AI612" s="101"/>
      <c r="AJ612" s="101"/>
      <c r="AK612" s="101"/>
      <c r="AL612" s="101"/>
      <c r="AM612" s="101"/>
      <c r="AN612" s="101"/>
    </row>
    <row r="613" spans="1:40" ht="16.5" customHeight="1" x14ac:dyDescent="0.3">
      <c r="A613" s="59"/>
      <c r="B613" s="68" t="s">
        <v>1697</v>
      </c>
      <c r="C613" s="69"/>
      <c r="D613" s="69"/>
      <c r="E613" s="69"/>
      <c r="F613" s="69"/>
      <c r="G613" s="17" t="s">
        <v>1696</v>
      </c>
      <c r="Z613" s="101"/>
      <c r="AA613" s="101"/>
      <c r="AB613" s="101"/>
      <c r="AC613" s="101"/>
      <c r="AD613" s="101"/>
      <c r="AE613" s="101"/>
      <c r="AF613" s="101"/>
      <c r="AG613" s="101"/>
      <c r="AH613" s="101"/>
      <c r="AI613" s="101"/>
      <c r="AJ613" s="101"/>
      <c r="AK613" s="101"/>
      <c r="AL613" s="101"/>
      <c r="AM613" s="101"/>
      <c r="AN613" s="101"/>
    </row>
    <row r="614" spans="1:40" ht="16.5" customHeight="1" x14ac:dyDescent="0.3">
      <c r="A614" s="69"/>
      <c r="B614" s="69"/>
      <c r="C614" s="69"/>
      <c r="D614" s="69"/>
      <c r="E614" s="69"/>
      <c r="F614" s="69"/>
      <c r="G614" s="17" t="s">
        <v>1405</v>
      </c>
      <c r="Z614" s="101"/>
      <c r="AA614" s="101"/>
      <c r="AB614" s="101"/>
      <c r="AC614" s="101"/>
      <c r="AD614" s="101"/>
      <c r="AE614" s="101"/>
      <c r="AF614" s="101"/>
      <c r="AG614" s="101"/>
      <c r="AH614" s="101"/>
      <c r="AI614" s="101"/>
      <c r="AJ614" s="101"/>
      <c r="AK614" s="101"/>
      <c r="AL614" s="101"/>
      <c r="AM614" s="101"/>
      <c r="AN614" s="101"/>
    </row>
    <row r="615" spans="1:40" ht="16.5" customHeight="1" x14ac:dyDescent="0.3">
      <c r="A615" s="69"/>
      <c r="B615" s="69"/>
      <c r="C615" s="69"/>
      <c r="D615" s="69"/>
      <c r="E615" s="69"/>
      <c r="F615" s="69"/>
      <c r="G615" s="17" t="s">
        <v>1405</v>
      </c>
      <c r="Z615" s="101"/>
      <c r="AA615" s="101"/>
      <c r="AB615" s="101"/>
      <c r="AC615" s="101"/>
      <c r="AD615" s="101"/>
      <c r="AE615" s="101"/>
      <c r="AF615" s="101"/>
      <c r="AG615" s="101"/>
      <c r="AH615" s="101"/>
      <c r="AI615" s="101"/>
      <c r="AJ615" s="101"/>
      <c r="AK615" s="101"/>
      <c r="AL615" s="101"/>
      <c r="AM615" s="101"/>
      <c r="AN615" s="101"/>
    </row>
    <row r="616" spans="1:40" ht="16.5" customHeight="1" x14ac:dyDescent="0.3">
      <c r="A616" s="59" t="s">
        <v>1699</v>
      </c>
      <c r="B616" s="89" t="str">
        <f>" 노무비: "&amp;TEXT(I616,"#,##0"&amp;IF(I616&lt;&gt;INT(I616),".###",""))&amp;" / Q = "&amp;TEXT(C616,"#,##0.0")&amp;""</f>
        <v xml:space="preserve"> 노무비: 36,248 / Q = 36.2</v>
      </c>
      <c r="C616" s="91">
        <f>E616+D616+F616</f>
        <v>36.200000000000003</v>
      </c>
      <c r="D616" s="91">
        <f>IF(H616=0,0,ROUNDDOWN(J616*H616,1))</f>
        <v>36.200000000000003</v>
      </c>
      <c r="E616" s="91">
        <f>IF(H616=0,0,ROUNDDOWN(K616*H616,1))</f>
        <v>0</v>
      </c>
      <c r="F616" s="91">
        <f>IF(H616=0,0,ROUNDDOWN(L616*H616,1))</f>
        <v>0</v>
      </c>
      <c r="G616" s="17" t="s">
        <v>1698</v>
      </c>
      <c r="H616" s="97">
        <f>ROUNDUP(AC616,14-LEN(ABS(INT(AC616))))</f>
        <v>1E-3</v>
      </c>
      <c r="I616" s="98">
        <f>K616+J616+L616</f>
        <v>36248</v>
      </c>
      <c r="J616" s="38">
        <f>중기목록표!F25</f>
        <v>36248</v>
      </c>
      <c r="M616" s="35" t="s">
        <v>1700</v>
      </c>
      <c r="N616" s="35" t="s">
        <v>1262</v>
      </c>
      <c r="X616" s="100" t="str">
        <f>중기목록표!B25&amp;" / "&amp;중기목록표!C25</f>
        <v>아스팔트 스프레이어 / 400ℓ</v>
      </c>
      <c r="Y616" s="3" t="str">
        <f ca="1">HYPERLINK("#"&amp;중기목록표!J2&amp;"!A"&amp;ROW(중기목록표!A25),"중기22 →")</f>
        <v>중기22 →</v>
      </c>
      <c r="Z616" s="35" t="s">
        <v>1417</v>
      </c>
      <c r="AA616" s="103" t="str">
        <f>AD610</f>
        <v>1,000.000</v>
      </c>
      <c r="AB616" s="35" t="s">
        <v>1410</v>
      </c>
      <c r="AC616" s="103">
        <f>1/AD610</f>
        <v>1E-3</v>
      </c>
      <c r="AD616" s="101"/>
      <c r="AE616" s="101"/>
      <c r="AF616" s="101"/>
      <c r="AG616" s="101"/>
      <c r="AH616" s="101"/>
      <c r="AI616" s="101"/>
      <c r="AJ616" s="101"/>
      <c r="AK616" s="101"/>
      <c r="AL616" s="101"/>
      <c r="AM616" s="101"/>
      <c r="AN616" s="101"/>
    </row>
    <row r="617" spans="1:40" ht="16.5" customHeight="1" x14ac:dyDescent="0.3">
      <c r="A617" s="69"/>
      <c r="B617" s="69"/>
      <c r="C617" s="69"/>
      <c r="D617" s="69"/>
      <c r="E617" s="69"/>
      <c r="F617" s="69"/>
      <c r="G617" s="17" t="s">
        <v>1405</v>
      </c>
      <c r="Z617" s="101"/>
      <c r="AA617" s="101"/>
      <c r="AB617" s="101"/>
      <c r="AC617" s="101"/>
      <c r="AD617" s="101"/>
      <c r="AE617" s="101"/>
      <c r="AF617" s="101"/>
      <c r="AG617" s="101"/>
      <c r="AH617" s="101"/>
      <c r="AI617" s="101"/>
      <c r="AJ617" s="101"/>
      <c r="AK617" s="101"/>
      <c r="AL617" s="101"/>
      <c r="AM617" s="101"/>
      <c r="AN617" s="101"/>
    </row>
    <row r="618" spans="1:40" ht="16.5" customHeight="1" x14ac:dyDescent="0.3">
      <c r="A618" s="59" t="s">
        <v>1702</v>
      </c>
      <c r="B618" s="89" t="str">
        <f>" 재료비: "&amp;TEXT(I618,"#,##0"&amp;IF(I618&lt;&gt;INT(I618),".###",""))&amp;" / Q = "&amp;TEXT(C618,"#,##0.0")&amp;""</f>
        <v xml:space="preserve"> 재료비: 2,295 / Q = 2.2</v>
      </c>
      <c r="C618" s="91">
        <f>E618+D618+F618</f>
        <v>2.2000000000000002</v>
      </c>
      <c r="D618" s="91">
        <f>IF(H618=0,0,ROUNDDOWN(J618*H618,1))</f>
        <v>0</v>
      </c>
      <c r="E618" s="91">
        <f>IF(H618=0,0,ROUNDDOWN(K618*H618,1))</f>
        <v>2.2000000000000002</v>
      </c>
      <c r="F618" s="91">
        <f>IF(H618=0,0,ROUNDDOWN(L618*H618,1))</f>
        <v>0</v>
      </c>
      <c r="G618" s="17" t="s">
        <v>1701</v>
      </c>
      <c r="H618" s="97">
        <f>ROUNDUP(AC618,14-LEN(ABS(INT(AC618))))</f>
        <v>1E-3</v>
      </c>
      <c r="I618" s="98">
        <f>K618+J618+L618</f>
        <v>2295</v>
      </c>
      <c r="K618" s="38">
        <f>중기목록표!G25</f>
        <v>2295</v>
      </c>
      <c r="M618" s="35" t="s">
        <v>1700</v>
      </c>
      <c r="N618" s="35" t="s">
        <v>1262</v>
      </c>
      <c r="X618" s="100" t="str">
        <f>중기목록표!B25&amp;" / "&amp;중기목록표!C25</f>
        <v>아스팔트 스프레이어 / 400ℓ</v>
      </c>
      <c r="Y618" s="3" t="str">
        <f ca="1">HYPERLINK("#"&amp;중기목록표!J2&amp;"!A"&amp;ROW(중기목록표!A25),"중기22 →")</f>
        <v>중기22 →</v>
      </c>
      <c r="Z618" s="35" t="s">
        <v>1417</v>
      </c>
      <c r="AA618" s="103" t="str">
        <f>AD610</f>
        <v>1,000.000</v>
      </c>
      <c r="AB618" s="35" t="s">
        <v>1410</v>
      </c>
      <c r="AC618" s="103">
        <f>1/AD610</f>
        <v>1E-3</v>
      </c>
      <c r="AD618" s="101"/>
      <c r="AE618" s="101"/>
      <c r="AF618" s="101"/>
      <c r="AG618" s="101"/>
      <c r="AH618" s="101"/>
      <c r="AI618" s="101"/>
      <c r="AJ618" s="101"/>
      <c r="AK618" s="101"/>
      <c r="AL618" s="101"/>
      <c r="AM618" s="101"/>
      <c r="AN618" s="101"/>
    </row>
    <row r="619" spans="1:40" ht="16.5" customHeight="1" x14ac:dyDescent="0.3">
      <c r="A619" s="69"/>
      <c r="B619" s="69"/>
      <c r="C619" s="69"/>
      <c r="D619" s="69"/>
      <c r="E619" s="69"/>
      <c r="F619" s="69"/>
      <c r="G619" s="17" t="s">
        <v>1405</v>
      </c>
      <c r="Z619" s="101"/>
      <c r="AA619" s="101"/>
      <c r="AB619" s="101"/>
      <c r="AC619" s="101"/>
      <c r="AD619" s="101"/>
      <c r="AE619" s="101"/>
      <c r="AF619" s="101"/>
      <c r="AG619" s="101"/>
      <c r="AH619" s="101"/>
      <c r="AI619" s="101"/>
      <c r="AJ619" s="101"/>
      <c r="AK619" s="101"/>
      <c r="AL619" s="101"/>
      <c r="AM619" s="101"/>
      <c r="AN619" s="101"/>
    </row>
    <row r="620" spans="1:40" ht="16.5" customHeight="1" x14ac:dyDescent="0.3">
      <c r="A620" s="59" t="s">
        <v>1704</v>
      </c>
      <c r="B620" s="89" t="str">
        <f>" 경  비: "&amp;TEXT(I620,"#,##0"&amp;IF(I620&lt;&gt;INT(I620),".###",""))&amp;" / Q = "&amp;TEXT(C620,"#,##0.0")&amp;""</f>
        <v xml:space="preserve"> 경  비: 804 / Q = 0.8</v>
      </c>
      <c r="C620" s="91">
        <f>E620+D620+F620</f>
        <v>0.8</v>
      </c>
      <c r="D620" s="91">
        <f>IF(H620=0,0,ROUNDDOWN(J620*H620,1))</f>
        <v>0</v>
      </c>
      <c r="E620" s="91">
        <f>IF(H620=0,0,ROUNDDOWN(K620*H620,1))</f>
        <v>0</v>
      </c>
      <c r="F620" s="91">
        <f>IF(H620=0,0,ROUNDDOWN(L620*H620,1))</f>
        <v>0.8</v>
      </c>
      <c r="G620" s="17" t="s">
        <v>1703</v>
      </c>
      <c r="H620" s="97">
        <f>ROUNDUP(AC620,14-LEN(ABS(INT(AC620))))</f>
        <v>1E-3</v>
      </c>
      <c r="I620" s="98">
        <f>K620+J620+L620</f>
        <v>804</v>
      </c>
      <c r="L620" s="38">
        <f>중기목록표!H25</f>
        <v>804</v>
      </c>
      <c r="M620" s="35" t="s">
        <v>1700</v>
      </c>
      <c r="N620" s="35" t="s">
        <v>1262</v>
      </c>
      <c r="X620" s="100" t="str">
        <f>중기목록표!B25&amp;" / "&amp;중기목록표!C25</f>
        <v>아스팔트 스프레이어 / 400ℓ</v>
      </c>
      <c r="Y620" s="3" t="str">
        <f ca="1">HYPERLINK("#"&amp;중기목록표!J2&amp;"!A"&amp;ROW(중기목록표!A25),"중기22 →")</f>
        <v>중기22 →</v>
      </c>
      <c r="Z620" s="35" t="s">
        <v>1417</v>
      </c>
      <c r="AA620" s="103" t="str">
        <f>AD610</f>
        <v>1,000.000</v>
      </c>
      <c r="AB620" s="35" t="s">
        <v>1410</v>
      </c>
      <c r="AC620" s="103">
        <f>1/AD610</f>
        <v>1E-3</v>
      </c>
      <c r="AD620" s="101"/>
      <c r="AE620" s="101"/>
      <c r="AF620" s="101"/>
      <c r="AG620" s="101"/>
      <c r="AH620" s="101"/>
      <c r="AI620" s="101"/>
      <c r="AJ620" s="101"/>
      <c r="AK620" s="101"/>
      <c r="AL620" s="101"/>
      <c r="AM620" s="101"/>
      <c r="AN620" s="101"/>
    </row>
    <row r="621" spans="1:40" ht="16.5" customHeight="1" x14ac:dyDescent="0.3">
      <c r="A621" s="69"/>
      <c r="B621" s="69"/>
      <c r="C621" s="69"/>
      <c r="D621" s="69"/>
      <c r="E621" s="69"/>
      <c r="F621" s="69"/>
      <c r="G621" s="17" t="s">
        <v>1405</v>
      </c>
      <c r="Z621" s="101"/>
      <c r="AA621" s="101"/>
      <c r="AB621" s="101"/>
      <c r="AC621" s="101"/>
      <c r="AD621" s="101"/>
      <c r="AE621" s="101"/>
      <c r="AF621" s="101"/>
      <c r="AG621" s="101"/>
      <c r="AH621" s="101"/>
      <c r="AI621" s="101"/>
      <c r="AJ621" s="101"/>
      <c r="AK621" s="101"/>
      <c r="AL621" s="101"/>
      <c r="AM621" s="101"/>
      <c r="AN621" s="101"/>
    </row>
    <row r="622" spans="1:40" ht="16.5" customHeight="1" x14ac:dyDescent="0.3">
      <c r="A622" s="69"/>
      <c r="B622" s="69"/>
      <c r="C622" s="69"/>
      <c r="D622" s="69"/>
      <c r="E622" s="69"/>
      <c r="F622" s="69"/>
      <c r="G622" s="17" t="s">
        <v>1405</v>
      </c>
      <c r="Z622" s="101"/>
      <c r="AA622" s="101"/>
      <c r="AB622" s="101"/>
      <c r="AC622" s="101"/>
      <c r="AD622" s="101"/>
      <c r="AE622" s="101"/>
      <c r="AF622" s="101"/>
      <c r="AG622" s="101"/>
      <c r="AH622" s="101"/>
      <c r="AI622" s="101"/>
      <c r="AJ622" s="101"/>
      <c r="AK622" s="101"/>
      <c r="AL622" s="101"/>
      <c r="AM622" s="101"/>
      <c r="AN622" s="101"/>
    </row>
    <row r="623" spans="1:40" ht="16.5" customHeight="1" x14ac:dyDescent="0.3">
      <c r="A623" s="59"/>
      <c r="B623" s="68" t="s">
        <v>1260</v>
      </c>
      <c r="C623" s="92">
        <f>E623+D623+F623</f>
        <v>39.200000000000003</v>
      </c>
      <c r="D623" s="92">
        <f>SUMIF(N607:N622,M623,D607:D622)</f>
        <v>36.200000000000003</v>
      </c>
      <c r="E623" s="92">
        <f>SUMIF(N607:N622,M623,E607:E622)</f>
        <v>2.2000000000000002</v>
      </c>
      <c r="F623" s="92">
        <f>SUMIF(N607:N622,M623,F607:F622)</f>
        <v>0.8</v>
      </c>
      <c r="G623" s="17" t="s">
        <v>1430</v>
      </c>
      <c r="M623" s="35" t="s">
        <v>1262</v>
      </c>
      <c r="N623" s="35" t="s">
        <v>1253</v>
      </c>
      <c r="Z623" s="101"/>
      <c r="AA623" s="101"/>
      <c r="AB623" s="101"/>
      <c r="AC623" s="101"/>
      <c r="AD623" s="101"/>
      <c r="AE623" s="101"/>
      <c r="AF623" s="101"/>
      <c r="AG623" s="101"/>
      <c r="AH623" s="101"/>
      <c r="AI623" s="101"/>
      <c r="AJ623" s="101"/>
      <c r="AK623" s="101"/>
      <c r="AL623" s="101"/>
      <c r="AM623" s="101"/>
      <c r="AN623" s="101"/>
    </row>
    <row r="624" spans="1:40" ht="16.5" customHeight="1" x14ac:dyDescent="0.3">
      <c r="A624" s="69"/>
      <c r="B624" s="69"/>
      <c r="C624" s="90"/>
      <c r="D624" s="90"/>
      <c r="E624" s="90"/>
      <c r="F624" s="90"/>
      <c r="G624" s="17" t="s">
        <v>1405</v>
      </c>
      <c r="Z624" s="101"/>
      <c r="AA624" s="101"/>
      <c r="AB624" s="101"/>
      <c r="AC624" s="101"/>
      <c r="AD624" s="101"/>
      <c r="AE624" s="101"/>
      <c r="AF624" s="101"/>
      <c r="AG624" s="101"/>
      <c r="AH624" s="101"/>
      <c r="AI624" s="101"/>
      <c r="AJ624" s="101"/>
      <c r="AK624" s="101"/>
      <c r="AL624" s="101"/>
      <c r="AM624" s="101"/>
      <c r="AN624" s="101"/>
    </row>
    <row r="625" spans="1:40" ht="16.5" customHeight="1" x14ac:dyDescent="0.3">
      <c r="A625" s="59"/>
      <c r="B625" s="68" t="s">
        <v>1706</v>
      </c>
      <c r="C625" s="69"/>
      <c r="D625" s="69"/>
      <c r="E625" s="69"/>
      <c r="F625" s="69"/>
      <c r="G625" s="17" t="s">
        <v>1705</v>
      </c>
      <c r="Z625" s="101"/>
      <c r="AA625" s="101"/>
      <c r="AB625" s="101"/>
      <c r="AC625" s="101"/>
      <c r="AD625" s="101"/>
      <c r="AE625" s="101"/>
      <c r="AF625" s="101"/>
      <c r="AG625" s="101"/>
      <c r="AH625" s="101"/>
      <c r="AI625" s="101"/>
      <c r="AJ625" s="101"/>
      <c r="AK625" s="101"/>
      <c r="AL625" s="101"/>
      <c r="AM625" s="101"/>
      <c r="AN625" s="101"/>
    </row>
    <row r="626" spans="1:40" ht="16.5" customHeight="1" x14ac:dyDescent="0.3">
      <c r="A626" s="69"/>
      <c r="B626" s="69"/>
      <c r="C626" s="69"/>
      <c r="D626" s="69"/>
      <c r="E626" s="69"/>
      <c r="F626" s="69"/>
      <c r="G626" s="17" t="s">
        <v>1405</v>
      </c>
      <c r="Z626" s="101"/>
      <c r="AA626" s="101"/>
      <c r="AB626" s="101"/>
      <c r="AC626" s="101"/>
      <c r="AD626" s="101"/>
      <c r="AE626" s="101"/>
      <c r="AF626" s="101"/>
      <c r="AG626" s="101"/>
      <c r="AH626" s="101"/>
      <c r="AI626" s="101"/>
      <c r="AJ626" s="101"/>
      <c r="AK626" s="101"/>
      <c r="AL626" s="101"/>
      <c r="AM626" s="101"/>
      <c r="AN626" s="101"/>
    </row>
    <row r="627" spans="1:40" ht="16.5" customHeight="1" x14ac:dyDescent="0.3">
      <c r="A627" s="69"/>
      <c r="B627" s="69"/>
      <c r="C627" s="69"/>
      <c r="D627" s="69"/>
      <c r="E627" s="69"/>
      <c r="F627" s="69"/>
      <c r="G627" s="17" t="s">
        <v>1405</v>
      </c>
      <c r="Z627" s="101"/>
      <c r="AA627" s="101"/>
      <c r="AB627" s="101"/>
      <c r="AC627" s="101"/>
      <c r="AD627" s="101"/>
      <c r="AE627" s="101"/>
      <c r="AF627" s="101"/>
      <c r="AG627" s="101"/>
      <c r="AH627" s="101"/>
      <c r="AI627" s="101"/>
      <c r="AJ627" s="101"/>
      <c r="AK627" s="101"/>
      <c r="AL627" s="101"/>
      <c r="AM627" s="101"/>
      <c r="AN627" s="101"/>
    </row>
    <row r="628" spans="1:40" ht="16.5" customHeight="1" x14ac:dyDescent="0.3">
      <c r="A628" s="59" t="s">
        <v>1419</v>
      </c>
      <c r="B628" s="89" t="str">
        <f>" 보통인부:  "&amp;TEXT(I628,"#,##0"&amp;IF(I628&lt;&gt;INT(I628),".###",""))&amp;" * Q1 / Q= "&amp;TEXT(C628,"#,##0.0")&amp;""</f>
        <v xml:space="preserve"> 보통인부:  172,068 * Q1 / Q= 43.0</v>
      </c>
      <c r="C628" s="91">
        <f>E628+D628+F628</f>
        <v>43</v>
      </c>
      <c r="D628" s="91">
        <f>IF(H628=0,0,ROUNDDOWN(J628*H628,1))</f>
        <v>43</v>
      </c>
      <c r="E628" s="91">
        <f>IF(H628=0,0,ROUNDDOWN(K628*H628,1))</f>
        <v>0</v>
      </c>
      <c r="F628" s="91">
        <f>IF(H628=0,0,ROUNDDOWN(L628*H628,1))</f>
        <v>0</v>
      </c>
      <c r="G628" s="17" t="s">
        <v>1707</v>
      </c>
      <c r="H628" s="97">
        <f>ROUNDUP(AE628,14-LEN(ABS(INT(AE628))))</f>
        <v>2.5000000000000001E-4</v>
      </c>
      <c r="I628" s="98">
        <f>K628+J628+L628</f>
        <v>172068</v>
      </c>
      <c r="J628" s="38">
        <f>노무비목록표!E8</f>
        <v>172068</v>
      </c>
      <c r="M628" s="35" t="s">
        <v>1219</v>
      </c>
      <c r="N628" s="35" t="s">
        <v>1262</v>
      </c>
      <c r="X628" s="100" t="str">
        <f>노무비목록표!B8&amp;" / "&amp;노무비목록표!C8</f>
        <v xml:space="preserve">보통인부 / </v>
      </c>
      <c r="Y628" s="3" t="str">
        <f ca="1">HYPERLINK("#"&amp;노무비목록표!G2&amp;"!A"&amp;ROW(노무비목록표!A8),"노무5 →")</f>
        <v>노무5 →</v>
      </c>
      <c r="Z628" s="35" t="s">
        <v>1446</v>
      </c>
      <c r="AA628" s="103" t="str">
        <f>AD608</f>
        <v>0.250</v>
      </c>
      <c r="AB628" s="35" t="s">
        <v>1413</v>
      </c>
      <c r="AC628" s="103" t="str">
        <f>AD610</f>
        <v>1,000.000</v>
      </c>
      <c r="AD628" s="35" t="s">
        <v>1410</v>
      </c>
      <c r="AE628" s="103">
        <f>1*AD608/AD610</f>
        <v>2.5000000000000001E-4</v>
      </c>
      <c r="AF628" s="101"/>
      <c r="AG628" s="101"/>
      <c r="AH628" s="101"/>
      <c r="AI628" s="101"/>
      <c r="AJ628" s="101"/>
      <c r="AK628" s="101"/>
      <c r="AL628" s="101"/>
      <c r="AM628" s="101"/>
      <c r="AN628" s="101"/>
    </row>
    <row r="629" spans="1:40" ht="16.5" customHeight="1" x14ac:dyDescent="0.3">
      <c r="A629" s="69"/>
      <c r="B629" s="69"/>
      <c r="C629" s="69"/>
      <c r="D629" s="69"/>
      <c r="E629" s="69"/>
      <c r="F629" s="69"/>
      <c r="G629" s="17" t="s">
        <v>1405</v>
      </c>
      <c r="Z629" s="101"/>
      <c r="AA629" s="101"/>
      <c r="AB629" s="101"/>
      <c r="AC629" s="101"/>
      <c r="AD629" s="101"/>
      <c r="AE629" s="101"/>
      <c r="AF629" s="101"/>
      <c r="AG629" s="101"/>
      <c r="AH629" s="101"/>
      <c r="AI629" s="101"/>
      <c r="AJ629" s="101"/>
      <c r="AK629" s="101"/>
      <c r="AL629" s="101"/>
      <c r="AM629" s="101"/>
      <c r="AN629" s="101"/>
    </row>
    <row r="630" spans="1:40" ht="16.5" customHeight="1" x14ac:dyDescent="0.3">
      <c r="A630" s="59"/>
      <c r="B630" s="68" t="s">
        <v>1260</v>
      </c>
      <c r="C630" s="92">
        <f>E630+D630+F630</f>
        <v>43</v>
      </c>
      <c r="D630" s="92">
        <f>SUMIF(N624:N629,M630,D624:D629)</f>
        <v>43</v>
      </c>
      <c r="E630" s="92">
        <f>SUMIF(N624:N629,M630,E624:E629)</f>
        <v>0</v>
      </c>
      <c r="F630" s="92">
        <f>SUMIF(N624:N629,M630,F624:F629)</f>
        <v>0</v>
      </c>
      <c r="G630" s="17" t="s">
        <v>1430</v>
      </c>
      <c r="M630" s="35" t="s">
        <v>1262</v>
      </c>
      <c r="N630" s="35" t="s">
        <v>1253</v>
      </c>
      <c r="Z630" s="101"/>
      <c r="AA630" s="101"/>
      <c r="AB630" s="101"/>
      <c r="AC630" s="101"/>
      <c r="AD630" s="101"/>
      <c r="AE630" s="101"/>
      <c r="AF630" s="101"/>
      <c r="AG630" s="101"/>
      <c r="AH630" s="101"/>
      <c r="AI630" s="101"/>
      <c r="AJ630" s="101"/>
      <c r="AK630" s="101"/>
      <c r="AL630" s="101"/>
      <c r="AM630" s="101"/>
      <c r="AN630" s="101"/>
    </row>
    <row r="631" spans="1:40" ht="16.5" customHeight="1" x14ac:dyDescent="0.3">
      <c r="A631" s="69"/>
      <c r="B631" s="69"/>
      <c r="C631" s="90"/>
      <c r="D631" s="90"/>
      <c r="E631" s="90"/>
      <c r="F631" s="90"/>
      <c r="G631" s="17" t="s">
        <v>1405</v>
      </c>
      <c r="Z631" s="101"/>
      <c r="AA631" s="101"/>
      <c r="AB631" s="101"/>
      <c r="AC631" s="101"/>
      <c r="AD631" s="101"/>
      <c r="AE631" s="101"/>
      <c r="AF631" s="101"/>
      <c r="AG631" s="101"/>
      <c r="AH631" s="101"/>
      <c r="AI631" s="101"/>
      <c r="AJ631" s="101"/>
      <c r="AK631" s="101"/>
      <c r="AL631" s="101"/>
      <c r="AM631" s="101"/>
      <c r="AN631" s="101"/>
    </row>
    <row r="632" spans="1:40" ht="16.5" customHeight="1" x14ac:dyDescent="0.3">
      <c r="A632" s="59"/>
      <c r="B632" s="68" t="s">
        <v>1251</v>
      </c>
      <c r="C632" s="92">
        <f>E632+D632+F632</f>
        <v>82.2</v>
      </c>
      <c r="D632" s="92">
        <f>SUMIF(N607:N631,M632,D607:D631)</f>
        <v>79.2</v>
      </c>
      <c r="E632" s="92">
        <f>SUMIF(N607:N631,M632,E607:E631)</f>
        <v>2.2000000000000002</v>
      </c>
      <c r="F632" s="92">
        <f>SUMIF(N607:N631,M632,F607:F631)</f>
        <v>0.8</v>
      </c>
      <c r="G632" s="17" t="s">
        <v>1476</v>
      </c>
      <c r="M632" s="35" t="s">
        <v>1253</v>
      </c>
      <c r="N632" s="35" t="s">
        <v>1209</v>
      </c>
      <c r="Z632" s="101"/>
      <c r="AA632" s="101"/>
      <c r="AB632" s="101"/>
      <c r="AC632" s="101"/>
      <c r="AD632" s="101"/>
      <c r="AE632" s="101"/>
      <c r="AF632" s="101"/>
      <c r="AG632" s="101"/>
      <c r="AH632" s="101"/>
      <c r="AI632" s="101"/>
      <c r="AJ632" s="101"/>
      <c r="AK632" s="101"/>
      <c r="AL632" s="101"/>
      <c r="AM632" s="101"/>
      <c r="AN632" s="101"/>
    </row>
    <row r="633" spans="1:40" ht="16.5" customHeight="1" x14ac:dyDescent="0.3">
      <c r="A633" s="69"/>
      <c r="B633" s="69"/>
      <c r="C633" s="90"/>
      <c r="D633" s="90"/>
      <c r="E633" s="90"/>
      <c r="F633" s="90"/>
      <c r="Z633" s="101"/>
      <c r="AA633" s="101"/>
      <c r="AB633" s="101"/>
      <c r="AC633" s="101"/>
      <c r="AD633" s="101"/>
      <c r="AE633" s="101"/>
      <c r="AF633" s="101"/>
      <c r="AG633" s="101"/>
      <c r="AH633" s="101"/>
      <c r="AI633" s="101"/>
      <c r="AJ633" s="101"/>
      <c r="AK633" s="101"/>
      <c r="AL633" s="101"/>
      <c r="AM633" s="101"/>
      <c r="AN633" s="101"/>
    </row>
    <row r="634" spans="1:40" ht="16.5" customHeight="1" x14ac:dyDescent="0.3">
      <c r="A634" s="69"/>
      <c r="B634" s="69"/>
      <c r="C634" s="69"/>
      <c r="D634" s="69"/>
      <c r="E634" s="69"/>
      <c r="F634" s="69"/>
      <c r="Z634" s="101"/>
      <c r="AA634" s="101"/>
      <c r="AB634" s="101"/>
      <c r="AC634" s="101"/>
      <c r="AD634" s="101"/>
      <c r="AE634" s="101"/>
      <c r="AF634" s="101"/>
      <c r="AG634" s="101"/>
      <c r="AH634" s="101"/>
      <c r="AI634" s="101"/>
      <c r="AJ634" s="101"/>
      <c r="AK634" s="101"/>
      <c r="AL634" s="101"/>
      <c r="AM634" s="101"/>
      <c r="AN634" s="101"/>
    </row>
    <row r="635" spans="1:40" ht="16.5" customHeight="1" x14ac:dyDescent="0.3">
      <c r="A635" s="69"/>
      <c r="B635" s="69"/>
      <c r="C635" s="69"/>
      <c r="D635" s="69"/>
      <c r="E635" s="69"/>
      <c r="F635" s="69"/>
      <c r="Z635" s="101"/>
      <c r="AA635" s="101"/>
      <c r="AB635" s="101"/>
      <c r="AC635" s="101"/>
      <c r="AD635" s="101"/>
      <c r="AE635" s="101"/>
      <c r="AF635" s="101"/>
      <c r="AG635" s="101"/>
      <c r="AH635" s="101"/>
      <c r="AI635" s="101"/>
      <c r="AJ635" s="101"/>
      <c r="AK635" s="101"/>
      <c r="AL635" s="101"/>
      <c r="AM635" s="101"/>
      <c r="AN635" s="101"/>
    </row>
    <row r="636" spans="1:40" ht="16.5" customHeight="1" x14ac:dyDescent="0.3">
      <c r="A636" s="69"/>
      <c r="B636" s="69"/>
      <c r="C636" s="69"/>
      <c r="D636" s="69"/>
      <c r="E636" s="69"/>
      <c r="F636" s="69"/>
      <c r="Z636" s="101"/>
      <c r="AA636" s="101"/>
      <c r="AB636" s="101"/>
      <c r="AC636" s="101"/>
      <c r="AD636" s="101"/>
      <c r="AE636" s="101"/>
      <c r="AF636" s="101"/>
      <c r="AG636" s="101"/>
      <c r="AH636" s="101"/>
      <c r="AI636" s="101"/>
      <c r="AJ636" s="101"/>
      <c r="AK636" s="101"/>
      <c r="AL636" s="101"/>
      <c r="AM636" s="101"/>
      <c r="AN636" s="101"/>
    </row>
    <row r="637" spans="1:40" ht="16.5" customHeight="1" x14ac:dyDescent="0.3">
      <c r="A637" s="69"/>
      <c r="B637" s="69"/>
      <c r="C637" s="69"/>
      <c r="D637" s="69"/>
      <c r="E637" s="69"/>
      <c r="F637" s="69"/>
      <c r="Z637" s="101"/>
      <c r="AA637" s="101"/>
      <c r="AB637" s="101"/>
      <c r="AC637" s="101"/>
      <c r="AD637" s="101"/>
      <c r="AE637" s="101"/>
      <c r="AF637" s="101"/>
      <c r="AG637" s="101"/>
      <c r="AH637" s="101"/>
      <c r="AI637" s="101"/>
      <c r="AJ637" s="101"/>
      <c r="AK637" s="101"/>
      <c r="AL637" s="101"/>
      <c r="AM637" s="101"/>
      <c r="AN637" s="101"/>
    </row>
    <row r="638" spans="1:40" ht="16.5" customHeight="1" x14ac:dyDescent="0.3">
      <c r="A638" s="69"/>
      <c r="B638" s="69"/>
      <c r="C638" s="69"/>
      <c r="D638" s="69"/>
      <c r="E638" s="69"/>
      <c r="F638" s="69"/>
      <c r="Z638" s="101"/>
      <c r="AA638" s="101"/>
      <c r="AB638" s="101"/>
      <c r="AC638" s="101"/>
      <c r="AD638" s="101"/>
      <c r="AE638" s="101"/>
      <c r="AF638" s="101"/>
      <c r="AG638" s="101"/>
      <c r="AH638" s="101"/>
      <c r="AI638" s="101"/>
      <c r="AJ638" s="101"/>
      <c r="AK638" s="101"/>
      <c r="AL638" s="101"/>
      <c r="AM638" s="101"/>
      <c r="AN638" s="101"/>
    </row>
    <row r="639" spans="1:40" ht="16.5" customHeight="1" x14ac:dyDescent="0.3">
      <c r="A639" s="69"/>
      <c r="B639" s="69"/>
      <c r="C639" s="69"/>
      <c r="D639" s="69"/>
      <c r="E639" s="69"/>
      <c r="F639" s="69"/>
      <c r="Z639" s="101"/>
      <c r="AA639" s="101"/>
      <c r="AB639" s="101"/>
      <c r="AC639" s="101"/>
      <c r="AD639" s="101"/>
      <c r="AE639" s="101"/>
      <c r="AF639" s="101"/>
      <c r="AG639" s="101"/>
      <c r="AH639" s="101"/>
      <c r="AI639" s="101"/>
      <c r="AJ639" s="101"/>
      <c r="AK639" s="101"/>
      <c r="AL639" s="101"/>
      <c r="AM639" s="101"/>
      <c r="AN639" s="101"/>
    </row>
    <row r="640" spans="1:40" ht="16.5" customHeight="1" x14ac:dyDescent="0.3">
      <c r="A640" s="69"/>
      <c r="B640" s="69"/>
      <c r="C640" s="69"/>
      <c r="D640" s="69"/>
      <c r="E640" s="69"/>
      <c r="F640" s="69"/>
      <c r="Z640" s="101"/>
      <c r="AA640" s="101"/>
      <c r="AB640" s="101"/>
      <c r="AC640" s="101"/>
      <c r="AD640" s="101"/>
      <c r="AE640" s="101"/>
      <c r="AF640" s="101"/>
      <c r="AG640" s="101"/>
      <c r="AH640" s="101"/>
      <c r="AI640" s="101"/>
      <c r="AJ640" s="101"/>
      <c r="AK640" s="101"/>
      <c r="AL640" s="101"/>
      <c r="AM640" s="101"/>
      <c r="AN640" s="101"/>
    </row>
    <row r="641" spans="1:40" ht="16.5" customHeight="1" x14ac:dyDescent="0.3">
      <c r="A641" s="69"/>
      <c r="B641" s="69"/>
      <c r="C641" s="69"/>
      <c r="D641" s="69"/>
      <c r="E641" s="69"/>
      <c r="F641" s="69"/>
      <c r="Z641" s="101"/>
      <c r="AA641" s="101"/>
      <c r="AB641" s="101"/>
      <c r="AC641" s="101"/>
      <c r="AD641" s="101"/>
      <c r="AE641" s="101"/>
      <c r="AF641" s="101"/>
      <c r="AG641" s="101"/>
      <c r="AH641" s="101"/>
      <c r="AI641" s="101"/>
      <c r="AJ641" s="101"/>
      <c r="AK641" s="101"/>
      <c r="AL641" s="101"/>
      <c r="AM641" s="101"/>
      <c r="AN641" s="101"/>
    </row>
    <row r="642" spans="1:40" ht="16.5" customHeight="1" x14ac:dyDescent="0.3">
      <c r="A642" s="69"/>
      <c r="B642" s="69"/>
      <c r="C642" s="69"/>
      <c r="D642" s="69"/>
      <c r="E642" s="69"/>
      <c r="F642" s="69"/>
      <c r="Z642" s="101"/>
      <c r="AA642" s="101"/>
      <c r="AB642" s="101"/>
      <c r="AC642" s="101"/>
      <c r="AD642" s="101"/>
      <c r="AE642" s="101"/>
      <c r="AF642" s="101"/>
      <c r="AG642" s="101"/>
      <c r="AH642" s="101"/>
      <c r="AI642" s="101"/>
      <c r="AJ642" s="101"/>
      <c r="AK642" s="101"/>
      <c r="AL642" s="101"/>
      <c r="AM642" s="101"/>
      <c r="AN642" s="101"/>
    </row>
    <row r="643" spans="1:40" ht="16.5" customHeight="1" x14ac:dyDescent="0.3">
      <c r="A643" s="69"/>
      <c r="B643" s="69"/>
      <c r="C643" s="69"/>
      <c r="D643" s="69"/>
      <c r="E643" s="69"/>
      <c r="F643" s="69"/>
      <c r="Z643" s="101"/>
      <c r="AA643" s="101"/>
      <c r="AB643" s="101"/>
      <c r="AC643" s="101"/>
      <c r="AD643" s="101"/>
      <c r="AE643" s="101"/>
      <c r="AF643" s="101"/>
      <c r="AG643" s="101"/>
      <c r="AH643" s="101"/>
      <c r="AI643" s="101"/>
      <c r="AJ643" s="101"/>
      <c r="AK643" s="101"/>
      <c r="AL643" s="101"/>
      <c r="AM643" s="101"/>
      <c r="AN643" s="101"/>
    </row>
    <row r="644" spans="1:40" ht="16.5" customHeight="1" x14ac:dyDescent="0.3">
      <c r="A644" s="69"/>
      <c r="B644" s="69"/>
      <c r="C644" s="69"/>
      <c r="D644" s="69"/>
      <c r="E644" s="69"/>
      <c r="F644" s="69"/>
      <c r="Z644" s="101"/>
      <c r="AA644" s="101"/>
      <c r="AB644" s="101"/>
      <c r="AC644" s="101"/>
      <c r="AD644" s="101"/>
      <c r="AE644" s="101"/>
      <c r="AF644" s="101"/>
      <c r="AG644" s="101"/>
      <c r="AH644" s="101"/>
      <c r="AI644" s="101"/>
      <c r="AJ644" s="101"/>
      <c r="AK644" s="101"/>
      <c r="AL644" s="101"/>
      <c r="AM644" s="101"/>
      <c r="AN644" s="101"/>
    </row>
    <row r="645" spans="1:40" ht="16.5" customHeight="1" x14ac:dyDescent="0.3">
      <c r="A645" s="69"/>
      <c r="B645" s="69"/>
      <c r="C645" s="69"/>
      <c r="D645" s="69"/>
      <c r="E645" s="69"/>
      <c r="F645" s="69"/>
      <c r="Z645" s="101"/>
      <c r="AA645" s="101"/>
      <c r="AB645" s="101"/>
      <c r="AC645" s="101"/>
      <c r="AD645" s="101"/>
      <c r="AE645" s="101"/>
      <c r="AF645" s="101"/>
      <c r="AG645" s="101"/>
      <c r="AH645" s="101"/>
      <c r="AI645" s="101"/>
      <c r="AJ645" s="101"/>
      <c r="AK645" s="101"/>
      <c r="AL645" s="101"/>
      <c r="AM645" s="101"/>
      <c r="AN645" s="101"/>
    </row>
    <row r="646" spans="1:40" ht="16.5" customHeight="1" x14ac:dyDescent="0.3">
      <c r="A646" s="69"/>
      <c r="B646" s="69"/>
      <c r="C646" s="69"/>
      <c r="D646" s="69"/>
      <c r="E646" s="69"/>
      <c r="F646" s="69"/>
      <c r="Z646" s="101"/>
      <c r="AA646" s="101"/>
      <c r="AB646" s="101"/>
      <c r="AC646" s="101"/>
      <c r="AD646" s="101"/>
      <c r="AE646" s="101"/>
      <c r="AF646" s="101"/>
      <c r="AG646" s="101"/>
      <c r="AH646" s="101"/>
      <c r="AI646" s="101"/>
      <c r="AJ646" s="101"/>
      <c r="AK646" s="101"/>
      <c r="AL646" s="101"/>
      <c r="AM646" s="101"/>
      <c r="AN646" s="101"/>
    </row>
    <row r="647" spans="1:40" ht="16.5" customHeight="1" x14ac:dyDescent="0.3">
      <c r="A647" s="69"/>
      <c r="B647" s="69"/>
      <c r="C647" s="69"/>
      <c r="D647" s="69"/>
      <c r="E647" s="69"/>
      <c r="F647" s="69"/>
      <c r="Z647" s="101"/>
      <c r="AA647" s="101"/>
      <c r="AB647" s="101"/>
      <c r="AC647" s="101"/>
      <c r="AD647" s="101"/>
      <c r="AE647" s="101"/>
      <c r="AF647" s="101"/>
      <c r="AG647" s="101"/>
      <c r="AH647" s="101"/>
      <c r="AI647" s="101"/>
      <c r="AJ647" s="101"/>
      <c r="AK647" s="101"/>
      <c r="AL647" s="101"/>
      <c r="AM647" s="101"/>
      <c r="AN647" s="101"/>
    </row>
    <row r="648" spans="1:40" ht="16.5" customHeight="1" x14ac:dyDescent="0.3">
      <c r="A648" s="69"/>
      <c r="B648" s="69"/>
      <c r="C648" s="69"/>
      <c r="D648" s="69"/>
      <c r="E648" s="69"/>
      <c r="F648" s="69"/>
      <c r="Z648" s="101"/>
      <c r="AA648" s="101"/>
      <c r="AB648" s="101"/>
      <c r="AC648" s="101"/>
      <c r="AD648" s="101"/>
      <c r="AE648" s="101"/>
      <c r="AF648" s="101"/>
      <c r="AG648" s="101"/>
      <c r="AH648" s="101"/>
      <c r="AI648" s="101"/>
      <c r="AJ648" s="101"/>
      <c r="AK648" s="101"/>
      <c r="AL648" s="101"/>
      <c r="AM648" s="101"/>
      <c r="AN648" s="101"/>
    </row>
    <row r="649" spans="1:40" ht="16.5" customHeight="1" x14ac:dyDescent="0.3">
      <c r="A649" s="69"/>
      <c r="B649" s="69"/>
      <c r="C649" s="69"/>
      <c r="D649" s="69"/>
      <c r="E649" s="69"/>
      <c r="F649" s="69"/>
      <c r="Z649" s="101"/>
      <c r="AA649" s="101"/>
      <c r="AB649" s="101"/>
      <c r="AC649" s="101"/>
      <c r="AD649" s="101"/>
      <c r="AE649" s="101"/>
      <c r="AF649" s="101"/>
      <c r="AG649" s="101"/>
      <c r="AH649" s="101"/>
      <c r="AI649" s="101"/>
      <c r="AJ649" s="101"/>
      <c r="AK649" s="101"/>
      <c r="AL649" s="101"/>
      <c r="AM649" s="101"/>
      <c r="AN649" s="101"/>
    </row>
    <row r="650" spans="1:40" ht="16.5" customHeight="1" x14ac:dyDescent="0.3">
      <c r="A650" s="69"/>
      <c r="B650" s="69"/>
      <c r="C650" s="69"/>
      <c r="D650" s="69"/>
      <c r="E650" s="69"/>
      <c r="F650" s="69"/>
      <c r="Z650" s="101"/>
      <c r="AA650" s="101"/>
      <c r="AB650" s="101"/>
      <c r="AC650" s="101"/>
      <c r="AD650" s="101"/>
      <c r="AE650" s="101"/>
      <c r="AF650" s="101"/>
      <c r="AG650" s="101"/>
      <c r="AH650" s="101"/>
      <c r="AI650" s="101"/>
      <c r="AJ650" s="101"/>
      <c r="AK650" s="101"/>
      <c r="AL650" s="101"/>
      <c r="AM650" s="101"/>
      <c r="AN650" s="101"/>
    </row>
    <row r="651" spans="1:40" ht="16.5" customHeight="1" x14ac:dyDescent="0.3">
      <c r="A651" s="69"/>
      <c r="B651" s="69"/>
      <c r="C651" s="69"/>
      <c r="D651" s="69"/>
      <c r="E651" s="69"/>
      <c r="F651" s="69"/>
      <c r="Z651" s="101"/>
      <c r="AA651" s="101"/>
      <c r="AB651" s="101"/>
      <c r="AC651" s="101"/>
      <c r="AD651" s="101"/>
      <c r="AE651" s="101"/>
      <c r="AF651" s="101"/>
      <c r="AG651" s="101"/>
      <c r="AH651" s="101"/>
      <c r="AI651" s="101"/>
      <c r="AJ651" s="101"/>
      <c r="AK651" s="101"/>
      <c r="AL651" s="101"/>
      <c r="AM651" s="101"/>
      <c r="AN651" s="101"/>
    </row>
    <row r="652" spans="1:40" ht="16.5" customHeight="1" x14ac:dyDescent="0.3">
      <c r="A652" s="69"/>
      <c r="B652" s="69"/>
      <c r="C652" s="69"/>
      <c r="D652" s="69"/>
      <c r="E652" s="69"/>
      <c r="F652" s="69"/>
      <c r="Z652" s="101"/>
      <c r="AA652" s="101"/>
      <c r="AB652" s="101"/>
      <c r="AC652" s="101"/>
      <c r="AD652" s="101"/>
      <c r="AE652" s="101"/>
      <c r="AF652" s="101"/>
      <c r="AG652" s="101"/>
      <c r="AH652" s="101"/>
      <c r="AI652" s="101"/>
      <c r="AJ652" s="101"/>
      <c r="AK652" s="101"/>
      <c r="AL652" s="101"/>
      <c r="AM652" s="101"/>
      <c r="AN652" s="101"/>
    </row>
    <row r="653" spans="1:40" ht="16.5" customHeight="1" x14ac:dyDescent="0.3">
      <c r="A653" s="74"/>
      <c r="B653" s="74"/>
      <c r="C653" s="74"/>
      <c r="D653" s="74"/>
      <c r="E653" s="74"/>
      <c r="F653" s="74"/>
      <c r="Z653" s="101"/>
      <c r="AA653" s="101"/>
      <c r="AB653" s="101"/>
      <c r="AC653" s="101"/>
      <c r="AD653" s="101"/>
      <c r="AE653" s="101"/>
      <c r="AF653" s="101"/>
      <c r="AG653" s="101"/>
      <c r="AH653" s="101"/>
      <c r="AI653" s="101"/>
      <c r="AJ653" s="101"/>
      <c r="AK653" s="101"/>
      <c r="AL653" s="101"/>
      <c r="AM653" s="101"/>
      <c r="AN653" s="101"/>
    </row>
    <row r="654" spans="1:40" ht="16.5" customHeight="1" x14ac:dyDescent="0.3">
      <c r="A654" s="150" t="s">
        <v>1477</v>
      </c>
      <c r="B654" s="143"/>
      <c r="C654" s="47">
        <f>E654+D654+F654</f>
        <v>81</v>
      </c>
      <c r="D654" s="46">
        <f>ROUNDDOWN(SUMIF(N607:N632,M654,D607:D632),0)</f>
        <v>79</v>
      </c>
      <c r="E654" s="55">
        <f>ROUNDDOWN(SUMIF(N607:N632,M654,E607:E632),0)</f>
        <v>2</v>
      </c>
      <c r="F654" s="47">
        <f>ROUNDDOWN(SUMIF(N607:N632,M654,F607:F632),0)</f>
        <v>0</v>
      </c>
      <c r="M654" s="35" t="s">
        <v>1209</v>
      </c>
      <c r="Z654" s="101"/>
      <c r="AA654" s="101"/>
      <c r="AB654" s="101"/>
      <c r="AC654" s="101"/>
      <c r="AD654" s="101"/>
      <c r="AE654" s="101"/>
      <c r="AF654" s="101"/>
      <c r="AG654" s="101"/>
      <c r="AH654" s="101"/>
      <c r="AI654" s="101"/>
      <c r="AJ654" s="101"/>
      <c r="AK654" s="101"/>
      <c r="AL654" s="101"/>
      <c r="AM654" s="101"/>
      <c r="AN654" s="101"/>
    </row>
    <row r="655" spans="1:40" ht="16.5" customHeight="1" x14ac:dyDescent="0.3">
      <c r="A655" s="86" t="s">
        <v>60</v>
      </c>
      <c r="B655" s="88" t="s">
        <v>60</v>
      </c>
      <c r="C655" s="151">
        <f>C754</f>
        <v>6290</v>
      </c>
      <c r="D655" s="151">
        <f>D754</f>
        <v>5249</v>
      </c>
      <c r="E655" s="151">
        <f>E754</f>
        <v>664</v>
      </c>
      <c r="F655" s="151">
        <f>F754</f>
        <v>377</v>
      </c>
      <c r="G655" s="84" t="str">
        <f>HYPERLINK("#G"&amp;ROW(G710),"_x0005_`BDCOD|D01503_x0007_`POSS|"&amp;ROW(G657)&amp;"_x0007_`POSE|"&amp;ROW(G710)&amp;"_x0007_`")</f>
        <v>_x0005_`BDCOD|D01503_x0007_`POSS|657_x0007_`POSE|710_x0007_`</v>
      </c>
      <c r="Z655" s="101"/>
      <c r="AA655" s="101"/>
      <c r="AB655" s="101"/>
      <c r="AC655" s="101"/>
      <c r="AD655" s="101"/>
      <c r="AE655" s="101"/>
      <c r="AF655" s="101"/>
      <c r="AG655" s="101"/>
      <c r="AH655" s="101"/>
      <c r="AI655" s="101"/>
      <c r="AJ655" s="101"/>
      <c r="AK655" s="101"/>
      <c r="AL655" s="101"/>
      <c r="AM655" s="101"/>
      <c r="AN655" s="101"/>
    </row>
    <row r="656" spans="1:40" ht="16.5" customHeight="1" x14ac:dyDescent="0.3">
      <c r="A656" s="87"/>
      <c r="B656" s="88" t="s">
        <v>159</v>
      </c>
      <c r="C656" s="136"/>
      <c r="D656" s="136"/>
      <c r="E656" s="136"/>
      <c r="F656" s="136"/>
      <c r="M656" s="35" t="s">
        <v>1708</v>
      </c>
      <c r="Z656" s="101"/>
      <c r="AA656" s="101"/>
      <c r="AB656" s="101"/>
      <c r="AC656" s="101"/>
      <c r="AD656" s="101"/>
      <c r="AE656" s="101"/>
      <c r="AF656" s="101"/>
      <c r="AG656" s="101"/>
      <c r="AH656" s="101"/>
      <c r="AI656" s="101"/>
      <c r="AJ656" s="101"/>
      <c r="AK656" s="101"/>
      <c r="AL656" s="101"/>
      <c r="AM656" s="101"/>
      <c r="AN656" s="101"/>
    </row>
    <row r="657" spans="1:40" ht="16.5" customHeight="1" x14ac:dyDescent="0.3">
      <c r="A657" s="69"/>
      <c r="B657" s="69"/>
      <c r="C657" s="90"/>
      <c r="D657" s="90"/>
      <c r="E657" s="90"/>
      <c r="F657" s="90"/>
      <c r="G657" s="17" t="s">
        <v>1405</v>
      </c>
      <c r="Z657" s="101"/>
      <c r="AA657" s="101"/>
      <c r="AB657" s="101"/>
      <c r="AC657" s="101"/>
      <c r="AD657" s="101"/>
      <c r="AE657" s="101"/>
      <c r="AF657" s="101"/>
      <c r="AG657" s="101"/>
      <c r="AH657" s="101"/>
      <c r="AI657" s="101"/>
      <c r="AJ657" s="101"/>
      <c r="AK657" s="101"/>
      <c r="AL657" s="101"/>
      <c r="AM657" s="101"/>
      <c r="AN657" s="101"/>
    </row>
    <row r="658" spans="1:40" ht="16.5" customHeight="1" x14ac:dyDescent="0.3">
      <c r="A658" s="59"/>
      <c r="B658" s="68" t="s">
        <v>1710</v>
      </c>
      <c r="C658" s="69"/>
      <c r="D658" s="69"/>
      <c r="E658" s="69"/>
      <c r="F658" s="69"/>
      <c r="G658" s="17" t="s">
        <v>1709</v>
      </c>
      <c r="Z658" s="101"/>
      <c r="AA658" s="101"/>
      <c r="AB658" s="101"/>
      <c r="AC658" s="101"/>
      <c r="AD658" s="101"/>
      <c r="AE658" s="101"/>
      <c r="AF658" s="101"/>
      <c r="AG658" s="101"/>
      <c r="AH658" s="101"/>
      <c r="AI658" s="101"/>
      <c r="AJ658" s="101"/>
      <c r="AK658" s="101"/>
      <c r="AL658" s="101"/>
      <c r="AM658" s="101"/>
      <c r="AN658" s="101"/>
    </row>
    <row r="659" spans="1:40" ht="16.5" customHeight="1" x14ac:dyDescent="0.3">
      <c r="A659" s="69"/>
      <c r="B659" s="69"/>
      <c r="C659" s="69"/>
      <c r="D659" s="69"/>
      <c r="E659" s="69"/>
      <c r="F659" s="69"/>
      <c r="G659" s="17" t="s">
        <v>1711</v>
      </c>
      <c r="Z659" s="101"/>
      <c r="AA659" s="101"/>
      <c r="AB659" s="101"/>
      <c r="AC659" s="101"/>
      <c r="AD659" s="101"/>
      <c r="AE659" s="101"/>
      <c r="AF659" s="101"/>
      <c r="AG659" s="101"/>
      <c r="AH659" s="101"/>
      <c r="AI659" s="101"/>
      <c r="AJ659" s="101"/>
      <c r="AK659" s="101"/>
      <c r="AL659" s="101"/>
      <c r="AM659" s="101"/>
      <c r="AN659" s="101"/>
    </row>
    <row r="660" spans="1:40" ht="16.5" customHeight="1" x14ac:dyDescent="0.3">
      <c r="A660" s="59"/>
      <c r="B660" s="68" t="str">
        <f>" Q1 = "&amp;Z660&amp;" 인 /"&amp;AB660&amp;" hr/일 = "&amp;AD660&amp;" hr/일 "</f>
        <v xml:space="preserve"> Q1 = 2 인 /8 hr/일 = 0.250 hr/일 </v>
      </c>
      <c r="C660" s="69"/>
      <c r="D660" s="69"/>
      <c r="E660" s="69"/>
      <c r="F660" s="69"/>
      <c r="G660" s="17" t="s">
        <v>1694</v>
      </c>
      <c r="Z660" s="102">
        <v>2</v>
      </c>
      <c r="AA660" s="35" t="s">
        <v>1413</v>
      </c>
      <c r="AB660" s="102">
        <v>8</v>
      </c>
      <c r="AC660" s="35" t="s">
        <v>1410</v>
      </c>
      <c r="AD660" s="103" t="str">
        <f>TEXT(ROUND(Z660/AB660,3),"#,0.000")</f>
        <v>0.250</v>
      </c>
      <c r="AE660" s="101"/>
      <c r="AF660" s="101"/>
      <c r="AG660" s="101"/>
      <c r="AH660" s="101"/>
      <c r="AI660" s="101"/>
      <c r="AJ660" s="101"/>
      <c r="AK660" s="101"/>
      <c r="AL660" s="101"/>
      <c r="AM660" s="101"/>
      <c r="AN660" s="101"/>
    </row>
    <row r="661" spans="1:40" ht="16.5" customHeight="1" x14ac:dyDescent="0.3">
      <c r="A661" s="69"/>
      <c r="B661" s="69"/>
      <c r="C661" s="69"/>
      <c r="D661" s="69"/>
      <c r="E661" s="69"/>
      <c r="F661" s="69"/>
      <c r="G661" s="17" t="s">
        <v>1405</v>
      </c>
      <c r="Z661" s="101"/>
      <c r="AA661" s="101"/>
      <c r="AB661" s="101"/>
      <c r="AC661" s="101"/>
      <c r="AD661" s="101"/>
      <c r="AE661" s="101"/>
      <c r="AF661" s="101"/>
      <c r="AG661" s="101"/>
      <c r="AH661" s="101"/>
      <c r="AI661" s="101"/>
      <c r="AJ661" s="101"/>
      <c r="AK661" s="101"/>
      <c r="AL661" s="101"/>
      <c r="AM661" s="101"/>
      <c r="AN661" s="101"/>
    </row>
    <row r="662" spans="1:40" ht="16.5" customHeight="1" x14ac:dyDescent="0.3">
      <c r="A662" s="59"/>
      <c r="B662" s="68" t="str">
        <f>" Q2 = "&amp;Z662&amp;" 인 /"&amp;AB662&amp;" hr/일 = "&amp;AD662&amp;" hr/일 "</f>
        <v xml:space="preserve"> Q2 = 1 인 /8 hr/일 = 0.125 hr/일 </v>
      </c>
      <c r="C662" s="69"/>
      <c r="D662" s="69"/>
      <c r="E662" s="69"/>
      <c r="F662" s="69"/>
      <c r="G662" s="17" t="s">
        <v>1712</v>
      </c>
      <c r="Z662" s="102">
        <v>1</v>
      </c>
      <c r="AA662" s="35" t="s">
        <v>1413</v>
      </c>
      <c r="AB662" s="102">
        <v>8</v>
      </c>
      <c r="AC662" s="35" t="s">
        <v>1410</v>
      </c>
      <c r="AD662" s="103" t="str">
        <f>TEXT(ROUND(Z662/AB662,3),"#,0.000")</f>
        <v>0.125</v>
      </c>
      <c r="AE662" s="101"/>
      <c r="AF662" s="101"/>
      <c r="AG662" s="101"/>
      <c r="AH662" s="101"/>
      <c r="AI662" s="101"/>
      <c r="AJ662" s="101"/>
      <c r="AK662" s="101"/>
      <c r="AL662" s="101"/>
      <c r="AM662" s="101"/>
      <c r="AN662" s="101"/>
    </row>
    <row r="663" spans="1:40" ht="16.5" customHeight="1" x14ac:dyDescent="0.3">
      <c r="A663" s="69"/>
      <c r="B663" s="69"/>
      <c r="C663" s="69"/>
      <c r="D663" s="69"/>
      <c r="E663" s="69"/>
      <c r="F663" s="69"/>
      <c r="G663" s="17" t="s">
        <v>1405</v>
      </c>
      <c r="Z663" s="101"/>
      <c r="AA663" s="101"/>
      <c r="AB663" s="101"/>
      <c r="AC663" s="101"/>
      <c r="AD663" s="101"/>
      <c r="AE663" s="101"/>
      <c r="AF663" s="101"/>
      <c r="AG663" s="101"/>
      <c r="AH663" s="101"/>
      <c r="AI663" s="101"/>
      <c r="AJ663" s="101"/>
      <c r="AK663" s="101"/>
      <c r="AL663" s="101"/>
      <c r="AM663" s="101"/>
      <c r="AN663" s="101"/>
    </row>
    <row r="664" spans="1:40" ht="16.5" customHeight="1" x14ac:dyDescent="0.3">
      <c r="A664" s="59"/>
      <c r="B664" s="68" t="str">
        <f>" Q = "&amp;Z664&amp;" ㎡/일 /"&amp;AB664&amp;" hr/일 = "&amp;AD664&amp;" ㎡/hr "</f>
        <v xml:space="preserve"> Q = 320 ㎡/일 /8 hr/일 = 40.000 ㎡/hr </v>
      </c>
      <c r="C664" s="69"/>
      <c r="D664" s="69"/>
      <c r="E664" s="69"/>
      <c r="F664" s="69"/>
      <c r="G664" s="17" t="s">
        <v>1713</v>
      </c>
      <c r="Z664" s="102">
        <v>320</v>
      </c>
      <c r="AA664" s="35" t="s">
        <v>1413</v>
      </c>
      <c r="AB664" s="102">
        <v>8</v>
      </c>
      <c r="AC664" s="35" t="s">
        <v>1410</v>
      </c>
      <c r="AD664" s="103" t="str">
        <f>TEXT(ROUND(Z664/AB664,3),"#,0.000")</f>
        <v>40.000</v>
      </c>
      <c r="AE664" s="101"/>
      <c r="AF664" s="101"/>
      <c r="AG664" s="101"/>
      <c r="AH664" s="101"/>
      <c r="AI664" s="101"/>
      <c r="AJ664" s="101"/>
      <c r="AK664" s="101"/>
      <c r="AL664" s="101"/>
      <c r="AM664" s="101"/>
      <c r="AN664" s="101"/>
    </row>
    <row r="665" spans="1:40" ht="16.5" customHeight="1" x14ac:dyDescent="0.3">
      <c r="A665" s="69"/>
      <c r="B665" s="69"/>
      <c r="C665" s="69"/>
      <c r="D665" s="69"/>
      <c r="E665" s="69"/>
      <c r="F665" s="69"/>
      <c r="G665" s="17" t="s">
        <v>1405</v>
      </c>
      <c r="Z665" s="101"/>
      <c r="AA665" s="101"/>
      <c r="AB665" s="101"/>
      <c r="AC665" s="101"/>
      <c r="AD665" s="101"/>
      <c r="AE665" s="101"/>
      <c r="AF665" s="101"/>
      <c r="AG665" s="101"/>
      <c r="AH665" s="101"/>
      <c r="AI665" s="101"/>
      <c r="AJ665" s="101"/>
      <c r="AK665" s="101"/>
      <c r="AL665" s="101"/>
      <c r="AM665" s="101"/>
      <c r="AN665" s="101"/>
    </row>
    <row r="666" spans="1:40" ht="16.5" customHeight="1" x14ac:dyDescent="0.3">
      <c r="A666" s="59"/>
      <c r="B666" s="68" t="s">
        <v>1715</v>
      </c>
      <c r="C666" s="69"/>
      <c r="D666" s="69"/>
      <c r="E666" s="69"/>
      <c r="F666" s="69"/>
      <c r="G666" s="17" t="s">
        <v>1714</v>
      </c>
      <c r="Z666" s="101"/>
      <c r="AA666" s="101"/>
      <c r="AB666" s="101"/>
      <c r="AC666" s="101"/>
      <c r="AD666" s="101"/>
      <c r="AE666" s="101"/>
      <c r="AF666" s="101"/>
      <c r="AG666" s="101"/>
      <c r="AH666" s="101"/>
      <c r="AI666" s="101"/>
      <c r="AJ666" s="101"/>
      <c r="AK666" s="101"/>
      <c r="AL666" s="101"/>
      <c r="AM666" s="101"/>
      <c r="AN666" s="101"/>
    </row>
    <row r="667" spans="1:40" ht="16.5" customHeight="1" x14ac:dyDescent="0.3">
      <c r="A667" s="69"/>
      <c r="B667" s="69"/>
      <c r="C667" s="69"/>
      <c r="D667" s="69"/>
      <c r="E667" s="69"/>
      <c r="F667" s="69"/>
      <c r="G667" s="17" t="s">
        <v>1405</v>
      </c>
      <c r="Z667" s="101"/>
      <c r="AA667" s="101"/>
      <c r="AB667" s="101"/>
      <c r="AC667" s="101"/>
      <c r="AD667" s="101"/>
      <c r="AE667" s="101"/>
      <c r="AF667" s="101"/>
      <c r="AG667" s="101"/>
      <c r="AH667" s="101"/>
      <c r="AI667" s="101"/>
      <c r="AJ667" s="101"/>
      <c r="AK667" s="101"/>
      <c r="AL667" s="101"/>
      <c r="AM667" s="101"/>
      <c r="AN667" s="101"/>
    </row>
    <row r="668" spans="1:40" ht="16.5" customHeight="1" x14ac:dyDescent="0.3">
      <c r="A668" s="59" t="s">
        <v>1717</v>
      </c>
      <c r="B668" s="89" t="str">
        <f>"  포장공 : "&amp;TEXT(I668,"#,##0"&amp;IF(I668&lt;&gt;INT(I668),".###",""))&amp;" * Q1 / Q = "&amp;TEXT(C668,"#,##0.0")&amp;""</f>
        <v xml:space="preserve">  포장공 : 273,308 * Q1 / Q = 1,708.1</v>
      </c>
      <c r="C668" s="91">
        <f>E668+D668+F668</f>
        <v>1708.1</v>
      </c>
      <c r="D668" s="91">
        <f>IF(H668=0,0,ROUNDDOWN(J668*H668,1))</f>
        <v>1708.1</v>
      </c>
      <c r="E668" s="91">
        <f>IF(H668=0,0,ROUNDDOWN(K668*H668,1))</f>
        <v>0</v>
      </c>
      <c r="F668" s="91">
        <f>IF(H668=0,0,ROUNDDOWN(L668*H668,1))</f>
        <v>0</v>
      </c>
      <c r="G668" s="17" t="s">
        <v>1716</v>
      </c>
      <c r="H668" s="97">
        <f>ROUNDUP(AE668,14-LEN(ABS(INT(AE668))))</f>
        <v>6.2500000000000003E-3</v>
      </c>
      <c r="I668" s="98">
        <f>K668+J668+L668</f>
        <v>273308</v>
      </c>
      <c r="J668" s="38">
        <f>노무비목록표!E15</f>
        <v>273308</v>
      </c>
      <c r="M668" s="35" t="s">
        <v>1309</v>
      </c>
      <c r="N668" s="35" t="s">
        <v>1262</v>
      </c>
      <c r="X668" s="100" t="str">
        <f>노무비목록표!B15&amp;" / "&amp;노무비목록표!C15</f>
        <v xml:space="preserve">포장공 / </v>
      </c>
      <c r="Y668" s="3" t="str">
        <f ca="1">HYPERLINK("#"&amp;노무비목록표!G2&amp;"!A"&amp;ROW(노무비목록표!A15),"노무12 →")</f>
        <v>노무12 →</v>
      </c>
      <c r="Z668" s="35" t="s">
        <v>1446</v>
      </c>
      <c r="AA668" s="103" t="str">
        <f>AD660</f>
        <v>0.250</v>
      </c>
      <c r="AB668" s="35" t="s">
        <v>1413</v>
      </c>
      <c r="AC668" s="103" t="str">
        <f>AD664</f>
        <v>40.000</v>
      </c>
      <c r="AD668" s="35" t="s">
        <v>1410</v>
      </c>
      <c r="AE668" s="103">
        <f>1*AD660/AD664</f>
        <v>6.2500000000000003E-3</v>
      </c>
      <c r="AF668" s="101"/>
      <c r="AG668" s="101"/>
      <c r="AH668" s="101"/>
      <c r="AI668" s="101"/>
      <c r="AJ668" s="101"/>
      <c r="AK668" s="101"/>
      <c r="AL668" s="101"/>
      <c r="AM668" s="101"/>
      <c r="AN668" s="101"/>
    </row>
    <row r="669" spans="1:40" ht="16.5" customHeight="1" x14ac:dyDescent="0.3">
      <c r="A669" s="69"/>
      <c r="B669" s="69"/>
      <c r="C669" s="69"/>
      <c r="D669" s="69"/>
      <c r="E669" s="69"/>
      <c r="F669" s="69"/>
      <c r="G669" s="17" t="s">
        <v>1405</v>
      </c>
      <c r="Z669" s="101"/>
      <c r="AA669" s="101"/>
      <c r="AB669" s="101"/>
      <c r="AC669" s="101"/>
      <c r="AD669" s="101"/>
      <c r="AE669" s="101"/>
      <c r="AF669" s="101"/>
      <c r="AG669" s="101"/>
      <c r="AH669" s="101"/>
      <c r="AI669" s="101"/>
      <c r="AJ669" s="101"/>
      <c r="AK669" s="101"/>
      <c r="AL669" s="101"/>
      <c r="AM669" s="101"/>
      <c r="AN669" s="101"/>
    </row>
    <row r="670" spans="1:40" ht="16.5" customHeight="1" x14ac:dyDescent="0.3">
      <c r="A670" s="59" t="s">
        <v>1419</v>
      </c>
      <c r="B670" s="89" t="str">
        <f>"  인  부 : "&amp;TEXT(I670,"#,##0"&amp;IF(I670&lt;&gt;INT(I670),".###",""))&amp;" * Q2 / Q= "&amp;TEXT(C670,"#,##0.0")&amp;""</f>
        <v xml:space="preserve">  인  부 : 172,068 * Q2 / Q= 537.7</v>
      </c>
      <c r="C670" s="91">
        <f>E670+D670+F670</f>
        <v>537.70000000000005</v>
      </c>
      <c r="D670" s="91">
        <f>IF(H670=0,0,ROUNDDOWN(J670*H670,1))</f>
        <v>537.70000000000005</v>
      </c>
      <c r="E670" s="91">
        <f>IF(H670=0,0,ROUNDDOWN(K670*H670,1))</f>
        <v>0</v>
      </c>
      <c r="F670" s="91">
        <f>IF(H670=0,0,ROUNDDOWN(L670*H670,1))</f>
        <v>0</v>
      </c>
      <c r="G670" s="17" t="s">
        <v>1718</v>
      </c>
      <c r="H670" s="97">
        <f>ROUNDUP(AE670,14-LEN(ABS(INT(AE670))))</f>
        <v>3.1250000000000002E-3</v>
      </c>
      <c r="I670" s="98">
        <f>K670+J670+L670</f>
        <v>172068</v>
      </c>
      <c r="J670" s="38">
        <f>노무비목록표!E8</f>
        <v>172068</v>
      </c>
      <c r="M670" s="35" t="s">
        <v>1219</v>
      </c>
      <c r="N670" s="35" t="s">
        <v>1262</v>
      </c>
      <c r="X670" s="100" t="str">
        <f>노무비목록표!B8&amp;" / "&amp;노무비목록표!C8</f>
        <v xml:space="preserve">보통인부 / </v>
      </c>
      <c r="Y670" s="3" t="str">
        <f ca="1">HYPERLINK("#"&amp;노무비목록표!G2&amp;"!A"&amp;ROW(노무비목록표!A8),"노무5 →")</f>
        <v>노무5 →</v>
      </c>
      <c r="Z670" s="35" t="s">
        <v>1446</v>
      </c>
      <c r="AA670" s="103" t="str">
        <f>AD662</f>
        <v>0.125</v>
      </c>
      <c r="AB670" s="35" t="s">
        <v>1413</v>
      </c>
      <c r="AC670" s="103" t="str">
        <f>AD664</f>
        <v>40.000</v>
      </c>
      <c r="AD670" s="35" t="s">
        <v>1410</v>
      </c>
      <c r="AE670" s="103">
        <f>1*AD662/AD664</f>
        <v>3.1250000000000002E-3</v>
      </c>
      <c r="AF670" s="101"/>
      <c r="AG670" s="101"/>
      <c r="AH670" s="101"/>
      <c r="AI670" s="101"/>
      <c r="AJ670" s="101"/>
      <c r="AK670" s="101"/>
      <c r="AL670" s="101"/>
      <c r="AM670" s="101"/>
      <c r="AN670" s="101"/>
    </row>
    <row r="671" spans="1:40" ht="16.5" customHeight="1" x14ac:dyDescent="0.3">
      <c r="A671" s="69"/>
      <c r="B671" s="69"/>
      <c r="C671" s="69"/>
      <c r="D671" s="69"/>
      <c r="E671" s="69"/>
      <c r="F671" s="69"/>
      <c r="G671" s="17" t="s">
        <v>1405</v>
      </c>
      <c r="Z671" s="101"/>
      <c r="AA671" s="101"/>
      <c r="AB671" s="101"/>
      <c r="AC671" s="101"/>
      <c r="AD671" s="101"/>
      <c r="AE671" s="101"/>
      <c r="AF671" s="101"/>
      <c r="AG671" s="101"/>
      <c r="AH671" s="101"/>
      <c r="AI671" s="101"/>
      <c r="AJ671" s="101"/>
      <c r="AK671" s="101"/>
      <c r="AL671" s="101"/>
      <c r="AM671" s="101"/>
      <c r="AN671" s="101"/>
    </row>
    <row r="672" spans="1:40" ht="16.5" customHeight="1" x14ac:dyDescent="0.3">
      <c r="A672" s="59"/>
      <c r="B672" s="68" t="s">
        <v>1260</v>
      </c>
      <c r="C672" s="92">
        <f>E672+D672+F672</f>
        <v>2245.8000000000002</v>
      </c>
      <c r="D672" s="92">
        <f>SUMIF(N657:N671,M672,D657:D671)</f>
        <v>2245.8000000000002</v>
      </c>
      <c r="E672" s="92">
        <f>SUMIF(N657:N671,M672,E657:E671)</f>
        <v>0</v>
      </c>
      <c r="F672" s="92">
        <f>SUMIF(N657:N671,M672,F657:F671)</f>
        <v>0</v>
      </c>
      <c r="G672" s="17" t="s">
        <v>1430</v>
      </c>
      <c r="M672" s="35" t="s">
        <v>1262</v>
      </c>
      <c r="N672" s="35" t="s">
        <v>1253</v>
      </c>
      <c r="Z672" s="101"/>
      <c r="AA672" s="101"/>
      <c r="AB672" s="101"/>
      <c r="AC672" s="101"/>
      <c r="AD672" s="101"/>
      <c r="AE672" s="101"/>
      <c r="AF672" s="101"/>
      <c r="AG672" s="101"/>
      <c r="AH672" s="101"/>
      <c r="AI672" s="101"/>
      <c r="AJ672" s="101"/>
      <c r="AK672" s="101"/>
      <c r="AL672" s="101"/>
      <c r="AM672" s="101"/>
      <c r="AN672" s="101"/>
    </row>
    <row r="673" spans="1:40" ht="16.5" customHeight="1" x14ac:dyDescent="0.3">
      <c r="A673" s="69"/>
      <c r="B673" s="69"/>
      <c r="C673" s="90"/>
      <c r="D673" s="90"/>
      <c r="E673" s="90"/>
      <c r="F673" s="90"/>
      <c r="G673" s="17" t="s">
        <v>1405</v>
      </c>
      <c r="Z673" s="101"/>
      <c r="AA673" s="101"/>
      <c r="AB673" s="101"/>
      <c r="AC673" s="101"/>
      <c r="AD673" s="101"/>
      <c r="AE673" s="101"/>
      <c r="AF673" s="101"/>
      <c r="AG673" s="101"/>
      <c r="AH673" s="101"/>
      <c r="AI673" s="101"/>
      <c r="AJ673" s="101"/>
      <c r="AK673" s="101"/>
      <c r="AL673" s="101"/>
      <c r="AM673" s="101"/>
      <c r="AN673" s="101"/>
    </row>
    <row r="674" spans="1:40" ht="16.5" customHeight="1" x14ac:dyDescent="0.3">
      <c r="A674" s="59"/>
      <c r="B674" s="68" t="s">
        <v>1720</v>
      </c>
      <c r="C674" s="69"/>
      <c r="D674" s="69"/>
      <c r="E674" s="69"/>
      <c r="F674" s="69"/>
      <c r="G674" s="17" t="s">
        <v>1719</v>
      </c>
      <c r="Z674" s="101"/>
      <c r="AA674" s="101"/>
      <c r="AB674" s="101"/>
      <c r="AC674" s="101"/>
      <c r="AD674" s="101"/>
      <c r="AE674" s="101"/>
      <c r="AF674" s="101"/>
      <c r="AG674" s="101"/>
      <c r="AH674" s="101"/>
      <c r="AI674" s="101"/>
      <c r="AJ674" s="101"/>
      <c r="AK674" s="101"/>
      <c r="AL674" s="101"/>
      <c r="AM674" s="101"/>
      <c r="AN674" s="101"/>
    </row>
    <row r="675" spans="1:40" ht="16.5" customHeight="1" x14ac:dyDescent="0.3">
      <c r="A675" s="69"/>
      <c r="B675" s="69"/>
      <c r="C675" s="69"/>
      <c r="D675" s="69"/>
      <c r="E675" s="69"/>
      <c r="F675" s="69"/>
      <c r="G675" s="17" t="s">
        <v>1405</v>
      </c>
      <c r="Z675" s="101"/>
      <c r="AA675" s="101"/>
      <c r="AB675" s="101"/>
      <c r="AC675" s="101"/>
      <c r="AD675" s="101"/>
      <c r="AE675" s="101"/>
      <c r="AF675" s="101"/>
      <c r="AG675" s="101"/>
      <c r="AH675" s="101"/>
      <c r="AI675" s="101"/>
      <c r="AJ675" s="101"/>
      <c r="AK675" s="101"/>
      <c r="AL675" s="101"/>
      <c r="AM675" s="101"/>
      <c r="AN675" s="101"/>
    </row>
    <row r="676" spans="1:40" ht="16.5" customHeight="1" x14ac:dyDescent="0.3">
      <c r="A676" s="59"/>
      <c r="B676" s="68" t="s">
        <v>1722</v>
      </c>
      <c r="C676" s="69"/>
      <c r="D676" s="69"/>
      <c r="E676" s="69"/>
      <c r="F676" s="69"/>
      <c r="G676" s="17" t="s">
        <v>1721</v>
      </c>
      <c r="Z676" s="101"/>
      <c r="AA676" s="101"/>
      <c r="AB676" s="101"/>
      <c r="AC676" s="101"/>
      <c r="AD676" s="101"/>
      <c r="AE676" s="101"/>
      <c r="AF676" s="101"/>
      <c r="AG676" s="101"/>
      <c r="AH676" s="101"/>
      <c r="AI676" s="101"/>
      <c r="AJ676" s="101"/>
      <c r="AK676" s="101"/>
      <c r="AL676" s="101"/>
      <c r="AM676" s="101"/>
      <c r="AN676" s="101"/>
    </row>
    <row r="677" spans="1:40" ht="16.5" customHeight="1" x14ac:dyDescent="0.3">
      <c r="A677" s="69"/>
      <c r="B677" s="69"/>
      <c r="C677" s="69"/>
      <c r="D677" s="69"/>
      <c r="E677" s="69"/>
      <c r="F677" s="69"/>
      <c r="G677" s="17" t="s">
        <v>1405</v>
      </c>
      <c r="Z677" s="101"/>
      <c r="AA677" s="101"/>
      <c r="AB677" s="101"/>
      <c r="AC677" s="101"/>
      <c r="AD677" s="101"/>
      <c r="AE677" s="101"/>
      <c r="AF677" s="101"/>
      <c r="AG677" s="101"/>
      <c r="AH677" s="101"/>
      <c r="AI677" s="101"/>
      <c r="AJ677" s="101"/>
      <c r="AK677" s="101"/>
      <c r="AL677" s="101"/>
      <c r="AM677" s="101"/>
      <c r="AN677" s="101"/>
    </row>
    <row r="678" spans="1:40" ht="16.5" customHeight="1" x14ac:dyDescent="0.3">
      <c r="A678" s="59" t="s">
        <v>1603</v>
      </c>
      <c r="B678" s="89" t="str">
        <f>"   노무비: "&amp;TEXT(I678,"#,##0"&amp;IF(I678&lt;&gt;INT(I678),".###",""))&amp;" / Q = "&amp;TEXT(C678,"#,##0.0")&amp;""</f>
        <v xml:space="preserve">   노무비: 36,248 / Q = 906.2</v>
      </c>
      <c r="C678" s="91">
        <f>E678+D678+F678</f>
        <v>906.2</v>
      </c>
      <c r="D678" s="91">
        <f>IF(H678=0,0,ROUNDDOWN(J678*H678,1))</f>
        <v>906.2</v>
      </c>
      <c r="E678" s="91">
        <f>IF(H678=0,0,ROUNDDOWN(K678*H678,1))</f>
        <v>0</v>
      </c>
      <c r="F678" s="91">
        <f>IF(H678=0,0,ROUNDDOWN(L678*H678,1))</f>
        <v>0</v>
      </c>
      <c r="G678" s="17" t="s">
        <v>1723</v>
      </c>
      <c r="H678" s="97">
        <f>ROUNDUP(AC678,14-LEN(ABS(INT(AC678))))</f>
        <v>2.5000000000000001E-2</v>
      </c>
      <c r="I678" s="98">
        <f>K678+J678+L678</f>
        <v>36248</v>
      </c>
      <c r="J678" s="38">
        <f>중기목록표!F36</f>
        <v>36248</v>
      </c>
      <c r="M678" s="35" t="s">
        <v>1313</v>
      </c>
      <c r="N678" s="35" t="s">
        <v>1262</v>
      </c>
      <c r="X678" s="100" t="str">
        <f>중기목록표!B36&amp;" / "&amp;중기목록표!C36</f>
        <v>플레이트 콤팩터 / 1.5톤</v>
      </c>
      <c r="Y678" s="3" t="str">
        <f ca="1">HYPERLINK("#"&amp;중기목록표!J2&amp;"!A"&amp;ROW(중기목록표!A36),"중기33 →")</f>
        <v>중기33 →</v>
      </c>
      <c r="Z678" s="35" t="s">
        <v>1417</v>
      </c>
      <c r="AA678" s="103" t="str">
        <f>AD664</f>
        <v>40.000</v>
      </c>
      <c r="AB678" s="35" t="s">
        <v>1410</v>
      </c>
      <c r="AC678" s="103">
        <f>1/AD664</f>
        <v>2.5000000000000001E-2</v>
      </c>
      <c r="AD678" s="101"/>
      <c r="AE678" s="101"/>
      <c r="AF678" s="101"/>
      <c r="AG678" s="101"/>
      <c r="AH678" s="101"/>
      <c r="AI678" s="101"/>
      <c r="AJ678" s="101"/>
      <c r="AK678" s="101"/>
      <c r="AL678" s="101"/>
      <c r="AM678" s="101"/>
      <c r="AN678" s="101"/>
    </row>
    <row r="679" spans="1:40" ht="16.5" customHeight="1" x14ac:dyDescent="0.3">
      <c r="A679" s="69"/>
      <c r="B679" s="69"/>
      <c r="C679" s="69"/>
      <c r="D679" s="69"/>
      <c r="E679" s="69"/>
      <c r="F679" s="69"/>
      <c r="G679" s="17" t="s">
        <v>1405</v>
      </c>
      <c r="Z679" s="101"/>
      <c r="AA679" s="101"/>
      <c r="AB679" s="101"/>
      <c r="AC679" s="101"/>
      <c r="AD679" s="101"/>
      <c r="AE679" s="101"/>
      <c r="AF679" s="101"/>
      <c r="AG679" s="101"/>
      <c r="AH679" s="101"/>
      <c r="AI679" s="101"/>
      <c r="AJ679" s="101"/>
      <c r="AK679" s="101"/>
      <c r="AL679" s="101"/>
      <c r="AM679" s="101"/>
      <c r="AN679" s="101"/>
    </row>
    <row r="680" spans="1:40" ht="16.5" customHeight="1" x14ac:dyDescent="0.3">
      <c r="A680" s="59" t="s">
        <v>1605</v>
      </c>
      <c r="B680" s="89" t="str">
        <f>"   재료비: "&amp;TEXT(I680,"#,##0"&amp;IF(I680&lt;&gt;INT(I680),".###",""))&amp;" / Q = "&amp;TEXT(C680,"#,##0.0")&amp;""</f>
        <v xml:space="preserve">   재료비: 2,166 / Q = 54.1</v>
      </c>
      <c r="C680" s="91">
        <f>E680+D680+F680</f>
        <v>54.1</v>
      </c>
      <c r="D680" s="91">
        <f>IF(H680=0,0,ROUNDDOWN(J680*H680,1))</f>
        <v>0</v>
      </c>
      <c r="E680" s="91">
        <f>IF(H680=0,0,ROUNDDOWN(K680*H680,1))</f>
        <v>54.1</v>
      </c>
      <c r="F680" s="91">
        <f>IF(H680=0,0,ROUNDDOWN(L680*H680,1))</f>
        <v>0</v>
      </c>
      <c r="G680" s="17" t="s">
        <v>1724</v>
      </c>
      <c r="H680" s="97">
        <f>ROUNDUP(AC680,14-LEN(ABS(INT(AC680))))</f>
        <v>2.5000000000000001E-2</v>
      </c>
      <c r="I680" s="98">
        <f>K680+J680+L680</f>
        <v>2166</v>
      </c>
      <c r="K680" s="38">
        <f>중기목록표!G36</f>
        <v>2166</v>
      </c>
      <c r="M680" s="35" t="s">
        <v>1313</v>
      </c>
      <c r="N680" s="35" t="s">
        <v>1262</v>
      </c>
      <c r="X680" s="100" t="str">
        <f>중기목록표!B36&amp;" / "&amp;중기목록표!C36</f>
        <v>플레이트 콤팩터 / 1.5톤</v>
      </c>
      <c r="Y680" s="3" t="str">
        <f ca="1">HYPERLINK("#"&amp;중기목록표!J2&amp;"!A"&amp;ROW(중기목록표!A36),"중기33 →")</f>
        <v>중기33 →</v>
      </c>
      <c r="Z680" s="35" t="s">
        <v>1417</v>
      </c>
      <c r="AA680" s="103" t="str">
        <f>AD664</f>
        <v>40.000</v>
      </c>
      <c r="AB680" s="35" t="s">
        <v>1410</v>
      </c>
      <c r="AC680" s="103">
        <f>1/AD664</f>
        <v>2.5000000000000001E-2</v>
      </c>
      <c r="AD680" s="101"/>
      <c r="AE680" s="101"/>
      <c r="AF680" s="101"/>
      <c r="AG680" s="101"/>
      <c r="AH680" s="101"/>
      <c r="AI680" s="101"/>
      <c r="AJ680" s="101"/>
      <c r="AK680" s="101"/>
      <c r="AL680" s="101"/>
      <c r="AM680" s="101"/>
      <c r="AN680" s="101"/>
    </row>
    <row r="681" spans="1:40" ht="16.5" customHeight="1" x14ac:dyDescent="0.3">
      <c r="A681" s="69"/>
      <c r="B681" s="69"/>
      <c r="C681" s="69"/>
      <c r="D681" s="69"/>
      <c r="E681" s="69"/>
      <c r="F681" s="69"/>
      <c r="G681" s="17" t="s">
        <v>1405</v>
      </c>
      <c r="Z681" s="101"/>
      <c r="AA681" s="101"/>
      <c r="AB681" s="101"/>
      <c r="AC681" s="101"/>
      <c r="AD681" s="101"/>
      <c r="AE681" s="101"/>
      <c r="AF681" s="101"/>
      <c r="AG681" s="101"/>
      <c r="AH681" s="101"/>
      <c r="AI681" s="101"/>
      <c r="AJ681" s="101"/>
      <c r="AK681" s="101"/>
      <c r="AL681" s="101"/>
      <c r="AM681" s="101"/>
      <c r="AN681" s="101"/>
    </row>
    <row r="682" spans="1:40" ht="16.5" customHeight="1" x14ac:dyDescent="0.3">
      <c r="A682" s="59" t="s">
        <v>1601</v>
      </c>
      <c r="B682" s="89" t="str">
        <f>"   경  비: "&amp;TEXT(I682,"#,##0"&amp;IF(I682&lt;&gt;INT(I682),".###",""))&amp;" / Q = "&amp;TEXT(C682,"#,##0.0")&amp;""</f>
        <v xml:space="preserve">   경  비: 620 / Q = 15.5</v>
      </c>
      <c r="C682" s="91">
        <f>E682+D682+F682</f>
        <v>15.5</v>
      </c>
      <c r="D682" s="91">
        <f>IF(H682=0,0,ROUNDDOWN(J682*H682,1))</f>
        <v>0</v>
      </c>
      <c r="E682" s="91">
        <f>IF(H682=0,0,ROUNDDOWN(K682*H682,1))</f>
        <v>0</v>
      </c>
      <c r="F682" s="91">
        <f>IF(H682=0,0,ROUNDDOWN(L682*H682,1))</f>
        <v>15.5</v>
      </c>
      <c r="G682" s="17" t="s">
        <v>1725</v>
      </c>
      <c r="H682" s="97">
        <f>ROUNDUP(AC682,14-LEN(ABS(INT(AC682))))</f>
        <v>2.5000000000000001E-2</v>
      </c>
      <c r="I682" s="98">
        <f>K682+J682+L682</f>
        <v>620</v>
      </c>
      <c r="L682" s="38">
        <f>중기목록표!H36</f>
        <v>620</v>
      </c>
      <c r="M682" s="35" t="s">
        <v>1313</v>
      </c>
      <c r="N682" s="35" t="s">
        <v>1262</v>
      </c>
      <c r="X682" s="100" t="str">
        <f>중기목록표!B36&amp;" / "&amp;중기목록표!C36</f>
        <v>플레이트 콤팩터 / 1.5톤</v>
      </c>
      <c r="Y682" s="3" t="str">
        <f ca="1">HYPERLINK("#"&amp;중기목록표!J2&amp;"!A"&amp;ROW(중기목록표!A36),"중기33 →")</f>
        <v>중기33 →</v>
      </c>
      <c r="Z682" s="35" t="s">
        <v>1417</v>
      </c>
      <c r="AA682" s="103" t="str">
        <f>AD664</f>
        <v>40.000</v>
      </c>
      <c r="AB682" s="35" t="s">
        <v>1410</v>
      </c>
      <c r="AC682" s="103">
        <f>1/AD664</f>
        <v>2.5000000000000001E-2</v>
      </c>
      <c r="AD682" s="101"/>
      <c r="AE682" s="101"/>
      <c r="AF682" s="101"/>
      <c r="AG682" s="101"/>
      <c r="AH682" s="101"/>
      <c r="AI682" s="101"/>
      <c r="AJ682" s="101"/>
      <c r="AK682" s="101"/>
      <c r="AL682" s="101"/>
      <c r="AM682" s="101"/>
      <c r="AN682" s="101"/>
    </row>
    <row r="683" spans="1:40" ht="16.5" customHeight="1" x14ac:dyDescent="0.3">
      <c r="A683" s="69"/>
      <c r="B683" s="69"/>
      <c r="C683" s="69"/>
      <c r="D683" s="69"/>
      <c r="E683" s="69"/>
      <c r="F683" s="69"/>
      <c r="G683" s="17" t="s">
        <v>1405</v>
      </c>
      <c r="Z683" s="101"/>
      <c r="AA683" s="101"/>
      <c r="AB683" s="101"/>
      <c r="AC683" s="101"/>
      <c r="AD683" s="101"/>
      <c r="AE683" s="101"/>
      <c r="AF683" s="101"/>
      <c r="AG683" s="101"/>
      <c r="AH683" s="101"/>
      <c r="AI683" s="101"/>
      <c r="AJ683" s="101"/>
      <c r="AK683" s="101"/>
      <c r="AL683" s="101"/>
      <c r="AM683" s="101"/>
      <c r="AN683" s="101"/>
    </row>
    <row r="684" spans="1:40" ht="16.5" customHeight="1" x14ac:dyDescent="0.3">
      <c r="A684" s="59"/>
      <c r="B684" s="68" t="s">
        <v>1727</v>
      </c>
      <c r="C684" s="69"/>
      <c r="D684" s="69"/>
      <c r="E684" s="69"/>
      <c r="F684" s="69"/>
      <c r="G684" s="17" t="s">
        <v>1726</v>
      </c>
      <c r="Z684" s="101"/>
      <c r="AA684" s="101"/>
      <c r="AB684" s="101"/>
      <c r="AC684" s="101"/>
      <c r="AD684" s="101"/>
      <c r="AE684" s="101"/>
      <c r="AF684" s="101"/>
      <c r="AG684" s="101"/>
      <c r="AH684" s="101"/>
      <c r="AI684" s="101"/>
      <c r="AJ684" s="101"/>
      <c r="AK684" s="101"/>
      <c r="AL684" s="101"/>
      <c r="AM684" s="101"/>
      <c r="AN684" s="101"/>
    </row>
    <row r="685" spans="1:40" ht="16.5" customHeight="1" x14ac:dyDescent="0.3">
      <c r="A685" s="69"/>
      <c r="B685" s="69"/>
      <c r="C685" s="69"/>
      <c r="D685" s="69"/>
      <c r="E685" s="69"/>
      <c r="F685" s="69"/>
      <c r="G685" s="17" t="s">
        <v>1405</v>
      </c>
      <c r="Z685" s="101"/>
      <c r="AA685" s="101"/>
      <c r="AB685" s="101"/>
      <c r="AC685" s="101"/>
      <c r="AD685" s="101"/>
      <c r="AE685" s="101"/>
      <c r="AF685" s="101"/>
      <c r="AG685" s="101"/>
      <c r="AH685" s="101"/>
      <c r="AI685" s="101"/>
      <c r="AJ685" s="101"/>
      <c r="AK685" s="101"/>
      <c r="AL685" s="101"/>
      <c r="AM685" s="101"/>
      <c r="AN685" s="101"/>
    </row>
    <row r="686" spans="1:40" ht="16.5" customHeight="1" x14ac:dyDescent="0.3">
      <c r="A686" s="59" t="s">
        <v>1582</v>
      </c>
      <c r="B686" s="89" t="str">
        <f>"   경  비: "&amp;TEXT(I686,"#,##0"&amp;IF(I686&lt;&gt;INT(I686),".###",""))&amp;" / Q = "&amp;TEXT(C686,"#,##0.0")&amp;""</f>
        <v xml:space="preserve">   경  비: 1,967 / Q = 49.1</v>
      </c>
      <c r="C686" s="91">
        <f>E686+D686+F686</f>
        <v>49.1</v>
      </c>
      <c r="D686" s="91">
        <f>IF(H686=0,0,ROUNDDOWN(J686*H686,1))</f>
        <v>0</v>
      </c>
      <c r="E686" s="91">
        <f>IF(H686=0,0,ROUNDDOWN(K686*H686,1))</f>
        <v>0</v>
      </c>
      <c r="F686" s="91">
        <f>IF(H686=0,0,ROUNDDOWN(L686*H686,1))</f>
        <v>49.1</v>
      </c>
      <c r="G686" s="17" t="s">
        <v>1728</v>
      </c>
      <c r="H686" s="97">
        <f>ROUNDUP(AC686,14-LEN(ABS(INT(AC686))))</f>
        <v>2.5000000000000001E-2</v>
      </c>
      <c r="I686" s="98">
        <f>K686+J686+L686</f>
        <v>1967</v>
      </c>
      <c r="L686" s="38">
        <f>중기목록표!H27</f>
        <v>1967</v>
      </c>
      <c r="M686" s="35" t="s">
        <v>1578</v>
      </c>
      <c r="N686" s="35" t="s">
        <v>1262</v>
      </c>
      <c r="X686" s="100" t="str">
        <f>중기목록표!B27&amp;" / "&amp;중기목록표!C27</f>
        <v>진동롤러(핸드가이드식) / 0.7톤</v>
      </c>
      <c r="Y686" s="3" t="str">
        <f ca="1">HYPERLINK("#"&amp;중기목록표!J2&amp;"!A"&amp;ROW(중기목록표!A27),"중기24 →")</f>
        <v>중기24 →</v>
      </c>
      <c r="Z686" s="35" t="s">
        <v>1417</v>
      </c>
      <c r="AA686" s="103" t="str">
        <f>AD664</f>
        <v>40.000</v>
      </c>
      <c r="AB686" s="35" t="s">
        <v>1410</v>
      </c>
      <c r="AC686" s="103">
        <f>1/AD664</f>
        <v>2.5000000000000001E-2</v>
      </c>
      <c r="AD686" s="101"/>
      <c r="AE686" s="101"/>
      <c r="AF686" s="101"/>
      <c r="AG686" s="101"/>
      <c r="AH686" s="101"/>
      <c r="AI686" s="101"/>
      <c r="AJ686" s="101"/>
      <c r="AK686" s="101"/>
      <c r="AL686" s="101"/>
      <c r="AM686" s="101"/>
      <c r="AN686" s="101"/>
    </row>
    <row r="687" spans="1:40" ht="16.5" customHeight="1" x14ac:dyDescent="0.3">
      <c r="A687" s="69"/>
      <c r="B687" s="69"/>
      <c r="C687" s="69"/>
      <c r="D687" s="69"/>
      <c r="E687" s="69"/>
      <c r="F687" s="69"/>
      <c r="G687" s="17" t="s">
        <v>1405</v>
      </c>
      <c r="Z687" s="101"/>
      <c r="AA687" s="101"/>
      <c r="AB687" s="101"/>
      <c r="AC687" s="101"/>
      <c r="AD687" s="101"/>
      <c r="AE687" s="101"/>
      <c r="AF687" s="101"/>
      <c r="AG687" s="101"/>
      <c r="AH687" s="101"/>
      <c r="AI687" s="101"/>
      <c r="AJ687" s="101"/>
      <c r="AK687" s="101"/>
      <c r="AL687" s="101"/>
      <c r="AM687" s="101"/>
      <c r="AN687" s="101"/>
    </row>
    <row r="688" spans="1:40" ht="16.5" customHeight="1" x14ac:dyDescent="0.3">
      <c r="A688" s="59" t="s">
        <v>1577</v>
      </c>
      <c r="B688" s="89" t="str">
        <f>"   노무비: "&amp;TEXT(I688,"#,##0"&amp;IF(I688&lt;&gt;INT(I688),".###",""))&amp;" / Q = "&amp;TEXT(C688,"#,##0.0")&amp;""</f>
        <v xml:space="preserve">   노무비: 0 / Q = 0.0</v>
      </c>
      <c r="C688" s="91">
        <f>E688+D688+F688</f>
        <v>0</v>
      </c>
      <c r="D688" s="91">
        <f>IF(H688=0,0,ROUNDDOWN(J688*H688,1))</f>
        <v>0</v>
      </c>
      <c r="E688" s="91">
        <f>IF(H688=0,0,ROUNDDOWN(K688*H688,1))</f>
        <v>0</v>
      </c>
      <c r="F688" s="91">
        <f>IF(H688=0,0,ROUNDDOWN(L688*H688,1))</f>
        <v>0</v>
      </c>
      <c r="G688" s="17" t="s">
        <v>1729</v>
      </c>
      <c r="H688" s="97">
        <f>ROUNDUP(AC688,14-LEN(ABS(INT(AC688))))</f>
        <v>2.5000000000000001E-2</v>
      </c>
      <c r="I688" s="98">
        <f>K688+J688+L688</f>
        <v>0</v>
      </c>
      <c r="J688" s="38">
        <f>중기목록표!F27</f>
        <v>0</v>
      </c>
      <c r="M688" s="35" t="s">
        <v>1578</v>
      </c>
      <c r="N688" s="35" t="s">
        <v>1262</v>
      </c>
      <c r="X688" s="100" t="str">
        <f>중기목록표!B27&amp;" / "&amp;중기목록표!C27</f>
        <v>진동롤러(핸드가이드식) / 0.7톤</v>
      </c>
      <c r="Y688" s="3" t="str">
        <f ca="1">HYPERLINK("#"&amp;중기목록표!J2&amp;"!A"&amp;ROW(중기목록표!A27),"중기24 →")</f>
        <v>중기24 →</v>
      </c>
      <c r="Z688" s="35" t="s">
        <v>1417</v>
      </c>
      <c r="AA688" s="103" t="str">
        <f>AD664</f>
        <v>40.000</v>
      </c>
      <c r="AB688" s="35" t="s">
        <v>1410</v>
      </c>
      <c r="AC688" s="103">
        <f>1/AD664</f>
        <v>2.5000000000000001E-2</v>
      </c>
      <c r="AD688" s="101"/>
      <c r="AE688" s="101"/>
      <c r="AF688" s="101"/>
      <c r="AG688" s="101"/>
      <c r="AH688" s="101"/>
      <c r="AI688" s="101"/>
      <c r="AJ688" s="101"/>
      <c r="AK688" s="101"/>
      <c r="AL688" s="101"/>
      <c r="AM688" s="101"/>
      <c r="AN688" s="101"/>
    </row>
    <row r="689" spans="1:40" ht="16.5" customHeight="1" x14ac:dyDescent="0.3">
      <c r="A689" s="69"/>
      <c r="B689" s="69"/>
      <c r="C689" s="69"/>
      <c r="D689" s="69"/>
      <c r="E689" s="69"/>
      <c r="F689" s="69"/>
      <c r="G689" s="17" t="s">
        <v>1405</v>
      </c>
      <c r="Z689" s="101"/>
      <c r="AA689" s="101"/>
      <c r="AB689" s="101"/>
      <c r="AC689" s="101"/>
      <c r="AD689" s="101"/>
      <c r="AE689" s="101"/>
      <c r="AF689" s="101"/>
      <c r="AG689" s="101"/>
      <c r="AH689" s="101"/>
      <c r="AI689" s="101"/>
      <c r="AJ689" s="101"/>
      <c r="AK689" s="101"/>
      <c r="AL689" s="101"/>
      <c r="AM689" s="101"/>
      <c r="AN689" s="101"/>
    </row>
    <row r="690" spans="1:40" ht="16.5" customHeight="1" x14ac:dyDescent="0.3">
      <c r="A690" s="59" t="s">
        <v>1580</v>
      </c>
      <c r="B690" s="89" t="str">
        <f>"   재료비: "&amp;TEXT(I690,"#,##0"&amp;IF(I690&lt;&gt;INT(I690),".###",""))&amp;" / Q = "&amp;TEXT(C690,"#,##0.0")&amp;""</f>
        <v xml:space="preserve">   재료비: 4,472 / Q = 111.8</v>
      </c>
      <c r="C690" s="91">
        <f>E690+D690+F690</f>
        <v>111.8</v>
      </c>
      <c r="D690" s="91">
        <f>IF(H690=0,0,ROUNDDOWN(J690*H690,1))</f>
        <v>0</v>
      </c>
      <c r="E690" s="91">
        <f>IF(H690=0,0,ROUNDDOWN(K690*H690,1))</f>
        <v>111.8</v>
      </c>
      <c r="F690" s="91">
        <f>IF(H690=0,0,ROUNDDOWN(L690*H690,1))</f>
        <v>0</v>
      </c>
      <c r="G690" s="17" t="s">
        <v>1730</v>
      </c>
      <c r="H690" s="97">
        <f>ROUNDUP(AC690,14-LEN(ABS(INT(AC690))))</f>
        <v>2.5000000000000001E-2</v>
      </c>
      <c r="I690" s="98">
        <f>K690+J690+L690</f>
        <v>4472</v>
      </c>
      <c r="K690" s="38">
        <f>중기목록표!G27</f>
        <v>4472</v>
      </c>
      <c r="M690" s="35" t="s">
        <v>1578</v>
      </c>
      <c r="N690" s="35" t="s">
        <v>1262</v>
      </c>
      <c r="X690" s="100" t="str">
        <f>중기목록표!B27&amp;" / "&amp;중기목록표!C27</f>
        <v>진동롤러(핸드가이드식) / 0.7톤</v>
      </c>
      <c r="Y690" s="3" t="str">
        <f ca="1">HYPERLINK("#"&amp;중기목록표!J2&amp;"!A"&amp;ROW(중기목록표!A27),"중기24 →")</f>
        <v>중기24 →</v>
      </c>
      <c r="Z690" s="35" t="s">
        <v>1417</v>
      </c>
      <c r="AA690" s="103" t="str">
        <f>AD664</f>
        <v>40.000</v>
      </c>
      <c r="AB690" s="35" t="s">
        <v>1410</v>
      </c>
      <c r="AC690" s="103">
        <f>1/AD664</f>
        <v>2.5000000000000001E-2</v>
      </c>
      <c r="AD690" s="101"/>
      <c r="AE690" s="101"/>
      <c r="AF690" s="101"/>
      <c r="AG690" s="101"/>
      <c r="AH690" s="101"/>
      <c r="AI690" s="101"/>
      <c r="AJ690" s="101"/>
      <c r="AK690" s="101"/>
      <c r="AL690" s="101"/>
      <c r="AM690" s="101"/>
      <c r="AN690" s="101"/>
    </row>
    <row r="691" spans="1:40" ht="16.5" customHeight="1" x14ac:dyDescent="0.3">
      <c r="A691" s="69"/>
      <c r="B691" s="69"/>
      <c r="C691" s="69"/>
      <c r="D691" s="69"/>
      <c r="E691" s="69"/>
      <c r="F691" s="69"/>
      <c r="G691" s="17" t="s">
        <v>1405</v>
      </c>
      <c r="Z691" s="101"/>
      <c r="AA691" s="101"/>
      <c r="AB691" s="101"/>
      <c r="AC691" s="101"/>
      <c r="AD691" s="101"/>
      <c r="AE691" s="101"/>
      <c r="AF691" s="101"/>
      <c r="AG691" s="101"/>
      <c r="AH691" s="101"/>
      <c r="AI691" s="101"/>
      <c r="AJ691" s="101"/>
      <c r="AK691" s="101"/>
      <c r="AL691" s="101"/>
      <c r="AM691" s="101"/>
      <c r="AN691" s="101"/>
    </row>
    <row r="692" spans="1:40" ht="16.5" customHeight="1" x14ac:dyDescent="0.3">
      <c r="A692" s="59"/>
      <c r="B692" s="68" t="s">
        <v>1732</v>
      </c>
      <c r="C692" s="69"/>
      <c r="D692" s="69"/>
      <c r="E692" s="69"/>
      <c r="F692" s="69"/>
      <c r="G692" s="17" t="s">
        <v>1731</v>
      </c>
      <c r="Z692" s="101"/>
      <c r="AA692" s="101"/>
      <c r="AB692" s="101"/>
      <c r="AC692" s="101"/>
      <c r="AD692" s="101"/>
      <c r="AE692" s="101"/>
      <c r="AF692" s="101"/>
      <c r="AG692" s="101"/>
      <c r="AH692" s="101"/>
      <c r="AI692" s="101"/>
      <c r="AJ692" s="101"/>
      <c r="AK692" s="101"/>
      <c r="AL692" s="101"/>
      <c r="AM692" s="101"/>
      <c r="AN692" s="101"/>
    </row>
    <row r="693" spans="1:40" ht="16.5" customHeight="1" x14ac:dyDescent="0.3">
      <c r="A693" s="69"/>
      <c r="B693" s="69"/>
      <c r="C693" s="69"/>
      <c r="D693" s="69"/>
      <c r="E693" s="69"/>
      <c r="F693" s="69"/>
      <c r="G693" s="17" t="s">
        <v>1405</v>
      </c>
      <c r="Z693" s="101"/>
      <c r="AA693" s="101"/>
      <c r="AB693" s="101"/>
      <c r="AC693" s="101"/>
      <c r="AD693" s="101"/>
      <c r="AE693" s="101"/>
      <c r="AF693" s="101"/>
      <c r="AG693" s="101"/>
      <c r="AH693" s="101"/>
      <c r="AI693" s="101"/>
      <c r="AJ693" s="101"/>
      <c r="AK693" s="101"/>
      <c r="AL693" s="101"/>
      <c r="AM693" s="101"/>
      <c r="AN693" s="101"/>
    </row>
    <row r="694" spans="1:40" ht="16.5" customHeight="1" x14ac:dyDescent="0.3">
      <c r="A694" s="59" t="s">
        <v>1734</v>
      </c>
      <c r="B694" s="89" t="str">
        <f>"   노무비: "&amp;TEXT(I694,"#,##0"&amp;IF(I694&lt;&gt;INT(I694),".###",""))&amp;" / Q = "&amp;TEXT(C694,"#,##0.0")&amp;""</f>
        <v xml:space="preserve">   노무비: 59,020 / Q = 1,475.5</v>
      </c>
      <c r="C694" s="91">
        <f>E694+D694+F694</f>
        <v>1475.5</v>
      </c>
      <c r="D694" s="91">
        <f>IF(H694=0,0,ROUNDDOWN(J694*H694,1))</f>
        <v>1475.5</v>
      </c>
      <c r="E694" s="91">
        <f>IF(H694=0,0,ROUNDDOWN(K694*H694,1))</f>
        <v>0</v>
      </c>
      <c r="F694" s="91">
        <f>IF(H694=0,0,ROUNDDOWN(L694*H694,1))</f>
        <v>0</v>
      </c>
      <c r="G694" s="17" t="s">
        <v>1733</v>
      </c>
      <c r="H694" s="97">
        <f>ROUNDUP(AC694,14-LEN(ABS(INT(AC694))))</f>
        <v>2.5000000000000001E-2</v>
      </c>
      <c r="I694" s="98">
        <f>K694+J694+L694</f>
        <v>59020</v>
      </c>
      <c r="J694" s="38">
        <f>중기목록표!F17</f>
        <v>59020</v>
      </c>
      <c r="M694" s="35" t="s">
        <v>1735</v>
      </c>
      <c r="N694" s="35" t="s">
        <v>1262</v>
      </c>
      <c r="X694" s="100" t="str">
        <f>중기목록표!B17&amp;" / "&amp;중기목록표!C17</f>
        <v>로더(타이어) / 0.57㎥</v>
      </c>
      <c r="Y694" s="3" t="str">
        <f ca="1">HYPERLINK("#"&amp;중기목록표!J2&amp;"!A"&amp;ROW(중기목록표!A17),"중기14 →")</f>
        <v>중기14 →</v>
      </c>
      <c r="Z694" s="35" t="s">
        <v>1417</v>
      </c>
      <c r="AA694" s="103" t="str">
        <f>AD664</f>
        <v>40.000</v>
      </c>
      <c r="AB694" s="35" t="s">
        <v>1410</v>
      </c>
      <c r="AC694" s="103">
        <f>1/AD664</f>
        <v>2.5000000000000001E-2</v>
      </c>
      <c r="AD694" s="101"/>
      <c r="AE694" s="101"/>
      <c r="AF694" s="101"/>
      <c r="AG694" s="101"/>
      <c r="AH694" s="101"/>
      <c r="AI694" s="101"/>
      <c r="AJ694" s="101"/>
      <c r="AK694" s="101"/>
      <c r="AL694" s="101"/>
      <c r="AM694" s="101"/>
      <c r="AN694" s="101"/>
    </row>
    <row r="695" spans="1:40" ht="16.5" customHeight="1" x14ac:dyDescent="0.3">
      <c r="A695" s="69"/>
      <c r="B695" s="69"/>
      <c r="C695" s="69"/>
      <c r="D695" s="69"/>
      <c r="E695" s="69"/>
      <c r="F695" s="69"/>
      <c r="G695" s="17" t="s">
        <v>1405</v>
      </c>
      <c r="Z695" s="101"/>
      <c r="AA695" s="101"/>
      <c r="AB695" s="101"/>
      <c r="AC695" s="101"/>
      <c r="AD695" s="101"/>
      <c r="AE695" s="101"/>
      <c r="AF695" s="101"/>
      <c r="AG695" s="101"/>
      <c r="AH695" s="101"/>
      <c r="AI695" s="101"/>
      <c r="AJ695" s="101"/>
      <c r="AK695" s="101"/>
      <c r="AL695" s="101"/>
      <c r="AM695" s="101"/>
      <c r="AN695" s="101"/>
    </row>
    <row r="696" spans="1:40" ht="16.5" customHeight="1" x14ac:dyDescent="0.3">
      <c r="A696" s="59" t="s">
        <v>1737</v>
      </c>
      <c r="B696" s="89" t="str">
        <f>"   재료비: "&amp;TEXT(I696,"#,##0"&amp;IF(I696&lt;&gt;INT(I696),".###",""))&amp;" / Q = "&amp;TEXT(C696,"#,##0.0")&amp;""</f>
        <v xml:space="preserve">   재료비: 9,066 / Q = 226.6</v>
      </c>
      <c r="C696" s="91">
        <f>E696+D696+F696</f>
        <v>226.6</v>
      </c>
      <c r="D696" s="91">
        <f>IF(H696=0,0,ROUNDDOWN(J696*H696,1))</f>
        <v>0</v>
      </c>
      <c r="E696" s="91">
        <f>IF(H696=0,0,ROUNDDOWN(K696*H696,1))</f>
        <v>226.6</v>
      </c>
      <c r="F696" s="91">
        <f>IF(H696=0,0,ROUNDDOWN(L696*H696,1))</f>
        <v>0</v>
      </c>
      <c r="G696" s="17" t="s">
        <v>1736</v>
      </c>
      <c r="H696" s="97">
        <f>ROUNDUP(AC696,14-LEN(ABS(INT(AC696))))</f>
        <v>2.5000000000000001E-2</v>
      </c>
      <c r="I696" s="98">
        <f>K696+J696+L696</f>
        <v>9066</v>
      </c>
      <c r="K696" s="38">
        <f>중기목록표!G17</f>
        <v>9066</v>
      </c>
      <c r="M696" s="35" t="s">
        <v>1735</v>
      </c>
      <c r="N696" s="35" t="s">
        <v>1262</v>
      </c>
      <c r="X696" s="100" t="str">
        <f>중기목록표!B17&amp;" / "&amp;중기목록표!C17</f>
        <v>로더(타이어) / 0.57㎥</v>
      </c>
      <c r="Y696" s="3" t="str">
        <f ca="1">HYPERLINK("#"&amp;중기목록표!J2&amp;"!A"&amp;ROW(중기목록표!A17),"중기14 →")</f>
        <v>중기14 →</v>
      </c>
      <c r="Z696" s="35" t="s">
        <v>1417</v>
      </c>
      <c r="AA696" s="103" t="str">
        <f>AD664</f>
        <v>40.000</v>
      </c>
      <c r="AB696" s="35" t="s">
        <v>1410</v>
      </c>
      <c r="AC696" s="103">
        <f>1/AD664</f>
        <v>2.5000000000000001E-2</v>
      </c>
      <c r="AD696" s="101"/>
      <c r="AE696" s="101"/>
      <c r="AF696" s="101"/>
      <c r="AG696" s="101"/>
      <c r="AH696" s="101"/>
      <c r="AI696" s="101"/>
      <c r="AJ696" s="101"/>
      <c r="AK696" s="101"/>
      <c r="AL696" s="101"/>
      <c r="AM696" s="101"/>
      <c r="AN696" s="101"/>
    </row>
    <row r="697" spans="1:40" ht="16.5" customHeight="1" x14ac:dyDescent="0.3">
      <c r="A697" s="69"/>
      <c r="B697" s="69"/>
      <c r="C697" s="69"/>
      <c r="D697" s="69"/>
      <c r="E697" s="69"/>
      <c r="F697" s="69"/>
      <c r="G697" s="17" t="s">
        <v>1405</v>
      </c>
      <c r="Z697" s="101"/>
      <c r="AA697" s="101"/>
      <c r="AB697" s="101"/>
      <c r="AC697" s="101"/>
      <c r="AD697" s="101"/>
      <c r="AE697" s="101"/>
      <c r="AF697" s="101"/>
      <c r="AG697" s="101"/>
      <c r="AH697" s="101"/>
      <c r="AI697" s="101"/>
      <c r="AJ697" s="101"/>
      <c r="AK697" s="101"/>
      <c r="AL697" s="101"/>
      <c r="AM697" s="101"/>
      <c r="AN697" s="101"/>
    </row>
    <row r="698" spans="1:40" ht="16.5" customHeight="1" x14ac:dyDescent="0.3">
      <c r="A698" s="59" t="s">
        <v>1739</v>
      </c>
      <c r="B698" s="89" t="str">
        <f>"   경  비: "&amp;TEXT(I698,"#,##0"&amp;IF(I698&lt;&gt;INT(I698),".###",""))&amp;" / Q = "&amp;TEXT(C698,"#,##0.0")&amp;""</f>
        <v xml:space="preserve">   경  비: 7,505 / Q = 187.6</v>
      </c>
      <c r="C698" s="91">
        <f>E698+D698+F698</f>
        <v>187.6</v>
      </c>
      <c r="D698" s="91">
        <f>IF(H698=0,0,ROUNDDOWN(J698*H698,1))</f>
        <v>0</v>
      </c>
      <c r="E698" s="91">
        <f>IF(H698=0,0,ROUNDDOWN(K698*H698,1))</f>
        <v>0</v>
      </c>
      <c r="F698" s="91">
        <f>IF(H698=0,0,ROUNDDOWN(L698*H698,1))</f>
        <v>187.6</v>
      </c>
      <c r="G698" s="17" t="s">
        <v>1738</v>
      </c>
      <c r="H698" s="97">
        <f>ROUNDUP(AC698,14-LEN(ABS(INT(AC698))))</f>
        <v>2.5000000000000001E-2</v>
      </c>
      <c r="I698" s="98">
        <f>K698+J698+L698</f>
        <v>7505</v>
      </c>
      <c r="L698" s="38">
        <f>중기목록표!H17</f>
        <v>7505</v>
      </c>
      <c r="M698" s="35" t="s">
        <v>1735</v>
      </c>
      <c r="N698" s="35" t="s">
        <v>1262</v>
      </c>
      <c r="X698" s="100" t="str">
        <f>중기목록표!B17&amp;" / "&amp;중기목록표!C17</f>
        <v>로더(타이어) / 0.57㎥</v>
      </c>
      <c r="Y698" s="3" t="str">
        <f ca="1">HYPERLINK("#"&amp;중기목록표!J2&amp;"!A"&amp;ROW(중기목록표!A17),"중기14 →")</f>
        <v>중기14 →</v>
      </c>
      <c r="Z698" s="35" t="s">
        <v>1417</v>
      </c>
      <c r="AA698" s="103" t="str">
        <f>AD664</f>
        <v>40.000</v>
      </c>
      <c r="AB698" s="35" t="s">
        <v>1410</v>
      </c>
      <c r="AC698" s="103">
        <f>1/AD664</f>
        <v>2.5000000000000001E-2</v>
      </c>
      <c r="AD698" s="101"/>
      <c r="AE698" s="101"/>
      <c r="AF698" s="101"/>
      <c r="AG698" s="101"/>
      <c r="AH698" s="101"/>
      <c r="AI698" s="101"/>
      <c r="AJ698" s="101"/>
      <c r="AK698" s="101"/>
      <c r="AL698" s="101"/>
      <c r="AM698" s="101"/>
      <c r="AN698" s="101"/>
    </row>
    <row r="699" spans="1:40" ht="16.5" customHeight="1" x14ac:dyDescent="0.3">
      <c r="A699" s="69"/>
      <c r="B699" s="69"/>
      <c r="C699" s="69"/>
      <c r="D699" s="69"/>
      <c r="E699" s="69"/>
      <c r="F699" s="69"/>
      <c r="G699" s="17" t="s">
        <v>1405</v>
      </c>
      <c r="Z699" s="101"/>
      <c r="AA699" s="101"/>
      <c r="AB699" s="101"/>
      <c r="AC699" s="101"/>
      <c r="AD699" s="101"/>
      <c r="AE699" s="101"/>
      <c r="AF699" s="101"/>
      <c r="AG699" s="101"/>
      <c r="AH699" s="101"/>
      <c r="AI699" s="101"/>
      <c r="AJ699" s="101"/>
      <c r="AK699" s="101"/>
      <c r="AL699" s="101"/>
      <c r="AM699" s="101"/>
      <c r="AN699" s="101"/>
    </row>
    <row r="700" spans="1:40" ht="16.5" customHeight="1" x14ac:dyDescent="0.3">
      <c r="A700" s="59"/>
      <c r="B700" s="68" t="s">
        <v>1741</v>
      </c>
      <c r="C700" s="69"/>
      <c r="D700" s="69"/>
      <c r="E700" s="69"/>
      <c r="F700" s="69"/>
      <c r="G700" s="17" t="s">
        <v>1740</v>
      </c>
      <c r="Z700" s="101"/>
      <c r="AA700" s="101"/>
      <c r="AB700" s="101"/>
      <c r="AC700" s="101"/>
      <c r="AD700" s="101"/>
      <c r="AE700" s="101"/>
      <c r="AF700" s="101"/>
      <c r="AG700" s="101"/>
      <c r="AH700" s="101"/>
      <c r="AI700" s="101"/>
      <c r="AJ700" s="101"/>
      <c r="AK700" s="101"/>
      <c r="AL700" s="101"/>
      <c r="AM700" s="101"/>
      <c r="AN700" s="101"/>
    </row>
    <row r="701" spans="1:40" ht="16.5" customHeight="1" x14ac:dyDescent="0.3">
      <c r="A701" s="69"/>
      <c r="B701" s="69"/>
      <c r="C701" s="69"/>
      <c r="D701" s="69"/>
      <c r="E701" s="69"/>
      <c r="F701" s="69"/>
      <c r="G701" s="17" t="s">
        <v>1405</v>
      </c>
      <c r="Z701" s="101"/>
      <c r="AA701" s="101"/>
      <c r="AB701" s="101"/>
      <c r="AC701" s="101"/>
      <c r="AD701" s="101"/>
      <c r="AE701" s="101"/>
      <c r="AF701" s="101"/>
      <c r="AG701" s="101"/>
      <c r="AH701" s="101"/>
      <c r="AI701" s="101"/>
      <c r="AJ701" s="101"/>
      <c r="AK701" s="101"/>
      <c r="AL701" s="101"/>
      <c r="AM701" s="101"/>
      <c r="AN701" s="101"/>
    </row>
    <row r="702" spans="1:40" ht="16.5" customHeight="1" x14ac:dyDescent="0.3">
      <c r="A702" s="59" t="s">
        <v>1743</v>
      </c>
      <c r="B702" s="89" t="str">
        <f>"   노무비: "&amp;TEXT(I702,"#,##0"&amp;IF(I702&lt;&gt;INT(I702),".###",""))&amp;" / Q * "&amp;AC702&amp;" 대  = "&amp;TEXT(C702,"#,##0.0")&amp;""</f>
        <v xml:space="preserve">   노무비: 49,778 / Q * 0.5 대  = 622.2</v>
      </c>
      <c r="C702" s="91">
        <f>E702+D702+F702</f>
        <v>622.20000000000005</v>
      </c>
      <c r="D702" s="91">
        <f>IF(H702=0,0,ROUNDDOWN(J702*H702,1))</f>
        <v>622.20000000000005</v>
      </c>
      <c r="E702" s="91">
        <f>IF(H702=0,0,ROUNDDOWN(K702*H702,1))</f>
        <v>0</v>
      </c>
      <c r="F702" s="91">
        <f>IF(H702=0,0,ROUNDDOWN(L702*H702,1))</f>
        <v>0</v>
      </c>
      <c r="G702" s="17" t="s">
        <v>1742</v>
      </c>
      <c r="H702" s="97">
        <f>ROUNDUP(AE702,14-LEN(ABS(INT(AE702))))</f>
        <v>1.2500000000000001E-2</v>
      </c>
      <c r="I702" s="98">
        <f>K702+J702+L702</f>
        <v>49778</v>
      </c>
      <c r="J702" s="38">
        <f>중기목록표!F21</f>
        <v>49778</v>
      </c>
      <c r="M702" s="35" t="s">
        <v>1470</v>
      </c>
      <c r="N702" s="35" t="s">
        <v>1262</v>
      </c>
      <c r="X702" s="100" t="str">
        <f>중기목록표!B21&amp;" / "&amp;중기목록표!C21</f>
        <v>물탱크(살수차) / 5500ℓ</v>
      </c>
      <c r="Y702" s="3" t="str">
        <f ca="1">HYPERLINK("#"&amp;중기목록표!J2&amp;"!A"&amp;ROW(중기목록표!A21),"중기18 →")</f>
        <v>중기18 →</v>
      </c>
      <c r="Z702" s="35" t="s">
        <v>1417</v>
      </c>
      <c r="AA702" s="103" t="str">
        <f>AD664</f>
        <v>40.000</v>
      </c>
      <c r="AB702" s="35" t="s">
        <v>1436</v>
      </c>
      <c r="AC702" s="104">
        <v>0.5</v>
      </c>
      <c r="AD702" s="35" t="s">
        <v>1410</v>
      </c>
      <c r="AE702" s="103">
        <f>1/AD664*AC702</f>
        <v>1.2500000000000001E-2</v>
      </c>
      <c r="AF702" s="101"/>
      <c r="AG702" s="101"/>
      <c r="AH702" s="101"/>
      <c r="AI702" s="101"/>
      <c r="AJ702" s="101"/>
      <c r="AK702" s="101"/>
      <c r="AL702" s="101"/>
      <c r="AM702" s="101"/>
      <c r="AN702" s="101"/>
    </row>
    <row r="703" spans="1:40" ht="16.5" customHeight="1" x14ac:dyDescent="0.3">
      <c r="A703" s="69"/>
      <c r="B703" s="69"/>
      <c r="C703" s="69"/>
      <c r="D703" s="69"/>
      <c r="E703" s="69"/>
      <c r="F703" s="69"/>
      <c r="G703" s="17" t="s">
        <v>1405</v>
      </c>
      <c r="Z703" s="101"/>
      <c r="AA703" s="101"/>
      <c r="AB703" s="101"/>
      <c r="AC703" s="101"/>
      <c r="AD703" s="101"/>
      <c r="AE703" s="101"/>
      <c r="AF703" s="101"/>
      <c r="AG703" s="101"/>
      <c r="AH703" s="101"/>
      <c r="AI703" s="101"/>
      <c r="AJ703" s="101"/>
      <c r="AK703" s="101"/>
      <c r="AL703" s="101"/>
      <c r="AM703" s="101"/>
      <c r="AN703" s="101"/>
    </row>
    <row r="704" spans="1:40" ht="16.5" customHeight="1" x14ac:dyDescent="0.3">
      <c r="A704" s="59" t="s">
        <v>1745</v>
      </c>
      <c r="B704" s="89" t="str">
        <f>"   재료비: "&amp;TEXT(I704,"#,##0"&amp;IF(I704&lt;&gt;INT(I704),".###",""))&amp;" / Q * "&amp;AC704&amp;" 대 = "&amp;TEXT(C704,"#,##0.0")&amp;""</f>
        <v xml:space="preserve">   재료비: 21,749 / Q * 0.5 대 = 271.8</v>
      </c>
      <c r="C704" s="91">
        <f>E704+D704+F704</f>
        <v>271.8</v>
      </c>
      <c r="D704" s="91">
        <f>IF(H704=0,0,ROUNDDOWN(J704*H704,1))</f>
        <v>0</v>
      </c>
      <c r="E704" s="91">
        <f>IF(H704=0,0,ROUNDDOWN(K704*H704,1))</f>
        <v>271.8</v>
      </c>
      <c r="F704" s="91">
        <f>IF(H704=0,0,ROUNDDOWN(L704*H704,1))</f>
        <v>0</v>
      </c>
      <c r="G704" s="17" t="s">
        <v>1744</v>
      </c>
      <c r="H704" s="97">
        <f>ROUNDUP(AE704,14-LEN(ABS(INT(AE704))))</f>
        <v>1.2500000000000001E-2</v>
      </c>
      <c r="I704" s="98">
        <f>K704+J704+L704</f>
        <v>21749</v>
      </c>
      <c r="K704" s="38">
        <f>중기목록표!G21</f>
        <v>21749</v>
      </c>
      <c r="M704" s="35" t="s">
        <v>1470</v>
      </c>
      <c r="N704" s="35" t="s">
        <v>1262</v>
      </c>
      <c r="X704" s="100" t="str">
        <f>중기목록표!B21&amp;" / "&amp;중기목록표!C21</f>
        <v>물탱크(살수차) / 5500ℓ</v>
      </c>
      <c r="Y704" s="3" t="str">
        <f ca="1">HYPERLINK("#"&amp;중기목록표!J2&amp;"!A"&amp;ROW(중기목록표!A21),"중기18 →")</f>
        <v>중기18 →</v>
      </c>
      <c r="Z704" s="35" t="s">
        <v>1417</v>
      </c>
      <c r="AA704" s="103" t="str">
        <f>AD664</f>
        <v>40.000</v>
      </c>
      <c r="AB704" s="35" t="s">
        <v>1436</v>
      </c>
      <c r="AC704" s="104">
        <v>0.5</v>
      </c>
      <c r="AD704" s="35" t="s">
        <v>1410</v>
      </c>
      <c r="AE704" s="103">
        <f>1/AD664*AC704</f>
        <v>1.2500000000000001E-2</v>
      </c>
      <c r="AF704" s="101"/>
      <c r="AG704" s="101"/>
      <c r="AH704" s="101"/>
      <c r="AI704" s="101"/>
      <c r="AJ704" s="101"/>
      <c r="AK704" s="101"/>
      <c r="AL704" s="101"/>
      <c r="AM704" s="101"/>
      <c r="AN704" s="101"/>
    </row>
    <row r="705" spans="1:40" ht="16.5" customHeight="1" x14ac:dyDescent="0.3">
      <c r="A705" s="69"/>
      <c r="B705" s="69"/>
      <c r="C705" s="69"/>
      <c r="D705" s="69"/>
      <c r="E705" s="69"/>
      <c r="F705" s="69"/>
      <c r="G705" s="17" t="s">
        <v>1405</v>
      </c>
      <c r="Z705" s="101"/>
      <c r="AA705" s="101"/>
      <c r="AB705" s="101"/>
      <c r="AC705" s="101"/>
      <c r="AD705" s="101"/>
      <c r="AE705" s="101"/>
      <c r="AF705" s="101"/>
      <c r="AG705" s="101"/>
      <c r="AH705" s="101"/>
      <c r="AI705" s="101"/>
      <c r="AJ705" s="101"/>
      <c r="AK705" s="101"/>
      <c r="AL705" s="101"/>
      <c r="AM705" s="101"/>
      <c r="AN705" s="101"/>
    </row>
    <row r="706" spans="1:40" ht="16.5" customHeight="1" x14ac:dyDescent="0.3">
      <c r="A706" s="59" t="s">
        <v>1747</v>
      </c>
      <c r="B706" s="89" t="str">
        <f>"   경  비: "&amp;TEXT(I706,"#,##0"&amp;IF(I706&lt;&gt;INT(I706),".###",""))&amp;" / Q * "&amp;AC706&amp;" 대 = "&amp;TEXT(C706,"#,##0.0")&amp;""</f>
        <v xml:space="preserve">   경  비: 9,986 / Q * 0.5 대 = 124.8</v>
      </c>
      <c r="C706" s="91">
        <f>E706+D706+F706</f>
        <v>124.8</v>
      </c>
      <c r="D706" s="91">
        <f>IF(H706=0,0,ROUNDDOWN(J706*H706,1))</f>
        <v>0</v>
      </c>
      <c r="E706" s="91">
        <f>IF(H706=0,0,ROUNDDOWN(K706*H706,1))</f>
        <v>0</v>
      </c>
      <c r="F706" s="91">
        <f>IF(H706=0,0,ROUNDDOWN(L706*H706,1))</f>
        <v>124.8</v>
      </c>
      <c r="G706" s="17" t="s">
        <v>1746</v>
      </c>
      <c r="H706" s="97">
        <f>ROUNDUP(AE706,14-LEN(ABS(INT(AE706))))</f>
        <v>1.2500000000000001E-2</v>
      </c>
      <c r="I706" s="98">
        <f>K706+J706+L706</f>
        <v>9986</v>
      </c>
      <c r="L706" s="38">
        <f>중기목록표!H21</f>
        <v>9986</v>
      </c>
      <c r="M706" s="35" t="s">
        <v>1470</v>
      </c>
      <c r="N706" s="35" t="s">
        <v>1262</v>
      </c>
      <c r="X706" s="100" t="str">
        <f>중기목록표!B21&amp;" / "&amp;중기목록표!C21</f>
        <v>물탱크(살수차) / 5500ℓ</v>
      </c>
      <c r="Y706" s="3" t="str">
        <f ca="1">HYPERLINK("#"&amp;중기목록표!J2&amp;"!A"&amp;ROW(중기목록표!A21),"중기18 →")</f>
        <v>중기18 →</v>
      </c>
      <c r="Z706" s="35" t="s">
        <v>1417</v>
      </c>
      <c r="AA706" s="103" t="str">
        <f>AD664</f>
        <v>40.000</v>
      </c>
      <c r="AB706" s="35" t="s">
        <v>1436</v>
      </c>
      <c r="AC706" s="104">
        <v>0.5</v>
      </c>
      <c r="AD706" s="35" t="s">
        <v>1410</v>
      </c>
      <c r="AE706" s="103">
        <f>1/AD664*AC706</f>
        <v>1.2500000000000001E-2</v>
      </c>
      <c r="AF706" s="101"/>
      <c r="AG706" s="101"/>
      <c r="AH706" s="101"/>
      <c r="AI706" s="101"/>
      <c r="AJ706" s="101"/>
      <c r="AK706" s="101"/>
      <c r="AL706" s="101"/>
      <c r="AM706" s="101"/>
      <c r="AN706" s="101"/>
    </row>
    <row r="707" spans="1:40" ht="16.5" customHeight="1" x14ac:dyDescent="0.3">
      <c r="A707" s="69"/>
      <c r="B707" s="69"/>
      <c r="C707" s="69"/>
      <c r="D707" s="69"/>
      <c r="E707" s="69"/>
      <c r="F707" s="69"/>
      <c r="G707" s="17" t="s">
        <v>1405</v>
      </c>
      <c r="Z707" s="101"/>
      <c r="AA707" s="101"/>
      <c r="AB707" s="101"/>
      <c r="AC707" s="101"/>
      <c r="AD707" s="101"/>
      <c r="AE707" s="101"/>
      <c r="AF707" s="101"/>
      <c r="AG707" s="101"/>
      <c r="AH707" s="101"/>
      <c r="AI707" s="101"/>
      <c r="AJ707" s="101"/>
      <c r="AK707" s="101"/>
      <c r="AL707" s="101"/>
      <c r="AM707" s="101"/>
      <c r="AN707" s="101"/>
    </row>
    <row r="708" spans="1:40" ht="16.5" customHeight="1" x14ac:dyDescent="0.3">
      <c r="A708" s="59"/>
      <c r="B708" s="68" t="s">
        <v>1260</v>
      </c>
      <c r="C708" s="92">
        <f>E708+D708+F708</f>
        <v>4045.2</v>
      </c>
      <c r="D708" s="92">
        <f>SUMIF(N673:N707,M708,D673:D707)</f>
        <v>3003.8999999999996</v>
      </c>
      <c r="E708" s="92">
        <f>SUMIF(N673:N707,M708,E673:E707)</f>
        <v>664.3</v>
      </c>
      <c r="F708" s="92">
        <f>SUMIF(N673:N707,M708,F673:F707)</f>
        <v>377</v>
      </c>
      <c r="G708" s="17" t="s">
        <v>1430</v>
      </c>
      <c r="M708" s="35" t="s">
        <v>1262</v>
      </c>
      <c r="N708" s="35" t="s">
        <v>1253</v>
      </c>
      <c r="Z708" s="101"/>
      <c r="AA708" s="101"/>
      <c r="AB708" s="101"/>
      <c r="AC708" s="101"/>
      <c r="AD708" s="101"/>
      <c r="AE708" s="101"/>
      <c r="AF708" s="101"/>
      <c r="AG708" s="101"/>
      <c r="AH708" s="101"/>
      <c r="AI708" s="101"/>
      <c r="AJ708" s="101"/>
      <c r="AK708" s="101"/>
      <c r="AL708" s="101"/>
      <c r="AM708" s="101"/>
      <c r="AN708" s="101"/>
    </row>
    <row r="709" spans="1:40" ht="16.5" customHeight="1" x14ac:dyDescent="0.3">
      <c r="A709" s="69"/>
      <c r="B709" s="69"/>
      <c r="C709" s="90"/>
      <c r="D709" s="90"/>
      <c r="E709" s="90"/>
      <c r="F709" s="90"/>
      <c r="G709" s="17" t="s">
        <v>1405</v>
      </c>
      <c r="Z709" s="101"/>
      <c r="AA709" s="101"/>
      <c r="AB709" s="101"/>
      <c r="AC709" s="101"/>
      <c r="AD709" s="101"/>
      <c r="AE709" s="101"/>
      <c r="AF709" s="101"/>
      <c r="AG709" s="101"/>
      <c r="AH709" s="101"/>
      <c r="AI709" s="101"/>
      <c r="AJ709" s="101"/>
      <c r="AK709" s="101"/>
      <c r="AL709" s="101"/>
      <c r="AM709" s="101"/>
      <c r="AN709" s="101"/>
    </row>
    <row r="710" spans="1:40" ht="16.5" customHeight="1" x14ac:dyDescent="0.3">
      <c r="A710" s="59"/>
      <c r="B710" s="68" t="s">
        <v>1251</v>
      </c>
      <c r="C710" s="92">
        <f>E710+D710+F710</f>
        <v>6291</v>
      </c>
      <c r="D710" s="92">
        <f>SUMIF(N657:N709,M710,D657:D709)</f>
        <v>5249.7</v>
      </c>
      <c r="E710" s="92">
        <f>SUMIF(N657:N709,M710,E657:E709)</f>
        <v>664.3</v>
      </c>
      <c r="F710" s="92">
        <f>SUMIF(N657:N709,M710,F657:F709)</f>
        <v>377</v>
      </c>
      <c r="G710" s="17" t="s">
        <v>1476</v>
      </c>
      <c r="M710" s="35" t="s">
        <v>1253</v>
      </c>
      <c r="N710" s="35" t="s">
        <v>1209</v>
      </c>
      <c r="Z710" s="101"/>
      <c r="AA710" s="101"/>
      <c r="AB710" s="101"/>
      <c r="AC710" s="101"/>
      <c r="AD710" s="101"/>
      <c r="AE710" s="101"/>
      <c r="AF710" s="101"/>
      <c r="AG710" s="101"/>
      <c r="AH710" s="101"/>
      <c r="AI710" s="101"/>
      <c r="AJ710" s="101"/>
      <c r="AK710" s="101"/>
      <c r="AL710" s="101"/>
      <c r="AM710" s="101"/>
      <c r="AN710" s="101"/>
    </row>
    <row r="711" spans="1:40" ht="16.5" customHeight="1" x14ac:dyDescent="0.3">
      <c r="A711" s="69"/>
      <c r="B711" s="69"/>
      <c r="C711" s="90"/>
      <c r="D711" s="90"/>
      <c r="E711" s="90"/>
      <c r="F711" s="90"/>
      <c r="Z711" s="101"/>
      <c r="AA711" s="101"/>
      <c r="AB711" s="101"/>
      <c r="AC711" s="101"/>
      <c r="AD711" s="101"/>
      <c r="AE711" s="101"/>
      <c r="AF711" s="101"/>
      <c r="AG711" s="101"/>
      <c r="AH711" s="101"/>
      <c r="AI711" s="101"/>
      <c r="AJ711" s="101"/>
      <c r="AK711" s="101"/>
      <c r="AL711" s="101"/>
      <c r="AM711" s="101"/>
      <c r="AN711" s="101"/>
    </row>
    <row r="712" spans="1:40" ht="16.5" customHeight="1" x14ac:dyDescent="0.3">
      <c r="A712" s="69"/>
      <c r="B712" s="69"/>
      <c r="C712" s="69"/>
      <c r="D712" s="69"/>
      <c r="E712" s="69"/>
      <c r="F712" s="69"/>
      <c r="Z712" s="101"/>
      <c r="AA712" s="101"/>
      <c r="AB712" s="101"/>
      <c r="AC712" s="101"/>
      <c r="AD712" s="101"/>
      <c r="AE712" s="101"/>
      <c r="AF712" s="101"/>
      <c r="AG712" s="101"/>
      <c r="AH712" s="101"/>
      <c r="AI712" s="101"/>
      <c r="AJ712" s="101"/>
      <c r="AK712" s="101"/>
      <c r="AL712" s="101"/>
      <c r="AM712" s="101"/>
      <c r="AN712" s="101"/>
    </row>
    <row r="713" spans="1:40" ht="16.5" customHeight="1" x14ac:dyDescent="0.3">
      <c r="A713" s="69"/>
      <c r="B713" s="69"/>
      <c r="C713" s="69"/>
      <c r="D713" s="69"/>
      <c r="E713" s="69"/>
      <c r="F713" s="69"/>
      <c r="Z713" s="101"/>
      <c r="AA713" s="101"/>
      <c r="AB713" s="101"/>
      <c r="AC713" s="101"/>
      <c r="AD713" s="101"/>
      <c r="AE713" s="101"/>
      <c r="AF713" s="101"/>
      <c r="AG713" s="101"/>
      <c r="AH713" s="101"/>
      <c r="AI713" s="101"/>
      <c r="AJ713" s="101"/>
      <c r="AK713" s="101"/>
      <c r="AL713" s="101"/>
      <c r="AM713" s="101"/>
      <c r="AN713" s="101"/>
    </row>
    <row r="714" spans="1:40" ht="16.5" customHeight="1" x14ac:dyDescent="0.3">
      <c r="A714" s="69"/>
      <c r="B714" s="69"/>
      <c r="C714" s="69"/>
      <c r="D714" s="69"/>
      <c r="E714" s="69"/>
      <c r="F714" s="69"/>
      <c r="Z714" s="101"/>
      <c r="AA714" s="101"/>
      <c r="AB714" s="101"/>
      <c r="AC714" s="101"/>
      <c r="AD714" s="101"/>
      <c r="AE714" s="101"/>
      <c r="AF714" s="101"/>
      <c r="AG714" s="101"/>
      <c r="AH714" s="101"/>
      <c r="AI714" s="101"/>
      <c r="AJ714" s="101"/>
      <c r="AK714" s="101"/>
      <c r="AL714" s="101"/>
      <c r="AM714" s="101"/>
      <c r="AN714" s="101"/>
    </row>
    <row r="715" spans="1:40" ht="16.5" customHeight="1" x14ac:dyDescent="0.3">
      <c r="A715" s="69"/>
      <c r="B715" s="69"/>
      <c r="C715" s="69"/>
      <c r="D715" s="69"/>
      <c r="E715" s="69"/>
      <c r="F715" s="69"/>
      <c r="Z715" s="101"/>
      <c r="AA715" s="101"/>
      <c r="AB715" s="101"/>
      <c r="AC715" s="101"/>
      <c r="AD715" s="101"/>
      <c r="AE715" s="101"/>
      <c r="AF715" s="101"/>
      <c r="AG715" s="101"/>
      <c r="AH715" s="101"/>
      <c r="AI715" s="101"/>
      <c r="AJ715" s="101"/>
      <c r="AK715" s="101"/>
      <c r="AL715" s="101"/>
      <c r="AM715" s="101"/>
      <c r="AN715" s="101"/>
    </row>
    <row r="716" spans="1:40" ht="16.5" customHeight="1" x14ac:dyDescent="0.3">
      <c r="A716" s="69"/>
      <c r="B716" s="69"/>
      <c r="C716" s="69"/>
      <c r="D716" s="69"/>
      <c r="E716" s="69"/>
      <c r="F716" s="69"/>
      <c r="Z716" s="101"/>
      <c r="AA716" s="101"/>
      <c r="AB716" s="101"/>
      <c r="AC716" s="101"/>
      <c r="AD716" s="101"/>
      <c r="AE716" s="101"/>
      <c r="AF716" s="101"/>
      <c r="AG716" s="101"/>
      <c r="AH716" s="101"/>
      <c r="AI716" s="101"/>
      <c r="AJ716" s="101"/>
      <c r="AK716" s="101"/>
      <c r="AL716" s="101"/>
      <c r="AM716" s="101"/>
      <c r="AN716" s="101"/>
    </row>
    <row r="717" spans="1:40" ht="16.5" customHeight="1" x14ac:dyDescent="0.3">
      <c r="A717" s="69"/>
      <c r="B717" s="69"/>
      <c r="C717" s="69"/>
      <c r="D717" s="69"/>
      <c r="E717" s="69"/>
      <c r="F717" s="69"/>
      <c r="Z717" s="101"/>
      <c r="AA717" s="101"/>
      <c r="AB717" s="101"/>
      <c r="AC717" s="101"/>
      <c r="AD717" s="101"/>
      <c r="AE717" s="101"/>
      <c r="AF717" s="101"/>
      <c r="AG717" s="101"/>
      <c r="AH717" s="101"/>
      <c r="AI717" s="101"/>
      <c r="AJ717" s="101"/>
      <c r="AK717" s="101"/>
      <c r="AL717" s="101"/>
      <c r="AM717" s="101"/>
      <c r="AN717" s="101"/>
    </row>
    <row r="718" spans="1:40" ht="16.5" customHeight="1" x14ac:dyDescent="0.3">
      <c r="A718" s="69"/>
      <c r="B718" s="69"/>
      <c r="C718" s="69"/>
      <c r="D718" s="69"/>
      <c r="E718" s="69"/>
      <c r="F718" s="69"/>
      <c r="Z718" s="101"/>
      <c r="AA718" s="101"/>
      <c r="AB718" s="101"/>
      <c r="AC718" s="101"/>
      <c r="AD718" s="101"/>
      <c r="AE718" s="101"/>
      <c r="AF718" s="101"/>
      <c r="AG718" s="101"/>
      <c r="AH718" s="101"/>
      <c r="AI718" s="101"/>
      <c r="AJ718" s="101"/>
      <c r="AK718" s="101"/>
      <c r="AL718" s="101"/>
      <c r="AM718" s="101"/>
      <c r="AN718" s="101"/>
    </row>
    <row r="719" spans="1:40" ht="16.5" customHeight="1" x14ac:dyDescent="0.3">
      <c r="A719" s="69"/>
      <c r="B719" s="69"/>
      <c r="C719" s="69"/>
      <c r="D719" s="69"/>
      <c r="E719" s="69"/>
      <c r="F719" s="69"/>
      <c r="Z719" s="101"/>
      <c r="AA719" s="101"/>
      <c r="AB719" s="101"/>
      <c r="AC719" s="101"/>
      <c r="AD719" s="101"/>
      <c r="AE719" s="101"/>
      <c r="AF719" s="101"/>
      <c r="AG719" s="101"/>
      <c r="AH719" s="101"/>
      <c r="AI719" s="101"/>
      <c r="AJ719" s="101"/>
      <c r="AK719" s="101"/>
      <c r="AL719" s="101"/>
      <c r="AM719" s="101"/>
      <c r="AN719" s="101"/>
    </row>
    <row r="720" spans="1:40" ht="16.5" customHeight="1" x14ac:dyDescent="0.3">
      <c r="A720" s="69"/>
      <c r="B720" s="69"/>
      <c r="C720" s="69"/>
      <c r="D720" s="69"/>
      <c r="E720" s="69"/>
      <c r="F720" s="69"/>
      <c r="Z720" s="101"/>
      <c r="AA720" s="101"/>
      <c r="AB720" s="101"/>
      <c r="AC720" s="101"/>
      <c r="AD720" s="101"/>
      <c r="AE720" s="101"/>
      <c r="AF720" s="101"/>
      <c r="AG720" s="101"/>
      <c r="AH720" s="101"/>
      <c r="AI720" s="101"/>
      <c r="AJ720" s="101"/>
      <c r="AK720" s="101"/>
      <c r="AL720" s="101"/>
      <c r="AM720" s="101"/>
      <c r="AN720" s="101"/>
    </row>
    <row r="721" spans="1:40" ht="16.5" customHeight="1" x14ac:dyDescent="0.3">
      <c r="A721" s="69"/>
      <c r="B721" s="69"/>
      <c r="C721" s="69"/>
      <c r="D721" s="69"/>
      <c r="E721" s="69"/>
      <c r="F721" s="69"/>
      <c r="Z721" s="101"/>
      <c r="AA721" s="101"/>
      <c r="AB721" s="101"/>
      <c r="AC721" s="101"/>
      <c r="AD721" s="101"/>
      <c r="AE721" s="101"/>
      <c r="AF721" s="101"/>
      <c r="AG721" s="101"/>
      <c r="AH721" s="101"/>
      <c r="AI721" s="101"/>
      <c r="AJ721" s="101"/>
      <c r="AK721" s="101"/>
      <c r="AL721" s="101"/>
      <c r="AM721" s="101"/>
      <c r="AN721" s="101"/>
    </row>
    <row r="722" spans="1:40" ht="16.5" customHeight="1" x14ac:dyDescent="0.3">
      <c r="A722" s="69"/>
      <c r="B722" s="69"/>
      <c r="C722" s="69"/>
      <c r="D722" s="69"/>
      <c r="E722" s="69"/>
      <c r="F722" s="69"/>
      <c r="Z722" s="101"/>
      <c r="AA722" s="101"/>
      <c r="AB722" s="101"/>
      <c r="AC722" s="101"/>
      <c r="AD722" s="101"/>
      <c r="AE722" s="101"/>
      <c r="AF722" s="101"/>
      <c r="AG722" s="101"/>
      <c r="AH722" s="101"/>
      <c r="AI722" s="101"/>
      <c r="AJ722" s="101"/>
      <c r="AK722" s="101"/>
      <c r="AL722" s="101"/>
      <c r="AM722" s="101"/>
      <c r="AN722" s="101"/>
    </row>
    <row r="723" spans="1:40" ht="16.5" customHeight="1" x14ac:dyDescent="0.3">
      <c r="A723" s="69"/>
      <c r="B723" s="69"/>
      <c r="C723" s="69"/>
      <c r="D723" s="69"/>
      <c r="E723" s="69"/>
      <c r="F723" s="69"/>
      <c r="Z723" s="101"/>
      <c r="AA723" s="101"/>
      <c r="AB723" s="101"/>
      <c r="AC723" s="101"/>
      <c r="AD723" s="101"/>
      <c r="AE723" s="101"/>
      <c r="AF723" s="101"/>
      <c r="AG723" s="101"/>
      <c r="AH723" s="101"/>
      <c r="AI723" s="101"/>
      <c r="AJ723" s="101"/>
      <c r="AK723" s="101"/>
      <c r="AL723" s="101"/>
      <c r="AM723" s="101"/>
      <c r="AN723" s="101"/>
    </row>
    <row r="724" spans="1:40" ht="16.5" customHeight="1" x14ac:dyDescent="0.3">
      <c r="A724" s="69"/>
      <c r="B724" s="69"/>
      <c r="C724" s="69"/>
      <c r="D724" s="69"/>
      <c r="E724" s="69"/>
      <c r="F724" s="69"/>
      <c r="Z724" s="101"/>
      <c r="AA724" s="101"/>
      <c r="AB724" s="101"/>
      <c r="AC724" s="101"/>
      <c r="AD724" s="101"/>
      <c r="AE724" s="101"/>
      <c r="AF724" s="101"/>
      <c r="AG724" s="101"/>
      <c r="AH724" s="101"/>
      <c r="AI724" s="101"/>
      <c r="AJ724" s="101"/>
      <c r="AK724" s="101"/>
      <c r="AL724" s="101"/>
      <c r="AM724" s="101"/>
      <c r="AN724" s="101"/>
    </row>
    <row r="725" spans="1:40" ht="16.5" customHeight="1" x14ac:dyDescent="0.3">
      <c r="A725" s="69"/>
      <c r="B725" s="69"/>
      <c r="C725" s="69"/>
      <c r="D725" s="69"/>
      <c r="E725" s="69"/>
      <c r="F725" s="69"/>
      <c r="Z725" s="101"/>
      <c r="AA725" s="101"/>
      <c r="AB725" s="101"/>
      <c r="AC725" s="101"/>
      <c r="AD725" s="101"/>
      <c r="AE725" s="101"/>
      <c r="AF725" s="101"/>
      <c r="AG725" s="101"/>
      <c r="AH725" s="101"/>
      <c r="AI725" s="101"/>
      <c r="AJ725" s="101"/>
      <c r="AK725" s="101"/>
      <c r="AL725" s="101"/>
      <c r="AM725" s="101"/>
      <c r="AN725" s="101"/>
    </row>
    <row r="726" spans="1:40" ht="16.5" customHeight="1" x14ac:dyDescent="0.3">
      <c r="A726" s="69"/>
      <c r="B726" s="69"/>
      <c r="C726" s="69"/>
      <c r="D726" s="69"/>
      <c r="E726" s="69"/>
      <c r="F726" s="69"/>
      <c r="Z726" s="101"/>
      <c r="AA726" s="101"/>
      <c r="AB726" s="101"/>
      <c r="AC726" s="101"/>
      <c r="AD726" s="101"/>
      <c r="AE726" s="101"/>
      <c r="AF726" s="101"/>
      <c r="AG726" s="101"/>
      <c r="AH726" s="101"/>
      <c r="AI726" s="101"/>
      <c r="AJ726" s="101"/>
      <c r="AK726" s="101"/>
      <c r="AL726" s="101"/>
      <c r="AM726" s="101"/>
      <c r="AN726" s="101"/>
    </row>
    <row r="727" spans="1:40" ht="16.5" customHeight="1" x14ac:dyDescent="0.3">
      <c r="A727" s="69"/>
      <c r="B727" s="69"/>
      <c r="C727" s="69"/>
      <c r="D727" s="69"/>
      <c r="E727" s="69"/>
      <c r="F727" s="69"/>
      <c r="Z727" s="101"/>
      <c r="AA727" s="101"/>
      <c r="AB727" s="101"/>
      <c r="AC727" s="101"/>
      <c r="AD727" s="101"/>
      <c r="AE727" s="101"/>
      <c r="AF727" s="101"/>
      <c r="AG727" s="101"/>
      <c r="AH727" s="101"/>
      <c r="AI727" s="101"/>
      <c r="AJ727" s="101"/>
      <c r="AK727" s="101"/>
      <c r="AL727" s="101"/>
      <c r="AM727" s="101"/>
      <c r="AN727" s="101"/>
    </row>
    <row r="728" spans="1:40" ht="16.5" customHeight="1" x14ac:dyDescent="0.3">
      <c r="A728" s="69"/>
      <c r="B728" s="69"/>
      <c r="C728" s="69"/>
      <c r="D728" s="69"/>
      <c r="E728" s="69"/>
      <c r="F728" s="69"/>
      <c r="Z728" s="101"/>
      <c r="AA728" s="101"/>
      <c r="AB728" s="101"/>
      <c r="AC728" s="101"/>
      <c r="AD728" s="101"/>
      <c r="AE728" s="101"/>
      <c r="AF728" s="101"/>
      <c r="AG728" s="101"/>
      <c r="AH728" s="101"/>
      <c r="AI728" s="101"/>
      <c r="AJ728" s="101"/>
      <c r="AK728" s="101"/>
      <c r="AL728" s="101"/>
      <c r="AM728" s="101"/>
      <c r="AN728" s="101"/>
    </row>
    <row r="729" spans="1:40" ht="16.5" customHeight="1" x14ac:dyDescent="0.3">
      <c r="A729" s="69"/>
      <c r="B729" s="69"/>
      <c r="C729" s="69"/>
      <c r="D729" s="69"/>
      <c r="E729" s="69"/>
      <c r="F729" s="69"/>
      <c r="Z729" s="101"/>
      <c r="AA729" s="101"/>
      <c r="AB729" s="101"/>
      <c r="AC729" s="101"/>
      <c r="AD729" s="101"/>
      <c r="AE729" s="101"/>
      <c r="AF729" s="101"/>
      <c r="AG729" s="101"/>
      <c r="AH729" s="101"/>
      <c r="AI729" s="101"/>
      <c r="AJ729" s="101"/>
      <c r="AK729" s="101"/>
      <c r="AL729" s="101"/>
      <c r="AM729" s="101"/>
      <c r="AN729" s="101"/>
    </row>
    <row r="730" spans="1:40" ht="16.5" customHeight="1" x14ac:dyDescent="0.3">
      <c r="A730" s="69"/>
      <c r="B730" s="69"/>
      <c r="C730" s="69"/>
      <c r="D730" s="69"/>
      <c r="E730" s="69"/>
      <c r="F730" s="69"/>
      <c r="Z730" s="101"/>
      <c r="AA730" s="101"/>
      <c r="AB730" s="101"/>
      <c r="AC730" s="101"/>
      <c r="AD730" s="101"/>
      <c r="AE730" s="101"/>
      <c r="AF730" s="101"/>
      <c r="AG730" s="101"/>
      <c r="AH730" s="101"/>
      <c r="AI730" s="101"/>
      <c r="AJ730" s="101"/>
      <c r="AK730" s="101"/>
      <c r="AL730" s="101"/>
      <c r="AM730" s="101"/>
      <c r="AN730" s="101"/>
    </row>
    <row r="731" spans="1:40" ht="16.5" customHeight="1" x14ac:dyDescent="0.3">
      <c r="A731" s="69"/>
      <c r="B731" s="69"/>
      <c r="C731" s="69"/>
      <c r="D731" s="69"/>
      <c r="E731" s="69"/>
      <c r="F731" s="69"/>
      <c r="Z731" s="101"/>
      <c r="AA731" s="101"/>
      <c r="AB731" s="101"/>
      <c r="AC731" s="101"/>
      <c r="AD731" s="101"/>
      <c r="AE731" s="101"/>
      <c r="AF731" s="101"/>
      <c r="AG731" s="101"/>
      <c r="AH731" s="101"/>
      <c r="AI731" s="101"/>
      <c r="AJ731" s="101"/>
      <c r="AK731" s="101"/>
      <c r="AL731" s="101"/>
      <c r="AM731" s="101"/>
      <c r="AN731" s="101"/>
    </row>
    <row r="732" spans="1:40" ht="16.5" customHeight="1" x14ac:dyDescent="0.3">
      <c r="A732" s="69"/>
      <c r="B732" s="69"/>
      <c r="C732" s="69"/>
      <c r="D732" s="69"/>
      <c r="E732" s="69"/>
      <c r="F732" s="69"/>
      <c r="Z732" s="101"/>
      <c r="AA732" s="101"/>
      <c r="AB732" s="101"/>
      <c r="AC732" s="101"/>
      <c r="AD732" s="101"/>
      <c r="AE732" s="101"/>
      <c r="AF732" s="101"/>
      <c r="AG732" s="101"/>
      <c r="AH732" s="101"/>
      <c r="AI732" s="101"/>
      <c r="AJ732" s="101"/>
      <c r="AK732" s="101"/>
      <c r="AL732" s="101"/>
      <c r="AM732" s="101"/>
      <c r="AN732" s="101"/>
    </row>
    <row r="733" spans="1:40" ht="16.5" customHeight="1" x14ac:dyDescent="0.3">
      <c r="A733" s="69"/>
      <c r="B733" s="69"/>
      <c r="C733" s="69"/>
      <c r="D733" s="69"/>
      <c r="E733" s="69"/>
      <c r="F733" s="69"/>
      <c r="Z733" s="101"/>
      <c r="AA733" s="101"/>
      <c r="AB733" s="101"/>
      <c r="AC733" s="101"/>
      <c r="AD733" s="101"/>
      <c r="AE733" s="101"/>
      <c r="AF733" s="101"/>
      <c r="AG733" s="101"/>
      <c r="AH733" s="101"/>
      <c r="AI733" s="101"/>
      <c r="AJ733" s="101"/>
      <c r="AK733" s="101"/>
      <c r="AL733" s="101"/>
      <c r="AM733" s="101"/>
      <c r="AN733" s="101"/>
    </row>
    <row r="734" spans="1:40" ht="16.5" customHeight="1" x14ac:dyDescent="0.3">
      <c r="A734" s="69"/>
      <c r="B734" s="69"/>
      <c r="C734" s="69"/>
      <c r="D734" s="69"/>
      <c r="E734" s="69"/>
      <c r="F734" s="69"/>
      <c r="Z734" s="101"/>
      <c r="AA734" s="101"/>
      <c r="AB734" s="101"/>
      <c r="AC734" s="101"/>
      <c r="AD734" s="101"/>
      <c r="AE734" s="101"/>
      <c r="AF734" s="101"/>
      <c r="AG734" s="101"/>
      <c r="AH734" s="101"/>
      <c r="AI734" s="101"/>
      <c r="AJ734" s="101"/>
      <c r="AK734" s="101"/>
      <c r="AL734" s="101"/>
      <c r="AM734" s="101"/>
      <c r="AN734" s="101"/>
    </row>
    <row r="735" spans="1:40" ht="16.5" customHeight="1" x14ac:dyDescent="0.3">
      <c r="A735" s="69"/>
      <c r="B735" s="69"/>
      <c r="C735" s="69"/>
      <c r="D735" s="69"/>
      <c r="E735" s="69"/>
      <c r="F735" s="69"/>
      <c r="Z735" s="101"/>
      <c r="AA735" s="101"/>
      <c r="AB735" s="101"/>
      <c r="AC735" s="101"/>
      <c r="AD735" s="101"/>
      <c r="AE735" s="101"/>
      <c r="AF735" s="101"/>
      <c r="AG735" s="101"/>
      <c r="AH735" s="101"/>
      <c r="AI735" s="101"/>
      <c r="AJ735" s="101"/>
      <c r="AK735" s="101"/>
      <c r="AL735" s="101"/>
      <c r="AM735" s="101"/>
      <c r="AN735" s="101"/>
    </row>
    <row r="736" spans="1:40" ht="16.5" customHeight="1" x14ac:dyDescent="0.3">
      <c r="A736" s="69"/>
      <c r="B736" s="69"/>
      <c r="C736" s="69"/>
      <c r="D736" s="69"/>
      <c r="E736" s="69"/>
      <c r="F736" s="69"/>
      <c r="Z736" s="101"/>
      <c r="AA736" s="101"/>
      <c r="AB736" s="101"/>
      <c r="AC736" s="101"/>
      <c r="AD736" s="101"/>
      <c r="AE736" s="101"/>
      <c r="AF736" s="101"/>
      <c r="AG736" s="101"/>
      <c r="AH736" s="101"/>
      <c r="AI736" s="101"/>
      <c r="AJ736" s="101"/>
      <c r="AK736" s="101"/>
      <c r="AL736" s="101"/>
      <c r="AM736" s="101"/>
      <c r="AN736" s="101"/>
    </row>
    <row r="737" spans="1:40" ht="16.5" customHeight="1" x14ac:dyDescent="0.3">
      <c r="A737" s="69"/>
      <c r="B737" s="69"/>
      <c r="C737" s="69"/>
      <c r="D737" s="69"/>
      <c r="E737" s="69"/>
      <c r="F737" s="69"/>
      <c r="Z737" s="101"/>
      <c r="AA737" s="101"/>
      <c r="AB737" s="101"/>
      <c r="AC737" s="101"/>
      <c r="AD737" s="101"/>
      <c r="AE737" s="101"/>
      <c r="AF737" s="101"/>
      <c r="AG737" s="101"/>
      <c r="AH737" s="101"/>
      <c r="AI737" s="101"/>
      <c r="AJ737" s="101"/>
      <c r="AK737" s="101"/>
      <c r="AL737" s="101"/>
      <c r="AM737" s="101"/>
      <c r="AN737" s="101"/>
    </row>
    <row r="738" spans="1:40" ht="16.5" customHeight="1" x14ac:dyDescent="0.3">
      <c r="A738" s="69"/>
      <c r="B738" s="69"/>
      <c r="C738" s="69"/>
      <c r="D738" s="69"/>
      <c r="E738" s="69"/>
      <c r="F738" s="69"/>
      <c r="Z738" s="101"/>
      <c r="AA738" s="101"/>
      <c r="AB738" s="101"/>
      <c r="AC738" s="101"/>
      <c r="AD738" s="101"/>
      <c r="AE738" s="101"/>
      <c r="AF738" s="101"/>
      <c r="AG738" s="101"/>
      <c r="AH738" s="101"/>
      <c r="AI738" s="101"/>
      <c r="AJ738" s="101"/>
      <c r="AK738" s="101"/>
      <c r="AL738" s="101"/>
      <c r="AM738" s="101"/>
      <c r="AN738" s="101"/>
    </row>
    <row r="739" spans="1:40" ht="16.5" customHeight="1" x14ac:dyDescent="0.3">
      <c r="A739" s="69"/>
      <c r="B739" s="69"/>
      <c r="C739" s="69"/>
      <c r="D739" s="69"/>
      <c r="E739" s="69"/>
      <c r="F739" s="69"/>
      <c r="Z739" s="101"/>
      <c r="AA739" s="101"/>
      <c r="AB739" s="101"/>
      <c r="AC739" s="101"/>
      <c r="AD739" s="101"/>
      <c r="AE739" s="101"/>
      <c r="AF739" s="101"/>
      <c r="AG739" s="101"/>
      <c r="AH739" s="101"/>
      <c r="AI739" s="101"/>
      <c r="AJ739" s="101"/>
      <c r="AK739" s="101"/>
      <c r="AL739" s="101"/>
      <c r="AM739" s="101"/>
      <c r="AN739" s="101"/>
    </row>
    <row r="740" spans="1:40" ht="16.5" customHeight="1" x14ac:dyDescent="0.3">
      <c r="A740" s="69"/>
      <c r="B740" s="69"/>
      <c r="C740" s="69"/>
      <c r="D740" s="69"/>
      <c r="E740" s="69"/>
      <c r="F740" s="69"/>
      <c r="Z740" s="101"/>
      <c r="AA740" s="101"/>
      <c r="AB740" s="101"/>
      <c r="AC740" s="101"/>
      <c r="AD740" s="101"/>
      <c r="AE740" s="101"/>
      <c r="AF740" s="101"/>
      <c r="AG740" s="101"/>
      <c r="AH740" s="101"/>
      <c r="AI740" s="101"/>
      <c r="AJ740" s="101"/>
      <c r="AK740" s="101"/>
      <c r="AL740" s="101"/>
      <c r="AM740" s="101"/>
      <c r="AN740" s="101"/>
    </row>
    <row r="741" spans="1:40" ht="16.5" customHeight="1" x14ac:dyDescent="0.3">
      <c r="A741" s="69"/>
      <c r="B741" s="69"/>
      <c r="C741" s="69"/>
      <c r="D741" s="69"/>
      <c r="E741" s="69"/>
      <c r="F741" s="69"/>
      <c r="Z741" s="101"/>
      <c r="AA741" s="101"/>
      <c r="AB741" s="101"/>
      <c r="AC741" s="101"/>
      <c r="AD741" s="101"/>
      <c r="AE741" s="101"/>
      <c r="AF741" s="101"/>
      <c r="AG741" s="101"/>
      <c r="AH741" s="101"/>
      <c r="AI741" s="101"/>
      <c r="AJ741" s="101"/>
      <c r="AK741" s="101"/>
      <c r="AL741" s="101"/>
      <c r="AM741" s="101"/>
      <c r="AN741" s="101"/>
    </row>
    <row r="742" spans="1:40" ht="16.5" customHeight="1" x14ac:dyDescent="0.3">
      <c r="A742" s="69"/>
      <c r="B742" s="69"/>
      <c r="C742" s="69"/>
      <c r="D742" s="69"/>
      <c r="E742" s="69"/>
      <c r="F742" s="69"/>
      <c r="Z742" s="101"/>
      <c r="AA742" s="101"/>
      <c r="AB742" s="101"/>
      <c r="AC742" s="101"/>
      <c r="AD742" s="101"/>
      <c r="AE742" s="101"/>
      <c r="AF742" s="101"/>
      <c r="AG742" s="101"/>
      <c r="AH742" s="101"/>
      <c r="AI742" s="101"/>
      <c r="AJ742" s="101"/>
      <c r="AK742" s="101"/>
      <c r="AL742" s="101"/>
      <c r="AM742" s="101"/>
      <c r="AN742" s="101"/>
    </row>
    <row r="743" spans="1:40" ht="16.5" customHeight="1" x14ac:dyDescent="0.3">
      <c r="A743" s="69"/>
      <c r="B743" s="69"/>
      <c r="C743" s="69"/>
      <c r="D743" s="69"/>
      <c r="E743" s="69"/>
      <c r="F743" s="69"/>
      <c r="Z743" s="101"/>
      <c r="AA743" s="101"/>
      <c r="AB743" s="101"/>
      <c r="AC743" s="101"/>
      <c r="AD743" s="101"/>
      <c r="AE743" s="101"/>
      <c r="AF743" s="101"/>
      <c r="AG743" s="101"/>
      <c r="AH743" s="101"/>
      <c r="AI743" s="101"/>
      <c r="AJ743" s="101"/>
      <c r="AK743" s="101"/>
      <c r="AL743" s="101"/>
      <c r="AM743" s="101"/>
      <c r="AN743" s="101"/>
    </row>
    <row r="744" spans="1:40" ht="16.5" customHeight="1" x14ac:dyDescent="0.3">
      <c r="A744" s="69"/>
      <c r="B744" s="69"/>
      <c r="C744" s="69"/>
      <c r="D744" s="69"/>
      <c r="E744" s="69"/>
      <c r="F744" s="69"/>
      <c r="Z744" s="101"/>
      <c r="AA744" s="101"/>
      <c r="AB744" s="101"/>
      <c r="AC744" s="101"/>
      <c r="AD744" s="101"/>
      <c r="AE744" s="101"/>
      <c r="AF744" s="101"/>
      <c r="AG744" s="101"/>
      <c r="AH744" s="101"/>
      <c r="AI744" s="101"/>
      <c r="AJ744" s="101"/>
      <c r="AK744" s="101"/>
      <c r="AL744" s="101"/>
      <c r="AM744" s="101"/>
      <c r="AN744" s="101"/>
    </row>
    <row r="745" spans="1:40" ht="16.5" customHeight="1" x14ac:dyDescent="0.3">
      <c r="A745" s="69"/>
      <c r="B745" s="69"/>
      <c r="C745" s="69"/>
      <c r="D745" s="69"/>
      <c r="E745" s="69"/>
      <c r="F745" s="69"/>
      <c r="Z745" s="101"/>
      <c r="AA745" s="101"/>
      <c r="AB745" s="101"/>
      <c r="AC745" s="101"/>
      <c r="AD745" s="101"/>
      <c r="AE745" s="101"/>
      <c r="AF745" s="101"/>
      <c r="AG745" s="101"/>
      <c r="AH745" s="101"/>
      <c r="AI745" s="101"/>
      <c r="AJ745" s="101"/>
      <c r="AK745" s="101"/>
      <c r="AL745" s="101"/>
      <c r="AM745" s="101"/>
      <c r="AN745" s="101"/>
    </row>
    <row r="746" spans="1:40" ht="16.5" customHeight="1" x14ac:dyDescent="0.3">
      <c r="A746" s="69"/>
      <c r="B746" s="69"/>
      <c r="C746" s="69"/>
      <c r="D746" s="69"/>
      <c r="E746" s="69"/>
      <c r="F746" s="69"/>
      <c r="Z746" s="101"/>
      <c r="AA746" s="101"/>
      <c r="AB746" s="101"/>
      <c r="AC746" s="101"/>
      <c r="AD746" s="101"/>
      <c r="AE746" s="101"/>
      <c r="AF746" s="101"/>
      <c r="AG746" s="101"/>
      <c r="AH746" s="101"/>
      <c r="AI746" s="101"/>
      <c r="AJ746" s="101"/>
      <c r="AK746" s="101"/>
      <c r="AL746" s="101"/>
      <c r="AM746" s="101"/>
      <c r="AN746" s="101"/>
    </row>
    <row r="747" spans="1:40" ht="16.5" customHeight="1" x14ac:dyDescent="0.3">
      <c r="A747" s="69"/>
      <c r="B747" s="69"/>
      <c r="C747" s="69"/>
      <c r="D747" s="69"/>
      <c r="E747" s="69"/>
      <c r="F747" s="69"/>
      <c r="Z747" s="101"/>
      <c r="AA747" s="101"/>
      <c r="AB747" s="101"/>
      <c r="AC747" s="101"/>
      <c r="AD747" s="101"/>
      <c r="AE747" s="101"/>
      <c r="AF747" s="101"/>
      <c r="AG747" s="101"/>
      <c r="AH747" s="101"/>
      <c r="AI747" s="101"/>
      <c r="AJ747" s="101"/>
      <c r="AK747" s="101"/>
      <c r="AL747" s="101"/>
      <c r="AM747" s="101"/>
      <c r="AN747" s="101"/>
    </row>
    <row r="748" spans="1:40" ht="16.5" customHeight="1" x14ac:dyDescent="0.3">
      <c r="A748" s="69"/>
      <c r="B748" s="69"/>
      <c r="C748" s="69"/>
      <c r="D748" s="69"/>
      <c r="E748" s="69"/>
      <c r="F748" s="69"/>
      <c r="Z748" s="101"/>
      <c r="AA748" s="101"/>
      <c r="AB748" s="101"/>
      <c r="AC748" s="101"/>
      <c r="AD748" s="101"/>
      <c r="AE748" s="101"/>
      <c r="AF748" s="101"/>
      <c r="AG748" s="101"/>
      <c r="AH748" s="101"/>
      <c r="AI748" s="101"/>
      <c r="AJ748" s="101"/>
      <c r="AK748" s="101"/>
      <c r="AL748" s="101"/>
      <c r="AM748" s="101"/>
      <c r="AN748" s="101"/>
    </row>
    <row r="749" spans="1:40" ht="16.5" customHeight="1" x14ac:dyDescent="0.3">
      <c r="A749" s="69"/>
      <c r="B749" s="69"/>
      <c r="C749" s="69"/>
      <c r="D749" s="69"/>
      <c r="E749" s="69"/>
      <c r="F749" s="69"/>
      <c r="Z749" s="101"/>
      <c r="AA749" s="101"/>
      <c r="AB749" s="101"/>
      <c r="AC749" s="101"/>
      <c r="AD749" s="101"/>
      <c r="AE749" s="101"/>
      <c r="AF749" s="101"/>
      <c r="AG749" s="101"/>
      <c r="AH749" s="101"/>
      <c r="AI749" s="101"/>
      <c r="AJ749" s="101"/>
      <c r="AK749" s="101"/>
      <c r="AL749" s="101"/>
      <c r="AM749" s="101"/>
      <c r="AN749" s="101"/>
    </row>
    <row r="750" spans="1:40" ht="16.5" customHeight="1" x14ac:dyDescent="0.3">
      <c r="A750" s="69"/>
      <c r="B750" s="69"/>
      <c r="C750" s="69"/>
      <c r="D750" s="69"/>
      <c r="E750" s="69"/>
      <c r="F750" s="69"/>
      <c r="Z750" s="101"/>
      <c r="AA750" s="101"/>
      <c r="AB750" s="101"/>
      <c r="AC750" s="101"/>
      <c r="AD750" s="101"/>
      <c r="AE750" s="101"/>
      <c r="AF750" s="101"/>
      <c r="AG750" s="101"/>
      <c r="AH750" s="101"/>
      <c r="AI750" s="101"/>
      <c r="AJ750" s="101"/>
      <c r="AK750" s="101"/>
      <c r="AL750" s="101"/>
      <c r="AM750" s="101"/>
      <c r="AN750" s="101"/>
    </row>
    <row r="751" spans="1:40" ht="16.5" customHeight="1" x14ac:dyDescent="0.3">
      <c r="A751" s="69"/>
      <c r="B751" s="69"/>
      <c r="C751" s="69"/>
      <c r="D751" s="69"/>
      <c r="E751" s="69"/>
      <c r="F751" s="69"/>
      <c r="Z751" s="101"/>
      <c r="AA751" s="101"/>
      <c r="AB751" s="101"/>
      <c r="AC751" s="101"/>
      <c r="AD751" s="101"/>
      <c r="AE751" s="101"/>
      <c r="AF751" s="101"/>
      <c r="AG751" s="101"/>
      <c r="AH751" s="101"/>
      <c r="AI751" s="101"/>
      <c r="AJ751" s="101"/>
      <c r="AK751" s="101"/>
      <c r="AL751" s="101"/>
      <c r="AM751" s="101"/>
      <c r="AN751" s="101"/>
    </row>
    <row r="752" spans="1:40" ht="16.5" customHeight="1" x14ac:dyDescent="0.3">
      <c r="A752" s="69"/>
      <c r="B752" s="69"/>
      <c r="C752" s="69"/>
      <c r="D752" s="69"/>
      <c r="E752" s="69"/>
      <c r="F752" s="69"/>
      <c r="Z752" s="101"/>
      <c r="AA752" s="101"/>
      <c r="AB752" s="101"/>
      <c r="AC752" s="101"/>
      <c r="AD752" s="101"/>
      <c r="AE752" s="101"/>
      <c r="AF752" s="101"/>
      <c r="AG752" s="101"/>
      <c r="AH752" s="101"/>
      <c r="AI752" s="101"/>
      <c r="AJ752" s="101"/>
      <c r="AK752" s="101"/>
      <c r="AL752" s="101"/>
      <c r="AM752" s="101"/>
      <c r="AN752" s="101"/>
    </row>
    <row r="753" spans="1:40" ht="16.5" customHeight="1" x14ac:dyDescent="0.3">
      <c r="A753" s="74"/>
      <c r="B753" s="74"/>
      <c r="C753" s="74"/>
      <c r="D753" s="74"/>
      <c r="E753" s="74"/>
      <c r="F753" s="74"/>
      <c r="Z753" s="101"/>
      <c r="AA753" s="101"/>
      <c r="AB753" s="101"/>
      <c r="AC753" s="101"/>
      <c r="AD753" s="101"/>
      <c r="AE753" s="101"/>
      <c r="AF753" s="101"/>
      <c r="AG753" s="101"/>
      <c r="AH753" s="101"/>
      <c r="AI753" s="101"/>
      <c r="AJ753" s="101"/>
      <c r="AK753" s="101"/>
      <c r="AL753" s="101"/>
      <c r="AM753" s="101"/>
      <c r="AN753" s="101"/>
    </row>
    <row r="754" spans="1:40" ht="16.5" customHeight="1" x14ac:dyDescent="0.3">
      <c r="A754" s="150" t="s">
        <v>1477</v>
      </c>
      <c r="B754" s="143"/>
      <c r="C754" s="47">
        <f>E754+D754+F754</f>
        <v>6290</v>
      </c>
      <c r="D754" s="46">
        <f>ROUNDDOWN(SUMIF(N657:N710,M754,D657:D710),0)</f>
        <v>5249</v>
      </c>
      <c r="E754" s="55">
        <f>ROUNDDOWN(SUMIF(N657:N710,M754,E657:E710),0)</f>
        <v>664</v>
      </c>
      <c r="F754" s="47">
        <f>ROUNDDOWN(SUMIF(N657:N710,M754,F657:F710),0)</f>
        <v>377</v>
      </c>
      <c r="M754" s="35" t="s">
        <v>1209</v>
      </c>
      <c r="Z754" s="101"/>
      <c r="AA754" s="101"/>
      <c r="AB754" s="101"/>
      <c r="AC754" s="101"/>
      <c r="AD754" s="101"/>
      <c r="AE754" s="101"/>
      <c r="AF754" s="101"/>
      <c r="AG754" s="101"/>
      <c r="AH754" s="101"/>
      <c r="AI754" s="101"/>
      <c r="AJ754" s="101"/>
      <c r="AK754" s="101"/>
      <c r="AL754" s="101"/>
      <c r="AM754" s="101"/>
      <c r="AN754" s="101"/>
    </row>
    <row r="755" spans="1:40" ht="16.5" customHeight="1" x14ac:dyDescent="0.3">
      <c r="A755" s="86" t="s">
        <v>64</v>
      </c>
      <c r="B755" s="88" t="s">
        <v>64</v>
      </c>
      <c r="C755" s="151">
        <f>C904</f>
        <v>4269</v>
      </c>
      <c r="D755" s="151">
        <f>D904</f>
        <v>1928</v>
      </c>
      <c r="E755" s="151">
        <f>E904</f>
        <v>1105</v>
      </c>
      <c r="F755" s="151">
        <f>F904</f>
        <v>1236</v>
      </c>
      <c r="G755" s="84" t="str">
        <f>HYPERLINK("#G"&amp;ROW(G867),"_x0005_`BDCOD|D03372_x0007_`POSS|"&amp;ROW(G757)&amp;"_x0007_`POSE|"&amp;ROW(G867)&amp;"_x0007_`")</f>
        <v>_x0005_`BDCOD|D03372_x0007_`POSS|757_x0007_`POSE|867_x0007_`</v>
      </c>
      <c r="Z755" s="101"/>
      <c r="AA755" s="101"/>
      <c r="AB755" s="101"/>
      <c r="AC755" s="101"/>
      <c r="AD755" s="101"/>
      <c r="AE755" s="101"/>
      <c r="AF755" s="101"/>
      <c r="AG755" s="101"/>
      <c r="AH755" s="101"/>
      <c r="AI755" s="101"/>
      <c r="AJ755" s="101"/>
      <c r="AK755" s="101"/>
      <c r="AL755" s="101"/>
      <c r="AM755" s="101"/>
      <c r="AN755" s="101"/>
    </row>
    <row r="756" spans="1:40" ht="16.5" customHeight="1" x14ac:dyDescent="0.3">
      <c r="A756" s="87"/>
      <c r="B756" s="88" t="s">
        <v>162</v>
      </c>
      <c r="C756" s="136"/>
      <c r="D756" s="136"/>
      <c r="E756" s="136"/>
      <c r="F756" s="136"/>
      <c r="M756" s="35" t="s">
        <v>1748</v>
      </c>
      <c r="Z756" s="101"/>
      <c r="AA756" s="101"/>
      <c r="AB756" s="101"/>
      <c r="AC756" s="101"/>
      <c r="AD756" s="101"/>
      <c r="AE756" s="101"/>
      <c r="AF756" s="101"/>
      <c r="AG756" s="101"/>
      <c r="AH756" s="101"/>
      <c r="AI756" s="101"/>
      <c r="AJ756" s="101"/>
      <c r="AK756" s="101"/>
      <c r="AL756" s="101"/>
      <c r="AM756" s="101"/>
      <c r="AN756" s="101"/>
    </row>
    <row r="757" spans="1:40" ht="16.5" customHeight="1" x14ac:dyDescent="0.3">
      <c r="A757" s="59"/>
      <c r="B757" s="68" t="s">
        <v>1750</v>
      </c>
      <c r="C757" s="90"/>
      <c r="D757" s="90"/>
      <c r="E757" s="90"/>
      <c r="F757" s="90"/>
      <c r="G757" s="17" t="s">
        <v>1749</v>
      </c>
      <c r="Z757" s="101"/>
      <c r="AA757" s="101"/>
      <c r="AB757" s="101"/>
      <c r="AC757" s="101"/>
      <c r="AD757" s="101"/>
      <c r="AE757" s="101"/>
      <c r="AF757" s="101"/>
      <c r="AG757" s="101"/>
      <c r="AH757" s="101"/>
      <c r="AI757" s="101"/>
      <c r="AJ757" s="101"/>
      <c r="AK757" s="101"/>
      <c r="AL757" s="101"/>
      <c r="AM757" s="101"/>
      <c r="AN757" s="101"/>
    </row>
    <row r="758" spans="1:40" ht="16.5" customHeight="1" x14ac:dyDescent="0.3">
      <c r="A758" s="69"/>
      <c r="B758" s="69"/>
      <c r="C758" s="69"/>
      <c r="D758" s="69"/>
      <c r="E758" s="69"/>
      <c r="F758" s="69"/>
      <c r="G758" s="17" t="s">
        <v>1405</v>
      </c>
      <c r="Z758" s="101"/>
      <c r="AA758" s="101"/>
      <c r="AB758" s="101"/>
      <c r="AC758" s="101"/>
      <c r="AD758" s="101"/>
      <c r="AE758" s="101"/>
      <c r="AF758" s="101"/>
      <c r="AG758" s="101"/>
      <c r="AH758" s="101"/>
      <c r="AI758" s="101"/>
      <c r="AJ758" s="101"/>
      <c r="AK758" s="101"/>
      <c r="AL758" s="101"/>
      <c r="AM758" s="101"/>
      <c r="AN758" s="101"/>
    </row>
    <row r="759" spans="1:40" ht="16.5" customHeight="1" x14ac:dyDescent="0.3">
      <c r="A759" s="59"/>
      <c r="B759" s="68" t="str">
        <f>" Q1 = "&amp;Z759&amp;" 인 /"&amp;AB759&amp;" hr/일 = "&amp;AD759&amp;" hr/일 "</f>
        <v xml:space="preserve"> Q1 = 4 인 /8 hr/일 = 0.500 hr/일 </v>
      </c>
      <c r="C759" s="69"/>
      <c r="D759" s="69"/>
      <c r="E759" s="69"/>
      <c r="F759" s="69"/>
      <c r="G759" s="17" t="s">
        <v>1751</v>
      </c>
      <c r="Z759" s="102">
        <v>4</v>
      </c>
      <c r="AA759" s="35" t="s">
        <v>1413</v>
      </c>
      <c r="AB759" s="102">
        <v>8</v>
      </c>
      <c r="AC759" s="35" t="s">
        <v>1410</v>
      </c>
      <c r="AD759" s="103" t="str">
        <f>TEXT(ROUND(Z759/AB759,3),"#,0.000")</f>
        <v>0.500</v>
      </c>
      <c r="AE759" s="101"/>
      <c r="AF759" s="101"/>
      <c r="AG759" s="101"/>
      <c r="AH759" s="101"/>
      <c r="AI759" s="101"/>
      <c r="AJ759" s="101"/>
      <c r="AK759" s="101"/>
      <c r="AL759" s="101"/>
      <c r="AM759" s="101"/>
      <c r="AN759" s="101"/>
    </row>
    <row r="760" spans="1:40" ht="16.5" customHeight="1" x14ac:dyDescent="0.3">
      <c r="A760" s="69"/>
      <c r="B760" s="69"/>
      <c r="C760" s="69"/>
      <c r="D760" s="69"/>
      <c r="E760" s="69"/>
      <c r="F760" s="69"/>
      <c r="G760" s="17" t="s">
        <v>1405</v>
      </c>
      <c r="Z760" s="101"/>
      <c r="AA760" s="101"/>
      <c r="AB760" s="101"/>
      <c r="AC760" s="101"/>
      <c r="AD760" s="101"/>
      <c r="AE760" s="101"/>
      <c r="AF760" s="101"/>
      <c r="AG760" s="101"/>
      <c r="AH760" s="101"/>
      <c r="AI760" s="101"/>
      <c r="AJ760" s="101"/>
      <c r="AK760" s="101"/>
      <c r="AL760" s="101"/>
      <c r="AM760" s="101"/>
      <c r="AN760" s="101"/>
    </row>
    <row r="761" spans="1:40" ht="16.5" customHeight="1" x14ac:dyDescent="0.3">
      <c r="A761" s="59"/>
      <c r="B761" s="68" t="str">
        <f>" Q2 = "&amp;Z761&amp;" 인 /"&amp;AB761&amp;" hr/일 = "&amp;AD761&amp;" hr/일 "</f>
        <v xml:space="preserve"> Q2 = 2 인 /8 hr/일 = 0.250 hr/일 </v>
      </c>
      <c r="C761" s="69"/>
      <c r="D761" s="69"/>
      <c r="E761" s="69"/>
      <c r="F761" s="69"/>
      <c r="G761" s="17" t="s">
        <v>1752</v>
      </c>
      <c r="Z761" s="102">
        <v>2</v>
      </c>
      <c r="AA761" s="35" t="s">
        <v>1413</v>
      </c>
      <c r="AB761" s="102">
        <v>8</v>
      </c>
      <c r="AC761" s="35" t="s">
        <v>1410</v>
      </c>
      <c r="AD761" s="103" t="str">
        <f>TEXT(ROUND(Z761/AB761,3),"#,0.000")</f>
        <v>0.250</v>
      </c>
      <c r="AE761" s="101"/>
      <c r="AF761" s="101"/>
      <c r="AG761" s="101"/>
      <c r="AH761" s="101"/>
      <c r="AI761" s="101"/>
      <c r="AJ761" s="101"/>
      <c r="AK761" s="101"/>
      <c r="AL761" s="101"/>
      <c r="AM761" s="101"/>
      <c r="AN761" s="101"/>
    </row>
    <row r="762" spans="1:40" ht="16.5" customHeight="1" x14ac:dyDescent="0.3">
      <c r="A762" s="69"/>
      <c r="B762" s="69"/>
      <c r="C762" s="69"/>
      <c r="D762" s="69"/>
      <c r="E762" s="69"/>
      <c r="F762" s="69"/>
      <c r="G762" s="17" t="s">
        <v>1405</v>
      </c>
      <c r="Z762" s="101"/>
      <c r="AA762" s="101"/>
      <c r="AB762" s="101"/>
      <c r="AC762" s="101"/>
      <c r="AD762" s="101"/>
      <c r="AE762" s="101"/>
      <c r="AF762" s="101"/>
      <c r="AG762" s="101"/>
      <c r="AH762" s="101"/>
      <c r="AI762" s="101"/>
      <c r="AJ762" s="101"/>
      <c r="AK762" s="101"/>
      <c r="AL762" s="101"/>
      <c r="AM762" s="101"/>
      <c r="AN762" s="101"/>
    </row>
    <row r="763" spans="1:40" ht="16.5" customHeight="1" x14ac:dyDescent="0.3">
      <c r="A763" s="59"/>
      <c r="B763" s="68" t="str">
        <f>" Q = "&amp;Z763&amp;" ㎡/일 /"&amp;AB763&amp;" hr/일 = "&amp;AD763&amp;" ㎡/hr "</f>
        <v xml:space="preserve"> Q = 3400 ㎡/일 /8 hr/일 = 425.000 ㎡/hr </v>
      </c>
      <c r="C763" s="69"/>
      <c r="D763" s="69"/>
      <c r="E763" s="69"/>
      <c r="F763" s="69"/>
      <c r="G763" s="17" t="s">
        <v>1753</v>
      </c>
      <c r="Z763" s="102">
        <v>3400</v>
      </c>
      <c r="AA763" s="35" t="s">
        <v>1413</v>
      </c>
      <c r="AB763" s="102">
        <v>8</v>
      </c>
      <c r="AC763" s="35" t="s">
        <v>1410</v>
      </c>
      <c r="AD763" s="103" t="str">
        <f>TEXT(ROUND(Z763/AB763,3),"#,0.000")</f>
        <v>425.000</v>
      </c>
      <c r="AE763" s="101"/>
      <c r="AF763" s="101"/>
      <c r="AG763" s="101"/>
      <c r="AH763" s="101"/>
      <c r="AI763" s="101"/>
      <c r="AJ763" s="101"/>
      <c r="AK763" s="101"/>
      <c r="AL763" s="101"/>
      <c r="AM763" s="101"/>
      <c r="AN763" s="101"/>
    </row>
    <row r="764" spans="1:40" ht="16.5" customHeight="1" x14ac:dyDescent="0.3">
      <c r="A764" s="69"/>
      <c r="B764" s="69"/>
      <c r="C764" s="69"/>
      <c r="D764" s="69"/>
      <c r="E764" s="69"/>
      <c r="F764" s="69"/>
      <c r="G764" s="17" t="s">
        <v>1405</v>
      </c>
      <c r="Z764" s="101"/>
      <c r="AA764" s="101"/>
      <c r="AB764" s="101"/>
      <c r="AC764" s="101"/>
      <c r="AD764" s="101"/>
      <c r="AE764" s="101"/>
      <c r="AF764" s="101"/>
      <c r="AG764" s="101"/>
      <c r="AH764" s="101"/>
      <c r="AI764" s="101"/>
      <c r="AJ764" s="101"/>
      <c r="AK764" s="101"/>
      <c r="AL764" s="101"/>
      <c r="AM764" s="101"/>
      <c r="AN764" s="101"/>
    </row>
    <row r="765" spans="1:40" ht="16.5" customHeight="1" x14ac:dyDescent="0.3">
      <c r="A765" s="59"/>
      <c r="B765" s="68" t="s">
        <v>1755</v>
      </c>
      <c r="C765" s="69"/>
      <c r="D765" s="69"/>
      <c r="E765" s="69"/>
      <c r="F765" s="69"/>
      <c r="G765" s="17" t="s">
        <v>1754</v>
      </c>
      <c r="Z765" s="101"/>
      <c r="AA765" s="101"/>
      <c r="AB765" s="101"/>
      <c r="AC765" s="101"/>
      <c r="AD765" s="101"/>
      <c r="AE765" s="101"/>
      <c r="AF765" s="101"/>
      <c r="AG765" s="101"/>
      <c r="AH765" s="101"/>
      <c r="AI765" s="101"/>
      <c r="AJ765" s="101"/>
      <c r="AK765" s="101"/>
      <c r="AL765" s="101"/>
      <c r="AM765" s="101"/>
      <c r="AN765" s="101"/>
    </row>
    <row r="766" spans="1:40" ht="16.5" customHeight="1" x14ac:dyDescent="0.3">
      <c r="A766" s="69"/>
      <c r="B766" s="69"/>
      <c r="C766" s="69"/>
      <c r="D766" s="69"/>
      <c r="E766" s="69"/>
      <c r="F766" s="69"/>
      <c r="G766" s="17" t="s">
        <v>1405</v>
      </c>
      <c r="Z766" s="101"/>
      <c r="AA766" s="101"/>
      <c r="AB766" s="101"/>
      <c r="AC766" s="101"/>
      <c r="AD766" s="101"/>
      <c r="AE766" s="101"/>
      <c r="AF766" s="101"/>
      <c r="AG766" s="101"/>
      <c r="AH766" s="101"/>
      <c r="AI766" s="101"/>
      <c r="AJ766" s="101"/>
      <c r="AK766" s="101"/>
      <c r="AL766" s="101"/>
      <c r="AM766" s="101"/>
      <c r="AN766" s="101"/>
    </row>
    <row r="767" spans="1:40" ht="16.5" customHeight="1" x14ac:dyDescent="0.3">
      <c r="A767" s="59" t="s">
        <v>1717</v>
      </c>
      <c r="B767" s="89" t="str">
        <f>" 포장공: "&amp;TEXT(I767,"#,##0"&amp;IF(I767&lt;&gt;INT(I767),".###",""))&amp;" * Q1 / Q= "&amp;TEXT(C767,"#,##0.0")&amp;""</f>
        <v xml:space="preserve"> 포장공: 273,308 * Q1 / Q= 321.5</v>
      </c>
      <c r="C767" s="91">
        <f>E767+D767+F767</f>
        <v>321.5</v>
      </c>
      <c r="D767" s="91">
        <f>IF(H767=0,0,ROUNDDOWN(J767*H767,1))</f>
        <v>321.5</v>
      </c>
      <c r="E767" s="91">
        <f>IF(H767=0,0,ROUNDDOWN(K767*H767,1))</f>
        <v>0</v>
      </c>
      <c r="F767" s="91">
        <f>IF(H767=0,0,ROUNDDOWN(L767*H767,1))</f>
        <v>0</v>
      </c>
      <c r="G767" s="17" t="s">
        <v>1756</v>
      </c>
      <c r="H767" s="97">
        <f>ROUNDUP(AE767,14-LEN(ABS(INT(AE767))))</f>
        <v>1.1764705883000001E-3</v>
      </c>
      <c r="I767" s="98">
        <f>K767+J767+L767</f>
        <v>273308</v>
      </c>
      <c r="J767" s="38">
        <f>노무비목록표!E15</f>
        <v>273308</v>
      </c>
      <c r="M767" s="35" t="s">
        <v>1309</v>
      </c>
      <c r="N767" s="35" t="s">
        <v>1262</v>
      </c>
      <c r="X767" s="100" t="str">
        <f>노무비목록표!B15&amp;" / "&amp;노무비목록표!C15</f>
        <v xml:space="preserve">포장공 / </v>
      </c>
      <c r="Y767" s="3" t="str">
        <f ca="1">HYPERLINK("#"&amp;노무비목록표!G2&amp;"!A"&amp;ROW(노무비목록표!A15),"노무12 →")</f>
        <v>노무12 →</v>
      </c>
      <c r="Z767" s="35" t="s">
        <v>1446</v>
      </c>
      <c r="AA767" s="103" t="str">
        <f>AD759</f>
        <v>0.500</v>
      </c>
      <c r="AB767" s="35" t="s">
        <v>1413</v>
      </c>
      <c r="AC767" s="103" t="str">
        <f>AD763</f>
        <v>425.000</v>
      </c>
      <c r="AD767" s="35" t="s">
        <v>1410</v>
      </c>
      <c r="AE767" s="103">
        <f>1*AD759/AD763</f>
        <v>1.176470588235294E-3</v>
      </c>
      <c r="AF767" s="101"/>
      <c r="AG767" s="101"/>
      <c r="AH767" s="101"/>
      <c r="AI767" s="101"/>
      <c r="AJ767" s="101"/>
      <c r="AK767" s="101"/>
      <c r="AL767" s="101"/>
      <c r="AM767" s="101"/>
      <c r="AN767" s="101"/>
    </row>
    <row r="768" spans="1:40" ht="16.5" customHeight="1" x14ac:dyDescent="0.3">
      <c r="A768" s="69"/>
      <c r="B768" s="69"/>
      <c r="C768" s="69"/>
      <c r="D768" s="69"/>
      <c r="E768" s="69"/>
      <c r="F768" s="69"/>
      <c r="G768" s="17" t="s">
        <v>1405</v>
      </c>
      <c r="Z768" s="101"/>
      <c r="AA768" s="101"/>
      <c r="AB768" s="101"/>
      <c r="AC768" s="101"/>
      <c r="AD768" s="101"/>
      <c r="AE768" s="101"/>
      <c r="AF768" s="101"/>
      <c r="AG768" s="101"/>
      <c r="AH768" s="101"/>
      <c r="AI768" s="101"/>
      <c r="AJ768" s="101"/>
      <c r="AK768" s="101"/>
      <c r="AL768" s="101"/>
      <c r="AM768" s="101"/>
      <c r="AN768" s="101"/>
    </row>
    <row r="769" spans="1:40" ht="16.5" customHeight="1" x14ac:dyDescent="0.3">
      <c r="A769" s="59" t="s">
        <v>1419</v>
      </c>
      <c r="B769" s="89" t="str">
        <f>" 인 부 : "&amp;TEXT(I769,"#,##0"&amp;IF(I769&lt;&gt;INT(I769),".###",""))&amp;" * Q2 / Q = "&amp;TEXT(C769,"#,##0.0")&amp;""</f>
        <v xml:space="preserve"> 인 부 : 172,068 * Q2 / Q = 101.2</v>
      </c>
      <c r="C769" s="91">
        <f>E769+D769+F769</f>
        <v>101.2</v>
      </c>
      <c r="D769" s="91">
        <f>IF(H769=0,0,ROUNDDOWN(J769*H769,1))</f>
        <v>101.2</v>
      </c>
      <c r="E769" s="91">
        <f>IF(H769=0,0,ROUNDDOWN(K769*H769,1))</f>
        <v>0</v>
      </c>
      <c r="F769" s="91">
        <f>IF(H769=0,0,ROUNDDOWN(L769*H769,1))</f>
        <v>0</v>
      </c>
      <c r="G769" s="17" t="s">
        <v>1757</v>
      </c>
      <c r="H769" s="97">
        <f>ROUNDUP(AE769,14-LEN(ABS(INT(AE769))))</f>
        <v>5.8823529419999997E-4</v>
      </c>
      <c r="I769" s="98">
        <f>K769+J769+L769</f>
        <v>172068</v>
      </c>
      <c r="J769" s="38">
        <f>노무비목록표!E8</f>
        <v>172068</v>
      </c>
      <c r="M769" s="35" t="s">
        <v>1219</v>
      </c>
      <c r="N769" s="35" t="s">
        <v>1262</v>
      </c>
      <c r="X769" s="100" t="str">
        <f>노무비목록표!B8&amp;" / "&amp;노무비목록표!C8</f>
        <v xml:space="preserve">보통인부 / </v>
      </c>
      <c r="Y769" s="3" t="str">
        <f ca="1">HYPERLINK("#"&amp;노무비목록표!G2&amp;"!A"&amp;ROW(노무비목록표!A8),"노무5 →")</f>
        <v>노무5 →</v>
      </c>
      <c r="Z769" s="35" t="s">
        <v>1446</v>
      </c>
      <c r="AA769" s="103" t="str">
        <f>AD761</f>
        <v>0.250</v>
      </c>
      <c r="AB769" s="35" t="s">
        <v>1413</v>
      </c>
      <c r="AC769" s="103" t="str">
        <f>AD763</f>
        <v>425.000</v>
      </c>
      <c r="AD769" s="35" t="s">
        <v>1410</v>
      </c>
      <c r="AE769" s="103">
        <f>1*AD761/AD763</f>
        <v>5.8823529411764701E-4</v>
      </c>
      <c r="AF769" s="101"/>
      <c r="AG769" s="101"/>
      <c r="AH769" s="101"/>
      <c r="AI769" s="101"/>
      <c r="AJ769" s="101"/>
      <c r="AK769" s="101"/>
      <c r="AL769" s="101"/>
      <c r="AM769" s="101"/>
      <c r="AN769" s="101"/>
    </row>
    <row r="770" spans="1:40" ht="16.5" customHeight="1" x14ac:dyDescent="0.3">
      <c r="A770" s="69"/>
      <c r="B770" s="69"/>
      <c r="C770" s="69"/>
      <c r="D770" s="69"/>
      <c r="E770" s="69"/>
      <c r="F770" s="69"/>
      <c r="G770" s="17" t="s">
        <v>1405</v>
      </c>
      <c r="Z770" s="101"/>
      <c r="AA770" s="101"/>
      <c r="AB770" s="101"/>
      <c r="AC770" s="101"/>
      <c r="AD770" s="101"/>
      <c r="AE770" s="101"/>
      <c r="AF770" s="101"/>
      <c r="AG770" s="101"/>
      <c r="AH770" s="101"/>
      <c r="AI770" s="101"/>
      <c r="AJ770" s="101"/>
      <c r="AK770" s="101"/>
      <c r="AL770" s="101"/>
      <c r="AM770" s="101"/>
      <c r="AN770" s="101"/>
    </row>
    <row r="771" spans="1:40" ht="16.5" customHeight="1" x14ac:dyDescent="0.3">
      <c r="A771" s="59"/>
      <c r="B771" s="68" t="s">
        <v>1260</v>
      </c>
      <c r="C771" s="92">
        <f>E771+D771+F771</f>
        <v>422.7</v>
      </c>
      <c r="D771" s="92">
        <f>SUMIF(N757:N770,M771,D757:D770)</f>
        <v>422.7</v>
      </c>
      <c r="E771" s="92">
        <f>SUMIF(N757:N770,M771,E757:E770)</f>
        <v>0</v>
      </c>
      <c r="F771" s="92">
        <f>SUMIF(N757:N770,M771,F757:F770)</f>
        <v>0</v>
      </c>
      <c r="G771" s="17" t="s">
        <v>1430</v>
      </c>
      <c r="M771" s="35" t="s">
        <v>1262</v>
      </c>
      <c r="N771" s="35" t="s">
        <v>1253</v>
      </c>
      <c r="Z771" s="101"/>
      <c r="AA771" s="101"/>
      <c r="AB771" s="101"/>
      <c r="AC771" s="101"/>
      <c r="AD771" s="101"/>
      <c r="AE771" s="101"/>
      <c r="AF771" s="101"/>
      <c r="AG771" s="101"/>
      <c r="AH771" s="101"/>
      <c r="AI771" s="101"/>
      <c r="AJ771" s="101"/>
      <c r="AK771" s="101"/>
      <c r="AL771" s="101"/>
      <c r="AM771" s="101"/>
      <c r="AN771" s="101"/>
    </row>
    <row r="772" spans="1:40" ht="16.5" customHeight="1" x14ac:dyDescent="0.3">
      <c r="A772" s="69"/>
      <c r="B772" s="69"/>
      <c r="C772" s="90"/>
      <c r="D772" s="90"/>
      <c r="E772" s="90"/>
      <c r="F772" s="90"/>
      <c r="G772" s="17" t="s">
        <v>1405</v>
      </c>
      <c r="Z772" s="101"/>
      <c r="AA772" s="101"/>
      <c r="AB772" s="101"/>
      <c r="AC772" s="101"/>
      <c r="AD772" s="101"/>
      <c r="AE772" s="101"/>
      <c r="AF772" s="101"/>
      <c r="AG772" s="101"/>
      <c r="AH772" s="101"/>
      <c r="AI772" s="101"/>
      <c r="AJ772" s="101"/>
      <c r="AK772" s="101"/>
      <c r="AL772" s="101"/>
      <c r="AM772" s="101"/>
      <c r="AN772" s="101"/>
    </row>
    <row r="773" spans="1:40" ht="16.5" customHeight="1" x14ac:dyDescent="0.3">
      <c r="A773" s="59"/>
      <c r="B773" s="68" t="s">
        <v>1759</v>
      </c>
      <c r="C773" s="69"/>
      <c r="D773" s="69"/>
      <c r="E773" s="69"/>
      <c r="F773" s="69"/>
      <c r="G773" s="17" t="s">
        <v>1758</v>
      </c>
      <c r="Z773" s="101"/>
      <c r="AA773" s="101"/>
      <c r="AB773" s="101"/>
      <c r="AC773" s="101"/>
      <c r="AD773" s="101"/>
      <c r="AE773" s="101"/>
      <c r="AF773" s="101"/>
      <c r="AG773" s="101"/>
      <c r="AH773" s="101"/>
      <c r="AI773" s="101"/>
      <c r="AJ773" s="101"/>
      <c r="AK773" s="101"/>
      <c r="AL773" s="101"/>
      <c r="AM773" s="101"/>
      <c r="AN773" s="101"/>
    </row>
    <row r="774" spans="1:40" ht="16.5" customHeight="1" x14ac:dyDescent="0.3">
      <c r="A774" s="69"/>
      <c r="B774" s="69"/>
      <c r="C774" s="69"/>
      <c r="D774" s="69"/>
      <c r="E774" s="69"/>
      <c r="F774" s="69"/>
      <c r="G774" s="17" t="s">
        <v>1405</v>
      </c>
      <c r="Z774" s="101"/>
      <c r="AA774" s="101"/>
      <c r="AB774" s="101"/>
      <c r="AC774" s="101"/>
      <c r="AD774" s="101"/>
      <c r="AE774" s="101"/>
      <c r="AF774" s="101"/>
      <c r="AG774" s="101"/>
      <c r="AH774" s="101"/>
      <c r="AI774" s="101"/>
      <c r="AJ774" s="101"/>
      <c r="AK774" s="101"/>
      <c r="AL774" s="101"/>
      <c r="AM774" s="101"/>
      <c r="AN774" s="101"/>
    </row>
    <row r="775" spans="1:40" ht="16.5" customHeight="1" x14ac:dyDescent="0.3">
      <c r="A775" s="59" t="s">
        <v>1761</v>
      </c>
      <c r="B775" s="89" t="str">
        <f>" 노무비: "&amp;TEXT(I775,"#,##0"&amp;IF(I775&lt;&gt;INT(I775),".###",""))&amp;" * "&amp;AA775&amp;" / Q = "&amp;TEXT(C775,"#,##0.0")&amp;""</f>
        <v xml:space="preserve"> 노무비: 59,020 * 2 / Q = 277.7</v>
      </c>
      <c r="C775" s="91">
        <f>E775+D775+F775</f>
        <v>277.7</v>
      </c>
      <c r="D775" s="91">
        <f>IF(H775=0,0,ROUNDDOWN(J775*H775,1))</f>
        <v>277.7</v>
      </c>
      <c r="E775" s="91">
        <f>IF(H775=0,0,ROUNDDOWN(K775*H775,1))</f>
        <v>0</v>
      </c>
      <c r="F775" s="91">
        <f>IF(H775=0,0,ROUNDDOWN(L775*H775,1))</f>
        <v>0</v>
      </c>
      <c r="G775" s="17" t="s">
        <v>1760</v>
      </c>
      <c r="H775" s="97">
        <f>ROUNDUP(AE775,14-LEN(ABS(INT(AE775))))</f>
        <v>4.7058823529999997E-3</v>
      </c>
      <c r="I775" s="98">
        <f>K775+J775+L775</f>
        <v>59020</v>
      </c>
      <c r="J775" s="38">
        <f>중기목록표!F11</f>
        <v>59020</v>
      </c>
      <c r="M775" s="35" t="s">
        <v>1762</v>
      </c>
      <c r="N775" s="35" t="s">
        <v>1262</v>
      </c>
      <c r="X775" s="100" t="str">
        <f>중기목록표!B11&amp;" / "&amp;중기목록표!C11</f>
        <v>노면파쇄기 / 2.0ｍ</v>
      </c>
      <c r="Y775" s="3" t="str">
        <f ca="1">HYPERLINK("#"&amp;중기목록표!J2&amp;"!A"&amp;ROW(중기목록표!A11),"중기8 →")</f>
        <v>중기8 →</v>
      </c>
      <c r="Z775" s="35" t="s">
        <v>1446</v>
      </c>
      <c r="AA775" s="102">
        <v>2</v>
      </c>
      <c r="AB775" s="35" t="s">
        <v>1413</v>
      </c>
      <c r="AC775" s="103" t="str">
        <f>AD763</f>
        <v>425.000</v>
      </c>
      <c r="AD775" s="35" t="s">
        <v>1410</v>
      </c>
      <c r="AE775" s="103">
        <f>1*AA775/AD763</f>
        <v>4.7058823529411761E-3</v>
      </c>
      <c r="AF775" s="101"/>
      <c r="AG775" s="101"/>
      <c r="AH775" s="101"/>
      <c r="AI775" s="101"/>
      <c r="AJ775" s="101"/>
      <c r="AK775" s="101"/>
      <c r="AL775" s="101"/>
      <c r="AM775" s="101"/>
      <c r="AN775" s="101"/>
    </row>
    <row r="776" spans="1:40" ht="16.5" customHeight="1" x14ac:dyDescent="0.3">
      <c r="A776" s="69"/>
      <c r="B776" s="69"/>
      <c r="C776" s="69"/>
      <c r="D776" s="69"/>
      <c r="E776" s="69"/>
      <c r="F776" s="69"/>
      <c r="G776" s="17" t="s">
        <v>1405</v>
      </c>
      <c r="Z776" s="101"/>
      <c r="AA776" s="101"/>
      <c r="AB776" s="101"/>
      <c r="AC776" s="101"/>
      <c r="AD776" s="101"/>
      <c r="AE776" s="101"/>
      <c r="AF776" s="101"/>
      <c r="AG776" s="101"/>
      <c r="AH776" s="101"/>
      <c r="AI776" s="101"/>
      <c r="AJ776" s="101"/>
      <c r="AK776" s="101"/>
      <c r="AL776" s="101"/>
      <c r="AM776" s="101"/>
      <c r="AN776" s="101"/>
    </row>
    <row r="777" spans="1:40" ht="16.5" customHeight="1" x14ac:dyDescent="0.3">
      <c r="A777" s="59" t="s">
        <v>1764</v>
      </c>
      <c r="B777" s="89" t="str">
        <f>" 재료비: "&amp;TEXT(I777,"#,##0"&amp;IF(I777&lt;&gt;INT(I777),".###",""))&amp;" * "&amp;AA777&amp;" / Q = "&amp;TEXT(C777,"#,##0.0")&amp;""</f>
        <v xml:space="preserve"> 재료비: 109,976 * 2 / Q = 517.5</v>
      </c>
      <c r="C777" s="91">
        <f>E777+D777+F777</f>
        <v>517.5</v>
      </c>
      <c r="D777" s="91">
        <f>IF(H777=0,0,ROUNDDOWN(J777*H777,1))</f>
        <v>0</v>
      </c>
      <c r="E777" s="91">
        <f>IF(H777=0,0,ROUNDDOWN(K777*H777,1))</f>
        <v>517.5</v>
      </c>
      <c r="F777" s="91">
        <f>IF(H777=0,0,ROUNDDOWN(L777*H777,1))</f>
        <v>0</v>
      </c>
      <c r="G777" s="17" t="s">
        <v>1763</v>
      </c>
      <c r="H777" s="97">
        <f>ROUNDUP(AE777,14-LEN(ABS(INT(AE777))))</f>
        <v>4.7058823529999997E-3</v>
      </c>
      <c r="I777" s="98">
        <f>K777+J777+L777</f>
        <v>109976</v>
      </c>
      <c r="K777" s="38">
        <f>중기목록표!G11</f>
        <v>109976</v>
      </c>
      <c r="M777" s="35" t="s">
        <v>1762</v>
      </c>
      <c r="N777" s="35" t="s">
        <v>1262</v>
      </c>
      <c r="X777" s="100" t="str">
        <f>중기목록표!B11&amp;" / "&amp;중기목록표!C11</f>
        <v>노면파쇄기 / 2.0ｍ</v>
      </c>
      <c r="Y777" s="3" t="str">
        <f ca="1">HYPERLINK("#"&amp;중기목록표!J2&amp;"!A"&amp;ROW(중기목록표!A11),"중기8 →")</f>
        <v>중기8 →</v>
      </c>
      <c r="Z777" s="35" t="s">
        <v>1446</v>
      </c>
      <c r="AA777" s="102">
        <v>2</v>
      </c>
      <c r="AB777" s="35" t="s">
        <v>1413</v>
      </c>
      <c r="AC777" s="103" t="str">
        <f>AD763</f>
        <v>425.000</v>
      </c>
      <c r="AD777" s="35" t="s">
        <v>1410</v>
      </c>
      <c r="AE777" s="103">
        <f>1*AA777/AD763</f>
        <v>4.7058823529411761E-3</v>
      </c>
      <c r="AF777" s="101"/>
      <c r="AG777" s="101"/>
      <c r="AH777" s="101"/>
      <c r="AI777" s="101"/>
      <c r="AJ777" s="101"/>
      <c r="AK777" s="101"/>
      <c r="AL777" s="101"/>
      <c r="AM777" s="101"/>
      <c r="AN777" s="101"/>
    </row>
    <row r="778" spans="1:40" ht="16.5" customHeight="1" x14ac:dyDescent="0.3">
      <c r="A778" s="69"/>
      <c r="B778" s="69"/>
      <c r="C778" s="69"/>
      <c r="D778" s="69"/>
      <c r="E778" s="69"/>
      <c r="F778" s="69"/>
      <c r="G778" s="17" t="s">
        <v>1405</v>
      </c>
      <c r="Z778" s="101"/>
      <c r="AA778" s="101"/>
      <c r="AB778" s="101"/>
      <c r="AC778" s="101"/>
      <c r="AD778" s="101"/>
      <c r="AE778" s="101"/>
      <c r="AF778" s="101"/>
      <c r="AG778" s="101"/>
      <c r="AH778" s="101"/>
      <c r="AI778" s="101"/>
      <c r="AJ778" s="101"/>
      <c r="AK778" s="101"/>
      <c r="AL778" s="101"/>
      <c r="AM778" s="101"/>
      <c r="AN778" s="101"/>
    </row>
    <row r="779" spans="1:40" ht="16.5" customHeight="1" x14ac:dyDescent="0.3">
      <c r="A779" s="59" t="s">
        <v>1766</v>
      </c>
      <c r="B779" s="89" t="str">
        <f>" 경  비: "&amp;TEXT(I779,"#,##0"&amp;IF(I779&lt;&gt;INT(I779),".###",""))&amp;" * "&amp;AA779&amp;" / Q = "&amp;TEXT(C779,"#,##0.0")&amp;""</f>
        <v xml:space="preserve"> 경  비: 176,745 * 2 / Q = 831.7</v>
      </c>
      <c r="C779" s="91">
        <f>E779+D779+F779</f>
        <v>831.7</v>
      </c>
      <c r="D779" s="91">
        <f>IF(H779=0,0,ROUNDDOWN(J779*H779,1))</f>
        <v>0</v>
      </c>
      <c r="E779" s="91">
        <f>IF(H779=0,0,ROUNDDOWN(K779*H779,1))</f>
        <v>0</v>
      </c>
      <c r="F779" s="91">
        <f>IF(H779=0,0,ROUNDDOWN(L779*H779,1))</f>
        <v>831.7</v>
      </c>
      <c r="G779" s="17" t="s">
        <v>1765</v>
      </c>
      <c r="H779" s="97">
        <f>ROUNDUP(AE779,14-LEN(ABS(INT(AE779))))</f>
        <v>4.7058823529999997E-3</v>
      </c>
      <c r="I779" s="98">
        <f>K779+J779+L779</f>
        <v>176745</v>
      </c>
      <c r="L779" s="38">
        <f>중기목록표!H11</f>
        <v>176745</v>
      </c>
      <c r="M779" s="35" t="s">
        <v>1762</v>
      </c>
      <c r="N779" s="35" t="s">
        <v>1262</v>
      </c>
      <c r="X779" s="100" t="str">
        <f>중기목록표!B11&amp;" / "&amp;중기목록표!C11</f>
        <v>노면파쇄기 / 2.0ｍ</v>
      </c>
      <c r="Y779" s="3" t="str">
        <f ca="1">HYPERLINK("#"&amp;중기목록표!J2&amp;"!A"&amp;ROW(중기목록표!A11),"중기8 →")</f>
        <v>중기8 →</v>
      </c>
      <c r="Z779" s="35" t="s">
        <v>1446</v>
      </c>
      <c r="AA779" s="102">
        <v>2</v>
      </c>
      <c r="AB779" s="35" t="s">
        <v>1413</v>
      </c>
      <c r="AC779" s="103" t="str">
        <f>AD763</f>
        <v>425.000</v>
      </c>
      <c r="AD779" s="35" t="s">
        <v>1410</v>
      </c>
      <c r="AE779" s="103">
        <f>1*AA779/AD763</f>
        <v>4.7058823529411761E-3</v>
      </c>
      <c r="AF779" s="101"/>
      <c r="AG779" s="101"/>
      <c r="AH779" s="101"/>
      <c r="AI779" s="101"/>
      <c r="AJ779" s="101"/>
      <c r="AK779" s="101"/>
      <c r="AL779" s="101"/>
      <c r="AM779" s="101"/>
      <c r="AN779" s="101"/>
    </row>
    <row r="780" spans="1:40" ht="16.5" customHeight="1" x14ac:dyDescent="0.3">
      <c r="A780" s="69"/>
      <c r="B780" s="69"/>
      <c r="C780" s="69"/>
      <c r="D780" s="69"/>
      <c r="E780" s="69"/>
      <c r="F780" s="69"/>
      <c r="G780" s="17" t="s">
        <v>1405</v>
      </c>
      <c r="Z780" s="101"/>
      <c r="AA780" s="101"/>
      <c r="AB780" s="101"/>
      <c r="AC780" s="101"/>
      <c r="AD780" s="101"/>
      <c r="AE780" s="101"/>
      <c r="AF780" s="101"/>
      <c r="AG780" s="101"/>
      <c r="AH780" s="101"/>
      <c r="AI780" s="101"/>
      <c r="AJ780" s="101"/>
      <c r="AK780" s="101"/>
      <c r="AL780" s="101"/>
      <c r="AM780" s="101"/>
      <c r="AN780" s="101"/>
    </row>
    <row r="781" spans="1:40" ht="16.5" customHeight="1" x14ac:dyDescent="0.3">
      <c r="A781" s="59"/>
      <c r="B781" s="68" t="s">
        <v>1260</v>
      </c>
      <c r="C781" s="92">
        <f>E781+D781+F781</f>
        <v>1626.9</v>
      </c>
      <c r="D781" s="92">
        <f>SUMIF(N772:N780,M781,D772:D780)</f>
        <v>277.7</v>
      </c>
      <c r="E781" s="92">
        <f>SUMIF(N772:N780,M781,E772:E780)</f>
        <v>517.5</v>
      </c>
      <c r="F781" s="92">
        <f>SUMIF(N772:N780,M781,F772:F780)</f>
        <v>831.7</v>
      </c>
      <c r="G781" s="17" t="s">
        <v>1430</v>
      </c>
      <c r="M781" s="35" t="s">
        <v>1262</v>
      </c>
      <c r="N781" s="35" t="s">
        <v>1253</v>
      </c>
      <c r="Z781" s="101"/>
      <c r="AA781" s="101"/>
      <c r="AB781" s="101"/>
      <c r="AC781" s="101"/>
      <c r="AD781" s="101"/>
      <c r="AE781" s="101"/>
      <c r="AF781" s="101"/>
      <c r="AG781" s="101"/>
      <c r="AH781" s="101"/>
      <c r="AI781" s="101"/>
      <c r="AJ781" s="101"/>
      <c r="AK781" s="101"/>
      <c r="AL781" s="101"/>
      <c r="AM781" s="101"/>
      <c r="AN781" s="101"/>
    </row>
    <row r="782" spans="1:40" ht="16.5" customHeight="1" x14ac:dyDescent="0.3">
      <c r="A782" s="69"/>
      <c r="B782" s="69"/>
      <c r="C782" s="90"/>
      <c r="D782" s="90"/>
      <c r="E782" s="90"/>
      <c r="F782" s="90"/>
      <c r="G782" s="17" t="s">
        <v>1405</v>
      </c>
      <c r="Z782" s="101"/>
      <c r="AA782" s="101"/>
      <c r="AB782" s="101"/>
      <c r="AC782" s="101"/>
      <c r="AD782" s="101"/>
      <c r="AE782" s="101"/>
      <c r="AF782" s="101"/>
      <c r="AG782" s="101"/>
      <c r="AH782" s="101"/>
      <c r="AI782" s="101"/>
      <c r="AJ782" s="101"/>
      <c r="AK782" s="101"/>
      <c r="AL782" s="101"/>
      <c r="AM782" s="101"/>
      <c r="AN782" s="101"/>
    </row>
    <row r="783" spans="1:40" ht="16.5" customHeight="1" x14ac:dyDescent="0.3">
      <c r="A783" s="59"/>
      <c r="B783" s="68" t="s">
        <v>1768</v>
      </c>
      <c r="C783" s="69"/>
      <c r="D783" s="69"/>
      <c r="E783" s="69"/>
      <c r="F783" s="69"/>
      <c r="G783" s="17" t="s">
        <v>1767</v>
      </c>
      <c r="Z783" s="101"/>
      <c r="AA783" s="101"/>
      <c r="AB783" s="101"/>
      <c r="AC783" s="101"/>
      <c r="AD783" s="101"/>
      <c r="AE783" s="101"/>
      <c r="AF783" s="101"/>
      <c r="AG783" s="101"/>
      <c r="AH783" s="101"/>
      <c r="AI783" s="101"/>
      <c r="AJ783" s="101"/>
      <c r="AK783" s="101"/>
      <c r="AL783" s="101"/>
      <c r="AM783" s="101"/>
      <c r="AN783" s="101"/>
    </row>
    <row r="784" spans="1:40" ht="16.5" customHeight="1" x14ac:dyDescent="0.3">
      <c r="A784" s="69"/>
      <c r="B784" s="69"/>
      <c r="C784" s="69"/>
      <c r="D784" s="69"/>
      <c r="E784" s="69"/>
      <c r="F784" s="69"/>
      <c r="G784" s="17" t="s">
        <v>1405</v>
      </c>
      <c r="Z784" s="101"/>
      <c r="AA784" s="101"/>
      <c r="AB784" s="101"/>
      <c r="AC784" s="101"/>
      <c r="AD784" s="101"/>
      <c r="AE784" s="101"/>
      <c r="AF784" s="101"/>
      <c r="AG784" s="101"/>
      <c r="AH784" s="101"/>
      <c r="AI784" s="101"/>
      <c r="AJ784" s="101"/>
      <c r="AK784" s="101"/>
      <c r="AL784" s="101"/>
      <c r="AM784" s="101"/>
      <c r="AN784" s="101"/>
    </row>
    <row r="785" spans="1:40" ht="16.5" customHeight="1" x14ac:dyDescent="0.3">
      <c r="A785" s="59" t="s">
        <v>1770</v>
      </c>
      <c r="B785" s="89" t="str">
        <f>" 노무비: "&amp;TEXT(I785,"#,##0"&amp;IF(I785&lt;&gt;INT(I785),".###",""))&amp;" / Q = "&amp;TEXT(C785,"#,##0.0")&amp;""</f>
        <v xml:space="preserve"> 노무비: 59,020 / Q = 138.8</v>
      </c>
      <c r="C785" s="91">
        <f>E785+D785+F785</f>
        <v>138.80000000000001</v>
      </c>
      <c r="D785" s="91">
        <f>IF(H785=0,0,ROUNDDOWN(J785*H785,1))</f>
        <v>138.80000000000001</v>
      </c>
      <c r="E785" s="91">
        <f>IF(H785=0,0,ROUNDDOWN(K785*H785,1))</f>
        <v>0</v>
      </c>
      <c r="F785" s="91">
        <f>IF(H785=0,0,ROUNDDOWN(L785*H785,1))</f>
        <v>0</v>
      </c>
      <c r="G785" s="17" t="s">
        <v>1769</v>
      </c>
      <c r="H785" s="97">
        <f>ROUNDUP(AC785,14-LEN(ABS(INT(AC785))))</f>
        <v>2.3529411764999998E-3</v>
      </c>
      <c r="I785" s="98">
        <f>K785+J785+L785</f>
        <v>59020</v>
      </c>
      <c r="J785" s="38">
        <f>중기목록표!F26</f>
        <v>59020</v>
      </c>
      <c r="M785" s="35" t="s">
        <v>1771</v>
      </c>
      <c r="N785" s="35" t="s">
        <v>1262</v>
      </c>
      <c r="X785" s="100" t="str">
        <f>중기목록표!B26&amp;" / "&amp;중기목록표!C26</f>
        <v>아스팔트 피니셔 / 3m</v>
      </c>
      <c r="Y785" s="3" t="str">
        <f ca="1">HYPERLINK("#"&amp;중기목록표!J2&amp;"!A"&amp;ROW(중기목록표!A26),"중기23 →")</f>
        <v>중기23 →</v>
      </c>
      <c r="Z785" s="35" t="s">
        <v>1417</v>
      </c>
      <c r="AA785" s="103" t="str">
        <f>AD763</f>
        <v>425.000</v>
      </c>
      <c r="AB785" s="35" t="s">
        <v>1410</v>
      </c>
      <c r="AC785" s="103">
        <f>1/AD763</f>
        <v>2.352941176470588E-3</v>
      </c>
      <c r="AD785" s="101"/>
      <c r="AE785" s="101"/>
      <c r="AF785" s="101"/>
      <c r="AG785" s="101"/>
      <c r="AH785" s="101"/>
      <c r="AI785" s="101"/>
      <c r="AJ785" s="101"/>
      <c r="AK785" s="101"/>
      <c r="AL785" s="101"/>
      <c r="AM785" s="101"/>
      <c r="AN785" s="101"/>
    </row>
    <row r="786" spans="1:40" ht="16.5" customHeight="1" x14ac:dyDescent="0.3">
      <c r="A786" s="69"/>
      <c r="B786" s="69"/>
      <c r="C786" s="69"/>
      <c r="D786" s="69"/>
      <c r="E786" s="69"/>
      <c r="F786" s="69"/>
      <c r="G786" s="17" t="s">
        <v>1405</v>
      </c>
      <c r="Z786" s="101"/>
      <c r="AA786" s="101"/>
      <c r="AB786" s="101"/>
      <c r="AC786" s="101"/>
      <c r="AD786" s="101"/>
      <c r="AE786" s="101"/>
      <c r="AF786" s="101"/>
      <c r="AG786" s="101"/>
      <c r="AH786" s="101"/>
      <c r="AI786" s="101"/>
      <c r="AJ786" s="101"/>
      <c r="AK786" s="101"/>
      <c r="AL786" s="101"/>
      <c r="AM786" s="101"/>
      <c r="AN786" s="101"/>
    </row>
    <row r="787" spans="1:40" ht="16.5" customHeight="1" x14ac:dyDescent="0.3">
      <c r="A787" s="59" t="s">
        <v>1773</v>
      </c>
      <c r="B787" s="89" t="str">
        <f>" 재료비: "&amp;TEXT(I787,"#,##0"&amp;IF(I787&lt;&gt;INT(I787),".###",""))&amp;" / Q = "&amp;TEXT(C787,"#,##0.0")&amp;""</f>
        <v xml:space="preserve"> 재료비: 25,024 / Q = 58.8</v>
      </c>
      <c r="C787" s="91">
        <f>E787+D787+F787</f>
        <v>58.8</v>
      </c>
      <c r="D787" s="91">
        <f>IF(H787=0,0,ROUNDDOWN(J787*H787,1))</f>
        <v>0</v>
      </c>
      <c r="E787" s="91">
        <f>IF(H787=0,0,ROUNDDOWN(K787*H787,1))</f>
        <v>58.8</v>
      </c>
      <c r="F787" s="91">
        <f>IF(H787=0,0,ROUNDDOWN(L787*H787,1))</f>
        <v>0</v>
      </c>
      <c r="G787" s="17" t="s">
        <v>1772</v>
      </c>
      <c r="H787" s="97">
        <f>ROUNDUP(AC787,14-LEN(ABS(INT(AC787))))</f>
        <v>2.3529411764999998E-3</v>
      </c>
      <c r="I787" s="98">
        <f>K787+J787+L787</f>
        <v>25024</v>
      </c>
      <c r="K787" s="38">
        <f>중기목록표!G26</f>
        <v>25024</v>
      </c>
      <c r="M787" s="35" t="s">
        <v>1771</v>
      </c>
      <c r="N787" s="35" t="s">
        <v>1262</v>
      </c>
      <c r="X787" s="100" t="str">
        <f>중기목록표!B26&amp;" / "&amp;중기목록표!C26</f>
        <v>아스팔트 피니셔 / 3m</v>
      </c>
      <c r="Y787" s="3" t="str">
        <f ca="1">HYPERLINK("#"&amp;중기목록표!J2&amp;"!A"&amp;ROW(중기목록표!A26),"중기23 →")</f>
        <v>중기23 →</v>
      </c>
      <c r="Z787" s="35" t="s">
        <v>1417</v>
      </c>
      <c r="AA787" s="103" t="str">
        <f>AD763</f>
        <v>425.000</v>
      </c>
      <c r="AB787" s="35" t="s">
        <v>1410</v>
      </c>
      <c r="AC787" s="103">
        <f>1/AD763</f>
        <v>2.352941176470588E-3</v>
      </c>
      <c r="AD787" s="101"/>
      <c r="AE787" s="101"/>
      <c r="AF787" s="101"/>
      <c r="AG787" s="101"/>
      <c r="AH787" s="101"/>
      <c r="AI787" s="101"/>
      <c r="AJ787" s="101"/>
      <c r="AK787" s="101"/>
      <c r="AL787" s="101"/>
      <c r="AM787" s="101"/>
      <c r="AN787" s="101"/>
    </row>
    <row r="788" spans="1:40" ht="16.5" customHeight="1" x14ac:dyDescent="0.3">
      <c r="A788" s="69"/>
      <c r="B788" s="69"/>
      <c r="C788" s="69"/>
      <c r="D788" s="69"/>
      <c r="E788" s="69"/>
      <c r="F788" s="69"/>
      <c r="G788" s="17" t="s">
        <v>1405</v>
      </c>
      <c r="Z788" s="101"/>
      <c r="AA788" s="101"/>
      <c r="AB788" s="101"/>
      <c r="AC788" s="101"/>
      <c r="AD788" s="101"/>
      <c r="AE788" s="101"/>
      <c r="AF788" s="101"/>
      <c r="AG788" s="101"/>
      <c r="AH788" s="101"/>
      <c r="AI788" s="101"/>
      <c r="AJ788" s="101"/>
      <c r="AK788" s="101"/>
      <c r="AL788" s="101"/>
      <c r="AM788" s="101"/>
      <c r="AN788" s="101"/>
    </row>
    <row r="789" spans="1:40" ht="16.5" customHeight="1" x14ac:dyDescent="0.3">
      <c r="A789" s="59" t="s">
        <v>1775</v>
      </c>
      <c r="B789" s="89" t="str">
        <f>" 경  비: "&amp;TEXT(I789,"#,##0"&amp;IF(I789&lt;&gt;INT(I789),".###",""))&amp;" / Q = "&amp;TEXT(C789,"#,##0.0")&amp;""</f>
        <v xml:space="preserve"> 경  비: 59,141 / Q = 139.1</v>
      </c>
      <c r="C789" s="91">
        <f>E789+D789+F789</f>
        <v>139.1</v>
      </c>
      <c r="D789" s="91">
        <f>IF(H789=0,0,ROUNDDOWN(J789*H789,1))</f>
        <v>0</v>
      </c>
      <c r="E789" s="91">
        <f>IF(H789=0,0,ROUNDDOWN(K789*H789,1))</f>
        <v>0</v>
      </c>
      <c r="F789" s="91">
        <f>IF(H789=0,0,ROUNDDOWN(L789*H789,1))</f>
        <v>139.1</v>
      </c>
      <c r="G789" s="17" t="s">
        <v>1774</v>
      </c>
      <c r="H789" s="97">
        <f>ROUNDUP(AC789,14-LEN(ABS(INT(AC789))))</f>
        <v>2.3529411764999998E-3</v>
      </c>
      <c r="I789" s="98">
        <f>K789+J789+L789</f>
        <v>59141</v>
      </c>
      <c r="L789" s="38">
        <f>중기목록표!H26</f>
        <v>59141</v>
      </c>
      <c r="M789" s="35" t="s">
        <v>1771</v>
      </c>
      <c r="N789" s="35" t="s">
        <v>1262</v>
      </c>
      <c r="X789" s="100" t="str">
        <f>중기목록표!B26&amp;" / "&amp;중기목록표!C26</f>
        <v>아스팔트 피니셔 / 3m</v>
      </c>
      <c r="Y789" s="3" t="str">
        <f ca="1">HYPERLINK("#"&amp;중기목록표!J2&amp;"!A"&amp;ROW(중기목록표!A26),"중기23 →")</f>
        <v>중기23 →</v>
      </c>
      <c r="Z789" s="35" t="s">
        <v>1417</v>
      </c>
      <c r="AA789" s="103" t="str">
        <f>AD763</f>
        <v>425.000</v>
      </c>
      <c r="AB789" s="35" t="s">
        <v>1410</v>
      </c>
      <c r="AC789" s="103">
        <f>1/AD763</f>
        <v>2.352941176470588E-3</v>
      </c>
      <c r="AD789" s="101"/>
      <c r="AE789" s="101"/>
      <c r="AF789" s="101"/>
      <c r="AG789" s="101"/>
      <c r="AH789" s="101"/>
      <c r="AI789" s="101"/>
      <c r="AJ789" s="101"/>
      <c r="AK789" s="101"/>
      <c r="AL789" s="101"/>
      <c r="AM789" s="101"/>
      <c r="AN789" s="101"/>
    </row>
    <row r="790" spans="1:40" ht="16.5" customHeight="1" x14ac:dyDescent="0.3">
      <c r="A790" s="69"/>
      <c r="B790" s="69"/>
      <c r="C790" s="69"/>
      <c r="D790" s="69"/>
      <c r="E790" s="69"/>
      <c r="F790" s="69"/>
      <c r="G790" s="17" t="s">
        <v>1405</v>
      </c>
      <c r="Z790" s="101"/>
      <c r="AA790" s="101"/>
      <c r="AB790" s="101"/>
      <c r="AC790" s="101"/>
      <c r="AD790" s="101"/>
      <c r="AE790" s="101"/>
      <c r="AF790" s="101"/>
      <c r="AG790" s="101"/>
      <c r="AH790" s="101"/>
      <c r="AI790" s="101"/>
      <c r="AJ790" s="101"/>
      <c r="AK790" s="101"/>
      <c r="AL790" s="101"/>
      <c r="AM790" s="101"/>
      <c r="AN790" s="101"/>
    </row>
    <row r="791" spans="1:40" ht="16.5" customHeight="1" x14ac:dyDescent="0.3">
      <c r="A791" s="59"/>
      <c r="B791" s="68" t="s">
        <v>1260</v>
      </c>
      <c r="C791" s="92">
        <f>E791+D791+F791</f>
        <v>336.70000000000005</v>
      </c>
      <c r="D791" s="92">
        <f>SUMIF(N782:N790,M791,D782:D790)</f>
        <v>138.80000000000001</v>
      </c>
      <c r="E791" s="92">
        <f>SUMIF(N782:N790,M791,E782:E790)</f>
        <v>58.8</v>
      </c>
      <c r="F791" s="92">
        <f>SUMIF(N782:N790,M791,F782:F790)</f>
        <v>139.1</v>
      </c>
      <c r="G791" s="17" t="s">
        <v>1430</v>
      </c>
      <c r="M791" s="35" t="s">
        <v>1262</v>
      </c>
      <c r="N791" s="35" t="s">
        <v>1253</v>
      </c>
      <c r="Z791" s="101"/>
      <c r="AA791" s="101"/>
      <c r="AB791" s="101"/>
      <c r="AC791" s="101"/>
      <c r="AD791" s="101"/>
      <c r="AE791" s="101"/>
      <c r="AF791" s="101"/>
      <c r="AG791" s="101"/>
      <c r="AH791" s="101"/>
      <c r="AI791" s="101"/>
      <c r="AJ791" s="101"/>
      <c r="AK791" s="101"/>
      <c r="AL791" s="101"/>
      <c r="AM791" s="101"/>
      <c r="AN791" s="101"/>
    </row>
    <row r="792" spans="1:40" ht="16.5" customHeight="1" x14ac:dyDescent="0.3">
      <c r="A792" s="69"/>
      <c r="B792" s="69"/>
      <c r="C792" s="90"/>
      <c r="D792" s="90"/>
      <c r="E792" s="90"/>
      <c r="F792" s="90"/>
      <c r="G792" s="17" t="s">
        <v>1405</v>
      </c>
      <c r="Z792" s="101"/>
      <c r="AA792" s="101"/>
      <c r="AB792" s="101"/>
      <c r="AC792" s="101"/>
      <c r="AD792" s="101"/>
      <c r="AE792" s="101"/>
      <c r="AF792" s="101"/>
      <c r="AG792" s="101"/>
      <c r="AH792" s="101"/>
      <c r="AI792" s="101"/>
      <c r="AJ792" s="101"/>
      <c r="AK792" s="101"/>
      <c r="AL792" s="101"/>
      <c r="AM792" s="101"/>
      <c r="AN792" s="101"/>
    </row>
    <row r="793" spans="1:40" ht="16.5" customHeight="1" x14ac:dyDescent="0.3">
      <c r="A793" s="59"/>
      <c r="B793" s="68" t="s">
        <v>1777</v>
      </c>
      <c r="C793" s="69"/>
      <c r="D793" s="69"/>
      <c r="E793" s="69"/>
      <c r="F793" s="69"/>
      <c r="G793" s="17" t="s">
        <v>1776</v>
      </c>
      <c r="Z793" s="101"/>
      <c r="AA793" s="101"/>
      <c r="AB793" s="101"/>
      <c r="AC793" s="101"/>
      <c r="AD793" s="101"/>
      <c r="AE793" s="101"/>
      <c r="AF793" s="101"/>
      <c r="AG793" s="101"/>
      <c r="AH793" s="101"/>
      <c r="AI793" s="101"/>
      <c r="AJ793" s="101"/>
      <c r="AK793" s="101"/>
      <c r="AL793" s="101"/>
      <c r="AM793" s="101"/>
      <c r="AN793" s="101"/>
    </row>
    <row r="794" spans="1:40" ht="16.5" customHeight="1" x14ac:dyDescent="0.3">
      <c r="A794" s="69"/>
      <c r="B794" s="69"/>
      <c r="C794" s="69"/>
      <c r="D794" s="69"/>
      <c r="E794" s="69"/>
      <c r="F794" s="69"/>
      <c r="G794" s="17" t="s">
        <v>1405</v>
      </c>
      <c r="Z794" s="101"/>
      <c r="AA794" s="101"/>
      <c r="AB794" s="101"/>
      <c r="AC794" s="101"/>
      <c r="AD794" s="101"/>
      <c r="AE794" s="101"/>
      <c r="AF794" s="101"/>
      <c r="AG794" s="101"/>
      <c r="AH794" s="101"/>
      <c r="AI794" s="101"/>
      <c r="AJ794" s="101"/>
      <c r="AK794" s="101"/>
      <c r="AL794" s="101"/>
      <c r="AM794" s="101"/>
      <c r="AN794" s="101"/>
    </row>
    <row r="795" spans="1:40" ht="16.5" customHeight="1" x14ac:dyDescent="0.3">
      <c r="A795" s="59"/>
      <c r="B795" s="68" t="s">
        <v>1779</v>
      </c>
      <c r="C795" s="69"/>
      <c r="D795" s="69"/>
      <c r="E795" s="69"/>
      <c r="F795" s="69"/>
      <c r="G795" s="17" t="s">
        <v>1778</v>
      </c>
      <c r="Z795" s="101"/>
      <c r="AA795" s="101"/>
      <c r="AB795" s="101"/>
      <c r="AC795" s="101"/>
      <c r="AD795" s="101"/>
      <c r="AE795" s="101"/>
      <c r="AF795" s="101"/>
      <c r="AG795" s="101"/>
      <c r="AH795" s="101"/>
      <c r="AI795" s="101"/>
      <c r="AJ795" s="101"/>
      <c r="AK795" s="101"/>
      <c r="AL795" s="101"/>
      <c r="AM795" s="101"/>
      <c r="AN795" s="101"/>
    </row>
    <row r="796" spans="1:40" ht="16.5" customHeight="1" x14ac:dyDescent="0.3">
      <c r="A796" s="69"/>
      <c r="B796" s="69"/>
      <c r="C796" s="69"/>
      <c r="D796" s="69"/>
      <c r="E796" s="69"/>
      <c r="F796" s="69"/>
      <c r="G796" s="17" t="s">
        <v>1405</v>
      </c>
      <c r="Z796" s="101"/>
      <c r="AA796" s="101"/>
      <c r="AB796" s="101"/>
      <c r="AC796" s="101"/>
      <c r="AD796" s="101"/>
      <c r="AE796" s="101"/>
      <c r="AF796" s="101"/>
      <c r="AG796" s="101"/>
      <c r="AH796" s="101"/>
      <c r="AI796" s="101"/>
      <c r="AJ796" s="101"/>
      <c r="AK796" s="101"/>
      <c r="AL796" s="101"/>
      <c r="AM796" s="101"/>
      <c r="AN796" s="101"/>
    </row>
    <row r="797" spans="1:40" ht="16.5" customHeight="1" x14ac:dyDescent="0.3">
      <c r="A797" s="59" t="s">
        <v>1734</v>
      </c>
      <c r="B797" s="89" t="str">
        <f>" 노무비: "&amp;TEXT(I797,"#,##0"&amp;IF(I797&lt;&gt;INT(I797),".###",""))&amp;" * "&amp;AA797&amp;" / Q = "&amp;TEXT(C797,"#,##0.0")&amp;""</f>
        <v xml:space="preserve"> 노무비: 59,020 * 2 / Q = 277.7</v>
      </c>
      <c r="C797" s="91">
        <f>E797+D797+F797</f>
        <v>277.7</v>
      </c>
      <c r="D797" s="91">
        <f>IF(H797=0,0,ROUNDDOWN(J797*H797,1))</f>
        <v>277.7</v>
      </c>
      <c r="E797" s="91">
        <f>IF(H797=0,0,ROUNDDOWN(K797*H797,1))</f>
        <v>0</v>
      </c>
      <c r="F797" s="91">
        <f>IF(H797=0,0,ROUNDDOWN(L797*H797,1))</f>
        <v>0</v>
      </c>
      <c r="G797" s="17" t="s">
        <v>1780</v>
      </c>
      <c r="H797" s="97">
        <f>ROUNDUP(AE797,14-LEN(ABS(INT(AE797))))</f>
        <v>4.7058823529999997E-3</v>
      </c>
      <c r="I797" s="98">
        <f>K797+J797+L797</f>
        <v>59020</v>
      </c>
      <c r="J797" s="38">
        <f>중기목록표!F17</f>
        <v>59020</v>
      </c>
      <c r="M797" s="35" t="s">
        <v>1735</v>
      </c>
      <c r="N797" s="35" t="s">
        <v>1262</v>
      </c>
      <c r="X797" s="100" t="str">
        <f>중기목록표!B17&amp;" / "&amp;중기목록표!C17</f>
        <v>로더(타이어) / 0.57㎥</v>
      </c>
      <c r="Y797" s="3" t="str">
        <f ca="1">HYPERLINK("#"&amp;중기목록표!J2&amp;"!A"&amp;ROW(중기목록표!A17),"중기14 →")</f>
        <v>중기14 →</v>
      </c>
      <c r="Z797" s="35" t="s">
        <v>1446</v>
      </c>
      <c r="AA797" s="102">
        <v>2</v>
      </c>
      <c r="AB797" s="35" t="s">
        <v>1413</v>
      </c>
      <c r="AC797" s="103" t="str">
        <f>AD763</f>
        <v>425.000</v>
      </c>
      <c r="AD797" s="35" t="s">
        <v>1410</v>
      </c>
      <c r="AE797" s="103">
        <f>1*AA797/AD763</f>
        <v>4.7058823529411761E-3</v>
      </c>
      <c r="AF797" s="101"/>
      <c r="AG797" s="101"/>
      <c r="AH797" s="101"/>
      <c r="AI797" s="101"/>
      <c r="AJ797" s="101"/>
      <c r="AK797" s="101"/>
      <c r="AL797" s="101"/>
      <c r="AM797" s="101"/>
      <c r="AN797" s="101"/>
    </row>
    <row r="798" spans="1:40" ht="16.5" customHeight="1" x14ac:dyDescent="0.3">
      <c r="A798" s="69"/>
      <c r="B798" s="69"/>
      <c r="C798" s="69"/>
      <c r="D798" s="69"/>
      <c r="E798" s="69"/>
      <c r="F798" s="69"/>
      <c r="G798" s="17" t="s">
        <v>1405</v>
      </c>
      <c r="Z798" s="101"/>
      <c r="AA798" s="101"/>
      <c r="AB798" s="101"/>
      <c r="AC798" s="101"/>
      <c r="AD798" s="101"/>
      <c r="AE798" s="101"/>
      <c r="AF798" s="101"/>
      <c r="AG798" s="101"/>
      <c r="AH798" s="101"/>
      <c r="AI798" s="101"/>
      <c r="AJ798" s="101"/>
      <c r="AK798" s="101"/>
      <c r="AL798" s="101"/>
      <c r="AM798" s="101"/>
      <c r="AN798" s="101"/>
    </row>
    <row r="799" spans="1:40" ht="16.5" customHeight="1" x14ac:dyDescent="0.3">
      <c r="A799" s="59" t="s">
        <v>1737</v>
      </c>
      <c r="B799" s="89" t="str">
        <f>" 재료비: "&amp;TEXT(I799,"#,##0"&amp;IF(I799&lt;&gt;INT(I799),".###",""))&amp;" * "&amp;AA799&amp;" / Q = "&amp;TEXT(C799,"#,##0.0")&amp;""</f>
        <v xml:space="preserve"> 재료비: 9,066 * 2 / Q = 42.6</v>
      </c>
      <c r="C799" s="91">
        <f>E799+D799+F799</f>
        <v>42.6</v>
      </c>
      <c r="D799" s="91">
        <f>IF(H799=0,0,ROUNDDOWN(J799*H799,1))</f>
        <v>0</v>
      </c>
      <c r="E799" s="91">
        <f>IF(H799=0,0,ROUNDDOWN(K799*H799,1))</f>
        <v>42.6</v>
      </c>
      <c r="F799" s="91">
        <f>IF(H799=0,0,ROUNDDOWN(L799*H799,1))</f>
        <v>0</v>
      </c>
      <c r="G799" s="17" t="s">
        <v>1781</v>
      </c>
      <c r="H799" s="97">
        <f>ROUNDUP(AE799,14-LEN(ABS(INT(AE799))))</f>
        <v>4.7058823529999997E-3</v>
      </c>
      <c r="I799" s="98">
        <f>K799+J799+L799</f>
        <v>9066</v>
      </c>
      <c r="K799" s="38">
        <f>중기목록표!G17</f>
        <v>9066</v>
      </c>
      <c r="M799" s="35" t="s">
        <v>1735</v>
      </c>
      <c r="N799" s="35" t="s">
        <v>1262</v>
      </c>
      <c r="X799" s="100" t="str">
        <f>중기목록표!B17&amp;" / "&amp;중기목록표!C17</f>
        <v>로더(타이어) / 0.57㎥</v>
      </c>
      <c r="Y799" s="3" t="str">
        <f ca="1">HYPERLINK("#"&amp;중기목록표!J2&amp;"!A"&amp;ROW(중기목록표!A17),"중기14 →")</f>
        <v>중기14 →</v>
      </c>
      <c r="Z799" s="35" t="s">
        <v>1446</v>
      </c>
      <c r="AA799" s="102">
        <v>2</v>
      </c>
      <c r="AB799" s="35" t="s">
        <v>1413</v>
      </c>
      <c r="AC799" s="103" t="str">
        <f>AD763</f>
        <v>425.000</v>
      </c>
      <c r="AD799" s="35" t="s">
        <v>1410</v>
      </c>
      <c r="AE799" s="103">
        <f>1*AA799/AD763</f>
        <v>4.7058823529411761E-3</v>
      </c>
      <c r="AF799" s="101"/>
      <c r="AG799" s="101"/>
      <c r="AH799" s="101"/>
      <c r="AI799" s="101"/>
      <c r="AJ799" s="101"/>
      <c r="AK799" s="101"/>
      <c r="AL799" s="101"/>
      <c r="AM799" s="101"/>
      <c r="AN799" s="101"/>
    </row>
    <row r="800" spans="1:40" ht="16.5" customHeight="1" x14ac:dyDescent="0.3">
      <c r="A800" s="69"/>
      <c r="B800" s="69"/>
      <c r="C800" s="69"/>
      <c r="D800" s="69"/>
      <c r="E800" s="69"/>
      <c r="F800" s="69"/>
      <c r="G800" s="17" t="s">
        <v>1405</v>
      </c>
      <c r="Z800" s="101"/>
      <c r="AA800" s="101"/>
      <c r="AB800" s="101"/>
      <c r="AC800" s="101"/>
      <c r="AD800" s="101"/>
      <c r="AE800" s="101"/>
      <c r="AF800" s="101"/>
      <c r="AG800" s="101"/>
      <c r="AH800" s="101"/>
      <c r="AI800" s="101"/>
      <c r="AJ800" s="101"/>
      <c r="AK800" s="101"/>
      <c r="AL800" s="101"/>
      <c r="AM800" s="101"/>
      <c r="AN800" s="101"/>
    </row>
    <row r="801" spans="1:40" ht="16.5" customHeight="1" x14ac:dyDescent="0.3">
      <c r="A801" s="59" t="s">
        <v>1739</v>
      </c>
      <c r="B801" s="89" t="str">
        <f>" 경  비: "&amp;TEXT(I801,"#,##0"&amp;IF(I801&lt;&gt;INT(I801),".###",""))&amp;" * "&amp;AA801&amp;" / Q = "&amp;TEXT(C801,"#,##0.0")&amp;""</f>
        <v xml:space="preserve"> 경  비: 7,505 * 2 / Q = 35.3</v>
      </c>
      <c r="C801" s="91">
        <f>E801+D801+F801</f>
        <v>35.299999999999997</v>
      </c>
      <c r="D801" s="91">
        <f>IF(H801=0,0,ROUNDDOWN(J801*H801,1))</f>
        <v>0</v>
      </c>
      <c r="E801" s="91">
        <f>IF(H801=0,0,ROUNDDOWN(K801*H801,1))</f>
        <v>0</v>
      </c>
      <c r="F801" s="91">
        <f>IF(H801=0,0,ROUNDDOWN(L801*H801,1))</f>
        <v>35.299999999999997</v>
      </c>
      <c r="G801" s="17" t="s">
        <v>1782</v>
      </c>
      <c r="H801" s="97">
        <f>ROUNDUP(AE801,14-LEN(ABS(INT(AE801))))</f>
        <v>4.7058823529999997E-3</v>
      </c>
      <c r="I801" s="98">
        <f>K801+J801+L801</f>
        <v>7505</v>
      </c>
      <c r="L801" s="38">
        <f>중기목록표!H17</f>
        <v>7505</v>
      </c>
      <c r="M801" s="35" t="s">
        <v>1735</v>
      </c>
      <c r="N801" s="35" t="s">
        <v>1262</v>
      </c>
      <c r="X801" s="100" t="str">
        <f>중기목록표!B17&amp;" / "&amp;중기목록표!C17</f>
        <v>로더(타이어) / 0.57㎥</v>
      </c>
      <c r="Y801" s="3" t="str">
        <f ca="1">HYPERLINK("#"&amp;중기목록표!J2&amp;"!A"&amp;ROW(중기목록표!A17),"중기14 →")</f>
        <v>중기14 →</v>
      </c>
      <c r="Z801" s="35" t="s">
        <v>1446</v>
      </c>
      <c r="AA801" s="102">
        <v>2</v>
      </c>
      <c r="AB801" s="35" t="s">
        <v>1413</v>
      </c>
      <c r="AC801" s="103" t="str">
        <f>AD763</f>
        <v>425.000</v>
      </c>
      <c r="AD801" s="35" t="s">
        <v>1410</v>
      </c>
      <c r="AE801" s="103">
        <f>1*AA801/AD763</f>
        <v>4.7058823529411761E-3</v>
      </c>
      <c r="AF801" s="101"/>
      <c r="AG801" s="101"/>
      <c r="AH801" s="101"/>
      <c r="AI801" s="101"/>
      <c r="AJ801" s="101"/>
      <c r="AK801" s="101"/>
      <c r="AL801" s="101"/>
      <c r="AM801" s="101"/>
      <c r="AN801" s="101"/>
    </row>
    <row r="802" spans="1:40" ht="16.5" customHeight="1" x14ac:dyDescent="0.3">
      <c r="A802" s="69"/>
      <c r="B802" s="69"/>
      <c r="C802" s="69"/>
      <c r="D802" s="69"/>
      <c r="E802" s="69"/>
      <c r="F802" s="69"/>
      <c r="G802" s="17" t="s">
        <v>1405</v>
      </c>
      <c r="Z802" s="101"/>
      <c r="AA802" s="101"/>
      <c r="AB802" s="101"/>
      <c r="AC802" s="101"/>
      <c r="AD802" s="101"/>
      <c r="AE802" s="101"/>
      <c r="AF802" s="101"/>
      <c r="AG802" s="101"/>
      <c r="AH802" s="101"/>
      <c r="AI802" s="101"/>
      <c r="AJ802" s="101"/>
      <c r="AK802" s="101"/>
      <c r="AL802" s="101"/>
      <c r="AM802" s="101"/>
      <c r="AN802" s="101"/>
    </row>
    <row r="803" spans="1:40" ht="16.5" customHeight="1" x14ac:dyDescent="0.3">
      <c r="A803" s="59"/>
      <c r="B803" s="68" t="s">
        <v>1784</v>
      </c>
      <c r="C803" s="69"/>
      <c r="D803" s="69"/>
      <c r="E803" s="69"/>
      <c r="F803" s="69"/>
      <c r="G803" s="17" t="s">
        <v>1783</v>
      </c>
      <c r="Z803" s="101"/>
      <c r="AA803" s="101"/>
      <c r="AB803" s="101"/>
      <c r="AC803" s="101"/>
      <c r="AD803" s="101"/>
      <c r="AE803" s="101"/>
      <c r="AF803" s="101"/>
      <c r="AG803" s="101"/>
      <c r="AH803" s="101"/>
      <c r="AI803" s="101"/>
      <c r="AJ803" s="101"/>
      <c r="AK803" s="101"/>
      <c r="AL803" s="101"/>
      <c r="AM803" s="101"/>
      <c r="AN803" s="101"/>
    </row>
    <row r="804" spans="1:40" ht="16.5" customHeight="1" x14ac:dyDescent="0.3">
      <c r="A804" s="69"/>
      <c r="B804" s="69"/>
      <c r="C804" s="69"/>
      <c r="D804" s="69"/>
      <c r="E804" s="69"/>
      <c r="F804" s="69"/>
      <c r="G804" s="17" t="s">
        <v>1405</v>
      </c>
      <c r="Z804" s="101"/>
      <c r="AA804" s="101"/>
      <c r="AB804" s="101"/>
      <c r="AC804" s="101"/>
      <c r="AD804" s="101"/>
      <c r="AE804" s="101"/>
      <c r="AF804" s="101"/>
      <c r="AG804" s="101"/>
      <c r="AH804" s="101"/>
      <c r="AI804" s="101"/>
      <c r="AJ804" s="101"/>
      <c r="AK804" s="101"/>
      <c r="AL804" s="101"/>
      <c r="AM804" s="101"/>
      <c r="AN804" s="101"/>
    </row>
    <row r="805" spans="1:40" ht="16.5" customHeight="1" x14ac:dyDescent="0.3">
      <c r="A805" s="59" t="s">
        <v>1786</v>
      </c>
      <c r="B805" s="89" t="str">
        <f>" 노무비: "&amp;TEXT(I805,"#,##0"&amp;IF(I805&lt;&gt;INT(I805),".###",""))&amp;" / Q = "&amp;TEXT(C805,"#,##0.0")&amp;""</f>
        <v xml:space="preserve"> 노무비: 59,020 / Q = 138.8</v>
      </c>
      <c r="C805" s="91">
        <f>E805+D805+F805</f>
        <v>138.80000000000001</v>
      </c>
      <c r="D805" s="91">
        <f>IF(H805=0,0,ROUNDDOWN(J805*H805,1))</f>
        <v>138.80000000000001</v>
      </c>
      <c r="E805" s="91">
        <f>IF(H805=0,0,ROUNDDOWN(K805*H805,1))</f>
        <v>0</v>
      </c>
      <c r="F805" s="91">
        <f>IF(H805=0,0,ROUNDDOWN(L805*H805,1))</f>
        <v>0</v>
      </c>
      <c r="G805" s="17" t="s">
        <v>1785</v>
      </c>
      <c r="H805" s="97">
        <f>ROUNDUP(AC805,14-LEN(ABS(INT(AC805))))</f>
        <v>2.3529411764999998E-3</v>
      </c>
      <c r="I805" s="98">
        <f>K805+J805+L805</f>
        <v>59020</v>
      </c>
      <c r="J805" s="38">
        <f>중기목록표!F19</f>
        <v>59020</v>
      </c>
      <c r="M805" s="35" t="s">
        <v>1787</v>
      </c>
      <c r="N805" s="35" t="s">
        <v>1262</v>
      </c>
      <c r="X805" s="100" t="str">
        <f>중기목록표!B19&amp;" / "&amp;중기목록표!C19</f>
        <v>머캐덤 롤러(자주식) / 10-12톤</v>
      </c>
      <c r="Y805" s="3" t="str">
        <f ca="1">HYPERLINK("#"&amp;중기목록표!J2&amp;"!A"&amp;ROW(중기목록표!A19),"중기16 →")</f>
        <v>중기16 →</v>
      </c>
      <c r="Z805" s="35" t="s">
        <v>1417</v>
      </c>
      <c r="AA805" s="103" t="str">
        <f>AD763</f>
        <v>425.000</v>
      </c>
      <c r="AB805" s="35" t="s">
        <v>1410</v>
      </c>
      <c r="AC805" s="103">
        <f>1/AD763</f>
        <v>2.352941176470588E-3</v>
      </c>
      <c r="AD805" s="101"/>
      <c r="AE805" s="101"/>
      <c r="AF805" s="101"/>
      <c r="AG805" s="101"/>
      <c r="AH805" s="101"/>
      <c r="AI805" s="101"/>
      <c r="AJ805" s="101"/>
      <c r="AK805" s="101"/>
      <c r="AL805" s="101"/>
      <c r="AM805" s="101"/>
      <c r="AN805" s="101"/>
    </row>
    <row r="806" spans="1:40" ht="16.5" customHeight="1" x14ac:dyDescent="0.3">
      <c r="A806" s="69"/>
      <c r="B806" s="69"/>
      <c r="C806" s="69"/>
      <c r="D806" s="69"/>
      <c r="E806" s="69"/>
      <c r="F806" s="69"/>
      <c r="G806" s="17" t="s">
        <v>1405</v>
      </c>
      <c r="Z806" s="101"/>
      <c r="AA806" s="101"/>
      <c r="AB806" s="101"/>
      <c r="AC806" s="101"/>
      <c r="AD806" s="101"/>
      <c r="AE806" s="101"/>
      <c r="AF806" s="101"/>
      <c r="AG806" s="101"/>
      <c r="AH806" s="101"/>
      <c r="AI806" s="101"/>
      <c r="AJ806" s="101"/>
      <c r="AK806" s="101"/>
      <c r="AL806" s="101"/>
      <c r="AM806" s="101"/>
      <c r="AN806" s="101"/>
    </row>
    <row r="807" spans="1:40" ht="16.5" customHeight="1" x14ac:dyDescent="0.3">
      <c r="A807" s="59" t="s">
        <v>1789</v>
      </c>
      <c r="B807" s="89" t="str">
        <f>" 재료비: "&amp;TEXT(I807,"#,##0"&amp;IF(I807&lt;&gt;INT(I807),".###",""))&amp;" / Q = "&amp;TEXT(C807,"#,##0.0")&amp;""</f>
        <v xml:space="preserve"> 재료비: 19,742 / Q = 46.4</v>
      </c>
      <c r="C807" s="91">
        <f>E807+D807+F807</f>
        <v>46.4</v>
      </c>
      <c r="D807" s="91">
        <f>IF(H807=0,0,ROUNDDOWN(J807*H807,1))</f>
        <v>0</v>
      </c>
      <c r="E807" s="91">
        <f>IF(H807=0,0,ROUNDDOWN(K807*H807,1))</f>
        <v>46.4</v>
      </c>
      <c r="F807" s="91">
        <f>IF(H807=0,0,ROUNDDOWN(L807*H807,1))</f>
        <v>0</v>
      </c>
      <c r="G807" s="17" t="s">
        <v>1788</v>
      </c>
      <c r="H807" s="97">
        <f>ROUNDUP(AC807,14-LEN(ABS(INT(AC807))))</f>
        <v>2.3529411764999998E-3</v>
      </c>
      <c r="I807" s="98">
        <f>K807+J807+L807</f>
        <v>19742</v>
      </c>
      <c r="K807" s="38">
        <f>중기목록표!G19</f>
        <v>19742</v>
      </c>
      <c r="M807" s="35" t="s">
        <v>1787</v>
      </c>
      <c r="N807" s="35" t="s">
        <v>1262</v>
      </c>
      <c r="X807" s="100" t="str">
        <f>중기목록표!B19&amp;" / "&amp;중기목록표!C19</f>
        <v>머캐덤 롤러(자주식) / 10-12톤</v>
      </c>
      <c r="Y807" s="3" t="str">
        <f ca="1">HYPERLINK("#"&amp;중기목록표!J2&amp;"!A"&amp;ROW(중기목록표!A19),"중기16 →")</f>
        <v>중기16 →</v>
      </c>
      <c r="Z807" s="35" t="s">
        <v>1417</v>
      </c>
      <c r="AA807" s="103" t="str">
        <f>AD763</f>
        <v>425.000</v>
      </c>
      <c r="AB807" s="35" t="s">
        <v>1410</v>
      </c>
      <c r="AC807" s="103">
        <f>1/AD763</f>
        <v>2.352941176470588E-3</v>
      </c>
      <c r="AD807" s="101"/>
      <c r="AE807" s="101"/>
      <c r="AF807" s="101"/>
      <c r="AG807" s="101"/>
      <c r="AH807" s="101"/>
      <c r="AI807" s="101"/>
      <c r="AJ807" s="101"/>
      <c r="AK807" s="101"/>
      <c r="AL807" s="101"/>
      <c r="AM807" s="101"/>
      <c r="AN807" s="101"/>
    </row>
    <row r="808" spans="1:40" ht="16.5" customHeight="1" x14ac:dyDescent="0.3">
      <c r="A808" s="69"/>
      <c r="B808" s="69"/>
      <c r="C808" s="69"/>
      <c r="D808" s="69"/>
      <c r="E808" s="69"/>
      <c r="F808" s="69"/>
      <c r="G808" s="17" t="s">
        <v>1405</v>
      </c>
      <c r="Z808" s="101"/>
      <c r="AA808" s="101"/>
      <c r="AB808" s="101"/>
      <c r="AC808" s="101"/>
      <c r="AD808" s="101"/>
      <c r="AE808" s="101"/>
      <c r="AF808" s="101"/>
      <c r="AG808" s="101"/>
      <c r="AH808" s="101"/>
      <c r="AI808" s="101"/>
      <c r="AJ808" s="101"/>
      <c r="AK808" s="101"/>
      <c r="AL808" s="101"/>
      <c r="AM808" s="101"/>
      <c r="AN808" s="101"/>
    </row>
    <row r="809" spans="1:40" ht="16.5" customHeight="1" x14ac:dyDescent="0.3">
      <c r="A809" s="59" t="s">
        <v>1791</v>
      </c>
      <c r="B809" s="89" t="str">
        <f>" 경  비: "&amp;TEXT(I809,"#,##0"&amp;IF(I809&lt;&gt;INT(I809),".###",""))&amp;" / Q = "&amp;TEXT(C809,"#,##0.0")&amp;""</f>
        <v xml:space="preserve"> 경  비: 12,857 / Q = 30.2</v>
      </c>
      <c r="C809" s="91">
        <f>E809+D809+F809</f>
        <v>30.2</v>
      </c>
      <c r="D809" s="91">
        <f>IF(H809=0,0,ROUNDDOWN(J809*H809,1))</f>
        <v>0</v>
      </c>
      <c r="E809" s="91">
        <f>IF(H809=0,0,ROUNDDOWN(K809*H809,1))</f>
        <v>0</v>
      </c>
      <c r="F809" s="91">
        <f>IF(H809=0,0,ROUNDDOWN(L809*H809,1))</f>
        <v>30.2</v>
      </c>
      <c r="G809" s="17" t="s">
        <v>1790</v>
      </c>
      <c r="H809" s="97">
        <f>ROUNDUP(AC809,14-LEN(ABS(INT(AC809))))</f>
        <v>2.3529411764999998E-3</v>
      </c>
      <c r="I809" s="98">
        <f>K809+J809+L809</f>
        <v>12857</v>
      </c>
      <c r="L809" s="38">
        <f>중기목록표!H19</f>
        <v>12857</v>
      </c>
      <c r="M809" s="35" t="s">
        <v>1787</v>
      </c>
      <c r="N809" s="35" t="s">
        <v>1262</v>
      </c>
      <c r="X809" s="100" t="str">
        <f>중기목록표!B19&amp;" / "&amp;중기목록표!C19</f>
        <v>머캐덤 롤러(자주식) / 10-12톤</v>
      </c>
      <c r="Y809" s="3" t="str">
        <f ca="1">HYPERLINK("#"&amp;중기목록표!J2&amp;"!A"&amp;ROW(중기목록표!A19),"중기16 →")</f>
        <v>중기16 →</v>
      </c>
      <c r="Z809" s="35" t="s">
        <v>1417</v>
      </c>
      <c r="AA809" s="103" t="str">
        <f>AD763</f>
        <v>425.000</v>
      </c>
      <c r="AB809" s="35" t="s">
        <v>1410</v>
      </c>
      <c r="AC809" s="103">
        <f>1/AD763</f>
        <v>2.352941176470588E-3</v>
      </c>
      <c r="AD809" s="101"/>
      <c r="AE809" s="101"/>
      <c r="AF809" s="101"/>
      <c r="AG809" s="101"/>
      <c r="AH809" s="101"/>
      <c r="AI809" s="101"/>
      <c r="AJ809" s="101"/>
      <c r="AK809" s="101"/>
      <c r="AL809" s="101"/>
      <c r="AM809" s="101"/>
      <c r="AN809" s="101"/>
    </row>
    <row r="810" spans="1:40" ht="16.5" customHeight="1" x14ac:dyDescent="0.3">
      <c r="A810" s="69"/>
      <c r="B810" s="69"/>
      <c r="C810" s="69"/>
      <c r="D810" s="69"/>
      <c r="E810" s="69"/>
      <c r="F810" s="69"/>
      <c r="G810" s="17" t="s">
        <v>1405</v>
      </c>
      <c r="Z810" s="101"/>
      <c r="AA810" s="101"/>
      <c r="AB810" s="101"/>
      <c r="AC810" s="101"/>
      <c r="AD810" s="101"/>
      <c r="AE810" s="101"/>
      <c r="AF810" s="101"/>
      <c r="AG810" s="101"/>
      <c r="AH810" s="101"/>
      <c r="AI810" s="101"/>
      <c r="AJ810" s="101"/>
      <c r="AK810" s="101"/>
      <c r="AL810" s="101"/>
      <c r="AM810" s="101"/>
      <c r="AN810" s="101"/>
    </row>
    <row r="811" spans="1:40" ht="16.5" customHeight="1" x14ac:dyDescent="0.3">
      <c r="A811" s="59"/>
      <c r="B811" s="68" t="s">
        <v>1260</v>
      </c>
      <c r="C811" s="92">
        <f>E811+D811+F811</f>
        <v>571</v>
      </c>
      <c r="D811" s="92">
        <f>SUMIF(N792:N810,M811,D792:D810)</f>
        <v>416.5</v>
      </c>
      <c r="E811" s="92">
        <f>SUMIF(N792:N810,M811,E792:E810)</f>
        <v>89</v>
      </c>
      <c r="F811" s="92">
        <f>SUMIF(N792:N810,M811,F792:F810)</f>
        <v>65.5</v>
      </c>
      <c r="G811" s="17" t="s">
        <v>1430</v>
      </c>
      <c r="M811" s="35" t="s">
        <v>1262</v>
      </c>
      <c r="N811" s="35" t="s">
        <v>1253</v>
      </c>
      <c r="Z811" s="101"/>
      <c r="AA811" s="101"/>
      <c r="AB811" s="101"/>
      <c r="AC811" s="101"/>
      <c r="AD811" s="101"/>
      <c r="AE811" s="101"/>
      <c r="AF811" s="101"/>
      <c r="AG811" s="101"/>
      <c r="AH811" s="101"/>
      <c r="AI811" s="101"/>
      <c r="AJ811" s="101"/>
      <c r="AK811" s="101"/>
      <c r="AL811" s="101"/>
      <c r="AM811" s="101"/>
      <c r="AN811" s="101"/>
    </row>
    <row r="812" spans="1:40" ht="16.5" customHeight="1" x14ac:dyDescent="0.3">
      <c r="A812" s="69"/>
      <c r="B812" s="69"/>
      <c r="C812" s="90"/>
      <c r="D812" s="90"/>
      <c r="E812" s="90"/>
      <c r="F812" s="90"/>
      <c r="G812" s="17" t="s">
        <v>1405</v>
      </c>
      <c r="Z812" s="101"/>
      <c r="AA812" s="101"/>
      <c r="AB812" s="101"/>
      <c r="AC812" s="101"/>
      <c r="AD812" s="101"/>
      <c r="AE812" s="101"/>
      <c r="AF812" s="101"/>
      <c r="AG812" s="101"/>
      <c r="AH812" s="101"/>
      <c r="AI812" s="101"/>
      <c r="AJ812" s="101"/>
      <c r="AK812" s="101"/>
      <c r="AL812" s="101"/>
      <c r="AM812" s="101"/>
      <c r="AN812" s="101"/>
    </row>
    <row r="813" spans="1:40" ht="16.5" customHeight="1" x14ac:dyDescent="0.3">
      <c r="A813" s="59"/>
      <c r="B813" s="68" t="s">
        <v>1793</v>
      </c>
      <c r="C813" s="69"/>
      <c r="D813" s="69"/>
      <c r="E813" s="69"/>
      <c r="F813" s="69"/>
      <c r="G813" s="17" t="s">
        <v>1792</v>
      </c>
      <c r="Z813" s="101"/>
      <c r="AA813" s="101"/>
      <c r="AB813" s="101"/>
      <c r="AC813" s="101"/>
      <c r="AD813" s="101"/>
      <c r="AE813" s="101"/>
      <c r="AF813" s="101"/>
      <c r="AG813" s="101"/>
      <c r="AH813" s="101"/>
      <c r="AI813" s="101"/>
      <c r="AJ813" s="101"/>
      <c r="AK813" s="101"/>
      <c r="AL813" s="101"/>
      <c r="AM813" s="101"/>
      <c r="AN813" s="101"/>
    </row>
    <row r="814" spans="1:40" ht="16.5" customHeight="1" x14ac:dyDescent="0.3">
      <c r="A814" s="69"/>
      <c r="B814" s="69"/>
      <c r="C814" s="69"/>
      <c r="D814" s="69"/>
      <c r="E814" s="69"/>
      <c r="F814" s="69"/>
      <c r="G814" s="17" t="s">
        <v>1405</v>
      </c>
      <c r="Z814" s="101"/>
      <c r="AA814" s="101"/>
      <c r="AB814" s="101"/>
      <c r="AC814" s="101"/>
      <c r="AD814" s="101"/>
      <c r="AE814" s="101"/>
      <c r="AF814" s="101"/>
      <c r="AG814" s="101"/>
      <c r="AH814" s="101"/>
      <c r="AI814" s="101"/>
      <c r="AJ814" s="101"/>
      <c r="AK814" s="101"/>
      <c r="AL814" s="101"/>
      <c r="AM814" s="101"/>
      <c r="AN814" s="101"/>
    </row>
    <row r="815" spans="1:40" ht="16.5" customHeight="1" x14ac:dyDescent="0.3">
      <c r="A815" s="59" t="s">
        <v>1795</v>
      </c>
      <c r="B815" s="89" t="str">
        <f>" 노무비: "&amp;TEXT(I815,"#,##0"&amp;IF(I815&lt;&gt;INT(I815),".###",""))&amp;" / Q = "&amp;TEXT(C815,"#,##0.0")&amp;""</f>
        <v xml:space="preserve"> 노무비: 59,020 / Q = 138.8</v>
      </c>
      <c r="C815" s="91">
        <f>E815+D815+F815</f>
        <v>138.80000000000001</v>
      </c>
      <c r="D815" s="91">
        <f>IF(H815=0,0,ROUNDDOWN(J815*H815,1))</f>
        <v>138.80000000000001</v>
      </c>
      <c r="E815" s="91">
        <f>IF(H815=0,0,ROUNDDOWN(K815*H815,1))</f>
        <v>0</v>
      </c>
      <c r="F815" s="91">
        <f>IF(H815=0,0,ROUNDDOWN(L815*H815,1))</f>
        <v>0</v>
      </c>
      <c r="G815" s="17" t="s">
        <v>1794</v>
      </c>
      <c r="H815" s="97">
        <f>ROUNDUP(AC815,14-LEN(ABS(INT(AC815))))</f>
        <v>2.3529411764999998E-3</v>
      </c>
      <c r="I815" s="98">
        <f>K815+J815+L815</f>
        <v>59020</v>
      </c>
      <c r="J815" s="38">
        <f>중기목록표!F31</f>
        <v>59020</v>
      </c>
      <c r="M815" s="35" t="s">
        <v>1796</v>
      </c>
      <c r="N815" s="35" t="s">
        <v>1262</v>
      </c>
      <c r="X815" s="100" t="str">
        <f>중기목록표!B31&amp;" / "&amp;중기목록표!C31</f>
        <v>타이어 롤러(자주식) / 8-15톤</v>
      </c>
      <c r="Y815" s="3" t="str">
        <f ca="1">HYPERLINK("#"&amp;중기목록표!J2&amp;"!A"&amp;ROW(중기목록표!A31),"중기28 →")</f>
        <v>중기28 →</v>
      </c>
      <c r="Z815" s="35" t="s">
        <v>1417</v>
      </c>
      <c r="AA815" s="103" t="str">
        <f>AD763</f>
        <v>425.000</v>
      </c>
      <c r="AB815" s="35" t="s">
        <v>1410</v>
      </c>
      <c r="AC815" s="103">
        <f>1/AD763</f>
        <v>2.352941176470588E-3</v>
      </c>
      <c r="AD815" s="101"/>
      <c r="AE815" s="101"/>
      <c r="AF815" s="101"/>
      <c r="AG815" s="101"/>
      <c r="AH815" s="101"/>
      <c r="AI815" s="101"/>
      <c r="AJ815" s="101"/>
      <c r="AK815" s="101"/>
      <c r="AL815" s="101"/>
      <c r="AM815" s="101"/>
      <c r="AN815" s="101"/>
    </row>
    <row r="816" spans="1:40" ht="16.5" customHeight="1" x14ac:dyDescent="0.3">
      <c r="A816" s="69"/>
      <c r="B816" s="69"/>
      <c r="C816" s="69"/>
      <c r="D816" s="69"/>
      <c r="E816" s="69"/>
      <c r="F816" s="69"/>
      <c r="G816" s="17" t="s">
        <v>1405</v>
      </c>
      <c r="Z816" s="101"/>
      <c r="AA816" s="101"/>
      <c r="AB816" s="101"/>
      <c r="AC816" s="101"/>
      <c r="AD816" s="101"/>
      <c r="AE816" s="101"/>
      <c r="AF816" s="101"/>
      <c r="AG816" s="101"/>
      <c r="AH816" s="101"/>
      <c r="AI816" s="101"/>
      <c r="AJ816" s="101"/>
      <c r="AK816" s="101"/>
      <c r="AL816" s="101"/>
      <c r="AM816" s="101"/>
      <c r="AN816" s="101"/>
    </row>
    <row r="817" spans="1:40" ht="16.5" customHeight="1" x14ac:dyDescent="0.3">
      <c r="A817" s="59" t="s">
        <v>1798</v>
      </c>
      <c r="B817" s="89" t="str">
        <f>" 재료비: "&amp;TEXT(I817,"#,##0"&amp;IF(I817&lt;&gt;INT(I817),".###",""))&amp;" / Q = "&amp;TEXT(C817,"#,##0.0")&amp;""</f>
        <v xml:space="preserve"> 재료비: 17,702 / Q = 41.6</v>
      </c>
      <c r="C817" s="91">
        <f>E817+D817+F817</f>
        <v>41.6</v>
      </c>
      <c r="D817" s="91">
        <f>IF(H817=0,0,ROUNDDOWN(J817*H817,1))</f>
        <v>0</v>
      </c>
      <c r="E817" s="91">
        <f>IF(H817=0,0,ROUNDDOWN(K817*H817,1))</f>
        <v>41.6</v>
      </c>
      <c r="F817" s="91">
        <f>IF(H817=0,0,ROUNDDOWN(L817*H817,1))</f>
        <v>0</v>
      </c>
      <c r="G817" s="17" t="s">
        <v>1797</v>
      </c>
      <c r="H817" s="97">
        <f>ROUNDUP(AC817,14-LEN(ABS(INT(AC817))))</f>
        <v>2.3529411764999998E-3</v>
      </c>
      <c r="I817" s="98">
        <f>K817+J817+L817</f>
        <v>17702</v>
      </c>
      <c r="K817" s="38">
        <f>중기목록표!G31</f>
        <v>17702</v>
      </c>
      <c r="M817" s="35" t="s">
        <v>1796</v>
      </c>
      <c r="N817" s="35" t="s">
        <v>1262</v>
      </c>
      <c r="X817" s="100" t="str">
        <f>중기목록표!B31&amp;" / "&amp;중기목록표!C31</f>
        <v>타이어 롤러(자주식) / 8-15톤</v>
      </c>
      <c r="Y817" s="3" t="str">
        <f ca="1">HYPERLINK("#"&amp;중기목록표!J2&amp;"!A"&amp;ROW(중기목록표!A31),"중기28 →")</f>
        <v>중기28 →</v>
      </c>
      <c r="Z817" s="35" t="s">
        <v>1417</v>
      </c>
      <c r="AA817" s="103" t="str">
        <f>AD763</f>
        <v>425.000</v>
      </c>
      <c r="AB817" s="35" t="s">
        <v>1410</v>
      </c>
      <c r="AC817" s="103">
        <f>1/AD763</f>
        <v>2.352941176470588E-3</v>
      </c>
      <c r="AD817" s="101"/>
      <c r="AE817" s="101"/>
      <c r="AF817" s="101"/>
      <c r="AG817" s="101"/>
      <c r="AH817" s="101"/>
      <c r="AI817" s="101"/>
      <c r="AJ817" s="101"/>
      <c r="AK817" s="101"/>
      <c r="AL817" s="101"/>
      <c r="AM817" s="101"/>
      <c r="AN817" s="101"/>
    </row>
    <row r="818" spans="1:40" ht="16.5" customHeight="1" x14ac:dyDescent="0.3">
      <c r="A818" s="69"/>
      <c r="B818" s="69"/>
      <c r="C818" s="69"/>
      <c r="D818" s="69"/>
      <c r="E818" s="69"/>
      <c r="F818" s="69"/>
      <c r="G818" s="17" t="s">
        <v>1405</v>
      </c>
      <c r="Z818" s="101"/>
      <c r="AA818" s="101"/>
      <c r="AB818" s="101"/>
      <c r="AC818" s="101"/>
      <c r="AD818" s="101"/>
      <c r="AE818" s="101"/>
      <c r="AF818" s="101"/>
      <c r="AG818" s="101"/>
      <c r="AH818" s="101"/>
      <c r="AI818" s="101"/>
      <c r="AJ818" s="101"/>
      <c r="AK818" s="101"/>
      <c r="AL818" s="101"/>
      <c r="AM818" s="101"/>
      <c r="AN818" s="101"/>
    </row>
    <row r="819" spans="1:40" ht="16.5" customHeight="1" x14ac:dyDescent="0.3">
      <c r="A819" s="59" t="s">
        <v>1800</v>
      </c>
      <c r="B819" s="89" t="str">
        <f>" 경  비: "&amp;TEXT(I819,"#,##0"&amp;IF(I819&lt;&gt;INT(I819),".###",""))&amp;" / Q = "&amp;TEXT(C819,"#,##0.0")&amp;""</f>
        <v xml:space="preserve"> 경  비: 19,136 / Q = 45.0</v>
      </c>
      <c r="C819" s="91">
        <f>E819+D819+F819</f>
        <v>45</v>
      </c>
      <c r="D819" s="91">
        <f>IF(H819=0,0,ROUNDDOWN(J819*H819,1))</f>
        <v>0</v>
      </c>
      <c r="E819" s="91">
        <f>IF(H819=0,0,ROUNDDOWN(K819*H819,1))</f>
        <v>0</v>
      </c>
      <c r="F819" s="91">
        <f>IF(H819=0,0,ROUNDDOWN(L819*H819,1))</f>
        <v>45</v>
      </c>
      <c r="G819" s="17" t="s">
        <v>1799</v>
      </c>
      <c r="H819" s="97">
        <f>ROUNDUP(AC819,14-LEN(ABS(INT(AC819))))</f>
        <v>2.3529411764999998E-3</v>
      </c>
      <c r="I819" s="98">
        <f>K819+J819+L819</f>
        <v>19136</v>
      </c>
      <c r="L819" s="38">
        <f>중기목록표!H31</f>
        <v>19136</v>
      </c>
      <c r="M819" s="35" t="s">
        <v>1796</v>
      </c>
      <c r="N819" s="35" t="s">
        <v>1262</v>
      </c>
      <c r="X819" s="100" t="str">
        <f>중기목록표!B31&amp;" / "&amp;중기목록표!C31</f>
        <v>타이어 롤러(자주식) / 8-15톤</v>
      </c>
      <c r="Y819" s="3" t="str">
        <f ca="1">HYPERLINK("#"&amp;중기목록표!J2&amp;"!A"&amp;ROW(중기목록표!A31),"중기28 →")</f>
        <v>중기28 →</v>
      </c>
      <c r="Z819" s="35" t="s">
        <v>1417</v>
      </c>
      <c r="AA819" s="103" t="str">
        <f>AD763</f>
        <v>425.000</v>
      </c>
      <c r="AB819" s="35" t="s">
        <v>1410</v>
      </c>
      <c r="AC819" s="103">
        <f>1/AD763</f>
        <v>2.352941176470588E-3</v>
      </c>
      <c r="AD819" s="101"/>
      <c r="AE819" s="101"/>
      <c r="AF819" s="101"/>
      <c r="AG819" s="101"/>
      <c r="AH819" s="101"/>
      <c r="AI819" s="101"/>
      <c r="AJ819" s="101"/>
      <c r="AK819" s="101"/>
      <c r="AL819" s="101"/>
      <c r="AM819" s="101"/>
      <c r="AN819" s="101"/>
    </row>
    <row r="820" spans="1:40" ht="16.5" customHeight="1" x14ac:dyDescent="0.3">
      <c r="A820" s="69"/>
      <c r="B820" s="69"/>
      <c r="C820" s="69"/>
      <c r="D820" s="69"/>
      <c r="E820" s="69"/>
      <c r="F820" s="69"/>
      <c r="G820" s="17" t="s">
        <v>1405</v>
      </c>
      <c r="Z820" s="101"/>
      <c r="AA820" s="101"/>
      <c r="AB820" s="101"/>
      <c r="AC820" s="101"/>
      <c r="AD820" s="101"/>
      <c r="AE820" s="101"/>
      <c r="AF820" s="101"/>
      <c r="AG820" s="101"/>
      <c r="AH820" s="101"/>
      <c r="AI820" s="101"/>
      <c r="AJ820" s="101"/>
      <c r="AK820" s="101"/>
      <c r="AL820" s="101"/>
      <c r="AM820" s="101"/>
      <c r="AN820" s="101"/>
    </row>
    <row r="821" spans="1:40" ht="16.5" customHeight="1" x14ac:dyDescent="0.3">
      <c r="A821" s="59"/>
      <c r="B821" s="68" t="s">
        <v>1260</v>
      </c>
      <c r="C821" s="92">
        <f>E821+D821+F821</f>
        <v>225.4</v>
      </c>
      <c r="D821" s="92">
        <f>SUMIF(N812:N820,M821,D812:D820)</f>
        <v>138.80000000000001</v>
      </c>
      <c r="E821" s="92">
        <f>SUMIF(N812:N820,M821,E812:E820)</f>
        <v>41.6</v>
      </c>
      <c r="F821" s="92">
        <f>SUMIF(N812:N820,M821,F812:F820)</f>
        <v>45</v>
      </c>
      <c r="G821" s="17" t="s">
        <v>1430</v>
      </c>
      <c r="M821" s="35" t="s">
        <v>1262</v>
      </c>
      <c r="N821" s="35" t="s">
        <v>1253</v>
      </c>
      <c r="Z821" s="101"/>
      <c r="AA821" s="101"/>
      <c r="AB821" s="101"/>
      <c r="AC821" s="101"/>
      <c r="AD821" s="101"/>
      <c r="AE821" s="101"/>
      <c r="AF821" s="101"/>
      <c r="AG821" s="101"/>
      <c r="AH821" s="101"/>
      <c r="AI821" s="101"/>
      <c r="AJ821" s="101"/>
      <c r="AK821" s="101"/>
      <c r="AL821" s="101"/>
      <c r="AM821" s="101"/>
      <c r="AN821" s="101"/>
    </row>
    <row r="822" spans="1:40" ht="16.5" customHeight="1" x14ac:dyDescent="0.3">
      <c r="A822" s="69"/>
      <c r="B822" s="69"/>
      <c r="C822" s="90"/>
      <c r="D822" s="90"/>
      <c r="E822" s="90"/>
      <c r="F822" s="90"/>
      <c r="G822" s="17" t="s">
        <v>1405</v>
      </c>
      <c r="Z822" s="101"/>
      <c r="AA822" s="101"/>
      <c r="AB822" s="101"/>
      <c r="AC822" s="101"/>
      <c r="AD822" s="101"/>
      <c r="AE822" s="101"/>
      <c r="AF822" s="101"/>
      <c r="AG822" s="101"/>
      <c r="AH822" s="101"/>
      <c r="AI822" s="101"/>
      <c r="AJ822" s="101"/>
      <c r="AK822" s="101"/>
      <c r="AL822" s="101"/>
      <c r="AM822" s="101"/>
      <c r="AN822" s="101"/>
    </row>
    <row r="823" spans="1:40" ht="16.5" customHeight="1" x14ac:dyDescent="0.3">
      <c r="A823" s="59"/>
      <c r="B823" s="68" t="s">
        <v>1802</v>
      </c>
      <c r="C823" s="69"/>
      <c r="D823" s="69"/>
      <c r="E823" s="69"/>
      <c r="F823" s="69"/>
      <c r="G823" s="17" t="s">
        <v>1801</v>
      </c>
      <c r="Z823" s="101"/>
      <c r="AA823" s="101"/>
      <c r="AB823" s="101"/>
      <c r="AC823" s="101"/>
      <c r="AD823" s="101"/>
      <c r="AE823" s="101"/>
      <c r="AF823" s="101"/>
      <c r="AG823" s="101"/>
      <c r="AH823" s="101"/>
      <c r="AI823" s="101"/>
      <c r="AJ823" s="101"/>
      <c r="AK823" s="101"/>
      <c r="AL823" s="101"/>
      <c r="AM823" s="101"/>
      <c r="AN823" s="101"/>
    </row>
    <row r="824" spans="1:40" ht="16.5" customHeight="1" x14ac:dyDescent="0.3">
      <c r="A824" s="69"/>
      <c r="B824" s="69"/>
      <c r="C824" s="69"/>
      <c r="D824" s="69"/>
      <c r="E824" s="69"/>
      <c r="F824" s="69"/>
      <c r="G824" s="17" t="s">
        <v>1405</v>
      </c>
      <c r="Z824" s="101"/>
      <c r="AA824" s="101"/>
      <c r="AB824" s="101"/>
      <c r="AC824" s="101"/>
      <c r="AD824" s="101"/>
      <c r="AE824" s="101"/>
      <c r="AF824" s="101"/>
      <c r="AG824" s="101"/>
      <c r="AH824" s="101"/>
      <c r="AI824" s="101"/>
      <c r="AJ824" s="101"/>
      <c r="AK824" s="101"/>
      <c r="AL824" s="101"/>
      <c r="AM824" s="101"/>
      <c r="AN824" s="101"/>
    </row>
    <row r="825" spans="1:40" ht="16.5" customHeight="1" x14ac:dyDescent="0.3">
      <c r="A825" s="59" t="s">
        <v>1804</v>
      </c>
      <c r="B825" s="89" t="str">
        <f>" 노무비: "&amp;TEXT(I825,"#,##0"&amp;IF(I825&lt;&gt;INT(I825),".###",""))&amp;" / Q = "&amp;TEXT(C825,"#,##0.0")&amp;""</f>
        <v xml:space="preserve"> 노무비: 59,020 / Q = 138.8</v>
      </c>
      <c r="C825" s="91">
        <f>E825+D825+F825</f>
        <v>138.80000000000001</v>
      </c>
      <c r="D825" s="91">
        <f>IF(H825=0,0,ROUNDDOWN(J825*H825,1))</f>
        <v>138.80000000000001</v>
      </c>
      <c r="E825" s="91">
        <f>IF(H825=0,0,ROUNDDOWN(K825*H825,1))</f>
        <v>0</v>
      </c>
      <c r="F825" s="91">
        <f>IF(H825=0,0,ROUNDDOWN(L825*H825,1))</f>
        <v>0</v>
      </c>
      <c r="G825" s="17" t="s">
        <v>1803</v>
      </c>
      <c r="H825" s="97">
        <f>ROUNDUP(AC825,14-LEN(ABS(INT(AC825))))</f>
        <v>2.3529411764999998E-3</v>
      </c>
      <c r="I825" s="98">
        <f>K825+J825+L825</f>
        <v>59020</v>
      </c>
      <c r="J825" s="38">
        <f>중기목록표!F32</f>
        <v>59020</v>
      </c>
      <c r="M825" s="35" t="s">
        <v>1805</v>
      </c>
      <c r="N825" s="35" t="s">
        <v>1262</v>
      </c>
      <c r="X825" s="100" t="str">
        <f>중기목록표!B32&amp;" / "&amp;중기목록표!C32</f>
        <v>탠덤롤러(자주식) / 5-8톤</v>
      </c>
      <c r="Y825" s="3" t="str">
        <f ca="1">HYPERLINK("#"&amp;중기목록표!J2&amp;"!A"&amp;ROW(중기목록표!A32),"중기29 →")</f>
        <v>중기29 →</v>
      </c>
      <c r="Z825" s="35" t="s">
        <v>1417</v>
      </c>
      <c r="AA825" s="103" t="str">
        <f>AD763</f>
        <v>425.000</v>
      </c>
      <c r="AB825" s="35" t="s">
        <v>1410</v>
      </c>
      <c r="AC825" s="103">
        <f>1/AD763</f>
        <v>2.352941176470588E-3</v>
      </c>
      <c r="AD825" s="101"/>
      <c r="AE825" s="101"/>
      <c r="AF825" s="101"/>
      <c r="AG825" s="101"/>
      <c r="AH825" s="101"/>
      <c r="AI825" s="101"/>
      <c r="AJ825" s="101"/>
      <c r="AK825" s="101"/>
      <c r="AL825" s="101"/>
      <c r="AM825" s="101"/>
      <c r="AN825" s="101"/>
    </row>
    <row r="826" spans="1:40" ht="16.5" customHeight="1" x14ac:dyDescent="0.3">
      <c r="A826" s="69"/>
      <c r="B826" s="69"/>
      <c r="C826" s="69"/>
      <c r="D826" s="69"/>
      <c r="E826" s="69"/>
      <c r="F826" s="69"/>
      <c r="G826" s="17" t="s">
        <v>1405</v>
      </c>
      <c r="Z826" s="101"/>
      <c r="AA826" s="101"/>
      <c r="AB826" s="101"/>
      <c r="AC826" s="101"/>
      <c r="AD826" s="101"/>
      <c r="AE826" s="101"/>
      <c r="AF826" s="101"/>
      <c r="AG826" s="101"/>
      <c r="AH826" s="101"/>
      <c r="AI826" s="101"/>
      <c r="AJ826" s="101"/>
      <c r="AK826" s="101"/>
      <c r="AL826" s="101"/>
      <c r="AM826" s="101"/>
      <c r="AN826" s="101"/>
    </row>
    <row r="827" spans="1:40" ht="16.5" customHeight="1" x14ac:dyDescent="0.3">
      <c r="A827" s="59" t="s">
        <v>1807</v>
      </c>
      <c r="B827" s="89" t="str">
        <f>" 재료비: "&amp;TEXT(I827,"#,##0"&amp;IF(I827&lt;&gt;INT(I827),".###",""))&amp;" / Q = "&amp;TEXT(C827,"#,##0.0")&amp;""</f>
        <v xml:space="preserve"> 재료비: 10,614 / Q = 24.9</v>
      </c>
      <c r="C827" s="91">
        <f>E827+D827+F827</f>
        <v>24.9</v>
      </c>
      <c r="D827" s="91">
        <f>IF(H827=0,0,ROUNDDOWN(J827*H827,1))</f>
        <v>0</v>
      </c>
      <c r="E827" s="91">
        <f>IF(H827=0,0,ROUNDDOWN(K827*H827,1))</f>
        <v>24.9</v>
      </c>
      <c r="F827" s="91">
        <f>IF(H827=0,0,ROUNDDOWN(L827*H827,1))</f>
        <v>0</v>
      </c>
      <c r="G827" s="17" t="s">
        <v>1806</v>
      </c>
      <c r="H827" s="97">
        <f>ROUNDUP(AC827,14-LEN(ABS(INT(AC827))))</f>
        <v>2.3529411764999998E-3</v>
      </c>
      <c r="I827" s="98">
        <f>K827+J827+L827</f>
        <v>10614</v>
      </c>
      <c r="K827" s="38">
        <f>중기목록표!G32</f>
        <v>10614</v>
      </c>
      <c r="M827" s="35" t="s">
        <v>1805</v>
      </c>
      <c r="N827" s="35" t="s">
        <v>1262</v>
      </c>
      <c r="X827" s="100" t="str">
        <f>중기목록표!B32&amp;" / "&amp;중기목록표!C32</f>
        <v>탠덤롤러(자주식) / 5-8톤</v>
      </c>
      <c r="Y827" s="3" t="str">
        <f ca="1">HYPERLINK("#"&amp;중기목록표!J2&amp;"!A"&amp;ROW(중기목록표!A32),"중기29 →")</f>
        <v>중기29 →</v>
      </c>
      <c r="Z827" s="35" t="s">
        <v>1417</v>
      </c>
      <c r="AA827" s="103" t="str">
        <f>AD763</f>
        <v>425.000</v>
      </c>
      <c r="AB827" s="35" t="s">
        <v>1410</v>
      </c>
      <c r="AC827" s="103">
        <f>1/AD763</f>
        <v>2.352941176470588E-3</v>
      </c>
      <c r="AD827" s="101"/>
      <c r="AE827" s="101"/>
      <c r="AF827" s="101"/>
      <c r="AG827" s="101"/>
      <c r="AH827" s="101"/>
      <c r="AI827" s="101"/>
      <c r="AJ827" s="101"/>
      <c r="AK827" s="101"/>
      <c r="AL827" s="101"/>
      <c r="AM827" s="101"/>
      <c r="AN827" s="101"/>
    </row>
    <row r="828" spans="1:40" ht="16.5" customHeight="1" x14ac:dyDescent="0.3">
      <c r="A828" s="69"/>
      <c r="B828" s="69"/>
      <c r="C828" s="69"/>
      <c r="D828" s="69"/>
      <c r="E828" s="69"/>
      <c r="F828" s="69"/>
      <c r="G828" s="17" t="s">
        <v>1405</v>
      </c>
      <c r="Z828" s="101"/>
      <c r="AA828" s="101"/>
      <c r="AB828" s="101"/>
      <c r="AC828" s="101"/>
      <c r="AD828" s="101"/>
      <c r="AE828" s="101"/>
      <c r="AF828" s="101"/>
      <c r="AG828" s="101"/>
      <c r="AH828" s="101"/>
      <c r="AI828" s="101"/>
      <c r="AJ828" s="101"/>
      <c r="AK828" s="101"/>
      <c r="AL828" s="101"/>
      <c r="AM828" s="101"/>
      <c r="AN828" s="101"/>
    </row>
    <row r="829" spans="1:40" ht="16.5" customHeight="1" x14ac:dyDescent="0.3">
      <c r="A829" s="59" t="s">
        <v>1809</v>
      </c>
      <c r="B829" s="89" t="str">
        <f>" 경  비: "&amp;TEXT(I829,"#,##0"&amp;IF(I829&lt;&gt;INT(I829),".###",""))&amp;" / Q = "&amp;TEXT(C829,"#,##0.0")&amp;""</f>
        <v xml:space="preserve"> 경  비: 9,037 / Q = 21.2</v>
      </c>
      <c r="C829" s="91">
        <f>E829+D829+F829</f>
        <v>21.2</v>
      </c>
      <c r="D829" s="91">
        <f>IF(H829=0,0,ROUNDDOWN(J829*H829,1))</f>
        <v>0</v>
      </c>
      <c r="E829" s="91">
        <f>IF(H829=0,0,ROUNDDOWN(K829*H829,1))</f>
        <v>0</v>
      </c>
      <c r="F829" s="91">
        <f>IF(H829=0,0,ROUNDDOWN(L829*H829,1))</f>
        <v>21.2</v>
      </c>
      <c r="G829" s="17" t="s">
        <v>1808</v>
      </c>
      <c r="H829" s="97">
        <f>ROUNDUP(AC829,14-LEN(ABS(INT(AC829))))</f>
        <v>2.3529411764999998E-3</v>
      </c>
      <c r="I829" s="98">
        <f>K829+J829+L829</f>
        <v>9037</v>
      </c>
      <c r="L829" s="38">
        <f>중기목록표!H32</f>
        <v>9037</v>
      </c>
      <c r="M829" s="35" t="s">
        <v>1805</v>
      </c>
      <c r="N829" s="35" t="s">
        <v>1262</v>
      </c>
      <c r="X829" s="100" t="str">
        <f>중기목록표!B32&amp;" / "&amp;중기목록표!C32</f>
        <v>탠덤롤러(자주식) / 5-8톤</v>
      </c>
      <c r="Y829" s="3" t="str">
        <f ca="1">HYPERLINK("#"&amp;중기목록표!J2&amp;"!A"&amp;ROW(중기목록표!A32),"중기29 →")</f>
        <v>중기29 →</v>
      </c>
      <c r="Z829" s="35" t="s">
        <v>1417</v>
      </c>
      <c r="AA829" s="103" t="str">
        <f>AD763</f>
        <v>425.000</v>
      </c>
      <c r="AB829" s="35" t="s">
        <v>1410</v>
      </c>
      <c r="AC829" s="103">
        <f>1/AD763</f>
        <v>2.352941176470588E-3</v>
      </c>
      <c r="AD829" s="101"/>
      <c r="AE829" s="101"/>
      <c r="AF829" s="101"/>
      <c r="AG829" s="101"/>
      <c r="AH829" s="101"/>
      <c r="AI829" s="101"/>
      <c r="AJ829" s="101"/>
      <c r="AK829" s="101"/>
      <c r="AL829" s="101"/>
      <c r="AM829" s="101"/>
      <c r="AN829" s="101"/>
    </row>
    <row r="830" spans="1:40" ht="16.5" customHeight="1" x14ac:dyDescent="0.3">
      <c r="A830" s="69"/>
      <c r="B830" s="69"/>
      <c r="C830" s="69"/>
      <c r="D830" s="69"/>
      <c r="E830" s="69"/>
      <c r="F830" s="69"/>
      <c r="G830" s="17" t="s">
        <v>1405</v>
      </c>
      <c r="Z830" s="101"/>
      <c r="AA830" s="101"/>
      <c r="AB830" s="101"/>
      <c r="AC830" s="101"/>
      <c r="AD830" s="101"/>
      <c r="AE830" s="101"/>
      <c r="AF830" s="101"/>
      <c r="AG830" s="101"/>
      <c r="AH830" s="101"/>
      <c r="AI830" s="101"/>
      <c r="AJ830" s="101"/>
      <c r="AK830" s="101"/>
      <c r="AL830" s="101"/>
      <c r="AM830" s="101"/>
      <c r="AN830" s="101"/>
    </row>
    <row r="831" spans="1:40" ht="16.5" customHeight="1" x14ac:dyDescent="0.3">
      <c r="A831" s="59"/>
      <c r="B831" s="68" t="s">
        <v>1260</v>
      </c>
      <c r="C831" s="92">
        <f>E831+D831+F831</f>
        <v>184.9</v>
      </c>
      <c r="D831" s="92">
        <f>SUMIF(N822:N830,M831,D822:D830)</f>
        <v>138.80000000000001</v>
      </c>
      <c r="E831" s="92">
        <f>SUMIF(N822:N830,M831,E822:E830)</f>
        <v>24.9</v>
      </c>
      <c r="F831" s="92">
        <f>SUMIF(N822:N830,M831,F822:F830)</f>
        <v>21.2</v>
      </c>
      <c r="G831" s="17" t="s">
        <v>1430</v>
      </c>
      <c r="M831" s="35" t="s">
        <v>1262</v>
      </c>
      <c r="N831" s="35" t="s">
        <v>1253</v>
      </c>
      <c r="Z831" s="101"/>
      <c r="AA831" s="101"/>
      <c r="AB831" s="101"/>
      <c r="AC831" s="101"/>
      <c r="AD831" s="101"/>
      <c r="AE831" s="101"/>
      <c r="AF831" s="101"/>
      <c r="AG831" s="101"/>
      <c r="AH831" s="101"/>
      <c r="AI831" s="101"/>
      <c r="AJ831" s="101"/>
      <c r="AK831" s="101"/>
      <c r="AL831" s="101"/>
      <c r="AM831" s="101"/>
      <c r="AN831" s="101"/>
    </row>
    <row r="832" spans="1:40" ht="16.5" customHeight="1" x14ac:dyDescent="0.3">
      <c r="A832" s="69"/>
      <c r="B832" s="69"/>
      <c r="C832" s="90"/>
      <c r="D832" s="90"/>
      <c r="E832" s="90"/>
      <c r="F832" s="90"/>
      <c r="G832" s="17" t="s">
        <v>1405</v>
      </c>
      <c r="Z832" s="101"/>
      <c r="AA832" s="101"/>
      <c r="AB832" s="101"/>
      <c r="AC832" s="101"/>
      <c r="AD832" s="101"/>
      <c r="AE832" s="101"/>
      <c r="AF832" s="101"/>
      <c r="AG832" s="101"/>
      <c r="AH832" s="101"/>
      <c r="AI832" s="101"/>
      <c r="AJ832" s="101"/>
      <c r="AK832" s="101"/>
      <c r="AL832" s="101"/>
      <c r="AM832" s="101"/>
      <c r="AN832" s="101"/>
    </row>
    <row r="833" spans="1:40" ht="16.5" customHeight="1" x14ac:dyDescent="0.3">
      <c r="A833" s="59"/>
      <c r="B833" s="68" t="s">
        <v>1811</v>
      </c>
      <c r="C833" s="69"/>
      <c r="D833" s="69"/>
      <c r="E833" s="69"/>
      <c r="F833" s="69"/>
      <c r="G833" s="17" t="s">
        <v>1810</v>
      </c>
      <c r="Z833" s="101"/>
      <c r="AA833" s="101"/>
      <c r="AB833" s="101"/>
      <c r="AC833" s="101"/>
      <c r="AD833" s="101"/>
      <c r="AE833" s="101"/>
      <c r="AF833" s="101"/>
      <c r="AG833" s="101"/>
      <c r="AH833" s="101"/>
      <c r="AI833" s="101"/>
      <c r="AJ833" s="101"/>
      <c r="AK833" s="101"/>
      <c r="AL833" s="101"/>
      <c r="AM833" s="101"/>
      <c r="AN833" s="101"/>
    </row>
    <row r="834" spans="1:40" ht="16.5" customHeight="1" x14ac:dyDescent="0.3">
      <c r="A834" s="69"/>
      <c r="B834" s="69"/>
      <c r="C834" s="69"/>
      <c r="D834" s="69"/>
      <c r="E834" s="69"/>
      <c r="F834" s="69"/>
      <c r="G834" s="17" t="s">
        <v>1405</v>
      </c>
      <c r="Z834" s="101"/>
      <c r="AA834" s="101"/>
      <c r="AB834" s="101"/>
      <c r="AC834" s="101"/>
      <c r="AD834" s="101"/>
      <c r="AE834" s="101"/>
      <c r="AF834" s="101"/>
      <c r="AG834" s="101"/>
      <c r="AH834" s="101"/>
      <c r="AI834" s="101"/>
      <c r="AJ834" s="101"/>
      <c r="AK834" s="101"/>
      <c r="AL834" s="101"/>
      <c r="AM834" s="101"/>
      <c r="AN834" s="101"/>
    </row>
    <row r="835" spans="1:40" ht="16.5" customHeight="1" x14ac:dyDescent="0.3">
      <c r="A835" s="59" t="s">
        <v>1813</v>
      </c>
      <c r="B835" s="89" t="str">
        <f>" 노무비: "&amp;TEXT(I835,"#,##0"&amp;IF(I835&lt;&gt;INT(I835),".###",""))&amp;" / Q = "&amp;TEXT(C835,"#,##0.0")&amp;""</f>
        <v xml:space="preserve"> 노무비: 49,778 / Q = 117.1</v>
      </c>
      <c r="C835" s="91">
        <f>E835+D835+F835</f>
        <v>117.1</v>
      </c>
      <c r="D835" s="91">
        <f>IF(H835=0,0,ROUNDDOWN(J835*H835,1))</f>
        <v>117.1</v>
      </c>
      <c r="E835" s="91">
        <f>IF(H835=0,0,ROUNDDOWN(K835*H835,1))</f>
        <v>0</v>
      </c>
      <c r="F835" s="91">
        <f>IF(H835=0,0,ROUNDDOWN(L835*H835,1))</f>
        <v>0</v>
      </c>
      <c r="G835" s="17" t="s">
        <v>1812</v>
      </c>
      <c r="H835" s="97">
        <f>ROUNDUP(AC835,14-LEN(ABS(INT(AC835))))</f>
        <v>2.3529411764999998E-3</v>
      </c>
      <c r="I835" s="98">
        <f>K835+J835+L835</f>
        <v>49778</v>
      </c>
      <c r="J835" s="38">
        <f>중기목록표!F20</f>
        <v>49778</v>
      </c>
      <c r="M835" s="35" t="s">
        <v>1814</v>
      </c>
      <c r="N835" s="35" t="s">
        <v>1262</v>
      </c>
      <c r="X835" s="100" t="str">
        <f>중기목록표!B20&amp;" / "&amp;중기목록표!C20</f>
        <v>물탱크(살수차) / 16000ℓ</v>
      </c>
      <c r="Y835" s="3" t="str">
        <f ca="1">HYPERLINK("#"&amp;중기목록표!J2&amp;"!A"&amp;ROW(중기목록표!A20),"중기17 →")</f>
        <v>중기17 →</v>
      </c>
      <c r="Z835" s="35" t="s">
        <v>1417</v>
      </c>
      <c r="AA835" s="103" t="str">
        <f>AD763</f>
        <v>425.000</v>
      </c>
      <c r="AB835" s="35" t="s">
        <v>1410</v>
      </c>
      <c r="AC835" s="103">
        <f>1/AD763</f>
        <v>2.352941176470588E-3</v>
      </c>
      <c r="AD835" s="101"/>
      <c r="AE835" s="101"/>
      <c r="AF835" s="101"/>
      <c r="AG835" s="101"/>
      <c r="AH835" s="101"/>
      <c r="AI835" s="101"/>
      <c r="AJ835" s="101"/>
      <c r="AK835" s="101"/>
      <c r="AL835" s="101"/>
      <c r="AM835" s="101"/>
      <c r="AN835" s="101"/>
    </row>
    <row r="836" spans="1:40" ht="16.5" customHeight="1" x14ac:dyDescent="0.3">
      <c r="A836" s="69"/>
      <c r="B836" s="69"/>
      <c r="C836" s="69"/>
      <c r="D836" s="69"/>
      <c r="E836" s="69"/>
      <c r="F836" s="69"/>
      <c r="G836" s="17" t="s">
        <v>1405</v>
      </c>
      <c r="Z836" s="101"/>
      <c r="AA836" s="101"/>
      <c r="AB836" s="101"/>
      <c r="AC836" s="101"/>
      <c r="AD836" s="101"/>
      <c r="AE836" s="101"/>
      <c r="AF836" s="101"/>
      <c r="AG836" s="101"/>
      <c r="AH836" s="101"/>
      <c r="AI836" s="101"/>
      <c r="AJ836" s="101"/>
      <c r="AK836" s="101"/>
      <c r="AL836" s="101"/>
      <c r="AM836" s="101"/>
      <c r="AN836" s="101"/>
    </row>
    <row r="837" spans="1:40" ht="16.5" customHeight="1" x14ac:dyDescent="0.3">
      <c r="A837" s="59" t="s">
        <v>1816</v>
      </c>
      <c r="B837" s="89" t="str">
        <f>" 재료비: "&amp;TEXT(I837,"#,##0"&amp;IF(I837&lt;&gt;INT(I837),".###",""))&amp;" / Q = "&amp;TEXT(C837,"#,##0.0")&amp;""</f>
        <v xml:space="preserve"> 재료비: 30,169 / Q = 70.9</v>
      </c>
      <c r="C837" s="91">
        <f>E837+D837+F837</f>
        <v>70.900000000000006</v>
      </c>
      <c r="D837" s="91">
        <f>IF(H837=0,0,ROUNDDOWN(J837*H837,1))</f>
        <v>0</v>
      </c>
      <c r="E837" s="91">
        <f>IF(H837=0,0,ROUNDDOWN(K837*H837,1))</f>
        <v>70.900000000000006</v>
      </c>
      <c r="F837" s="91">
        <f>IF(H837=0,0,ROUNDDOWN(L837*H837,1))</f>
        <v>0</v>
      </c>
      <c r="G837" s="17" t="s">
        <v>1815</v>
      </c>
      <c r="H837" s="97">
        <f>ROUNDUP(AC837,14-LEN(ABS(INT(AC837))))</f>
        <v>2.3529411764999998E-3</v>
      </c>
      <c r="I837" s="98">
        <f>K837+J837+L837</f>
        <v>30169</v>
      </c>
      <c r="K837" s="38">
        <f>중기목록표!G20</f>
        <v>30169</v>
      </c>
      <c r="M837" s="35" t="s">
        <v>1814</v>
      </c>
      <c r="N837" s="35" t="s">
        <v>1262</v>
      </c>
      <c r="X837" s="100" t="str">
        <f>중기목록표!B20&amp;" / "&amp;중기목록표!C20</f>
        <v>물탱크(살수차) / 16000ℓ</v>
      </c>
      <c r="Y837" s="3" t="str">
        <f ca="1">HYPERLINK("#"&amp;중기목록표!J2&amp;"!A"&amp;ROW(중기목록표!A20),"중기17 →")</f>
        <v>중기17 →</v>
      </c>
      <c r="Z837" s="35" t="s">
        <v>1417</v>
      </c>
      <c r="AA837" s="103" t="str">
        <f>AD763</f>
        <v>425.000</v>
      </c>
      <c r="AB837" s="35" t="s">
        <v>1410</v>
      </c>
      <c r="AC837" s="103">
        <f>1/AD763</f>
        <v>2.352941176470588E-3</v>
      </c>
      <c r="AD837" s="101"/>
      <c r="AE837" s="101"/>
      <c r="AF837" s="101"/>
      <c r="AG837" s="101"/>
      <c r="AH837" s="101"/>
      <c r="AI837" s="101"/>
      <c r="AJ837" s="101"/>
      <c r="AK837" s="101"/>
      <c r="AL837" s="101"/>
      <c r="AM837" s="101"/>
      <c r="AN837" s="101"/>
    </row>
    <row r="838" spans="1:40" ht="16.5" customHeight="1" x14ac:dyDescent="0.3">
      <c r="A838" s="69"/>
      <c r="B838" s="69"/>
      <c r="C838" s="69"/>
      <c r="D838" s="69"/>
      <c r="E838" s="69"/>
      <c r="F838" s="69"/>
      <c r="G838" s="17" t="s">
        <v>1405</v>
      </c>
      <c r="Z838" s="101"/>
      <c r="AA838" s="101"/>
      <c r="AB838" s="101"/>
      <c r="AC838" s="101"/>
      <c r="AD838" s="101"/>
      <c r="AE838" s="101"/>
      <c r="AF838" s="101"/>
      <c r="AG838" s="101"/>
      <c r="AH838" s="101"/>
      <c r="AI838" s="101"/>
      <c r="AJ838" s="101"/>
      <c r="AK838" s="101"/>
      <c r="AL838" s="101"/>
      <c r="AM838" s="101"/>
      <c r="AN838" s="101"/>
    </row>
    <row r="839" spans="1:40" ht="16.5" customHeight="1" x14ac:dyDescent="0.3">
      <c r="A839" s="59" t="s">
        <v>1818</v>
      </c>
      <c r="B839" s="89" t="str">
        <f>" 경  비: "&amp;TEXT(I839,"#,##0"&amp;IF(I839&lt;&gt;INT(I839),".###",""))&amp;" / Q = "&amp;TEXT(C839,"#,##0.0")&amp;""</f>
        <v xml:space="preserve"> 경  비: 19,154 / Q = 45.0</v>
      </c>
      <c r="C839" s="91">
        <f>E839+D839+F839</f>
        <v>45</v>
      </c>
      <c r="D839" s="91">
        <f>IF(H839=0,0,ROUNDDOWN(J839*H839,1))</f>
        <v>0</v>
      </c>
      <c r="E839" s="91">
        <f>IF(H839=0,0,ROUNDDOWN(K839*H839,1))</f>
        <v>0</v>
      </c>
      <c r="F839" s="91">
        <f>IF(H839=0,0,ROUNDDOWN(L839*H839,1))</f>
        <v>45</v>
      </c>
      <c r="G839" s="17" t="s">
        <v>1817</v>
      </c>
      <c r="H839" s="97">
        <f>ROUNDUP(AC839,14-LEN(ABS(INT(AC839))))</f>
        <v>2.3529411764999998E-3</v>
      </c>
      <c r="I839" s="98">
        <f>K839+J839+L839</f>
        <v>19154</v>
      </c>
      <c r="L839" s="38">
        <f>중기목록표!H20</f>
        <v>19154</v>
      </c>
      <c r="M839" s="35" t="s">
        <v>1814</v>
      </c>
      <c r="N839" s="35" t="s">
        <v>1262</v>
      </c>
      <c r="X839" s="100" t="str">
        <f>중기목록표!B20&amp;" / "&amp;중기목록표!C20</f>
        <v>물탱크(살수차) / 16000ℓ</v>
      </c>
      <c r="Y839" s="3" t="str">
        <f ca="1">HYPERLINK("#"&amp;중기목록표!J2&amp;"!A"&amp;ROW(중기목록표!A20),"중기17 →")</f>
        <v>중기17 →</v>
      </c>
      <c r="Z839" s="35" t="s">
        <v>1417</v>
      </c>
      <c r="AA839" s="103" t="str">
        <f>AD763</f>
        <v>425.000</v>
      </c>
      <c r="AB839" s="35" t="s">
        <v>1410</v>
      </c>
      <c r="AC839" s="103">
        <f>1/AD763</f>
        <v>2.352941176470588E-3</v>
      </c>
      <c r="AD839" s="101"/>
      <c r="AE839" s="101"/>
      <c r="AF839" s="101"/>
      <c r="AG839" s="101"/>
      <c r="AH839" s="101"/>
      <c r="AI839" s="101"/>
      <c r="AJ839" s="101"/>
      <c r="AK839" s="101"/>
      <c r="AL839" s="101"/>
      <c r="AM839" s="101"/>
      <c r="AN839" s="101"/>
    </row>
    <row r="840" spans="1:40" ht="16.5" customHeight="1" x14ac:dyDescent="0.3">
      <c r="A840" s="69"/>
      <c r="B840" s="69"/>
      <c r="C840" s="69"/>
      <c r="D840" s="69"/>
      <c r="E840" s="69"/>
      <c r="F840" s="69"/>
      <c r="G840" s="17" t="s">
        <v>1405</v>
      </c>
      <c r="Z840" s="101"/>
      <c r="AA840" s="101"/>
      <c r="AB840" s="101"/>
      <c r="AC840" s="101"/>
      <c r="AD840" s="101"/>
      <c r="AE840" s="101"/>
      <c r="AF840" s="101"/>
      <c r="AG840" s="101"/>
      <c r="AH840" s="101"/>
      <c r="AI840" s="101"/>
      <c r="AJ840" s="101"/>
      <c r="AK840" s="101"/>
      <c r="AL840" s="101"/>
      <c r="AM840" s="101"/>
      <c r="AN840" s="101"/>
    </row>
    <row r="841" spans="1:40" ht="16.5" customHeight="1" x14ac:dyDescent="0.3">
      <c r="A841" s="59"/>
      <c r="B841" s="68" t="s">
        <v>1260</v>
      </c>
      <c r="C841" s="92">
        <f>E841+D841+F841</f>
        <v>233</v>
      </c>
      <c r="D841" s="92">
        <f>SUMIF(N832:N840,M841,D832:D840)</f>
        <v>117.1</v>
      </c>
      <c r="E841" s="92">
        <f>SUMIF(N832:N840,M841,E832:E840)</f>
        <v>70.900000000000006</v>
      </c>
      <c r="F841" s="92">
        <f>SUMIF(N832:N840,M841,F832:F840)</f>
        <v>45</v>
      </c>
      <c r="G841" s="17" t="s">
        <v>1430</v>
      </c>
      <c r="M841" s="35" t="s">
        <v>1262</v>
      </c>
      <c r="N841" s="35" t="s">
        <v>1253</v>
      </c>
      <c r="Z841" s="101"/>
      <c r="AA841" s="101"/>
      <c r="AB841" s="101"/>
      <c r="AC841" s="101"/>
      <c r="AD841" s="101"/>
      <c r="AE841" s="101"/>
      <c r="AF841" s="101"/>
      <c r="AG841" s="101"/>
      <c r="AH841" s="101"/>
      <c r="AI841" s="101"/>
      <c r="AJ841" s="101"/>
      <c r="AK841" s="101"/>
      <c r="AL841" s="101"/>
      <c r="AM841" s="101"/>
      <c r="AN841" s="101"/>
    </row>
    <row r="842" spans="1:40" ht="16.5" customHeight="1" x14ac:dyDescent="0.3">
      <c r="A842" s="69"/>
      <c r="B842" s="69"/>
      <c r="C842" s="90"/>
      <c r="D842" s="90"/>
      <c r="E842" s="90"/>
      <c r="F842" s="90"/>
      <c r="G842" s="17" t="s">
        <v>1405</v>
      </c>
      <c r="Z842" s="101"/>
      <c r="AA842" s="101"/>
      <c r="AB842" s="101"/>
      <c r="AC842" s="101"/>
      <c r="AD842" s="101"/>
      <c r="AE842" s="101"/>
      <c r="AF842" s="101"/>
      <c r="AG842" s="101"/>
      <c r="AH842" s="101"/>
      <c r="AI842" s="101"/>
      <c r="AJ842" s="101"/>
      <c r="AK842" s="101"/>
      <c r="AL842" s="101"/>
      <c r="AM842" s="101"/>
      <c r="AN842" s="101"/>
    </row>
    <row r="843" spans="1:40" ht="16.5" customHeight="1" x14ac:dyDescent="0.3">
      <c r="A843" s="59"/>
      <c r="B843" s="68" t="s">
        <v>1820</v>
      </c>
      <c r="C843" s="69"/>
      <c r="D843" s="69"/>
      <c r="E843" s="69"/>
      <c r="F843" s="69"/>
      <c r="G843" s="17" t="s">
        <v>1819</v>
      </c>
      <c r="Z843" s="101"/>
      <c r="AA843" s="101"/>
      <c r="AB843" s="101"/>
      <c r="AC843" s="101"/>
      <c r="AD843" s="101"/>
      <c r="AE843" s="101"/>
      <c r="AF843" s="101"/>
      <c r="AG843" s="101"/>
      <c r="AH843" s="101"/>
      <c r="AI843" s="101"/>
      <c r="AJ843" s="101"/>
      <c r="AK843" s="101"/>
      <c r="AL843" s="101"/>
      <c r="AM843" s="101"/>
      <c r="AN843" s="101"/>
    </row>
    <row r="844" spans="1:40" ht="16.5" customHeight="1" x14ac:dyDescent="0.3">
      <c r="A844" s="69"/>
      <c r="B844" s="69"/>
      <c r="C844" s="69"/>
      <c r="D844" s="69"/>
      <c r="E844" s="69"/>
      <c r="F844" s="69"/>
      <c r="G844" s="17" t="s">
        <v>1405</v>
      </c>
      <c r="Z844" s="101"/>
      <c r="AA844" s="101"/>
      <c r="AB844" s="101"/>
      <c r="AC844" s="101"/>
      <c r="AD844" s="101"/>
      <c r="AE844" s="101"/>
      <c r="AF844" s="101"/>
      <c r="AG844" s="101"/>
      <c r="AH844" s="101"/>
      <c r="AI844" s="101"/>
      <c r="AJ844" s="101"/>
      <c r="AK844" s="101"/>
      <c r="AL844" s="101"/>
      <c r="AM844" s="101"/>
      <c r="AN844" s="101"/>
    </row>
    <row r="845" spans="1:40" ht="16.5" customHeight="1" x14ac:dyDescent="0.3">
      <c r="A845" s="59" t="s">
        <v>1822</v>
      </c>
      <c r="B845" s="89" t="str">
        <f>" 노 무 비 :  "&amp;TEXT(I845,"#,##0"&amp;IF(I845&lt;&gt;INT(I845),".###",""))&amp;" / Q = "&amp;TEXT(C845,"#,##0.0")&amp;""</f>
        <v xml:space="preserve"> 노 무 비 :  59,020 / Q = 138.8</v>
      </c>
      <c r="C845" s="91">
        <f>E845+D845+F845</f>
        <v>138.80000000000001</v>
      </c>
      <c r="D845" s="91">
        <f>IF(H845=0,0,ROUNDDOWN(J845*H845,1))</f>
        <v>138.80000000000001</v>
      </c>
      <c r="E845" s="91">
        <f>IF(H845=0,0,ROUNDDOWN(K845*H845,1))</f>
        <v>0</v>
      </c>
      <c r="F845" s="91">
        <f>IF(H845=0,0,ROUNDDOWN(L845*H845,1))</f>
        <v>0</v>
      </c>
      <c r="G845" s="17" t="s">
        <v>1821</v>
      </c>
      <c r="H845" s="97">
        <f>ROUNDUP(AC845,14-LEN(ABS(INT(AC845))))</f>
        <v>2.3529411764999998E-3</v>
      </c>
      <c r="I845" s="98">
        <f>K845+J845+L845</f>
        <v>59020</v>
      </c>
      <c r="J845" s="38">
        <f>중기목록표!F18</f>
        <v>59020</v>
      </c>
      <c r="M845" s="35" t="s">
        <v>1823</v>
      </c>
      <c r="N845" s="35" t="s">
        <v>1262</v>
      </c>
      <c r="X845" s="100" t="str">
        <f>중기목록표!B18&amp;" / "&amp;중기목록표!C18</f>
        <v>로더(타이어)+소형노면파쇄기 / 0.95㎥</v>
      </c>
      <c r="Y845" s="3" t="str">
        <f ca="1">HYPERLINK("#"&amp;중기목록표!J2&amp;"!A"&amp;ROW(중기목록표!A18),"중기15 →")</f>
        <v>중기15 →</v>
      </c>
      <c r="Z845" s="35" t="s">
        <v>1417</v>
      </c>
      <c r="AA845" s="103" t="str">
        <f>AD763</f>
        <v>425.000</v>
      </c>
      <c r="AB845" s="35" t="s">
        <v>1410</v>
      </c>
      <c r="AC845" s="103">
        <f>1/AD763</f>
        <v>2.352941176470588E-3</v>
      </c>
      <c r="AD845" s="101"/>
      <c r="AE845" s="101"/>
      <c r="AF845" s="101"/>
      <c r="AG845" s="101"/>
      <c r="AH845" s="101"/>
      <c r="AI845" s="101"/>
      <c r="AJ845" s="101"/>
      <c r="AK845" s="101"/>
      <c r="AL845" s="101"/>
      <c r="AM845" s="101"/>
      <c r="AN845" s="101"/>
    </row>
    <row r="846" spans="1:40" ht="16.5" customHeight="1" x14ac:dyDescent="0.3">
      <c r="A846" s="69"/>
      <c r="B846" s="69"/>
      <c r="C846" s="69"/>
      <c r="D846" s="69"/>
      <c r="E846" s="69"/>
      <c r="F846" s="69"/>
      <c r="G846" s="17" t="s">
        <v>1405</v>
      </c>
      <c r="Z846" s="101"/>
      <c r="AA846" s="101"/>
      <c r="AB846" s="101"/>
      <c r="AC846" s="101"/>
      <c r="AD846" s="101"/>
      <c r="AE846" s="101"/>
      <c r="AF846" s="101"/>
      <c r="AG846" s="101"/>
      <c r="AH846" s="101"/>
      <c r="AI846" s="101"/>
      <c r="AJ846" s="101"/>
      <c r="AK846" s="101"/>
      <c r="AL846" s="101"/>
      <c r="AM846" s="101"/>
      <c r="AN846" s="101"/>
    </row>
    <row r="847" spans="1:40" ht="16.5" customHeight="1" x14ac:dyDescent="0.3">
      <c r="A847" s="59" t="s">
        <v>1825</v>
      </c>
      <c r="B847" s="89" t="str">
        <f>" 재 료 비 :  "&amp;TEXT(I847,"#,##0"&amp;IF(I847&lt;&gt;INT(I847),".###",""))&amp;" / Q = "&amp;TEXT(C847,"#,##0.0")&amp;""</f>
        <v xml:space="preserve"> 재 료 비 :  16,061 / Q = 37.7</v>
      </c>
      <c r="C847" s="91">
        <f>E847+D847+F847</f>
        <v>37.700000000000003</v>
      </c>
      <c r="D847" s="91">
        <f>IF(H847=0,0,ROUNDDOWN(J847*H847,1))</f>
        <v>0</v>
      </c>
      <c r="E847" s="91">
        <f>IF(H847=0,0,ROUNDDOWN(K847*H847,1))</f>
        <v>37.700000000000003</v>
      </c>
      <c r="F847" s="91">
        <f>IF(H847=0,0,ROUNDDOWN(L847*H847,1))</f>
        <v>0</v>
      </c>
      <c r="G847" s="17" t="s">
        <v>1824</v>
      </c>
      <c r="H847" s="97">
        <f>ROUNDUP(AC847,14-LEN(ABS(INT(AC847))))</f>
        <v>2.3529411764999998E-3</v>
      </c>
      <c r="I847" s="98">
        <f>K847+J847+L847</f>
        <v>16061</v>
      </c>
      <c r="K847" s="38">
        <f>중기목록표!G18</f>
        <v>16061</v>
      </c>
      <c r="M847" s="35" t="s">
        <v>1823</v>
      </c>
      <c r="N847" s="35" t="s">
        <v>1262</v>
      </c>
      <c r="X847" s="100" t="str">
        <f>중기목록표!B18&amp;" / "&amp;중기목록표!C18</f>
        <v>로더(타이어)+소형노면파쇄기 / 0.95㎥</v>
      </c>
      <c r="Y847" s="3" t="str">
        <f ca="1">HYPERLINK("#"&amp;중기목록표!J2&amp;"!A"&amp;ROW(중기목록표!A18),"중기15 →")</f>
        <v>중기15 →</v>
      </c>
      <c r="Z847" s="35" t="s">
        <v>1417</v>
      </c>
      <c r="AA847" s="103" t="str">
        <f>AD763</f>
        <v>425.000</v>
      </c>
      <c r="AB847" s="35" t="s">
        <v>1410</v>
      </c>
      <c r="AC847" s="103">
        <f>1/AD763</f>
        <v>2.352941176470588E-3</v>
      </c>
      <c r="AD847" s="101"/>
      <c r="AE847" s="101"/>
      <c r="AF847" s="101"/>
      <c r="AG847" s="101"/>
      <c r="AH847" s="101"/>
      <c r="AI847" s="101"/>
      <c r="AJ847" s="101"/>
      <c r="AK847" s="101"/>
      <c r="AL847" s="101"/>
      <c r="AM847" s="101"/>
      <c r="AN847" s="101"/>
    </row>
    <row r="848" spans="1:40" ht="16.5" customHeight="1" x14ac:dyDescent="0.3">
      <c r="A848" s="69"/>
      <c r="B848" s="69"/>
      <c r="C848" s="69"/>
      <c r="D848" s="69"/>
      <c r="E848" s="69"/>
      <c r="F848" s="69"/>
      <c r="G848" s="17" t="s">
        <v>1405</v>
      </c>
      <c r="Z848" s="101"/>
      <c r="AA848" s="101"/>
      <c r="AB848" s="101"/>
      <c r="AC848" s="101"/>
      <c r="AD848" s="101"/>
      <c r="AE848" s="101"/>
      <c r="AF848" s="101"/>
      <c r="AG848" s="101"/>
      <c r="AH848" s="101"/>
      <c r="AI848" s="101"/>
      <c r="AJ848" s="101"/>
      <c r="AK848" s="101"/>
      <c r="AL848" s="101"/>
      <c r="AM848" s="101"/>
      <c r="AN848" s="101"/>
    </row>
    <row r="849" spans="1:40" ht="16.5" customHeight="1" x14ac:dyDescent="0.3">
      <c r="A849" s="59" t="s">
        <v>1827</v>
      </c>
      <c r="B849" s="89" t="str">
        <f>" 경    비 :  "&amp;TEXT(I849,"#,##0"&amp;IF(I849&lt;&gt;INT(I849),".###",""))&amp;" / Q = "&amp;TEXT(C849,"#,##0.0")&amp;""</f>
        <v xml:space="preserve"> 경    비 :  21,504 / Q = 50.5</v>
      </c>
      <c r="C849" s="91">
        <f>E849+D849+F849</f>
        <v>50.5</v>
      </c>
      <c r="D849" s="91">
        <f>IF(H849=0,0,ROUNDDOWN(J849*H849,1))</f>
        <v>0</v>
      </c>
      <c r="E849" s="91">
        <f>IF(H849=0,0,ROUNDDOWN(K849*H849,1))</f>
        <v>0</v>
      </c>
      <c r="F849" s="91">
        <f>IF(H849=0,0,ROUNDDOWN(L849*H849,1))</f>
        <v>50.5</v>
      </c>
      <c r="G849" s="17" t="s">
        <v>1826</v>
      </c>
      <c r="H849" s="97">
        <f>ROUNDUP(AC849,14-LEN(ABS(INT(AC849))))</f>
        <v>2.3529411764999998E-3</v>
      </c>
      <c r="I849" s="98">
        <f>K849+J849+L849</f>
        <v>21504</v>
      </c>
      <c r="L849" s="38">
        <f>중기목록표!H18</f>
        <v>21504</v>
      </c>
      <c r="M849" s="35" t="s">
        <v>1823</v>
      </c>
      <c r="N849" s="35" t="s">
        <v>1262</v>
      </c>
      <c r="X849" s="100" t="str">
        <f>중기목록표!B18&amp;" / "&amp;중기목록표!C18</f>
        <v>로더(타이어)+소형노면파쇄기 / 0.95㎥</v>
      </c>
      <c r="Y849" s="3" t="str">
        <f ca="1">HYPERLINK("#"&amp;중기목록표!J2&amp;"!A"&amp;ROW(중기목록표!A18),"중기15 →")</f>
        <v>중기15 →</v>
      </c>
      <c r="Z849" s="35" t="s">
        <v>1417</v>
      </c>
      <c r="AA849" s="103" t="str">
        <f>AD763</f>
        <v>425.000</v>
      </c>
      <c r="AB849" s="35" t="s">
        <v>1410</v>
      </c>
      <c r="AC849" s="103">
        <f>1/AD763</f>
        <v>2.352941176470588E-3</v>
      </c>
      <c r="AD849" s="101"/>
      <c r="AE849" s="101"/>
      <c r="AF849" s="101"/>
      <c r="AG849" s="101"/>
      <c r="AH849" s="101"/>
      <c r="AI849" s="101"/>
      <c r="AJ849" s="101"/>
      <c r="AK849" s="101"/>
      <c r="AL849" s="101"/>
      <c r="AM849" s="101"/>
      <c r="AN849" s="101"/>
    </row>
    <row r="850" spans="1:40" ht="16.5" customHeight="1" x14ac:dyDescent="0.3">
      <c r="A850" s="69"/>
      <c r="B850" s="69"/>
      <c r="C850" s="69"/>
      <c r="D850" s="69"/>
      <c r="E850" s="69"/>
      <c r="F850" s="69"/>
      <c r="G850" s="17" t="s">
        <v>1405</v>
      </c>
      <c r="Z850" s="101"/>
      <c r="AA850" s="101"/>
      <c r="AB850" s="101"/>
      <c r="AC850" s="101"/>
      <c r="AD850" s="101"/>
      <c r="AE850" s="101"/>
      <c r="AF850" s="101"/>
      <c r="AG850" s="101"/>
      <c r="AH850" s="101"/>
      <c r="AI850" s="101"/>
      <c r="AJ850" s="101"/>
      <c r="AK850" s="101"/>
      <c r="AL850" s="101"/>
      <c r="AM850" s="101"/>
      <c r="AN850" s="101"/>
    </row>
    <row r="851" spans="1:40" ht="16.5" customHeight="1" x14ac:dyDescent="0.3">
      <c r="A851" s="59"/>
      <c r="B851" s="68" t="s">
        <v>1260</v>
      </c>
      <c r="C851" s="92">
        <f>E851+D851+F851</f>
        <v>227</v>
      </c>
      <c r="D851" s="92">
        <f>SUMIF(N842:N850,M851,D842:D850)</f>
        <v>138.80000000000001</v>
      </c>
      <c r="E851" s="92">
        <f>SUMIF(N842:N850,M851,E842:E850)</f>
        <v>37.700000000000003</v>
      </c>
      <c r="F851" s="92">
        <f>SUMIF(N842:N850,M851,F842:F850)</f>
        <v>50.5</v>
      </c>
      <c r="G851" s="17" t="s">
        <v>1430</v>
      </c>
      <c r="M851" s="35" t="s">
        <v>1262</v>
      </c>
      <c r="N851" s="35" t="s">
        <v>1253</v>
      </c>
      <c r="Z851" s="101"/>
      <c r="AA851" s="101"/>
      <c r="AB851" s="101"/>
      <c r="AC851" s="101"/>
      <c r="AD851" s="101"/>
      <c r="AE851" s="101"/>
      <c r="AF851" s="101"/>
      <c r="AG851" s="101"/>
      <c r="AH851" s="101"/>
      <c r="AI851" s="101"/>
      <c r="AJ851" s="101"/>
      <c r="AK851" s="101"/>
      <c r="AL851" s="101"/>
      <c r="AM851" s="101"/>
      <c r="AN851" s="101"/>
    </row>
    <row r="852" spans="1:40" ht="16.5" customHeight="1" x14ac:dyDescent="0.3">
      <c r="A852" s="69"/>
      <c r="B852" s="69"/>
      <c r="C852" s="90"/>
      <c r="D852" s="90"/>
      <c r="E852" s="90"/>
      <c r="F852" s="90"/>
      <c r="G852" s="17" t="s">
        <v>1405</v>
      </c>
      <c r="Z852" s="101"/>
      <c r="AA852" s="101"/>
      <c r="AB852" s="101"/>
      <c r="AC852" s="101"/>
      <c r="AD852" s="101"/>
      <c r="AE852" s="101"/>
      <c r="AF852" s="101"/>
      <c r="AG852" s="101"/>
      <c r="AH852" s="101"/>
      <c r="AI852" s="101"/>
      <c r="AJ852" s="101"/>
      <c r="AK852" s="101"/>
      <c r="AL852" s="101"/>
      <c r="AM852" s="101"/>
      <c r="AN852" s="101"/>
    </row>
    <row r="853" spans="1:40" ht="16.5" customHeight="1" x14ac:dyDescent="0.3">
      <c r="A853" s="59"/>
      <c r="B853" s="68" t="s">
        <v>1829</v>
      </c>
      <c r="C853" s="69"/>
      <c r="D853" s="69"/>
      <c r="E853" s="69"/>
      <c r="F853" s="69"/>
      <c r="G853" s="17" t="s">
        <v>1828</v>
      </c>
      <c r="Z853" s="101"/>
      <c r="AA853" s="101"/>
      <c r="AB853" s="101"/>
      <c r="AC853" s="101"/>
      <c r="AD853" s="101"/>
      <c r="AE853" s="101"/>
      <c r="AF853" s="101"/>
      <c r="AG853" s="101"/>
      <c r="AH853" s="101"/>
      <c r="AI853" s="101"/>
      <c r="AJ853" s="101"/>
      <c r="AK853" s="101"/>
      <c r="AL853" s="101"/>
      <c r="AM853" s="101"/>
      <c r="AN853" s="101"/>
    </row>
    <row r="854" spans="1:40" ht="16.5" customHeight="1" x14ac:dyDescent="0.3">
      <c r="A854" s="69"/>
      <c r="B854" s="69"/>
      <c r="C854" s="69"/>
      <c r="D854" s="69"/>
      <c r="E854" s="69"/>
      <c r="F854" s="69"/>
      <c r="G854" s="17" t="s">
        <v>1405</v>
      </c>
      <c r="Z854" s="101"/>
      <c r="AA854" s="101"/>
      <c r="AB854" s="101"/>
      <c r="AC854" s="101"/>
      <c r="AD854" s="101"/>
      <c r="AE854" s="101"/>
      <c r="AF854" s="101"/>
      <c r="AG854" s="101"/>
      <c r="AH854" s="101"/>
      <c r="AI854" s="101"/>
      <c r="AJ854" s="101"/>
      <c r="AK854" s="101"/>
      <c r="AL854" s="101"/>
      <c r="AM854" s="101"/>
      <c r="AN854" s="101"/>
    </row>
    <row r="855" spans="1:40" ht="16.5" customHeight="1" x14ac:dyDescent="0.3">
      <c r="A855" s="59" t="s">
        <v>1831</v>
      </c>
      <c r="B855" s="89" t="str">
        <f>" 노 무 비 :  "&amp;TEXT(I855,"#,##0"&amp;IF(I855&lt;&gt;INT(I855),".###",""))&amp;" / Q = "&amp;TEXT(C855,"#,##0.0")&amp;""</f>
        <v xml:space="preserve"> 노 무 비 :  59,020 / Q = 138.8</v>
      </c>
      <c r="C855" s="91">
        <f>E855+D855+F855</f>
        <v>138.80000000000001</v>
      </c>
      <c r="D855" s="91">
        <f>IF(H855=0,0,ROUNDDOWN(J855*H855,1))</f>
        <v>138.80000000000001</v>
      </c>
      <c r="E855" s="91">
        <f>IF(H855=0,0,ROUNDDOWN(K855*H855,1))</f>
        <v>0</v>
      </c>
      <c r="F855" s="91">
        <f>IF(H855=0,0,ROUNDDOWN(L855*H855,1))</f>
        <v>0</v>
      </c>
      <c r="G855" s="17" t="s">
        <v>1830</v>
      </c>
      <c r="H855" s="97">
        <f>ROUNDUP(AC855,14-LEN(ABS(INT(AC855))))</f>
        <v>2.3529411764999998E-3</v>
      </c>
      <c r="I855" s="98">
        <f>K855+J855+L855</f>
        <v>59020</v>
      </c>
      <c r="J855" s="38">
        <f>중기목록표!F24</f>
        <v>59020</v>
      </c>
      <c r="M855" s="35" t="s">
        <v>1832</v>
      </c>
      <c r="N855" s="35" t="s">
        <v>1262</v>
      </c>
      <c r="X855" s="100" t="str">
        <f>중기목록표!B24&amp;" / "&amp;중기목록표!C24</f>
        <v>아스팔트 디스트리뷰터 / 3,800ℓ</v>
      </c>
      <c r="Y855" s="3" t="str">
        <f ca="1">HYPERLINK("#"&amp;중기목록표!J2&amp;"!A"&amp;ROW(중기목록표!A24),"중기21 →")</f>
        <v>중기21 →</v>
      </c>
      <c r="Z855" s="35" t="s">
        <v>1417</v>
      </c>
      <c r="AA855" s="103" t="str">
        <f>AD763</f>
        <v>425.000</v>
      </c>
      <c r="AB855" s="35" t="s">
        <v>1410</v>
      </c>
      <c r="AC855" s="103">
        <f>1/AD763</f>
        <v>2.352941176470588E-3</v>
      </c>
      <c r="AD855" s="101"/>
      <c r="AE855" s="101"/>
      <c r="AF855" s="101"/>
      <c r="AG855" s="101"/>
      <c r="AH855" s="101"/>
      <c r="AI855" s="101"/>
      <c r="AJ855" s="101"/>
      <c r="AK855" s="101"/>
      <c r="AL855" s="101"/>
      <c r="AM855" s="101"/>
      <c r="AN855" s="101"/>
    </row>
    <row r="856" spans="1:40" ht="16.5" customHeight="1" x14ac:dyDescent="0.3">
      <c r="A856" s="69"/>
      <c r="B856" s="69"/>
      <c r="C856" s="69"/>
      <c r="D856" s="69"/>
      <c r="E856" s="69"/>
      <c r="F856" s="69"/>
      <c r="G856" s="17" t="s">
        <v>1405</v>
      </c>
      <c r="Z856" s="101"/>
      <c r="AA856" s="101"/>
      <c r="AB856" s="101"/>
      <c r="AC856" s="101"/>
      <c r="AD856" s="101"/>
      <c r="AE856" s="101"/>
      <c r="AF856" s="101"/>
      <c r="AG856" s="101"/>
      <c r="AH856" s="101"/>
      <c r="AI856" s="101"/>
      <c r="AJ856" s="101"/>
      <c r="AK856" s="101"/>
      <c r="AL856" s="101"/>
      <c r="AM856" s="101"/>
      <c r="AN856" s="101"/>
    </row>
    <row r="857" spans="1:40" ht="16.5" customHeight="1" x14ac:dyDescent="0.3">
      <c r="A857" s="59" t="s">
        <v>1834</v>
      </c>
      <c r="B857" s="89" t="str">
        <f>" 재 료 비 :  "&amp;TEXT(I857,"#,##0"&amp;IF(I857&lt;&gt;INT(I857),".###",""))&amp;" / Q = "&amp;TEXT(C857,"#,##0.0")&amp;""</f>
        <v xml:space="preserve"> 재 료 비 :  24,511 / Q = 57.6</v>
      </c>
      <c r="C857" s="91">
        <f>E857+D857+F857</f>
        <v>57.6</v>
      </c>
      <c r="D857" s="91">
        <f>IF(H857=0,0,ROUNDDOWN(J857*H857,1))</f>
        <v>0</v>
      </c>
      <c r="E857" s="91">
        <f>IF(H857=0,0,ROUNDDOWN(K857*H857,1))</f>
        <v>57.6</v>
      </c>
      <c r="F857" s="91">
        <f>IF(H857=0,0,ROUNDDOWN(L857*H857,1))</f>
        <v>0</v>
      </c>
      <c r="G857" s="17" t="s">
        <v>1833</v>
      </c>
      <c r="H857" s="97">
        <f>ROUNDUP(AC857,14-LEN(ABS(INT(AC857))))</f>
        <v>2.3529411764999998E-3</v>
      </c>
      <c r="I857" s="98">
        <f>K857+J857+L857</f>
        <v>24511</v>
      </c>
      <c r="K857" s="38">
        <f>중기목록표!G24</f>
        <v>24511</v>
      </c>
      <c r="M857" s="35" t="s">
        <v>1832</v>
      </c>
      <c r="N857" s="35" t="s">
        <v>1262</v>
      </c>
      <c r="X857" s="100" t="str">
        <f>중기목록표!B24&amp;" / "&amp;중기목록표!C24</f>
        <v>아스팔트 디스트리뷰터 / 3,800ℓ</v>
      </c>
      <c r="Y857" s="3" t="str">
        <f ca="1">HYPERLINK("#"&amp;중기목록표!J2&amp;"!A"&amp;ROW(중기목록표!A24),"중기21 →")</f>
        <v>중기21 →</v>
      </c>
      <c r="Z857" s="35" t="s">
        <v>1417</v>
      </c>
      <c r="AA857" s="103" t="str">
        <f>AD763</f>
        <v>425.000</v>
      </c>
      <c r="AB857" s="35" t="s">
        <v>1410</v>
      </c>
      <c r="AC857" s="103">
        <f>1/AD763</f>
        <v>2.352941176470588E-3</v>
      </c>
      <c r="AD857" s="101"/>
      <c r="AE857" s="101"/>
      <c r="AF857" s="101"/>
      <c r="AG857" s="101"/>
      <c r="AH857" s="101"/>
      <c r="AI857" s="101"/>
      <c r="AJ857" s="101"/>
      <c r="AK857" s="101"/>
      <c r="AL857" s="101"/>
      <c r="AM857" s="101"/>
      <c r="AN857" s="101"/>
    </row>
    <row r="858" spans="1:40" ht="16.5" customHeight="1" x14ac:dyDescent="0.3">
      <c r="A858" s="69"/>
      <c r="B858" s="69"/>
      <c r="C858" s="69"/>
      <c r="D858" s="69"/>
      <c r="E858" s="69"/>
      <c r="F858" s="69"/>
      <c r="G858" s="17" t="s">
        <v>1405</v>
      </c>
      <c r="Z858" s="101"/>
      <c r="AA858" s="101"/>
      <c r="AB858" s="101"/>
      <c r="AC858" s="101"/>
      <c r="AD858" s="101"/>
      <c r="AE858" s="101"/>
      <c r="AF858" s="101"/>
      <c r="AG858" s="101"/>
      <c r="AH858" s="101"/>
      <c r="AI858" s="101"/>
      <c r="AJ858" s="101"/>
      <c r="AK858" s="101"/>
      <c r="AL858" s="101"/>
      <c r="AM858" s="101"/>
      <c r="AN858" s="101"/>
    </row>
    <row r="859" spans="1:40" ht="16.5" customHeight="1" x14ac:dyDescent="0.3">
      <c r="A859" s="59" t="s">
        <v>1836</v>
      </c>
      <c r="B859" s="89" t="str">
        <f>" 경    비 :  "&amp;TEXT(I859,"#,##0"&amp;IF(I859&lt;&gt;INT(I859),".###",""))&amp;" / Q = "&amp;TEXT(C859,"#,##0.0")&amp;""</f>
        <v xml:space="preserve"> 경    비 :  16,470 / Q = 38.7</v>
      </c>
      <c r="C859" s="91">
        <f>E859+D859+F859</f>
        <v>38.700000000000003</v>
      </c>
      <c r="D859" s="91">
        <f>IF(H859=0,0,ROUNDDOWN(J859*H859,1))</f>
        <v>0</v>
      </c>
      <c r="E859" s="91">
        <f>IF(H859=0,0,ROUNDDOWN(K859*H859,1))</f>
        <v>0</v>
      </c>
      <c r="F859" s="91">
        <f>IF(H859=0,0,ROUNDDOWN(L859*H859,1))</f>
        <v>38.700000000000003</v>
      </c>
      <c r="G859" s="17" t="s">
        <v>1835</v>
      </c>
      <c r="H859" s="97">
        <f>ROUNDUP(AC859,14-LEN(ABS(INT(AC859))))</f>
        <v>2.3529411764999998E-3</v>
      </c>
      <c r="I859" s="98">
        <f>K859+J859+L859</f>
        <v>16470</v>
      </c>
      <c r="L859" s="38">
        <f>중기목록표!H24</f>
        <v>16470</v>
      </c>
      <c r="M859" s="35" t="s">
        <v>1832</v>
      </c>
      <c r="N859" s="35" t="s">
        <v>1262</v>
      </c>
      <c r="X859" s="100" t="str">
        <f>중기목록표!B24&amp;" / "&amp;중기목록표!C24</f>
        <v>아스팔트 디스트리뷰터 / 3,800ℓ</v>
      </c>
      <c r="Y859" s="3" t="str">
        <f ca="1">HYPERLINK("#"&amp;중기목록표!J2&amp;"!A"&amp;ROW(중기목록표!A24),"중기21 →")</f>
        <v>중기21 →</v>
      </c>
      <c r="Z859" s="35" t="s">
        <v>1417</v>
      </c>
      <c r="AA859" s="103" t="str">
        <f>AD763</f>
        <v>425.000</v>
      </c>
      <c r="AB859" s="35" t="s">
        <v>1410</v>
      </c>
      <c r="AC859" s="103">
        <f>1/AD763</f>
        <v>2.352941176470588E-3</v>
      </c>
      <c r="AD859" s="101"/>
      <c r="AE859" s="101"/>
      <c r="AF859" s="101"/>
      <c r="AG859" s="101"/>
      <c r="AH859" s="101"/>
      <c r="AI859" s="101"/>
      <c r="AJ859" s="101"/>
      <c r="AK859" s="101"/>
      <c r="AL859" s="101"/>
      <c r="AM859" s="101"/>
      <c r="AN859" s="101"/>
    </row>
    <row r="860" spans="1:40" ht="16.5" customHeight="1" x14ac:dyDescent="0.3">
      <c r="A860" s="69"/>
      <c r="B860" s="69"/>
      <c r="C860" s="69"/>
      <c r="D860" s="69"/>
      <c r="E860" s="69"/>
      <c r="F860" s="69"/>
      <c r="G860" s="17" t="s">
        <v>1405</v>
      </c>
      <c r="Z860" s="101"/>
      <c r="AA860" s="101"/>
      <c r="AB860" s="101"/>
      <c r="AC860" s="101"/>
      <c r="AD860" s="101"/>
      <c r="AE860" s="101"/>
      <c r="AF860" s="101"/>
      <c r="AG860" s="101"/>
      <c r="AH860" s="101"/>
      <c r="AI860" s="101"/>
      <c r="AJ860" s="101"/>
      <c r="AK860" s="101"/>
      <c r="AL860" s="101"/>
      <c r="AM860" s="101"/>
      <c r="AN860" s="101"/>
    </row>
    <row r="861" spans="1:40" ht="16.5" customHeight="1" x14ac:dyDescent="0.3">
      <c r="A861" s="59"/>
      <c r="B861" s="68" t="s">
        <v>1838</v>
      </c>
      <c r="C861" s="69"/>
      <c r="D861" s="69"/>
      <c r="E861" s="69"/>
      <c r="F861" s="69"/>
      <c r="G861" s="17" t="s">
        <v>1837</v>
      </c>
      <c r="Z861" s="101"/>
      <c r="AA861" s="101"/>
      <c r="AB861" s="101"/>
      <c r="AC861" s="101"/>
      <c r="AD861" s="101"/>
      <c r="AE861" s="101"/>
      <c r="AF861" s="101"/>
      <c r="AG861" s="101"/>
      <c r="AH861" s="101"/>
      <c r="AI861" s="101"/>
      <c r="AJ861" s="101"/>
      <c r="AK861" s="101"/>
      <c r="AL861" s="101"/>
      <c r="AM861" s="101"/>
      <c r="AN861" s="101"/>
    </row>
    <row r="862" spans="1:40" ht="16.5" customHeight="1" x14ac:dyDescent="0.3">
      <c r="A862" s="69"/>
      <c r="B862" s="69"/>
      <c r="C862" s="69"/>
      <c r="D862" s="69"/>
      <c r="E862" s="69"/>
      <c r="F862" s="69"/>
      <c r="G862" s="17" t="s">
        <v>1405</v>
      </c>
      <c r="Z862" s="101"/>
      <c r="AA862" s="101"/>
      <c r="AB862" s="101"/>
      <c r="AC862" s="101"/>
      <c r="AD862" s="101"/>
      <c r="AE862" s="101"/>
      <c r="AF862" s="101"/>
      <c r="AG862" s="101"/>
      <c r="AH862" s="101"/>
      <c r="AI862" s="101"/>
      <c r="AJ862" s="101"/>
      <c r="AK862" s="101"/>
      <c r="AL862" s="101"/>
      <c r="AM862" s="101"/>
      <c r="AN862" s="101"/>
    </row>
    <row r="863" spans="1:40" ht="16.5" customHeight="1" x14ac:dyDescent="0.3">
      <c r="A863" s="59" t="s">
        <v>1840</v>
      </c>
      <c r="B863" s="89" t="str">
        <f>"   팁(날) : "&amp;TEXT(I863,"#,##0"&amp;IF(I863&lt;&gt;INT(I863),".###",""))&amp;" * "&amp;AA863&amp;" 개  = "&amp;TEXT(C863,"#,##0.0")&amp;""</f>
        <v xml:space="preserve">   팁(날) : 6,000 * 0.0345 개  = 207.0</v>
      </c>
      <c r="C863" s="91">
        <f>E863+D863+F863</f>
        <v>207</v>
      </c>
      <c r="D863" s="91">
        <f>IF(H863=0,0,ROUNDDOWN(J863*H863,1))</f>
        <v>0</v>
      </c>
      <c r="E863" s="91">
        <f>IF(H863=0,0,ROUNDDOWN(K863*H863,1))</f>
        <v>207</v>
      </c>
      <c r="F863" s="91">
        <f>IF(H863=0,0,ROUNDDOWN(L863*H863,1))</f>
        <v>0</v>
      </c>
      <c r="G863" s="17" t="s">
        <v>1839</v>
      </c>
      <c r="H863" s="97">
        <f>ROUNDUP(AC863,14-LEN(ABS(INT(AC863))))</f>
        <v>3.4500000000000003E-2</v>
      </c>
      <c r="I863" s="98">
        <f>K863+J863+L863</f>
        <v>6000</v>
      </c>
      <c r="K863" s="38">
        <f>재료비목록표!E51</f>
        <v>6000</v>
      </c>
      <c r="M863" s="35" t="s">
        <v>1841</v>
      </c>
      <c r="N863" s="35" t="s">
        <v>1262</v>
      </c>
      <c r="X863" s="100" t="str">
        <f>재료비목록표!B51&amp;" / "&amp;재료비목록표!C51</f>
        <v>팁 / 노면파쇄기팁날</v>
      </c>
      <c r="Y863" s="3" t="str">
        <f ca="1">HYPERLINK("#"&amp;재료비목록표!G2&amp;"!A"&amp;ROW(재료비목록표!A51),"자재48 →")</f>
        <v>자재48 →</v>
      </c>
      <c r="Z863" s="35" t="s">
        <v>1446</v>
      </c>
      <c r="AA863" s="104">
        <v>3.4500000000000003E-2</v>
      </c>
      <c r="AB863" s="35" t="s">
        <v>1410</v>
      </c>
      <c r="AC863" s="103">
        <f>1*AA863</f>
        <v>3.4500000000000003E-2</v>
      </c>
      <c r="AD863" s="101"/>
      <c r="AE863" s="101"/>
      <c r="AF863" s="101"/>
      <c r="AG863" s="101"/>
      <c r="AH863" s="101"/>
      <c r="AI863" s="101"/>
      <c r="AJ863" s="101"/>
      <c r="AK863" s="101"/>
      <c r="AL863" s="101"/>
      <c r="AM863" s="101"/>
      <c r="AN863" s="101"/>
    </row>
    <row r="864" spans="1:40" ht="16.5" customHeight="1" x14ac:dyDescent="0.3">
      <c r="A864" s="69"/>
      <c r="B864" s="69"/>
      <c r="C864" s="69"/>
      <c r="D864" s="69"/>
      <c r="E864" s="69"/>
      <c r="F864" s="69"/>
      <c r="G864" s="17" t="s">
        <v>1405</v>
      </c>
      <c r="Z864" s="101"/>
      <c r="AA864" s="101"/>
      <c r="AB864" s="101"/>
      <c r="AC864" s="101"/>
      <c r="AD864" s="101"/>
      <c r="AE864" s="101"/>
      <c r="AF864" s="101"/>
      <c r="AG864" s="101"/>
      <c r="AH864" s="101"/>
      <c r="AI864" s="101"/>
      <c r="AJ864" s="101"/>
      <c r="AK864" s="101"/>
      <c r="AL864" s="101"/>
      <c r="AM864" s="101"/>
      <c r="AN864" s="101"/>
    </row>
    <row r="865" spans="1:40" ht="16.5" customHeight="1" x14ac:dyDescent="0.3">
      <c r="A865" s="59"/>
      <c r="B865" s="68" t="s">
        <v>1260</v>
      </c>
      <c r="C865" s="92">
        <f>E865+D865+F865</f>
        <v>442.1</v>
      </c>
      <c r="D865" s="92">
        <f>SUMIF(N852:N864,M865,D852:D864)</f>
        <v>138.80000000000001</v>
      </c>
      <c r="E865" s="92">
        <f>SUMIF(N852:N864,M865,E852:E864)</f>
        <v>264.60000000000002</v>
      </c>
      <c r="F865" s="92">
        <f>SUMIF(N852:N864,M865,F852:F864)</f>
        <v>38.700000000000003</v>
      </c>
      <c r="G865" s="17" t="s">
        <v>1430</v>
      </c>
      <c r="M865" s="35" t="s">
        <v>1262</v>
      </c>
      <c r="N865" s="35" t="s">
        <v>1253</v>
      </c>
      <c r="Z865" s="101"/>
      <c r="AA865" s="101"/>
      <c r="AB865" s="101"/>
      <c r="AC865" s="101"/>
      <c r="AD865" s="101"/>
      <c r="AE865" s="101"/>
      <c r="AF865" s="101"/>
      <c r="AG865" s="101"/>
      <c r="AH865" s="101"/>
      <c r="AI865" s="101"/>
      <c r="AJ865" s="101"/>
      <c r="AK865" s="101"/>
      <c r="AL865" s="101"/>
      <c r="AM865" s="101"/>
      <c r="AN865" s="101"/>
    </row>
    <row r="866" spans="1:40" ht="16.5" customHeight="1" x14ac:dyDescent="0.3">
      <c r="A866" s="59"/>
      <c r="B866" s="68" t="s">
        <v>1251</v>
      </c>
      <c r="C866" s="96">
        <f>E866+D866+F866</f>
        <v>4269.7000000000007</v>
      </c>
      <c r="D866" s="96">
        <f>SUMIF(N757:N865,M866,D757:D865)</f>
        <v>1927.9999999999998</v>
      </c>
      <c r="E866" s="96">
        <f>SUMIF(N757:N865,M866,E757:E865)</f>
        <v>1105</v>
      </c>
      <c r="F866" s="96">
        <f>SUMIF(N757:N865,M866,F757:F865)</f>
        <v>1236.7000000000003</v>
      </c>
      <c r="G866" s="17" t="s">
        <v>1476</v>
      </c>
      <c r="M866" s="35" t="s">
        <v>1253</v>
      </c>
      <c r="N866" s="35" t="s">
        <v>1844</v>
      </c>
      <c r="Z866" s="101"/>
      <c r="AA866" s="101"/>
      <c r="AB866" s="101"/>
      <c r="AC866" s="101"/>
      <c r="AD866" s="101"/>
      <c r="AE866" s="101"/>
      <c r="AF866" s="101"/>
      <c r="AG866" s="101"/>
      <c r="AH866" s="101"/>
      <c r="AI866" s="101"/>
      <c r="AJ866" s="101"/>
      <c r="AK866" s="101"/>
      <c r="AL866" s="101"/>
      <c r="AM866" s="101"/>
      <c r="AN866" s="101"/>
    </row>
    <row r="867" spans="1:40" ht="16.5" customHeight="1" x14ac:dyDescent="0.3">
      <c r="A867" s="59"/>
      <c r="B867" s="68" t="s">
        <v>1843</v>
      </c>
      <c r="C867" s="96">
        <f>E867+D867+F867</f>
        <v>4269.7000000000007</v>
      </c>
      <c r="D867" s="96">
        <f>SUMIF(N757:N866,M867,D757:D866)</f>
        <v>1927.9999999999998</v>
      </c>
      <c r="E867" s="96">
        <f>SUMIF(N757:N866,M867,E757:E866)</f>
        <v>1105</v>
      </c>
      <c r="F867" s="96">
        <f>SUMIF(N757:N866,M867,F757:F866)</f>
        <v>1236.7000000000003</v>
      </c>
      <c r="G867" s="17" t="s">
        <v>1842</v>
      </c>
      <c r="M867" s="35" t="s">
        <v>1844</v>
      </c>
      <c r="N867" s="35" t="s">
        <v>1209</v>
      </c>
      <c r="Z867" s="101"/>
      <c r="AA867" s="101"/>
      <c r="AB867" s="101"/>
      <c r="AC867" s="101"/>
      <c r="AD867" s="101"/>
      <c r="AE867" s="101"/>
      <c r="AF867" s="101"/>
      <c r="AG867" s="101"/>
      <c r="AH867" s="101"/>
      <c r="AI867" s="101"/>
      <c r="AJ867" s="101"/>
      <c r="AK867" s="101"/>
      <c r="AL867" s="101"/>
      <c r="AM867" s="101"/>
      <c r="AN867" s="101"/>
    </row>
    <row r="868" spans="1:40" ht="16.5" customHeight="1" x14ac:dyDescent="0.3">
      <c r="A868" s="69"/>
      <c r="B868" s="69"/>
      <c r="C868" s="90"/>
      <c r="D868" s="90"/>
      <c r="E868" s="90"/>
      <c r="F868" s="90"/>
      <c r="Z868" s="101"/>
      <c r="AA868" s="101"/>
      <c r="AB868" s="101"/>
      <c r="AC868" s="101"/>
      <c r="AD868" s="101"/>
      <c r="AE868" s="101"/>
      <c r="AF868" s="101"/>
      <c r="AG868" s="101"/>
      <c r="AH868" s="101"/>
      <c r="AI868" s="101"/>
      <c r="AJ868" s="101"/>
      <c r="AK868" s="101"/>
      <c r="AL868" s="101"/>
      <c r="AM868" s="101"/>
      <c r="AN868" s="101"/>
    </row>
    <row r="869" spans="1:40" ht="16.5" customHeight="1" x14ac:dyDescent="0.3">
      <c r="A869" s="69"/>
      <c r="B869" s="69"/>
      <c r="C869" s="69"/>
      <c r="D869" s="69"/>
      <c r="E869" s="69"/>
      <c r="F869" s="69"/>
      <c r="Z869" s="101"/>
      <c r="AA869" s="101"/>
      <c r="AB869" s="101"/>
      <c r="AC869" s="101"/>
      <c r="AD869" s="101"/>
      <c r="AE869" s="101"/>
      <c r="AF869" s="101"/>
      <c r="AG869" s="101"/>
      <c r="AH869" s="101"/>
      <c r="AI869" s="101"/>
      <c r="AJ869" s="101"/>
      <c r="AK869" s="101"/>
      <c r="AL869" s="101"/>
      <c r="AM869" s="101"/>
      <c r="AN869" s="101"/>
    </row>
    <row r="870" spans="1:40" ht="16.5" customHeight="1" x14ac:dyDescent="0.3">
      <c r="A870" s="69"/>
      <c r="B870" s="69"/>
      <c r="C870" s="69"/>
      <c r="D870" s="69"/>
      <c r="E870" s="69"/>
      <c r="F870" s="69"/>
      <c r="Z870" s="101"/>
      <c r="AA870" s="101"/>
      <c r="AB870" s="101"/>
      <c r="AC870" s="101"/>
      <c r="AD870" s="101"/>
      <c r="AE870" s="101"/>
      <c r="AF870" s="101"/>
      <c r="AG870" s="101"/>
      <c r="AH870" s="101"/>
      <c r="AI870" s="101"/>
      <c r="AJ870" s="101"/>
      <c r="AK870" s="101"/>
      <c r="AL870" s="101"/>
      <c r="AM870" s="101"/>
      <c r="AN870" s="101"/>
    </row>
    <row r="871" spans="1:40" ht="16.5" customHeight="1" x14ac:dyDescent="0.3">
      <c r="A871" s="69"/>
      <c r="B871" s="69"/>
      <c r="C871" s="69"/>
      <c r="D871" s="69"/>
      <c r="E871" s="69"/>
      <c r="F871" s="69"/>
      <c r="Z871" s="101"/>
      <c r="AA871" s="101"/>
      <c r="AB871" s="101"/>
      <c r="AC871" s="101"/>
      <c r="AD871" s="101"/>
      <c r="AE871" s="101"/>
      <c r="AF871" s="101"/>
      <c r="AG871" s="101"/>
      <c r="AH871" s="101"/>
      <c r="AI871" s="101"/>
      <c r="AJ871" s="101"/>
      <c r="AK871" s="101"/>
      <c r="AL871" s="101"/>
      <c r="AM871" s="101"/>
      <c r="AN871" s="101"/>
    </row>
    <row r="872" spans="1:40" ht="16.5" customHeight="1" x14ac:dyDescent="0.3">
      <c r="A872" s="69"/>
      <c r="B872" s="69"/>
      <c r="C872" s="69"/>
      <c r="D872" s="69"/>
      <c r="E872" s="69"/>
      <c r="F872" s="69"/>
      <c r="Z872" s="101"/>
      <c r="AA872" s="101"/>
      <c r="AB872" s="101"/>
      <c r="AC872" s="101"/>
      <c r="AD872" s="101"/>
      <c r="AE872" s="101"/>
      <c r="AF872" s="101"/>
      <c r="AG872" s="101"/>
      <c r="AH872" s="101"/>
      <c r="AI872" s="101"/>
      <c r="AJ872" s="101"/>
      <c r="AK872" s="101"/>
      <c r="AL872" s="101"/>
      <c r="AM872" s="101"/>
      <c r="AN872" s="101"/>
    </row>
    <row r="873" spans="1:40" ht="16.5" customHeight="1" x14ac:dyDescent="0.3">
      <c r="A873" s="69"/>
      <c r="B873" s="69"/>
      <c r="C873" s="69"/>
      <c r="D873" s="69"/>
      <c r="E873" s="69"/>
      <c r="F873" s="69"/>
      <c r="Z873" s="101"/>
      <c r="AA873" s="101"/>
      <c r="AB873" s="101"/>
      <c r="AC873" s="101"/>
      <c r="AD873" s="101"/>
      <c r="AE873" s="101"/>
      <c r="AF873" s="101"/>
      <c r="AG873" s="101"/>
      <c r="AH873" s="101"/>
      <c r="AI873" s="101"/>
      <c r="AJ873" s="101"/>
      <c r="AK873" s="101"/>
      <c r="AL873" s="101"/>
      <c r="AM873" s="101"/>
      <c r="AN873" s="101"/>
    </row>
    <row r="874" spans="1:40" ht="16.5" customHeight="1" x14ac:dyDescent="0.3">
      <c r="A874" s="69"/>
      <c r="B874" s="69"/>
      <c r="C874" s="69"/>
      <c r="D874" s="69"/>
      <c r="E874" s="69"/>
      <c r="F874" s="69"/>
      <c r="Z874" s="101"/>
      <c r="AA874" s="101"/>
      <c r="AB874" s="101"/>
      <c r="AC874" s="101"/>
      <c r="AD874" s="101"/>
      <c r="AE874" s="101"/>
      <c r="AF874" s="101"/>
      <c r="AG874" s="101"/>
      <c r="AH874" s="101"/>
      <c r="AI874" s="101"/>
      <c r="AJ874" s="101"/>
      <c r="AK874" s="101"/>
      <c r="AL874" s="101"/>
      <c r="AM874" s="101"/>
      <c r="AN874" s="101"/>
    </row>
    <row r="875" spans="1:40" ht="16.5" customHeight="1" x14ac:dyDescent="0.3">
      <c r="A875" s="69"/>
      <c r="B875" s="69"/>
      <c r="C875" s="69"/>
      <c r="D875" s="69"/>
      <c r="E875" s="69"/>
      <c r="F875" s="69"/>
      <c r="Z875" s="101"/>
      <c r="AA875" s="101"/>
      <c r="AB875" s="101"/>
      <c r="AC875" s="101"/>
      <c r="AD875" s="101"/>
      <c r="AE875" s="101"/>
      <c r="AF875" s="101"/>
      <c r="AG875" s="101"/>
      <c r="AH875" s="101"/>
      <c r="AI875" s="101"/>
      <c r="AJ875" s="101"/>
      <c r="AK875" s="101"/>
      <c r="AL875" s="101"/>
      <c r="AM875" s="101"/>
      <c r="AN875" s="101"/>
    </row>
    <row r="876" spans="1:40" ht="16.5" customHeight="1" x14ac:dyDescent="0.3">
      <c r="A876" s="69"/>
      <c r="B876" s="69"/>
      <c r="C876" s="69"/>
      <c r="D876" s="69"/>
      <c r="E876" s="69"/>
      <c r="F876" s="69"/>
      <c r="Z876" s="101"/>
      <c r="AA876" s="101"/>
      <c r="AB876" s="101"/>
      <c r="AC876" s="101"/>
      <c r="AD876" s="101"/>
      <c r="AE876" s="101"/>
      <c r="AF876" s="101"/>
      <c r="AG876" s="101"/>
      <c r="AH876" s="101"/>
      <c r="AI876" s="101"/>
      <c r="AJ876" s="101"/>
      <c r="AK876" s="101"/>
      <c r="AL876" s="101"/>
      <c r="AM876" s="101"/>
      <c r="AN876" s="101"/>
    </row>
    <row r="877" spans="1:40" ht="16.5" customHeight="1" x14ac:dyDescent="0.3">
      <c r="A877" s="69"/>
      <c r="B877" s="69"/>
      <c r="C877" s="69"/>
      <c r="D877" s="69"/>
      <c r="E877" s="69"/>
      <c r="F877" s="69"/>
      <c r="Z877" s="101"/>
      <c r="AA877" s="101"/>
      <c r="AB877" s="101"/>
      <c r="AC877" s="101"/>
      <c r="AD877" s="101"/>
      <c r="AE877" s="101"/>
      <c r="AF877" s="101"/>
      <c r="AG877" s="101"/>
      <c r="AH877" s="101"/>
      <c r="AI877" s="101"/>
      <c r="AJ877" s="101"/>
      <c r="AK877" s="101"/>
      <c r="AL877" s="101"/>
      <c r="AM877" s="101"/>
      <c r="AN877" s="101"/>
    </row>
    <row r="878" spans="1:40" ht="16.5" customHeight="1" x14ac:dyDescent="0.3">
      <c r="A878" s="69"/>
      <c r="B878" s="69"/>
      <c r="C878" s="69"/>
      <c r="D878" s="69"/>
      <c r="E878" s="69"/>
      <c r="F878" s="69"/>
      <c r="Z878" s="101"/>
      <c r="AA878" s="101"/>
      <c r="AB878" s="101"/>
      <c r="AC878" s="101"/>
      <c r="AD878" s="101"/>
      <c r="AE878" s="101"/>
      <c r="AF878" s="101"/>
      <c r="AG878" s="101"/>
      <c r="AH878" s="101"/>
      <c r="AI878" s="101"/>
      <c r="AJ878" s="101"/>
      <c r="AK878" s="101"/>
      <c r="AL878" s="101"/>
      <c r="AM878" s="101"/>
      <c r="AN878" s="101"/>
    </row>
    <row r="879" spans="1:40" ht="16.5" customHeight="1" x14ac:dyDescent="0.3">
      <c r="A879" s="69"/>
      <c r="B879" s="69"/>
      <c r="C879" s="69"/>
      <c r="D879" s="69"/>
      <c r="E879" s="69"/>
      <c r="F879" s="69"/>
      <c r="Z879" s="101"/>
      <c r="AA879" s="101"/>
      <c r="AB879" s="101"/>
      <c r="AC879" s="101"/>
      <c r="AD879" s="101"/>
      <c r="AE879" s="101"/>
      <c r="AF879" s="101"/>
      <c r="AG879" s="101"/>
      <c r="AH879" s="101"/>
      <c r="AI879" s="101"/>
      <c r="AJ879" s="101"/>
      <c r="AK879" s="101"/>
      <c r="AL879" s="101"/>
      <c r="AM879" s="101"/>
      <c r="AN879" s="101"/>
    </row>
    <row r="880" spans="1:40" ht="16.5" customHeight="1" x14ac:dyDescent="0.3">
      <c r="A880" s="69"/>
      <c r="B880" s="69"/>
      <c r="C880" s="69"/>
      <c r="D880" s="69"/>
      <c r="E880" s="69"/>
      <c r="F880" s="69"/>
      <c r="Z880" s="101"/>
      <c r="AA880" s="101"/>
      <c r="AB880" s="101"/>
      <c r="AC880" s="101"/>
      <c r="AD880" s="101"/>
      <c r="AE880" s="101"/>
      <c r="AF880" s="101"/>
      <c r="AG880" s="101"/>
      <c r="AH880" s="101"/>
      <c r="AI880" s="101"/>
      <c r="AJ880" s="101"/>
      <c r="AK880" s="101"/>
      <c r="AL880" s="101"/>
      <c r="AM880" s="101"/>
      <c r="AN880" s="101"/>
    </row>
    <row r="881" spans="1:40" ht="16.5" customHeight="1" x14ac:dyDescent="0.3">
      <c r="A881" s="69"/>
      <c r="B881" s="69"/>
      <c r="C881" s="69"/>
      <c r="D881" s="69"/>
      <c r="E881" s="69"/>
      <c r="F881" s="69"/>
      <c r="Z881" s="101"/>
      <c r="AA881" s="101"/>
      <c r="AB881" s="101"/>
      <c r="AC881" s="101"/>
      <c r="AD881" s="101"/>
      <c r="AE881" s="101"/>
      <c r="AF881" s="101"/>
      <c r="AG881" s="101"/>
      <c r="AH881" s="101"/>
      <c r="AI881" s="101"/>
      <c r="AJ881" s="101"/>
      <c r="AK881" s="101"/>
      <c r="AL881" s="101"/>
      <c r="AM881" s="101"/>
      <c r="AN881" s="101"/>
    </row>
    <row r="882" spans="1:40" ht="16.5" customHeight="1" x14ac:dyDescent="0.3">
      <c r="A882" s="69"/>
      <c r="B882" s="69"/>
      <c r="C882" s="69"/>
      <c r="D882" s="69"/>
      <c r="E882" s="69"/>
      <c r="F882" s="69"/>
      <c r="Z882" s="101"/>
      <c r="AA882" s="101"/>
      <c r="AB882" s="101"/>
      <c r="AC882" s="101"/>
      <c r="AD882" s="101"/>
      <c r="AE882" s="101"/>
      <c r="AF882" s="101"/>
      <c r="AG882" s="101"/>
      <c r="AH882" s="101"/>
      <c r="AI882" s="101"/>
      <c r="AJ882" s="101"/>
      <c r="AK882" s="101"/>
      <c r="AL882" s="101"/>
      <c r="AM882" s="101"/>
      <c r="AN882" s="101"/>
    </row>
    <row r="883" spans="1:40" ht="16.5" customHeight="1" x14ac:dyDescent="0.3">
      <c r="A883" s="69"/>
      <c r="B883" s="69"/>
      <c r="C883" s="69"/>
      <c r="D883" s="69"/>
      <c r="E883" s="69"/>
      <c r="F883" s="69"/>
      <c r="Z883" s="101"/>
      <c r="AA883" s="101"/>
      <c r="AB883" s="101"/>
      <c r="AC883" s="101"/>
      <c r="AD883" s="101"/>
      <c r="AE883" s="101"/>
      <c r="AF883" s="101"/>
      <c r="AG883" s="101"/>
      <c r="AH883" s="101"/>
      <c r="AI883" s="101"/>
      <c r="AJ883" s="101"/>
      <c r="AK883" s="101"/>
      <c r="AL883" s="101"/>
      <c r="AM883" s="101"/>
      <c r="AN883" s="101"/>
    </row>
    <row r="884" spans="1:40" ht="16.5" customHeight="1" x14ac:dyDescent="0.3">
      <c r="A884" s="69"/>
      <c r="B884" s="69"/>
      <c r="C884" s="69"/>
      <c r="D884" s="69"/>
      <c r="E884" s="69"/>
      <c r="F884" s="69"/>
      <c r="Z884" s="101"/>
      <c r="AA884" s="101"/>
      <c r="AB884" s="101"/>
      <c r="AC884" s="101"/>
      <c r="AD884" s="101"/>
      <c r="AE884" s="101"/>
      <c r="AF884" s="101"/>
      <c r="AG884" s="101"/>
      <c r="AH884" s="101"/>
      <c r="AI884" s="101"/>
      <c r="AJ884" s="101"/>
      <c r="AK884" s="101"/>
      <c r="AL884" s="101"/>
      <c r="AM884" s="101"/>
      <c r="AN884" s="101"/>
    </row>
    <row r="885" spans="1:40" ht="16.5" customHeight="1" x14ac:dyDescent="0.3">
      <c r="A885" s="69"/>
      <c r="B885" s="69"/>
      <c r="C885" s="69"/>
      <c r="D885" s="69"/>
      <c r="E885" s="69"/>
      <c r="F885" s="69"/>
      <c r="Z885" s="101"/>
      <c r="AA885" s="101"/>
      <c r="AB885" s="101"/>
      <c r="AC885" s="101"/>
      <c r="AD885" s="101"/>
      <c r="AE885" s="101"/>
      <c r="AF885" s="101"/>
      <c r="AG885" s="101"/>
      <c r="AH885" s="101"/>
      <c r="AI885" s="101"/>
      <c r="AJ885" s="101"/>
      <c r="AK885" s="101"/>
      <c r="AL885" s="101"/>
      <c r="AM885" s="101"/>
      <c r="AN885" s="101"/>
    </row>
    <row r="886" spans="1:40" ht="16.5" customHeight="1" x14ac:dyDescent="0.3">
      <c r="A886" s="69"/>
      <c r="B886" s="69"/>
      <c r="C886" s="69"/>
      <c r="D886" s="69"/>
      <c r="E886" s="69"/>
      <c r="F886" s="69"/>
      <c r="Z886" s="101"/>
      <c r="AA886" s="101"/>
      <c r="AB886" s="101"/>
      <c r="AC886" s="101"/>
      <c r="AD886" s="101"/>
      <c r="AE886" s="101"/>
      <c r="AF886" s="101"/>
      <c r="AG886" s="101"/>
      <c r="AH886" s="101"/>
      <c r="AI886" s="101"/>
      <c r="AJ886" s="101"/>
      <c r="AK886" s="101"/>
      <c r="AL886" s="101"/>
      <c r="AM886" s="101"/>
      <c r="AN886" s="101"/>
    </row>
    <row r="887" spans="1:40" ht="16.5" customHeight="1" x14ac:dyDescent="0.3">
      <c r="A887" s="69"/>
      <c r="B887" s="69"/>
      <c r="C887" s="69"/>
      <c r="D887" s="69"/>
      <c r="E887" s="69"/>
      <c r="F887" s="69"/>
      <c r="Z887" s="101"/>
      <c r="AA887" s="101"/>
      <c r="AB887" s="101"/>
      <c r="AC887" s="101"/>
      <c r="AD887" s="101"/>
      <c r="AE887" s="101"/>
      <c r="AF887" s="101"/>
      <c r="AG887" s="101"/>
      <c r="AH887" s="101"/>
      <c r="AI887" s="101"/>
      <c r="AJ887" s="101"/>
      <c r="AK887" s="101"/>
      <c r="AL887" s="101"/>
      <c r="AM887" s="101"/>
      <c r="AN887" s="101"/>
    </row>
    <row r="888" spans="1:40" ht="16.5" customHeight="1" x14ac:dyDescent="0.3">
      <c r="A888" s="69"/>
      <c r="B888" s="69"/>
      <c r="C888" s="69"/>
      <c r="D888" s="69"/>
      <c r="E888" s="69"/>
      <c r="F888" s="69"/>
      <c r="Z888" s="101"/>
      <c r="AA888" s="101"/>
      <c r="AB888" s="101"/>
      <c r="AC888" s="101"/>
      <c r="AD888" s="101"/>
      <c r="AE888" s="101"/>
      <c r="AF888" s="101"/>
      <c r="AG888" s="101"/>
      <c r="AH888" s="101"/>
      <c r="AI888" s="101"/>
      <c r="AJ888" s="101"/>
      <c r="AK888" s="101"/>
      <c r="AL888" s="101"/>
      <c r="AM888" s="101"/>
      <c r="AN888" s="101"/>
    </row>
    <row r="889" spans="1:40" ht="16.5" customHeight="1" x14ac:dyDescent="0.3">
      <c r="A889" s="69"/>
      <c r="B889" s="69"/>
      <c r="C889" s="69"/>
      <c r="D889" s="69"/>
      <c r="E889" s="69"/>
      <c r="F889" s="69"/>
      <c r="Z889" s="101"/>
      <c r="AA889" s="101"/>
      <c r="AB889" s="101"/>
      <c r="AC889" s="101"/>
      <c r="AD889" s="101"/>
      <c r="AE889" s="101"/>
      <c r="AF889" s="101"/>
      <c r="AG889" s="101"/>
      <c r="AH889" s="101"/>
      <c r="AI889" s="101"/>
      <c r="AJ889" s="101"/>
      <c r="AK889" s="101"/>
      <c r="AL889" s="101"/>
      <c r="AM889" s="101"/>
      <c r="AN889" s="101"/>
    </row>
    <row r="890" spans="1:40" ht="16.5" customHeight="1" x14ac:dyDescent="0.3">
      <c r="A890" s="69"/>
      <c r="B890" s="69"/>
      <c r="C890" s="69"/>
      <c r="D890" s="69"/>
      <c r="E890" s="69"/>
      <c r="F890" s="69"/>
      <c r="Z890" s="101"/>
      <c r="AA890" s="101"/>
      <c r="AB890" s="101"/>
      <c r="AC890" s="101"/>
      <c r="AD890" s="101"/>
      <c r="AE890" s="101"/>
      <c r="AF890" s="101"/>
      <c r="AG890" s="101"/>
      <c r="AH890" s="101"/>
      <c r="AI890" s="101"/>
      <c r="AJ890" s="101"/>
      <c r="AK890" s="101"/>
      <c r="AL890" s="101"/>
      <c r="AM890" s="101"/>
      <c r="AN890" s="101"/>
    </row>
    <row r="891" spans="1:40" ht="16.5" customHeight="1" x14ac:dyDescent="0.3">
      <c r="A891" s="69"/>
      <c r="B891" s="69"/>
      <c r="C891" s="69"/>
      <c r="D891" s="69"/>
      <c r="E891" s="69"/>
      <c r="F891" s="69"/>
      <c r="Z891" s="101"/>
      <c r="AA891" s="101"/>
      <c r="AB891" s="101"/>
      <c r="AC891" s="101"/>
      <c r="AD891" s="101"/>
      <c r="AE891" s="101"/>
      <c r="AF891" s="101"/>
      <c r="AG891" s="101"/>
      <c r="AH891" s="101"/>
      <c r="AI891" s="101"/>
      <c r="AJ891" s="101"/>
      <c r="AK891" s="101"/>
      <c r="AL891" s="101"/>
      <c r="AM891" s="101"/>
      <c r="AN891" s="101"/>
    </row>
    <row r="892" spans="1:40" ht="16.5" customHeight="1" x14ac:dyDescent="0.3">
      <c r="A892" s="69"/>
      <c r="B892" s="69"/>
      <c r="C892" s="69"/>
      <c r="D892" s="69"/>
      <c r="E892" s="69"/>
      <c r="F892" s="69"/>
      <c r="Z892" s="101"/>
      <c r="AA892" s="101"/>
      <c r="AB892" s="101"/>
      <c r="AC892" s="101"/>
      <c r="AD892" s="101"/>
      <c r="AE892" s="101"/>
      <c r="AF892" s="101"/>
      <c r="AG892" s="101"/>
      <c r="AH892" s="101"/>
      <c r="AI892" s="101"/>
      <c r="AJ892" s="101"/>
      <c r="AK892" s="101"/>
      <c r="AL892" s="101"/>
      <c r="AM892" s="101"/>
      <c r="AN892" s="101"/>
    </row>
    <row r="893" spans="1:40" ht="16.5" customHeight="1" x14ac:dyDescent="0.3">
      <c r="A893" s="69"/>
      <c r="B893" s="69"/>
      <c r="C893" s="69"/>
      <c r="D893" s="69"/>
      <c r="E893" s="69"/>
      <c r="F893" s="69"/>
      <c r="Z893" s="101"/>
      <c r="AA893" s="101"/>
      <c r="AB893" s="101"/>
      <c r="AC893" s="101"/>
      <c r="AD893" s="101"/>
      <c r="AE893" s="101"/>
      <c r="AF893" s="101"/>
      <c r="AG893" s="101"/>
      <c r="AH893" s="101"/>
      <c r="AI893" s="101"/>
      <c r="AJ893" s="101"/>
      <c r="AK893" s="101"/>
      <c r="AL893" s="101"/>
      <c r="AM893" s="101"/>
      <c r="AN893" s="101"/>
    </row>
    <row r="894" spans="1:40" ht="16.5" customHeight="1" x14ac:dyDescent="0.3">
      <c r="A894" s="69"/>
      <c r="B894" s="69"/>
      <c r="C894" s="69"/>
      <c r="D894" s="69"/>
      <c r="E894" s="69"/>
      <c r="F894" s="69"/>
      <c r="Z894" s="101"/>
      <c r="AA894" s="101"/>
      <c r="AB894" s="101"/>
      <c r="AC894" s="101"/>
      <c r="AD894" s="101"/>
      <c r="AE894" s="101"/>
      <c r="AF894" s="101"/>
      <c r="AG894" s="101"/>
      <c r="AH894" s="101"/>
      <c r="AI894" s="101"/>
      <c r="AJ894" s="101"/>
      <c r="AK894" s="101"/>
      <c r="AL894" s="101"/>
      <c r="AM894" s="101"/>
      <c r="AN894" s="101"/>
    </row>
    <row r="895" spans="1:40" ht="16.5" customHeight="1" x14ac:dyDescent="0.3">
      <c r="A895" s="69"/>
      <c r="B895" s="69"/>
      <c r="C895" s="69"/>
      <c r="D895" s="69"/>
      <c r="E895" s="69"/>
      <c r="F895" s="69"/>
      <c r="Z895" s="101"/>
      <c r="AA895" s="101"/>
      <c r="AB895" s="101"/>
      <c r="AC895" s="101"/>
      <c r="AD895" s="101"/>
      <c r="AE895" s="101"/>
      <c r="AF895" s="101"/>
      <c r="AG895" s="101"/>
      <c r="AH895" s="101"/>
      <c r="AI895" s="101"/>
      <c r="AJ895" s="101"/>
      <c r="AK895" s="101"/>
      <c r="AL895" s="101"/>
      <c r="AM895" s="101"/>
      <c r="AN895" s="101"/>
    </row>
    <row r="896" spans="1:40" ht="16.5" customHeight="1" x14ac:dyDescent="0.3">
      <c r="A896" s="69"/>
      <c r="B896" s="69"/>
      <c r="C896" s="69"/>
      <c r="D896" s="69"/>
      <c r="E896" s="69"/>
      <c r="F896" s="69"/>
      <c r="Z896" s="101"/>
      <c r="AA896" s="101"/>
      <c r="AB896" s="101"/>
      <c r="AC896" s="101"/>
      <c r="AD896" s="101"/>
      <c r="AE896" s="101"/>
      <c r="AF896" s="101"/>
      <c r="AG896" s="101"/>
      <c r="AH896" s="101"/>
      <c r="AI896" s="101"/>
      <c r="AJ896" s="101"/>
      <c r="AK896" s="101"/>
      <c r="AL896" s="101"/>
      <c r="AM896" s="101"/>
      <c r="AN896" s="101"/>
    </row>
    <row r="897" spans="1:40" ht="16.5" customHeight="1" x14ac:dyDescent="0.3">
      <c r="A897" s="69"/>
      <c r="B897" s="69"/>
      <c r="C897" s="69"/>
      <c r="D897" s="69"/>
      <c r="E897" s="69"/>
      <c r="F897" s="69"/>
      <c r="Z897" s="101"/>
      <c r="AA897" s="101"/>
      <c r="AB897" s="101"/>
      <c r="AC897" s="101"/>
      <c r="AD897" s="101"/>
      <c r="AE897" s="101"/>
      <c r="AF897" s="101"/>
      <c r="AG897" s="101"/>
      <c r="AH897" s="101"/>
      <c r="AI897" s="101"/>
      <c r="AJ897" s="101"/>
      <c r="AK897" s="101"/>
      <c r="AL897" s="101"/>
      <c r="AM897" s="101"/>
      <c r="AN897" s="101"/>
    </row>
    <row r="898" spans="1:40" ht="16.5" customHeight="1" x14ac:dyDescent="0.3">
      <c r="A898" s="69"/>
      <c r="B898" s="69"/>
      <c r="C898" s="69"/>
      <c r="D898" s="69"/>
      <c r="E898" s="69"/>
      <c r="F898" s="69"/>
      <c r="Z898" s="101"/>
      <c r="AA898" s="101"/>
      <c r="AB898" s="101"/>
      <c r="AC898" s="101"/>
      <c r="AD898" s="101"/>
      <c r="AE898" s="101"/>
      <c r="AF898" s="101"/>
      <c r="AG898" s="101"/>
      <c r="AH898" s="101"/>
      <c r="AI898" s="101"/>
      <c r="AJ898" s="101"/>
      <c r="AK898" s="101"/>
      <c r="AL898" s="101"/>
      <c r="AM898" s="101"/>
      <c r="AN898" s="101"/>
    </row>
    <row r="899" spans="1:40" ht="16.5" customHeight="1" x14ac:dyDescent="0.3">
      <c r="A899" s="69"/>
      <c r="B899" s="69"/>
      <c r="C899" s="69"/>
      <c r="D899" s="69"/>
      <c r="E899" s="69"/>
      <c r="F899" s="69"/>
      <c r="Z899" s="101"/>
      <c r="AA899" s="101"/>
      <c r="AB899" s="101"/>
      <c r="AC899" s="101"/>
      <c r="AD899" s="101"/>
      <c r="AE899" s="101"/>
      <c r="AF899" s="101"/>
      <c r="AG899" s="101"/>
      <c r="AH899" s="101"/>
      <c r="AI899" s="101"/>
      <c r="AJ899" s="101"/>
      <c r="AK899" s="101"/>
      <c r="AL899" s="101"/>
      <c r="AM899" s="101"/>
      <c r="AN899" s="101"/>
    </row>
    <row r="900" spans="1:40" ht="16.5" customHeight="1" x14ac:dyDescent="0.3">
      <c r="A900" s="69"/>
      <c r="B900" s="69"/>
      <c r="C900" s="69"/>
      <c r="D900" s="69"/>
      <c r="E900" s="69"/>
      <c r="F900" s="69"/>
      <c r="Z900" s="101"/>
      <c r="AA900" s="101"/>
      <c r="AB900" s="101"/>
      <c r="AC900" s="101"/>
      <c r="AD900" s="101"/>
      <c r="AE900" s="101"/>
      <c r="AF900" s="101"/>
      <c r="AG900" s="101"/>
      <c r="AH900" s="101"/>
      <c r="AI900" s="101"/>
      <c r="AJ900" s="101"/>
      <c r="AK900" s="101"/>
      <c r="AL900" s="101"/>
      <c r="AM900" s="101"/>
      <c r="AN900" s="101"/>
    </row>
    <row r="901" spans="1:40" ht="16.5" customHeight="1" x14ac:dyDescent="0.3">
      <c r="A901" s="69"/>
      <c r="B901" s="69"/>
      <c r="C901" s="69"/>
      <c r="D901" s="69"/>
      <c r="E901" s="69"/>
      <c r="F901" s="69"/>
      <c r="Z901" s="101"/>
      <c r="AA901" s="101"/>
      <c r="AB901" s="101"/>
      <c r="AC901" s="101"/>
      <c r="AD901" s="101"/>
      <c r="AE901" s="101"/>
      <c r="AF901" s="101"/>
      <c r="AG901" s="101"/>
      <c r="AH901" s="101"/>
      <c r="AI901" s="101"/>
      <c r="AJ901" s="101"/>
      <c r="AK901" s="101"/>
      <c r="AL901" s="101"/>
      <c r="AM901" s="101"/>
      <c r="AN901" s="101"/>
    </row>
    <row r="902" spans="1:40" ht="16.5" customHeight="1" x14ac:dyDescent="0.3">
      <c r="A902" s="69"/>
      <c r="B902" s="69"/>
      <c r="C902" s="69"/>
      <c r="D902" s="69"/>
      <c r="E902" s="69"/>
      <c r="F902" s="69"/>
      <c r="Z902" s="101"/>
      <c r="AA902" s="101"/>
      <c r="AB902" s="101"/>
      <c r="AC902" s="101"/>
      <c r="AD902" s="101"/>
      <c r="AE902" s="101"/>
      <c r="AF902" s="101"/>
      <c r="AG902" s="101"/>
      <c r="AH902" s="101"/>
      <c r="AI902" s="101"/>
      <c r="AJ902" s="101"/>
      <c r="AK902" s="101"/>
      <c r="AL902" s="101"/>
      <c r="AM902" s="101"/>
      <c r="AN902" s="101"/>
    </row>
    <row r="903" spans="1:40" ht="16.5" customHeight="1" x14ac:dyDescent="0.3">
      <c r="A903" s="74"/>
      <c r="B903" s="74"/>
      <c r="C903" s="74"/>
      <c r="D903" s="74"/>
      <c r="E903" s="74"/>
      <c r="F903" s="74"/>
      <c r="Z903" s="101"/>
      <c r="AA903" s="101"/>
      <c r="AB903" s="101"/>
      <c r="AC903" s="101"/>
      <c r="AD903" s="101"/>
      <c r="AE903" s="101"/>
      <c r="AF903" s="101"/>
      <c r="AG903" s="101"/>
      <c r="AH903" s="101"/>
      <c r="AI903" s="101"/>
      <c r="AJ903" s="101"/>
      <c r="AK903" s="101"/>
      <c r="AL903" s="101"/>
      <c r="AM903" s="101"/>
      <c r="AN903" s="101"/>
    </row>
    <row r="904" spans="1:40" ht="16.5" customHeight="1" x14ac:dyDescent="0.3">
      <c r="A904" s="150" t="s">
        <v>1477</v>
      </c>
      <c r="B904" s="143"/>
      <c r="C904" s="47">
        <f>E904+D904+F904</f>
        <v>4269</v>
      </c>
      <c r="D904" s="46">
        <f>ROUNDDOWN(SUMIF(N757:N867,M904,D757:D867),0)</f>
        <v>1928</v>
      </c>
      <c r="E904" s="55">
        <f>ROUNDDOWN(SUMIF(N757:N867,M904,E757:E867),0)</f>
        <v>1105</v>
      </c>
      <c r="F904" s="47">
        <f>ROUNDDOWN(SUMIF(N757:N867,M904,F757:F867),0)</f>
        <v>1236</v>
      </c>
      <c r="M904" s="35" t="s">
        <v>1209</v>
      </c>
      <c r="Z904" s="101"/>
      <c r="AA904" s="101"/>
      <c r="AB904" s="101"/>
      <c r="AC904" s="101"/>
      <c r="AD904" s="101"/>
      <c r="AE904" s="101"/>
      <c r="AF904" s="101"/>
      <c r="AG904" s="101"/>
      <c r="AH904" s="101"/>
      <c r="AI904" s="101"/>
      <c r="AJ904" s="101"/>
      <c r="AK904" s="101"/>
      <c r="AL904" s="101"/>
      <c r="AM904" s="101"/>
      <c r="AN904" s="101"/>
    </row>
    <row r="905" spans="1:40" ht="16.5" customHeight="1" x14ac:dyDescent="0.3">
      <c r="A905" s="86" t="s">
        <v>68</v>
      </c>
      <c r="B905" s="88" t="s">
        <v>68</v>
      </c>
      <c r="C905" s="151">
        <f>C1004</f>
        <v>13348</v>
      </c>
      <c r="D905" s="151">
        <f>D1004</f>
        <v>9716</v>
      </c>
      <c r="E905" s="151">
        <f>E1004</f>
        <v>2012</v>
      </c>
      <c r="F905" s="151">
        <f>F1004</f>
        <v>1620</v>
      </c>
      <c r="G905" s="84" t="str">
        <f>HYPERLINK("#G"&amp;ROW(G956),"_x0005_`BDCOD|D01352_x0007_`POSS|"&amp;ROW(G907)&amp;"_x0007_`POSE|"&amp;ROW(G956)&amp;"_x0007_`")</f>
        <v>_x0005_`BDCOD|D01352_x0007_`POSS|907_x0007_`POSE|956_x0007_`</v>
      </c>
      <c r="Z905" s="101"/>
      <c r="AA905" s="101"/>
      <c r="AB905" s="101"/>
      <c r="AC905" s="101"/>
      <c r="AD905" s="101"/>
      <c r="AE905" s="101"/>
      <c r="AF905" s="101"/>
      <c r="AG905" s="101"/>
      <c r="AH905" s="101"/>
      <c r="AI905" s="101"/>
      <c r="AJ905" s="101"/>
      <c r="AK905" s="101"/>
      <c r="AL905" s="101"/>
      <c r="AM905" s="101"/>
      <c r="AN905" s="101"/>
    </row>
    <row r="906" spans="1:40" ht="16.5" customHeight="1" x14ac:dyDescent="0.3">
      <c r="A906" s="87"/>
      <c r="B906" s="88" t="s">
        <v>165</v>
      </c>
      <c r="C906" s="136"/>
      <c r="D906" s="136"/>
      <c r="E906" s="136"/>
      <c r="F906" s="136"/>
      <c r="M906" s="35" t="s">
        <v>1845</v>
      </c>
      <c r="Z906" s="101"/>
      <c r="AA906" s="101"/>
      <c r="AB906" s="101"/>
      <c r="AC906" s="101"/>
      <c r="AD906" s="101"/>
      <c r="AE906" s="101"/>
      <c r="AF906" s="101"/>
      <c r="AG906" s="101"/>
      <c r="AH906" s="101"/>
      <c r="AI906" s="101"/>
      <c r="AJ906" s="101"/>
      <c r="AK906" s="101"/>
      <c r="AL906" s="101"/>
      <c r="AM906" s="101"/>
      <c r="AN906" s="101"/>
    </row>
    <row r="907" spans="1:40" ht="16.5" customHeight="1" x14ac:dyDescent="0.3">
      <c r="A907" s="69"/>
      <c r="B907" s="69"/>
      <c r="C907" s="90"/>
      <c r="D907" s="90"/>
      <c r="E907" s="90"/>
      <c r="F907" s="90"/>
      <c r="G907" s="17" t="s">
        <v>1405</v>
      </c>
      <c r="Z907" s="101"/>
      <c r="AA907" s="101"/>
      <c r="AB907" s="101"/>
      <c r="AC907" s="101"/>
      <c r="AD907" s="101"/>
      <c r="AE907" s="101"/>
      <c r="AF907" s="101"/>
      <c r="AG907" s="101"/>
      <c r="AH907" s="101"/>
      <c r="AI907" s="101"/>
      <c r="AJ907" s="101"/>
      <c r="AK907" s="101"/>
      <c r="AL907" s="101"/>
      <c r="AM907" s="101"/>
      <c r="AN907" s="101"/>
    </row>
    <row r="908" spans="1:40" ht="16.5" customHeight="1" x14ac:dyDescent="0.3">
      <c r="A908" s="59"/>
      <c r="B908" s="68" t="s">
        <v>1847</v>
      </c>
      <c r="C908" s="69"/>
      <c r="D908" s="69"/>
      <c r="E908" s="69"/>
      <c r="F908" s="69"/>
      <c r="G908" s="17" t="s">
        <v>1846</v>
      </c>
      <c r="Z908" s="101"/>
      <c r="AA908" s="101"/>
      <c r="AB908" s="101"/>
      <c r="AC908" s="101"/>
      <c r="AD908" s="101"/>
      <c r="AE908" s="101"/>
      <c r="AF908" s="101"/>
      <c r="AG908" s="101"/>
      <c r="AH908" s="101"/>
      <c r="AI908" s="101"/>
      <c r="AJ908" s="101"/>
      <c r="AK908" s="101"/>
      <c r="AL908" s="101"/>
      <c r="AM908" s="101"/>
      <c r="AN908" s="101"/>
    </row>
    <row r="909" spans="1:40" ht="16.5" customHeight="1" x14ac:dyDescent="0.3">
      <c r="A909" s="69"/>
      <c r="B909" s="69"/>
      <c r="C909" s="69"/>
      <c r="D909" s="69"/>
      <c r="E909" s="69"/>
      <c r="F909" s="69"/>
      <c r="G909" s="17" t="s">
        <v>1405</v>
      </c>
      <c r="Z909" s="101"/>
      <c r="AA909" s="101"/>
      <c r="AB909" s="101"/>
      <c r="AC909" s="101"/>
      <c r="AD909" s="101"/>
      <c r="AE909" s="101"/>
      <c r="AF909" s="101"/>
      <c r="AG909" s="101"/>
      <c r="AH909" s="101"/>
      <c r="AI909" s="101"/>
      <c r="AJ909" s="101"/>
      <c r="AK909" s="101"/>
      <c r="AL909" s="101"/>
      <c r="AM909" s="101"/>
      <c r="AN909" s="101"/>
    </row>
    <row r="910" spans="1:40" ht="16.5" customHeight="1" x14ac:dyDescent="0.3">
      <c r="A910" s="59"/>
      <c r="B910" s="68" t="str">
        <f>" Q1 = "&amp;Z910&amp;" 인 /"&amp;AB910&amp;" hr/일 = "&amp;AD910&amp;" hr/일 "</f>
        <v xml:space="preserve"> Q1 = 2 인 /8 hr/일 = 0.250 hr/일 </v>
      </c>
      <c r="C910" s="69"/>
      <c r="D910" s="69"/>
      <c r="E910" s="69"/>
      <c r="F910" s="69"/>
      <c r="G910" s="17" t="s">
        <v>1694</v>
      </c>
      <c r="Z910" s="102">
        <v>2</v>
      </c>
      <c r="AA910" s="35" t="s">
        <v>1413</v>
      </c>
      <c r="AB910" s="102">
        <v>8</v>
      </c>
      <c r="AC910" s="35" t="s">
        <v>1410</v>
      </c>
      <c r="AD910" s="103" t="str">
        <f>TEXT(ROUND(Z910/AB910,3),"#,0.000")</f>
        <v>0.250</v>
      </c>
      <c r="AE910" s="101"/>
      <c r="AF910" s="101"/>
      <c r="AG910" s="101"/>
      <c r="AH910" s="101"/>
      <c r="AI910" s="101"/>
      <c r="AJ910" s="101"/>
      <c r="AK910" s="101"/>
      <c r="AL910" s="101"/>
      <c r="AM910" s="101"/>
      <c r="AN910" s="101"/>
    </row>
    <row r="911" spans="1:40" ht="16.5" customHeight="1" x14ac:dyDescent="0.3">
      <c r="A911" s="59"/>
      <c r="B911" s="68" t="str">
        <f>" Q2 = "&amp;Z911&amp;" 인 /"&amp;AB911&amp;" hr/일 = "&amp;AD911&amp;" hr/일 "</f>
        <v xml:space="preserve"> Q2 = 2 인 /8 hr/일 = 0.250 hr/일 </v>
      </c>
      <c r="C911" s="69"/>
      <c r="D911" s="69"/>
      <c r="E911" s="69"/>
      <c r="F911" s="69"/>
      <c r="G911" s="17" t="s">
        <v>1752</v>
      </c>
      <c r="Z911" s="102">
        <v>2</v>
      </c>
      <c r="AA911" s="35" t="s">
        <v>1413</v>
      </c>
      <c r="AB911" s="102">
        <v>8</v>
      </c>
      <c r="AC911" s="35" t="s">
        <v>1410</v>
      </c>
      <c r="AD911" s="103" t="str">
        <f>TEXT(ROUND(Z911/AB911,3),"#,0.000")</f>
        <v>0.250</v>
      </c>
      <c r="AE911" s="101"/>
      <c r="AF911" s="101"/>
      <c r="AG911" s="101"/>
      <c r="AH911" s="101"/>
      <c r="AI911" s="101"/>
      <c r="AJ911" s="101"/>
      <c r="AK911" s="101"/>
      <c r="AL911" s="101"/>
      <c r="AM911" s="101"/>
      <c r="AN911" s="101"/>
    </row>
    <row r="912" spans="1:40" ht="16.5" customHeight="1" x14ac:dyDescent="0.3">
      <c r="A912" s="59"/>
      <c r="B912" s="68" t="str">
        <f>" Q = "&amp;Z912&amp;" 인 /"&amp;AB912&amp;" hr/일 = "&amp;AD912&amp;" ㎥/hr "</f>
        <v xml:space="preserve"> Q = 150 인 /8 hr/일 = 18.750 ㎥/hr </v>
      </c>
      <c r="C912" s="69"/>
      <c r="D912" s="69"/>
      <c r="E912" s="69"/>
      <c r="F912" s="69"/>
      <c r="G912" s="17" t="s">
        <v>1848</v>
      </c>
      <c r="Z912" s="102">
        <v>150</v>
      </c>
      <c r="AA912" s="35" t="s">
        <v>1413</v>
      </c>
      <c r="AB912" s="102">
        <v>8</v>
      </c>
      <c r="AC912" s="35" t="s">
        <v>1410</v>
      </c>
      <c r="AD912" s="103" t="str">
        <f>TEXT(ROUND(Z912/AB912,3),"#,0.000")</f>
        <v>18.750</v>
      </c>
      <c r="AE912" s="101"/>
      <c r="AF912" s="101"/>
      <c r="AG912" s="101"/>
      <c r="AH912" s="101"/>
      <c r="AI912" s="101"/>
      <c r="AJ912" s="101"/>
      <c r="AK912" s="101"/>
      <c r="AL912" s="101"/>
      <c r="AM912" s="101"/>
      <c r="AN912" s="101"/>
    </row>
    <row r="913" spans="1:40" ht="16.5" customHeight="1" x14ac:dyDescent="0.3">
      <c r="A913" s="69"/>
      <c r="B913" s="69"/>
      <c r="C913" s="69"/>
      <c r="D913" s="69"/>
      <c r="E913" s="69"/>
      <c r="F913" s="69"/>
      <c r="G913" s="17" t="s">
        <v>1405</v>
      </c>
      <c r="Z913" s="101"/>
      <c r="AA913" s="101"/>
      <c r="AB913" s="101"/>
      <c r="AC913" s="101"/>
      <c r="AD913" s="101"/>
      <c r="AE913" s="101"/>
      <c r="AF913" s="101"/>
      <c r="AG913" s="101"/>
      <c r="AH913" s="101"/>
      <c r="AI913" s="101"/>
      <c r="AJ913" s="101"/>
      <c r="AK913" s="101"/>
      <c r="AL913" s="101"/>
      <c r="AM913" s="101"/>
      <c r="AN913" s="101"/>
    </row>
    <row r="914" spans="1:40" ht="16.5" customHeight="1" x14ac:dyDescent="0.3">
      <c r="A914" s="69"/>
      <c r="B914" s="69"/>
      <c r="C914" s="69"/>
      <c r="D914" s="69"/>
      <c r="E914" s="69"/>
      <c r="F914" s="69"/>
      <c r="G914" s="17" t="s">
        <v>1405</v>
      </c>
      <c r="Z914" s="101"/>
      <c r="AA914" s="101"/>
      <c r="AB914" s="101"/>
      <c r="AC914" s="101"/>
      <c r="AD914" s="101"/>
      <c r="AE914" s="101"/>
      <c r="AF914" s="101"/>
      <c r="AG914" s="101"/>
      <c r="AH914" s="101"/>
      <c r="AI914" s="101"/>
      <c r="AJ914" s="101"/>
      <c r="AK914" s="101"/>
      <c r="AL914" s="101"/>
      <c r="AM914" s="101"/>
      <c r="AN914" s="101"/>
    </row>
    <row r="915" spans="1:40" ht="16.5" customHeight="1" x14ac:dyDescent="0.3">
      <c r="A915" s="59"/>
      <c r="B915" s="68" t="s">
        <v>1850</v>
      </c>
      <c r="C915" s="69"/>
      <c r="D915" s="69"/>
      <c r="E915" s="69"/>
      <c r="F915" s="69"/>
      <c r="G915" s="17" t="s">
        <v>1849</v>
      </c>
      <c r="Z915" s="101"/>
      <c r="AA915" s="101"/>
      <c r="AB915" s="101"/>
      <c r="AC915" s="101"/>
      <c r="AD915" s="101"/>
      <c r="AE915" s="101"/>
      <c r="AF915" s="101"/>
      <c r="AG915" s="101"/>
      <c r="AH915" s="101"/>
      <c r="AI915" s="101"/>
      <c r="AJ915" s="101"/>
      <c r="AK915" s="101"/>
      <c r="AL915" s="101"/>
      <c r="AM915" s="101"/>
      <c r="AN915" s="101"/>
    </row>
    <row r="916" spans="1:40" ht="16.5" customHeight="1" x14ac:dyDescent="0.3">
      <c r="A916" s="69"/>
      <c r="B916" s="69"/>
      <c r="C916" s="69"/>
      <c r="D916" s="69"/>
      <c r="E916" s="69"/>
      <c r="F916" s="69"/>
      <c r="G916" s="17" t="s">
        <v>1405</v>
      </c>
      <c r="Z916" s="101"/>
      <c r="AA916" s="101"/>
      <c r="AB916" s="101"/>
      <c r="AC916" s="101"/>
      <c r="AD916" s="101"/>
      <c r="AE916" s="101"/>
      <c r="AF916" s="101"/>
      <c r="AG916" s="101"/>
      <c r="AH916" s="101"/>
      <c r="AI916" s="101"/>
      <c r="AJ916" s="101"/>
      <c r="AK916" s="101"/>
      <c r="AL916" s="101"/>
      <c r="AM916" s="101"/>
      <c r="AN916" s="101"/>
    </row>
    <row r="917" spans="1:40" ht="16.5" customHeight="1" x14ac:dyDescent="0.3">
      <c r="A917" s="59" t="s">
        <v>1852</v>
      </c>
      <c r="B917" s="89" t="str">
        <f>" 노무비: "&amp;TEXT(I917,"#,##0"&amp;IF(I917&lt;&gt;INT(I917),".###",""))&amp;" / Q = "&amp;TEXT(C917,"#,##0.0")&amp;""</f>
        <v xml:space="preserve"> 노무비: 59,020 / Q = 3,147.7</v>
      </c>
      <c r="C917" s="91">
        <f>E917+D917+F917</f>
        <v>3147.7</v>
      </c>
      <c r="D917" s="91">
        <f>IF(H917=0,0,ROUNDDOWN(J917*H917,1))</f>
        <v>3147.7</v>
      </c>
      <c r="E917" s="91">
        <f>IF(H917=0,0,ROUNDDOWN(K917*H917,1))</f>
        <v>0</v>
      </c>
      <c r="F917" s="91">
        <f>IF(H917=0,0,ROUNDDOWN(L917*H917,1))</f>
        <v>0</v>
      </c>
      <c r="G917" s="17" t="s">
        <v>1851</v>
      </c>
      <c r="H917" s="97">
        <f>ROUNDUP(AC917,14-LEN(ABS(INT(AC917))))</f>
        <v>5.3333333333400006E-2</v>
      </c>
      <c r="I917" s="98">
        <f>K917+J917+L917</f>
        <v>59020</v>
      </c>
      <c r="J917" s="38">
        <f>중기목록표!F9</f>
        <v>59020</v>
      </c>
      <c r="M917" s="35" t="s">
        <v>1853</v>
      </c>
      <c r="N917" s="35" t="s">
        <v>1262</v>
      </c>
      <c r="X917" s="100" t="str">
        <f>중기목록표!B9&amp;" / "&amp;중기목록표!C9</f>
        <v>굴착기(무한궤도) / 0.6㎥</v>
      </c>
      <c r="Y917" s="3" t="str">
        <f ca="1">HYPERLINK("#"&amp;중기목록표!J2&amp;"!A"&amp;ROW(중기목록표!A9),"중기6 →")</f>
        <v>중기6 →</v>
      </c>
      <c r="Z917" s="35" t="s">
        <v>1417</v>
      </c>
      <c r="AA917" s="103" t="str">
        <f>AD912</f>
        <v>18.750</v>
      </c>
      <c r="AB917" s="35" t="s">
        <v>1410</v>
      </c>
      <c r="AC917" s="103">
        <f>1/AD912</f>
        <v>5.3333333333333337E-2</v>
      </c>
      <c r="AD917" s="101"/>
      <c r="AE917" s="101"/>
      <c r="AF917" s="101"/>
      <c r="AG917" s="101"/>
      <c r="AH917" s="101"/>
      <c r="AI917" s="101"/>
      <c r="AJ917" s="101"/>
      <c r="AK917" s="101"/>
      <c r="AL917" s="101"/>
      <c r="AM917" s="101"/>
      <c r="AN917" s="101"/>
    </row>
    <row r="918" spans="1:40" ht="16.5" customHeight="1" x14ac:dyDescent="0.3">
      <c r="A918" s="69"/>
      <c r="B918" s="69"/>
      <c r="C918" s="69"/>
      <c r="D918" s="69"/>
      <c r="E918" s="69"/>
      <c r="F918" s="69"/>
      <c r="G918" s="17" t="s">
        <v>1405</v>
      </c>
      <c r="Z918" s="101"/>
      <c r="AA918" s="101"/>
      <c r="AB918" s="101"/>
      <c r="AC918" s="101"/>
      <c r="AD918" s="101"/>
      <c r="AE918" s="101"/>
      <c r="AF918" s="101"/>
      <c r="AG918" s="101"/>
      <c r="AH918" s="101"/>
      <c r="AI918" s="101"/>
      <c r="AJ918" s="101"/>
      <c r="AK918" s="101"/>
      <c r="AL918" s="101"/>
      <c r="AM918" s="101"/>
      <c r="AN918" s="101"/>
    </row>
    <row r="919" spans="1:40" ht="16.5" customHeight="1" x14ac:dyDescent="0.3">
      <c r="A919" s="59" t="s">
        <v>1855</v>
      </c>
      <c r="B919" s="89" t="str">
        <f>" 재료비: "&amp;TEXT(I919,"#,##0"&amp;IF(I919&lt;&gt;INT(I919),".###",""))&amp;" / Q = "&amp;TEXT(C919,"#,##0.0")&amp;""</f>
        <v xml:space="preserve"> 재료비: 22,386 / Q = 1,193.9</v>
      </c>
      <c r="C919" s="91">
        <f>E919+D919+F919</f>
        <v>1193.9000000000001</v>
      </c>
      <c r="D919" s="91">
        <f>IF(H919=0,0,ROUNDDOWN(J919*H919,1))</f>
        <v>0</v>
      </c>
      <c r="E919" s="91">
        <f>IF(H919=0,0,ROUNDDOWN(K919*H919,1))</f>
        <v>1193.9000000000001</v>
      </c>
      <c r="F919" s="91">
        <f>IF(H919=0,0,ROUNDDOWN(L919*H919,1))</f>
        <v>0</v>
      </c>
      <c r="G919" s="17" t="s">
        <v>1854</v>
      </c>
      <c r="H919" s="97">
        <f>ROUNDUP(AC919,14-LEN(ABS(INT(AC919))))</f>
        <v>5.3333333333400006E-2</v>
      </c>
      <c r="I919" s="98">
        <f>K919+J919+L919</f>
        <v>22386</v>
      </c>
      <c r="K919" s="38">
        <f>중기목록표!G9</f>
        <v>22386</v>
      </c>
      <c r="M919" s="35" t="s">
        <v>1853</v>
      </c>
      <c r="N919" s="35" t="s">
        <v>1262</v>
      </c>
      <c r="X919" s="100" t="str">
        <f>중기목록표!B9&amp;" / "&amp;중기목록표!C9</f>
        <v>굴착기(무한궤도) / 0.6㎥</v>
      </c>
      <c r="Y919" s="3" t="str">
        <f ca="1">HYPERLINK("#"&amp;중기목록표!J2&amp;"!A"&amp;ROW(중기목록표!A9),"중기6 →")</f>
        <v>중기6 →</v>
      </c>
      <c r="Z919" s="35" t="s">
        <v>1417</v>
      </c>
      <c r="AA919" s="103" t="str">
        <f>AD912</f>
        <v>18.750</v>
      </c>
      <c r="AB919" s="35" t="s">
        <v>1410</v>
      </c>
      <c r="AC919" s="103">
        <f>1/AD912</f>
        <v>5.3333333333333337E-2</v>
      </c>
      <c r="AD919" s="101"/>
      <c r="AE919" s="101"/>
      <c r="AF919" s="101"/>
      <c r="AG919" s="101"/>
      <c r="AH919" s="101"/>
      <c r="AI919" s="101"/>
      <c r="AJ919" s="101"/>
      <c r="AK919" s="101"/>
      <c r="AL919" s="101"/>
      <c r="AM919" s="101"/>
      <c r="AN919" s="101"/>
    </row>
    <row r="920" spans="1:40" ht="16.5" customHeight="1" x14ac:dyDescent="0.3">
      <c r="A920" s="69"/>
      <c r="B920" s="69"/>
      <c r="C920" s="69"/>
      <c r="D920" s="69"/>
      <c r="E920" s="69"/>
      <c r="F920" s="69"/>
      <c r="G920" s="17" t="s">
        <v>1405</v>
      </c>
      <c r="Z920" s="101"/>
      <c r="AA920" s="101"/>
      <c r="AB920" s="101"/>
      <c r="AC920" s="101"/>
      <c r="AD920" s="101"/>
      <c r="AE920" s="101"/>
      <c r="AF920" s="101"/>
      <c r="AG920" s="101"/>
      <c r="AH920" s="101"/>
      <c r="AI920" s="101"/>
      <c r="AJ920" s="101"/>
      <c r="AK920" s="101"/>
      <c r="AL920" s="101"/>
      <c r="AM920" s="101"/>
      <c r="AN920" s="101"/>
    </row>
    <row r="921" spans="1:40" ht="16.5" customHeight="1" x14ac:dyDescent="0.3">
      <c r="A921" s="59" t="s">
        <v>1857</v>
      </c>
      <c r="B921" s="89" t="str">
        <f>" 경  비: "&amp;TEXT(I921,"#,##0"&amp;IF(I921&lt;&gt;INT(I921),".###",""))&amp;" / Q = "&amp;TEXT(C921,"#,##0.0")&amp;""</f>
        <v xml:space="preserve"> 경  비: 23,423 / Q = 1,249.2</v>
      </c>
      <c r="C921" s="91">
        <f>E921+D921+F921</f>
        <v>1249.2</v>
      </c>
      <c r="D921" s="91">
        <f>IF(H921=0,0,ROUNDDOWN(J921*H921,1))</f>
        <v>0</v>
      </c>
      <c r="E921" s="91">
        <f>IF(H921=0,0,ROUNDDOWN(K921*H921,1))</f>
        <v>0</v>
      </c>
      <c r="F921" s="91">
        <f>IF(H921=0,0,ROUNDDOWN(L921*H921,1))</f>
        <v>1249.2</v>
      </c>
      <c r="G921" s="17" t="s">
        <v>1856</v>
      </c>
      <c r="H921" s="97">
        <f>ROUNDUP(AC921,14-LEN(ABS(INT(AC921))))</f>
        <v>5.3333333333400006E-2</v>
      </c>
      <c r="I921" s="98">
        <f>K921+J921+L921</f>
        <v>23423</v>
      </c>
      <c r="L921" s="38">
        <f>중기목록표!H9</f>
        <v>23423</v>
      </c>
      <c r="M921" s="35" t="s">
        <v>1853</v>
      </c>
      <c r="N921" s="35" t="s">
        <v>1262</v>
      </c>
      <c r="X921" s="100" t="str">
        <f>중기목록표!B9&amp;" / "&amp;중기목록표!C9</f>
        <v>굴착기(무한궤도) / 0.6㎥</v>
      </c>
      <c r="Y921" s="3" t="str">
        <f ca="1">HYPERLINK("#"&amp;중기목록표!J2&amp;"!A"&amp;ROW(중기목록표!A9),"중기6 →")</f>
        <v>중기6 →</v>
      </c>
      <c r="Z921" s="35" t="s">
        <v>1417</v>
      </c>
      <c r="AA921" s="103" t="str">
        <f>AD912</f>
        <v>18.750</v>
      </c>
      <c r="AB921" s="35" t="s">
        <v>1410</v>
      </c>
      <c r="AC921" s="103">
        <f>1/AD912</f>
        <v>5.3333333333333337E-2</v>
      </c>
      <c r="AD921" s="101"/>
      <c r="AE921" s="101"/>
      <c r="AF921" s="101"/>
      <c r="AG921" s="101"/>
      <c r="AH921" s="101"/>
      <c r="AI921" s="101"/>
      <c r="AJ921" s="101"/>
      <c r="AK921" s="101"/>
      <c r="AL921" s="101"/>
      <c r="AM921" s="101"/>
      <c r="AN921" s="101"/>
    </row>
    <row r="922" spans="1:40" ht="16.5" customHeight="1" x14ac:dyDescent="0.3">
      <c r="A922" s="69"/>
      <c r="B922" s="69"/>
      <c r="C922" s="69"/>
      <c r="D922" s="69"/>
      <c r="E922" s="69"/>
      <c r="F922" s="69"/>
      <c r="G922" s="17" t="s">
        <v>1405</v>
      </c>
      <c r="Z922" s="101"/>
      <c r="AA922" s="101"/>
      <c r="AB922" s="101"/>
      <c r="AC922" s="101"/>
      <c r="AD922" s="101"/>
      <c r="AE922" s="101"/>
      <c r="AF922" s="101"/>
      <c r="AG922" s="101"/>
      <c r="AH922" s="101"/>
      <c r="AI922" s="101"/>
      <c r="AJ922" s="101"/>
      <c r="AK922" s="101"/>
      <c r="AL922" s="101"/>
      <c r="AM922" s="101"/>
      <c r="AN922" s="101"/>
    </row>
    <row r="923" spans="1:40" ht="16.5" customHeight="1" x14ac:dyDescent="0.3">
      <c r="A923" s="59"/>
      <c r="B923" s="68" t="s">
        <v>1260</v>
      </c>
      <c r="C923" s="92">
        <f>E923+D923+F923</f>
        <v>5590.8</v>
      </c>
      <c r="D923" s="92">
        <f>SUMIF(N907:N922,M923,D907:D922)</f>
        <v>3147.7</v>
      </c>
      <c r="E923" s="92">
        <f>SUMIF(N907:N922,M923,E907:E922)</f>
        <v>1193.9000000000001</v>
      </c>
      <c r="F923" s="92">
        <f>SUMIF(N907:N922,M923,F907:F922)</f>
        <v>1249.2</v>
      </c>
      <c r="G923" s="17" t="s">
        <v>1430</v>
      </c>
      <c r="M923" s="35" t="s">
        <v>1262</v>
      </c>
      <c r="N923" s="35" t="s">
        <v>1253</v>
      </c>
      <c r="Z923" s="101"/>
      <c r="AA923" s="101"/>
      <c r="AB923" s="101"/>
      <c r="AC923" s="101"/>
      <c r="AD923" s="101"/>
      <c r="AE923" s="101"/>
      <c r="AF923" s="101"/>
      <c r="AG923" s="101"/>
      <c r="AH923" s="101"/>
      <c r="AI923" s="101"/>
      <c r="AJ923" s="101"/>
      <c r="AK923" s="101"/>
      <c r="AL923" s="101"/>
      <c r="AM923" s="101"/>
      <c r="AN923" s="101"/>
    </row>
    <row r="924" spans="1:40" ht="16.5" customHeight="1" x14ac:dyDescent="0.3">
      <c r="A924" s="69"/>
      <c r="B924" s="69"/>
      <c r="C924" s="90"/>
      <c r="D924" s="90"/>
      <c r="E924" s="90"/>
      <c r="F924" s="90"/>
      <c r="G924" s="17" t="s">
        <v>1405</v>
      </c>
      <c r="Z924" s="101"/>
      <c r="AA924" s="101"/>
      <c r="AB924" s="101"/>
      <c r="AC924" s="101"/>
      <c r="AD924" s="101"/>
      <c r="AE924" s="101"/>
      <c r="AF924" s="101"/>
      <c r="AG924" s="101"/>
      <c r="AH924" s="101"/>
      <c r="AI924" s="101"/>
      <c r="AJ924" s="101"/>
      <c r="AK924" s="101"/>
      <c r="AL924" s="101"/>
      <c r="AM924" s="101"/>
      <c r="AN924" s="101"/>
    </row>
    <row r="925" spans="1:40" ht="16.5" customHeight="1" x14ac:dyDescent="0.3">
      <c r="A925" s="69"/>
      <c r="B925" s="69"/>
      <c r="C925" s="69"/>
      <c r="D925" s="69"/>
      <c r="E925" s="69"/>
      <c r="F925" s="69"/>
      <c r="G925" s="17" t="s">
        <v>1405</v>
      </c>
      <c r="Z925" s="101"/>
      <c r="AA925" s="101"/>
      <c r="AB925" s="101"/>
      <c r="AC925" s="101"/>
      <c r="AD925" s="101"/>
      <c r="AE925" s="101"/>
      <c r="AF925" s="101"/>
      <c r="AG925" s="101"/>
      <c r="AH925" s="101"/>
      <c r="AI925" s="101"/>
      <c r="AJ925" s="101"/>
      <c r="AK925" s="101"/>
      <c r="AL925" s="101"/>
      <c r="AM925" s="101"/>
      <c r="AN925" s="101"/>
    </row>
    <row r="926" spans="1:40" ht="16.5" customHeight="1" x14ac:dyDescent="0.3">
      <c r="A926" s="59"/>
      <c r="B926" s="68" t="s">
        <v>1859</v>
      </c>
      <c r="C926" s="69"/>
      <c r="D926" s="69"/>
      <c r="E926" s="69"/>
      <c r="F926" s="69"/>
      <c r="G926" s="17" t="s">
        <v>1858</v>
      </c>
      <c r="Z926" s="101"/>
      <c r="AA926" s="101"/>
      <c r="AB926" s="101"/>
      <c r="AC926" s="101"/>
      <c r="AD926" s="101"/>
      <c r="AE926" s="101"/>
      <c r="AF926" s="101"/>
      <c r="AG926" s="101"/>
      <c r="AH926" s="101"/>
      <c r="AI926" s="101"/>
      <c r="AJ926" s="101"/>
      <c r="AK926" s="101"/>
      <c r="AL926" s="101"/>
      <c r="AM926" s="101"/>
      <c r="AN926" s="101"/>
    </row>
    <row r="927" spans="1:40" ht="16.5" customHeight="1" x14ac:dyDescent="0.3">
      <c r="A927" s="69"/>
      <c r="B927" s="69"/>
      <c r="C927" s="69"/>
      <c r="D927" s="69"/>
      <c r="E927" s="69"/>
      <c r="F927" s="69"/>
      <c r="G927" s="17" t="s">
        <v>1405</v>
      </c>
      <c r="Z927" s="101"/>
      <c r="AA927" s="101"/>
      <c r="AB927" s="101"/>
      <c r="AC927" s="101"/>
      <c r="AD927" s="101"/>
      <c r="AE927" s="101"/>
      <c r="AF927" s="101"/>
      <c r="AG927" s="101"/>
      <c r="AH927" s="101"/>
      <c r="AI927" s="101"/>
      <c r="AJ927" s="101"/>
      <c r="AK927" s="101"/>
      <c r="AL927" s="101"/>
      <c r="AM927" s="101"/>
      <c r="AN927" s="101"/>
    </row>
    <row r="928" spans="1:40" ht="16.5" customHeight="1" x14ac:dyDescent="0.3">
      <c r="A928" s="59" t="s">
        <v>1577</v>
      </c>
      <c r="B928" s="89" t="str">
        <f>" 노무비: "&amp;TEXT(I928,"#,##0"&amp;IF(I928&lt;&gt;INT(I928),".###",""))&amp;" / Q = "&amp;TEXT(C928,"#,##0.0")&amp;""</f>
        <v xml:space="preserve"> 노무비: 0 / Q = 0.0</v>
      </c>
      <c r="C928" s="91">
        <f>E928+D928+F928</f>
        <v>0</v>
      </c>
      <c r="D928" s="91">
        <f>IF(H928=0,0,ROUNDDOWN(J928*H928,1))</f>
        <v>0</v>
      </c>
      <c r="E928" s="91">
        <f>IF(H928=0,0,ROUNDDOWN(K928*H928,1))</f>
        <v>0</v>
      </c>
      <c r="F928" s="91">
        <f>IF(H928=0,0,ROUNDDOWN(L928*H928,1))</f>
        <v>0</v>
      </c>
      <c r="G928" s="17" t="s">
        <v>1860</v>
      </c>
      <c r="H928" s="97">
        <f>ROUNDUP(AC928,14-LEN(ABS(INT(AC928))))</f>
        <v>5.3333333333400006E-2</v>
      </c>
      <c r="I928" s="98">
        <f>K928+J928+L928</f>
        <v>0</v>
      </c>
      <c r="J928" s="38">
        <f>중기목록표!F27</f>
        <v>0</v>
      </c>
      <c r="M928" s="35" t="s">
        <v>1578</v>
      </c>
      <c r="N928" s="35" t="s">
        <v>1262</v>
      </c>
      <c r="X928" s="100" t="str">
        <f>중기목록표!B27&amp;" / "&amp;중기목록표!C27</f>
        <v>진동롤러(핸드가이드식) / 0.7톤</v>
      </c>
      <c r="Y928" s="3" t="str">
        <f ca="1">HYPERLINK("#"&amp;중기목록표!J2&amp;"!A"&amp;ROW(중기목록표!A27),"중기24 →")</f>
        <v>중기24 →</v>
      </c>
      <c r="Z928" s="35" t="s">
        <v>1417</v>
      </c>
      <c r="AA928" s="103" t="str">
        <f>AD912</f>
        <v>18.750</v>
      </c>
      <c r="AB928" s="35" t="s">
        <v>1410</v>
      </c>
      <c r="AC928" s="103">
        <f>1/AD912</f>
        <v>5.3333333333333337E-2</v>
      </c>
      <c r="AD928" s="101"/>
      <c r="AE928" s="101"/>
      <c r="AF928" s="101"/>
      <c r="AG928" s="101"/>
      <c r="AH928" s="101"/>
      <c r="AI928" s="101"/>
      <c r="AJ928" s="101"/>
      <c r="AK928" s="101"/>
      <c r="AL928" s="101"/>
      <c r="AM928" s="101"/>
      <c r="AN928" s="101"/>
    </row>
    <row r="929" spans="1:40" ht="16.5" customHeight="1" x14ac:dyDescent="0.3">
      <c r="A929" s="69"/>
      <c r="B929" s="69"/>
      <c r="C929" s="69"/>
      <c r="D929" s="69"/>
      <c r="E929" s="69"/>
      <c r="F929" s="69"/>
      <c r="G929" s="17" t="s">
        <v>1405</v>
      </c>
      <c r="Z929" s="101"/>
      <c r="AA929" s="101"/>
      <c r="AB929" s="101"/>
      <c r="AC929" s="101"/>
      <c r="AD929" s="101"/>
      <c r="AE929" s="101"/>
      <c r="AF929" s="101"/>
      <c r="AG929" s="101"/>
      <c r="AH929" s="101"/>
      <c r="AI929" s="101"/>
      <c r="AJ929" s="101"/>
      <c r="AK929" s="101"/>
      <c r="AL929" s="101"/>
      <c r="AM929" s="101"/>
      <c r="AN929" s="101"/>
    </row>
    <row r="930" spans="1:40" ht="16.5" customHeight="1" x14ac:dyDescent="0.3">
      <c r="A930" s="59" t="s">
        <v>1580</v>
      </c>
      <c r="B930" s="89" t="str">
        <f>" 재료비: "&amp;TEXT(I930,"#,##0"&amp;IF(I930&lt;&gt;INT(I930),".###",""))&amp;" / Q = "&amp;TEXT(C930,"#,##0.0")&amp;""</f>
        <v xml:space="preserve"> 재료비: 4,472 / Q = 238.5</v>
      </c>
      <c r="C930" s="91">
        <f>E930+D930+F930</f>
        <v>238.5</v>
      </c>
      <c r="D930" s="91">
        <f>IF(H930=0,0,ROUNDDOWN(J930*H930,1))</f>
        <v>0</v>
      </c>
      <c r="E930" s="91">
        <f>IF(H930=0,0,ROUNDDOWN(K930*H930,1))</f>
        <v>238.5</v>
      </c>
      <c r="F930" s="91">
        <f>IF(H930=0,0,ROUNDDOWN(L930*H930,1))</f>
        <v>0</v>
      </c>
      <c r="G930" s="17" t="s">
        <v>1861</v>
      </c>
      <c r="H930" s="97">
        <f>ROUNDUP(AC930,14-LEN(ABS(INT(AC930))))</f>
        <v>5.3333333333400006E-2</v>
      </c>
      <c r="I930" s="98">
        <f>K930+J930+L930</f>
        <v>4472</v>
      </c>
      <c r="K930" s="38">
        <f>중기목록표!G27</f>
        <v>4472</v>
      </c>
      <c r="M930" s="35" t="s">
        <v>1578</v>
      </c>
      <c r="N930" s="35" t="s">
        <v>1262</v>
      </c>
      <c r="X930" s="100" t="str">
        <f>중기목록표!B27&amp;" / "&amp;중기목록표!C27</f>
        <v>진동롤러(핸드가이드식) / 0.7톤</v>
      </c>
      <c r="Y930" s="3" t="str">
        <f ca="1">HYPERLINK("#"&amp;중기목록표!J2&amp;"!A"&amp;ROW(중기목록표!A27),"중기24 →")</f>
        <v>중기24 →</v>
      </c>
      <c r="Z930" s="35" t="s">
        <v>1417</v>
      </c>
      <c r="AA930" s="103" t="str">
        <f>AD912</f>
        <v>18.750</v>
      </c>
      <c r="AB930" s="35" t="s">
        <v>1410</v>
      </c>
      <c r="AC930" s="103">
        <f>1/AD912</f>
        <v>5.3333333333333337E-2</v>
      </c>
      <c r="AD930" s="101"/>
      <c r="AE930" s="101"/>
      <c r="AF930" s="101"/>
      <c r="AG930" s="101"/>
      <c r="AH930" s="101"/>
      <c r="AI930" s="101"/>
      <c r="AJ930" s="101"/>
      <c r="AK930" s="101"/>
      <c r="AL930" s="101"/>
      <c r="AM930" s="101"/>
      <c r="AN930" s="101"/>
    </row>
    <row r="931" spans="1:40" ht="16.5" customHeight="1" x14ac:dyDescent="0.3">
      <c r="A931" s="69"/>
      <c r="B931" s="69"/>
      <c r="C931" s="69"/>
      <c r="D931" s="69"/>
      <c r="E931" s="69"/>
      <c r="F931" s="69"/>
      <c r="G931" s="17" t="s">
        <v>1405</v>
      </c>
      <c r="Z931" s="101"/>
      <c r="AA931" s="101"/>
      <c r="AB931" s="101"/>
      <c r="AC931" s="101"/>
      <c r="AD931" s="101"/>
      <c r="AE931" s="101"/>
      <c r="AF931" s="101"/>
      <c r="AG931" s="101"/>
      <c r="AH931" s="101"/>
      <c r="AI931" s="101"/>
      <c r="AJ931" s="101"/>
      <c r="AK931" s="101"/>
      <c r="AL931" s="101"/>
      <c r="AM931" s="101"/>
      <c r="AN931" s="101"/>
    </row>
    <row r="932" spans="1:40" ht="16.5" customHeight="1" x14ac:dyDescent="0.3">
      <c r="A932" s="59" t="s">
        <v>1582</v>
      </c>
      <c r="B932" s="89" t="str">
        <f>" 경  비: "&amp;TEXT(I932,"#,##0"&amp;IF(I932&lt;&gt;INT(I932),".###",""))&amp;" / Q = "&amp;TEXT(C932,"#,##0.0")&amp;""</f>
        <v xml:space="preserve"> 경  비: 1,967 / Q = 104.9</v>
      </c>
      <c r="C932" s="91">
        <f>E932+D932+F932</f>
        <v>104.9</v>
      </c>
      <c r="D932" s="91">
        <f>IF(H932=0,0,ROUNDDOWN(J932*H932,1))</f>
        <v>0</v>
      </c>
      <c r="E932" s="91">
        <f>IF(H932=0,0,ROUNDDOWN(K932*H932,1))</f>
        <v>0</v>
      </c>
      <c r="F932" s="91">
        <f>IF(H932=0,0,ROUNDDOWN(L932*H932,1))</f>
        <v>104.9</v>
      </c>
      <c r="G932" s="17" t="s">
        <v>1862</v>
      </c>
      <c r="H932" s="97">
        <f>ROUNDUP(AC932,14-LEN(ABS(INT(AC932))))</f>
        <v>5.3333333333400006E-2</v>
      </c>
      <c r="I932" s="98">
        <f>K932+J932+L932</f>
        <v>1967</v>
      </c>
      <c r="L932" s="38">
        <f>중기목록표!H27</f>
        <v>1967</v>
      </c>
      <c r="M932" s="35" t="s">
        <v>1578</v>
      </c>
      <c r="N932" s="35" t="s">
        <v>1262</v>
      </c>
      <c r="X932" s="100" t="str">
        <f>중기목록표!B27&amp;" / "&amp;중기목록표!C27</f>
        <v>진동롤러(핸드가이드식) / 0.7톤</v>
      </c>
      <c r="Y932" s="3" t="str">
        <f ca="1">HYPERLINK("#"&amp;중기목록표!J2&amp;"!A"&amp;ROW(중기목록표!A27),"중기24 →")</f>
        <v>중기24 →</v>
      </c>
      <c r="Z932" s="35" t="s">
        <v>1417</v>
      </c>
      <c r="AA932" s="103" t="str">
        <f>AD912</f>
        <v>18.750</v>
      </c>
      <c r="AB932" s="35" t="s">
        <v>1410</v>
      </c>
      <c r="AC932" s="103">
        <f>1/AD912</f>
        <v>5.3333333333333337E-2</v>
      </c>
      <c r="AD932" s="101"/>
      <c r="AE932" s="101"/>
      <c r="AF932" s="101"/>
      <c r="AG932" s="101"/>
      <c r="AH932" s="101"/>
      <c r="AI932" s="101"/>
      <c r="AJ932" s="101"/>
      <c r="AK932" s="101"/>
      <c r="AL932" s="101"/>
      <c r="AM932" s="101"/>
      <c r="AN932" s="101"/>
    </row>
    <row r="933" spans="1:40" ht="16.5" customHeight="1" x14ac:dyDescent="0.3">
      <c r="A933" s="69"/>
      <c r="B933" s="69"/>
      <c r="C933" s="69"/>
      <c r="D933" s="69"/>
      <c r="E933" s="69"/>
      <c r="F933" s="69"/>
      <c r="G933" s="17" t="s">
        <v>1405</v>
      </c>
      <c r="Z933" s="101"/>
      <c r="AA933" s="101"/>
      <c r="AB933" s="101"/>
      <c r="AC933" s="101"/>
      <c r="AD933" s="101"/>
      <c r="AE933" s="101"/>
      <c r="AF933" s="101"/>
      <c r="AG933" s="101"/>
      <c r="AH933" s="101"/>
      <c r="AI933" s="101"/>
      <c r="AJ933" s="101"/>
      <c r="AK933" s="101"/>
      <c r="AL933" s="101"/>
      <c r="AM933" s="101"/>
      <c r="AN933" s="101"/>
    </row>
    <row r="934" spans="1:40" ht="16.5" customHeight="1" x14ac:dyDescent="0.3">
      <c r="A934" s="59"/>
      <c r="B934" s="68" t="s">
        <v>1260</v>
      </c>
      <c r="C934" s="92">
        <f>E934+D934+F934</f>
        <v>343.4</v>
      </c>
      <c r="D934" s="92">
        <f>SUMIF(N924:N933,M934,D924:D933)</f>
        <v>0</v>
      </c>
      <c r="E934" s="92">
        <f>SUMIF(N924:N933,M934,E924:E933)</f>
        <v>238.5</v>
      </c>
      <c r="F934" s="92">
        <f>SUMIF(N924:N933,M934,F924:F933)</f>
        <v>104.9</v>
      </c>
      <c r="G934" s="17" t="s">
        <v>1430</v>
      </c>
      <c r="M934" s="35" t="s">
        <v>1262</v>
      </c>
      <c r="N934" s="35" t="s">
        <v>1253</v>
      </c>
      <c r="Z934" s="101"/>
      <c r="AA934" s="101"/>
      <c r="AB934" s="101"/>
      <c r="AC934" s="101"/>
      <c r="AD934" s="101"/>
      <c r="AE934" s="101"/>
      <c r="AF934" s="101"/>
      <c r="AG934" s="101"/>
      <c r="AH934" s="101"/>
      <c r="AI934" s="101"/>
      <c r="AJ934" s="101"/>
      <c r="AK934" s="101"/>
      <c r="AL934" s="101"/>
      <c r="AM934" s="101"/>
      <c r="AN934" s="101"/>
    </row>
    <row r="935" spans="1:40" ht="16.5" customHeight="1" x14ac:dyDescent="0.3">
      <c r="A935" s="69"/>
      <c r="B935" s="69"/>
      <c r="C935" s="90"/>
      <c r="D935" s="90"/>
      <c r="E935" s="90"/>
      <c r="F935" s="90"/>
      <c r="G935" s="17" t="s">
        <v>1405</v>
      </c>
      <c r="Z935" s="101"/>
      <c r="AA935" s="101"/>
      <c r="AB935" s="101"/>
      <c r="AC935" s="101"/>
      <c r="AD935" s="101"/>
      <c r="AE935" s="101"/>
      <c r="AF935" s="101"/>
      <c r="AG935" s="101"/>
      <c r="AH935" s="101"/>
      <c r="AI935" s="101"/>
      <c r="AJ935" s="101"/>
      <c r="AK935" s="101"/>
      <c r="AL935" s="101"/>
      <c r="AM935" s="101"/>
      <c r="AN935" s="101"/>
    </row>
    <row r="936" spans="1:40" ht="16.5" customHeight="1" x14ac:dyDescent="0.3">
      <c r="A936" s="69"/>
      <c r="B936" s="69"/>
      <c r="C936" s="69"/>
      <c r="D936" s="69"/>
      <c r="E936" s="69"/>
      <c r="F936" s="69"/>
      <c r="G936" s="17" t="s">
        <v>1405</v>
      </c>
      <c r="Z936" s="101"/>
      <c r="AA936" s="101"/>
      <c r="AB936" s="101"/>
      <c r="AC936" s="101"/>
      <c r="AD936" s="101"/>
      <c r="AE936" s="101"/>
      <c r="AF936" s="101"/>
      <c r="AG936" s="101"/>
      <c r="AH936" s="101"/>
      <c r="AI936" s="101"/>
      <c r="AJ936" s="101"/>
      <c r="AK936" s="101"/>
      <c r="AL936" s="101"/>
      <c r="AM936" s="101"/>
      <c r="AN936" s="101"/>
    </row>
    <row r="937" spans="1:40" ht="16.5" customHeight="1" x14ac:dyDescent="0.3">
      <c r="A937" s="59"/>
      <c r="B937" s="68" t="s">
        <v>1864</v>
      </c>
      <c r="C937" s="69"/>
      <c r="D937" s="69"/>
      <c r="E937" s="69"/>
      <c r="F937" s="69"/>
      <c r="G937" s="17" t="s">
        <v>1863</v>
      </c>
      <c r="Z937" s="101"/>
      <c r="AA937" s="101"/>
      <c r="AB937" s="101"/>
      <c r="AC937" s="101"/>
      <c r="AD937" s="101"/>
      <c r="AE937" s="101"/>
      <c r="AF937" s="101"/>
      <c r="AG937" s="101"/>
      <c r="AH937" s="101"/>
      <c r="AI937" s="101"/>
      <c r="AJ937" s="101"/>
      <c r="AK937" s="101"/>
      <c r="AL937" s="101"/>
      <c r="AM937" s="101"/>
      <c r="AN937" s="101"/>
    </row>
    <row r="938" spans="1:40" ht="16.5" customHeight="1" x14ac:dyDescent="0.3">
      <c r="A938" s="69"/>
      <c r="B938" s="69"/>
      <c r="C938" s="69"/>
      <c r="D938" s="69"/>
      <c r="E938" s="69"/>
      <c r="F938" s="69"/>
      <c r="G938" s="17" t="s">
        <v>1405</v>
      </c>
      <c r="Z938" s="101"/>
      <c r="AA938" s="101"/>
      <c r="AB938" s="101"/>
      <c r="AC938" s="101"/>
      <c r="AD938" s="101"/>
      <c r="AE938" s="101"/>
      <c r="AF938" s="101"/>
      <c r="AG938" s="101"/>
      <c r="AH938" s="101"/>
      <c r="AI938" s="101"/>
      <c r="AJ938" s="101"/>
      <c r="AK938" s="101"/>
      <c r="AL938" s="101"/>
      <c r="AM938" s="101"/>
      <c r="AN938" s="101"/>
    </row>
    <row r="939" spans="1:40" ht="16.5" customHeight="1" x14ac:dyDescent="0.3">
      <c r="A939" s="59" t="s">
        <v>1743</v>
      </c>
      <c r="B939" s="89" t="str">
        <f>" 노무비: "&amp;TEXT(I939,"#,##0"&amp;IF(I939&lt;&gt;INT(I939),".###",""))&amp;" / Q * "&amp;AC939&amp;" 대 = "&amp;TEXT(C939,"#,##0.0")&amp;""</f>
        <v xml:space="preserve"> 노무비: 49,778 / Q * 0.5 대 = 1,327.4</v>
      </c>
      <c r="C939" s="91">
        <f>E939+D939+F939</f>
        <v>1327.4</v>
      </c>
      <c r="D939" s="91">
        <f>IF(H939=0,0,ROUNDDOWN(J939*H939,1))</f>
        <v>1327.4</v>
      </c>
      <c r="E939" s="91">
        <f>IF(H939=0,0,ROUNDDOWN(K939*H939,1))</f>
        <v>0</v>
      </c>
      <c r="F939" s="91">
        <f>IF(H939=0,0,ROUNDDOWN(L939*H939,1))</f>
        <v>0</v>
      </c>
      <c r="G939" s="17" t="s">
        <v>1865</v>
      </c>
      <c r="H939" s="97">
        <f>ROUNDUP(AE939,14-LEN(ABS(INT(AE939))))</f>
        <v>2.6666666666699999E-2</v>
      </c>
      <c r="I939" s="98">
        <f>K939+J939+L939</f>
        <v>49778</v>
      </c>
      <c r="J939" s="38">
        <f>중기목록표!F21</f>
        <v>49778</v>
      </c>
      <c r="M939" s="35" t="s">
        <v>1470</v>
      </c>
      <c r="N939" s="35" t="s">
        <v>1262</v>
      </c>
      <c r="X939" s="100" t="str">
        <f>중기목록표!B21&amp;" / "&amp;중기목록표!C21</f>
        <v>물탱크(살수차) / 5500ℓ</v>
      </c>
      <c r="Y939" s="3" t="str">
        <f ca="1">HYPERLINK("#"&amp;중기목록표!J2&amp;"!A"&amp;ROW(중기목록표!A21),"중기18 →")</f>
        <v>중기18 →</v>
      </c>
      <c r="Z939" s="35" t="s">
        <v>1417</v>
      </c>
      <c r="AA939" s="103" t="str">
        <f>AD912</f>
        <v>18.750</v>
      </c>
      <c r="AB939" s="35" t="s">
        <v>1436</v>
      </c>
      <c r="AC939" s="104">
        <v>0.5</v>
      </c>
      <c r="AD939" s="35" t="s">
        <v>1410</v>
      </c>
      <c r="AE939" s="103">
        <f>1/AD912*AC939</f>
        <v>2.6666666666666668E-2</v>
      </c>
      <c r="AF939" s="101"/>
      <c r="AG939" s="101"/>
      <c r="AH939" s="101"/>
      <c r="AI939" s="101"/>
      <c r="AJ939" s="101"/>
      <c r="AK939" s="101"/>
      <c r="AL939" s="101"/>
      <c r="AM939" s="101"/>
      <c r="AN939" s="101"/>
    </row>
    <row r="940" spans="1:40" ht="16.5" customHeight="1" x14ac:dyDescent="0.3">
      <c r="A940" s="69"/>
      <c r="B940" s="69"/>
      <c r="C940" s="69"/>
      <c r="D940" s="69"/>
      <c r="E940" s="69"/>
      <c r="F940" s="69"/>
      <c r="G940" s="17" t="s">
        <v>1405</v>
      </c>
      <c r="Z940" s="101"/>
      <c r="AA940" s="101"/>
      <c r="AB940" s="101"/>
      <c r="AC940" s="101"/>
      <c r="AD940" s="101"/>
      <c r="AE940" s="101"/>
      <c r="AF940" s="101"/>
      <c r="AG940" s="101"/>
      <c r="AH940" s="101"/>
      <c r="AI940" s="101"/>
      <c r="AJ940" s="101"/>
      <c r="AK940" s="101"/>
      <c r="AL940" s="101"/>
      <c r="AM940" s="101"/>
      <c r="AN940" s="101"/>
    </row>
    <row r="941" spans="1:40" ht="16.5" customHeight="1" x14ac:dyDescent="0.3">
      <c r="A941" s="59" t="s">
        <v>1745</v>
      </c>
      <c r="B941" s="89" t="str">
        <f>" 재료비: "&amp;TEXT(I941,"#,##0"&amp;IF(I941&lt;&gt;INT(I941),".###",""))&amp;" / Q * "&amp;AC941&amp;" 대 = "&amp;TEXT(C941,"#,##0.0")&amp;""</f>
        <v xml:space="preserve"> 재료비: 21,749 / Q * 0.5 대 = 579.9</v>
      </c>
      <c r="C941" s="91">
        <f>E941+D941+F941</f>
        <v>579.9</v>
      </c>
      <c r="D941" s="91">
        <f>IF(H941=0,0,ROUNDDOWN(J941*H941,1))</f>
        <v>0</v>
      </c>
      <c r="E941" s="91">
        <f>IF(H941=0,0,ROUNDDOWN(K941*H941,1))</f>
        <v>579.9</v>
      </c>
      <c r="F941" s="91">
        <f>IF(H941=0,0,ROUNDDOWN(L941*H941,1))</f>
        <v>0</v>
      </c>
      <c r="G941" s="17" t="s">
        <v>1866</v>
      </c>
      <c r="H941" s="97">
        <f>ROUNDUP(AE941,14-LEN(ABS(INT(AE941))))</f>
        <v>2.6666666666699999E-2</v>
      </c>
      <c r="I941" s="98">
        <f>K941+J941+L941</f>
        <v>21749</v>
      </c>
      <c r="K941" s="38">
        <f>중기목록표!G21</f>
        <v>21749</v>
      </c>
      <c r="M941" s="35" t="s">
        <v>1470</v>
      </c>
      <c r="N941" s="35" t="s">
        <v>1262</v>
      </c>
      <c r="X941" s="100" t="str">
        <f>중기목록표!B21&amp;" / "&amp;중기목록표!C21</f>
        <v>물탱크(살수차) / 5500ℓ</v>
      </c>
      <c r="Y941" s="3" t="str">
        <f ca="1">HYPERLINK("#"&amp;중기목록표!J2&amp;"!A"&amp;ROW(중기목록표!A21),"중기18 →")</f>
        <v>중기18 →</v>
      </c>
      <c r="Z941" s="35" t="s">
        <v>1417</v>
      </c>
      <c r="AA941" s="103" t="str">
        <f>AD912</f>
        <v>18.750</v>
      </c>
      <c r="AB941" s="35" t="s">
        <v>1436</v>
      </c>
      <c r="AC941" s="104">
        <v>0.5</v>
      </c>
      <c r="AD941" s="35" t="s">
        <v>1410</v>
      </c>
      <c r="AE941" s="103">
        <f>1/AD912*AC941</f>
        <v>2.6666666666666668E-2</v>
      </c>
      <c r="AF941" s="101"/>
      <c r="AG941" s="101"/>
      <c r="AH941" s="101"/>
      <c r="AI941" s="101"/>
      <c r="AJ941" s="101"/>
      <c r="AK941" s="101"/>
      <c r="AL941" s="101"/>
      <c r="AM941" s="101"/>
      <c r="AN941" s="101"/>
    </row>
    <row r="942" spans="1:40" ht="16.5" customHeight="1" x14ac:dyDescent="0.3">
      <c r="A942" s="69"/>
      <c r="B942" s="69"/>
      <c r="C942" s="69"/>
      <c r="D942" s="69"/>
      <c r="E942" s="69"/>
      <c r="F942" s="69"/>
      <c r="G942" s="17" t="s">
        <v>1405</v>
      </c>
      <c r="Z942" s="101"/>
      <c r="AA942" s="101"/>
      <c r="AB942" s="101"/>
      <c r="AC942" s="101"/>
      <c r="AD942" s="101"/>
      <c r="AE942" s="101"/>
      <c r="AF942" s="101"/>
      <c r="AG942" s="101"/>
      <c r="AH942" s="101"/>
      <c r="AI942" s="101"/>
      <c r="AJ942" s="101"/>
      <c r="AK942" s="101"/>
      <c r="AL942" s="101"/>
      <c r="AM942" s="101"/>
      <c r="AN942" s="101"/>
    </row>
    <row r="943" spans="1:40" ht="16.5" customHeight="1" x14ac:dyDescent="0.3">
      <c r="A943" s="59" t="s">
        <v>1747</v>
      </c>
      <c r="B943" s="89" t="str">
        <f>" 경  비: "&amp;TEXT(I943,"#,##0"&amp;IF(I943&lt;&gt;INT(I943),".###",""))&amp;" / Q * "&amp;AC943&amp;" 대 = "&amp;TEXT(C943,"#,##0.0")&amp;""</f>
        <v xml:space="preserve"> 경  비: 9,986 / Q * 0.5 대 = 266.2</v>
      </c>
      <c r="C943" s="91">
        <f>E943+D943+F943</f>
        <v>266.2</v>
      </c>
      <c r="D943" s="91">
        <f>IF(H943=0,0,ROUNDDOWN(J943*H943,1))</f>
        <v>0</v>
      </c>
      <c r="E943" s="91">
        <f>IF(H943=0,0,ROUNDDOWN(K943*H943,1))</f>
        <v>0</v>
      </c>
      <c r="F943" s="91">
        <f>IF(H943=0,0,ROUNDDOWN(L943*H943,1))</f>
        <v>266.2</v>
      </c>
      <c r="G943" s="17" t="s">
        <v>1867</v>
      </c>
      <c r="H943" s="97">
        <f>ROUNDUP(AE943,14-LEN(ABS(INT(AE943))))</f>
        <v>2.6666666666699999E-2</v>
      </c>
      <c r="I943" s="98">
        <f>K943+J943+L943</f>
        <v>9986</v>
      </c>
      <c r="L943" s="38">
        <f>중기목록표!H21</f>
        <v>9986</v>
      </c>
      <c r="M943" s="35" t="s">
        <v>1470</v>
      </c>
      <c r="N943" s="35" t="s">
        <v>1262</v>
      </c>
      <c r="X943" s="100" t="str">
        <f>중기목록표!B21&amp;" / "&amp;중기목록표!C21</f>
        <v>물탱크(살수차) / 5500ℓ</v>
      </c>
      <c r="Y943" s="3" t="str">
        <f ca="1">HYPERLINK("#"&amp;중기목록표!J2&amp;"!A"&amp;ROW(중기목록표!A21),"중기18 →")</f>
        <v>중기18 →</v>
      </c>
      <c r="Z943" s="35" t="s">
        <v>1417</v>
      </c>
      <c r="AA943" s="103" t="str">
        <f>AD912</f>
        <v>18.750</v>
      </c>
      <c r="AB943" s="35" t="s">
        <v>1436</v>
      </c>
      <c r="AC943" s="104">
        <v>0.5</v>
      </c>
      <c r="AD943" s="35" t="s">
        <v>1410</v>
      </c>
      <c r="AE943" s="103">
        <f>1/AD912*AC943</f>
        <v>2.6666666666666668E-2</v>
      </c>
      <c r="AF943" s="101"/>
      <c r="AG943" s="101"/>
      <c r="AH943" s="101"/>
      <c r="AI943" s="101"/>
      <c r="AJ943" s="101"/>
      <c r="AK943" s="101"/>
      <c r="AL943" s="101"/>
      <c r="AM943" s="101"/>
      <c r="AN943" s="101"/>
    </row>
    <row r="944" spans="1:40" ht="16.5" customHeight="1" x14ac:dyDescent="0.3">
      <c r="A944" s="69"/>
      <c r="B944" s="69"/>
      <c r="C944" s="69"/>
      <c r="D944" s="69"/>
      <c r="E944" s="69"/>
      <c r="F944" s="69"/>
      <c r="G944" s="17" t="s">
        <v>1405</v>
      </c>
      <c r="Z944" s="101"/>
      <c r="AA944" s="101"/>
      <c r="AB944" s="101"/>
      <c r="AC944" s="101"/>
      <c r="AD944" s="101"/>
      <c r="AE944" s="101"/>
      <c r="AF944" s="101"/>
      <c r="AG944" s="101"/>
      <c r="AH944" s="101"/>
      <c r="AI944" s="101"/>
      <c r="AJ944" s="101"/>
      <c r="AK944" s="101"/>
      <c r="AL944" s="101"/>
      <c r="AM944" s="101"/>
      <c r="AN944" s="101"/>
    </row>
    <row r="945" spans="1:40" ht="16.5" customHeight="1" x14ac:dyDescent="0.3">
      <c r="A945" s="59"/>
      <c r="B945" s="68" t="s">
        <v>1260</v>
      </c>
      <c r="C945" s="92">
        <f>E945+D945+F945</f>
        <v>2173.5</v>
      </c>
      <c r="D945" s="92">
        <f>SUMIF(N935:N944,M945,D935:D944)</f>
        <v>1327.4</v>
      </c>
      <c r="E945" s="92">
        <f>SUMIF(N935:N944,M945,E935:E944)</f>
        <v>579.9</v>
      </c>
      <c r="F945" s="92">
        <f>SUMIF(N935:N944,M945,F935:F944)</f>
        <v>266.2</v>
      </c>
      <c r="G945" s="17" t="s">
        <v>1430</v>
      </c>
      <c r="M945" s="35" t="s">
        <v>1262</v>
      </c>
      <c r="N945" s="35" t="s">
        <v>1253</v>
      </c>
      <c r="Z945" s="101"/>
      <c r="AA945" s="101"/>
      <c r="AB945" s="101"/>
      <c r="AC945" s="101"/>
      <c r="AD945" s="101"/>
      <c r="AE945" s="101"/>
      <c r="AF945" s="101"/>
      <c r="AG945" s="101"/>
      <c r="AH945" s="101"/>
      <c r="AI945" s="101"/>
      <c r="AJ945" s="101"/>
      <c r="AK945" s="101"/>
      <c r="AL945" s="101"/>
      <c r="AM945" s="101"/>
      <c r="AN945" s="101"/>
    </row>
    <row r="946" spans="1:40" ht="16.5" customHeight="1" x14ac:dyDescent="0.3">
      <c r="A946" s="69"/>
      <c r="B946" s="69"/>
      <c r="C946" s="90"/>
      <c r="D946" s="90"/>
      <c r="E946" s="90"/>
      <c r="F946" s="90"/>
      <c r="G946" s="17" t="s">
        <v>1405</v>
      </c>
      <c r="Z946" s="101"/>
      <c r="AA946" s="101"/>
      <c r="AB946" s="101"/>
      <c r="AC946" s="101"/>
      <c r="AD946" s="101"/>
      <c r="AE946" s="101"/>
      <c r="AF946" s="101"/>
      <c r="AG946" s="101"/>
      <c r="AH946" s="101"/>
      <c r="AI946" s="101"/>
      <c r="AJ946" s="101"/>
      <c r="AK946" s="101"/>
      <c r="AL946" s="101"/>
      <c r="AM946" s="101"/>
      <c r="AN946" s="101"/>
    </row>
    <row r="947" spans="1:40" ht="16.5" customHeight="1" x14ac:dyDescent="0.3">
      <c r="A947" s="69"/>
      <c r="B947" s="69"/>
      <c r="C947" s="69"/>
      <c r="D947" s="69"/>
      <c r="E947" s="69"/>
      <c r="F947" s="69"/>
      <c r="G947" s="17" t="s">
        <v>1405</v>
      </c>
      <c r="Z947" s="101"/>
      <c r="AA947" s="101"/>
      <c r="AB947" s="101"/>
      <c r="AC947" s="101"/>
      <c r="AD947" s="101"/>
      <c r="AE947" s="101"/>
      <c r="AF947" s="101"/>
      <c r="AG947" s="101"/>
      <c r="AH947" s="101"/>
      <c r="AI947" s="101"/>
      <c r="AJ947" s="101"/>
      <c r="AK947" s="101"/>
      <c r="AL947" s="101"/>
      <c r="AM947" s="101"/>
      <c r="AN947" s="101"/>
    </row>
    <row r="948" spans="1:40" ht="16.5" customHeight="1" x14ac:dyDescent="0.3">
      <c r="A948" s="59"/>
      <c r="B948" s="68" t="s">
        <v>1869</v>
      </c>
      <c r="C948" s="69"/>
      <c r="D948" s="69"/>
      <c r="E948" s="69"/>
      <c r="F948" s="69"/>
      <c r="G948" s="17" t="s">
        <v>1868</v>
      </c>
      <c r="Z948" s="101"/>
      <c r="AA948" s="101"/>
      <c r="AB948" s="101"/>
      <c r="AC948" s="101"/>
      <c r="AD948" s="101"/>
      <c r="AE948" s="101"/>
      <c r="AF948" s="101"/>
      <c r="AG948" s="101"/>
      <c r="AH948" s="101"/>
      <c r="AI948" s="101"/>
      <c r="AJ948" s="101"/>
      <c r="AK948" s="101"/>
      <c r="AL948" s="101"/>
      <c r="AM948" s="101"/>
      <c r="AN948" s="101"/>
    </row>
    <row r="949" spans="1:40" ht="16.5" customHeight="1" x14ac:dyDescent="0.3">
      <c r="A949" s="69"/>
      <c r="B949" s="69"/>
      <c r="C949" s="69"/>
      <c r="D949" s="69"/>
      <c r="E949" s="69"/>
      <c r="F949" s="69"/>
      <c r="G949" s="17" t="s">
        <v>1405</v>
      </c>
      <c r="Z949" s="101"/>
      <c r="AA949" s="101"/>
      <c r="AB949" s="101"/>
      <c r="AC949" s="101"/>
      <c r="AD949" s="101"/>
      <c r="AE949" s="101"/>
      <c r="AF949" s="101"/>
      <c r="AG949" s="101"/>
      <c r="AH949" s="101"/>
      <c r="AI949" s="101"/>
      <c r="AJ949" s="101"/>
      <c r="AK949" s="101"/>
      <c r="AL949" s="101"/>
      <c r="AM949" s="101"/>
      <c r="AN949" s="101"/>
    </row>
    <row r="950" spans="1:40" ht="16.5" customHeight="1" x14ac:dyDescent="0.3">
      <c r="A950" s="59" t="s">
        <v>1871</v>
      </c>
      <c r="B950" s="89" t="str">
        <f>" 포 설 공: "&amp;TEXT(I950,"#,##0"&amp;IF(I950&lt;&gt;INT(I950),".###",""))&amp;" * Q1 / Q = "&amp;TEXT(C950,"#,##0.0")&amp;""</f>
        <v xml:space="preserve"> 포 설 공: 221,015 * Q1 / Q = 2,946.8</v>
      </c>
      <c r="C950" s="91">
        <f>E950+D950+F950</f>
        <v>2946.8</v>
      </c>
      <c r="D950" s="91">
        <f>IF(H950=0,0,ROUNDDOWN(J950*H950,1))</f>
        <v>2946.8</v>
      </c>
      <c r="E950" s="91">
        <f>IF(H950=0,0,ROUNDDOWN(K950*H950,1))</f>
        <v>0</v>
      </c>
      <c r="F950" s="91">
        <f>IF(H950=0,0,ROUNDDOWN(L950*H950,1))</f>
        <v>0</v>
      </c>
      <c r="G950" s="17" t="s">
        <v>1870</v>
      </c>
      <c r="H950" s="97">
        <f>ROUNDUP(AE950,14-LEN(ABS(INT(AE950))))</f>
        <v>1.33333333334E-2</v>
      </c>
      <c r="I950" s="98">
        <f>K950+J950+L950</f>
        <v>221015</v>
      </c>
      <c r="J950" s="38">
        <f>노무비목록표!E14</f>
        <v>221015</v>
      </c>
      <c r="M950" s="35" t="s">
        <v>1872</v>
      </c>
      <c r="N950" s="35" t="s">
        <v>1262</v>
      </c>
      <c r="X950" s="100" t="str">
        <f>노무비목록표!B14&amp;" / "&amp;노무비목록표!C14</f>
        <v xml:space="preserve">포설공 / </v>
      </c>
      <c r="Y950" s="3" t="str">
        <f ca="1">HYPERLINK("#"&amp;노무비목록표!G2&amp;"!A"&amp;ROW(노무비목록표!A14),"노무11 →")</f>
        <v>노무11 →</v>
      </c>
      <c r="Z950" s="35" t="s">
        <v>1446</v>
      </c>
      <c r="AA950" s="103" t="str">
        <f>AD910</f>
        <v>0.250</v>
      </c>
      <c r="AB950" s="35" t="s">
        <v>1413</v>
      </c>
      <c r="AC950" s="103" t="str">
        <f>AD912</f>
        <v>18.750</v>
      </c>
      <c r="AD950" s="35" t="s">
        <v>1410</v>
      </c>
      <c r="AE950" s="103">
        <f>1*AD910/AD912</f>
        <v>1.3333333333333334E-2</v>
      </c>
      <c r="AF950" s="101"/>
      <c r="AG950" s="101"/>
      <c r="AH950" s="101"/>
      <c r="AI950" s="101"/>
      <c r="AJ950" s="101"/>
      <c r="AK950" s="101"/>
      <c r="AL950" s="101"/>
      <c r="AM950" s="101"/>
      <c r="AN950" s="101"/>
    </row>
    <row r="951" spans="1:40" ht="16.5" customHeight="1" x14ac:dyDescent="0.3">
      <c r="A951" s="69"/>
      <c r="B951" s="69"/>
      <c r="C951" s="69"/>
      <c r="D951" s="69"/>
      <c r="E951" s="69"/>
      <c r="F951" s="69"/>
      <c r="G951" s="17" t="s">
        <v>1405</v>
      </c>
      <c r="Z951" s="101"/>
      <c r="AA951" s="101"/>
      <c r="AB951" s="101"/>
      <c r="AC951" s="101"/>
      <c r="AD951" s="101"/>
      <c r="AE951" s="101"/>
      <c r="AF951" s="101"/>
      <c r="AG951" s="101"/>
      <c r="AH951" s="101"/>
      <c r="AI951" s="101"/>
      <c r="AJ951" s="101"/>
      <c r="AK951" s="101"/>
      <c r="AL951" s="101"/>
      <c r="AM951" s="101"/>
      <c r="AN951" s="101"/>
    </row>
    <row r="952" spans="1:40" ht="16.5" customHeight="1" x14ac:dyDescent="0.3">
      <c r="A952" s="59" t="s">
        <v>1419</v>
      </c>
      <c r="B952" s="89" t="str">
        <f>" 보통인부: "&amp;TEXT(I952,"#,##0"&amp;IF(I952&lt;&gt;INT(I952),".###",""))&amp;" * Q2 / Q = "&amp;TEXT(C952,"#,##0.0")&amp;""</f>
        <v xml:space="preserve"> 보통인부: 172,068 * Q2 / Q = 2,294.2</v>
      </c>
      <c r="C952" s="91">
        <f>E952+D952+F952</f>
        <v>2294.1999999999998</v>
      </c>
      <c r="D952" s="91">
        <f>IF(H952=0,0,ROUNDDOWN(J952*H952,1))</f>
        <v>2294.1999999999998</v>
      </c>
      <c r="E952" s="91">
        <f>IF(H952=0,0,ROUNDDOWN(K952*H952,1))</f>
        <v>0</v>
      </c>
      <c r="F952" s="91">
        <f>IF(H952=0,0,ROUNDDOWN(L952*H952,1))</f>
        <v>0</v>
      </c>
      <c r="G952" s="17" t="s">
        <v>1873</v>
      </c>
      <c r="H952" s="97">
        <f>ROUNDUP(AE952,14-LEN(ABS(INT(AE952))))</f>
        <v>1.33333333334E-2</v>
      </c>
      <c r="I952" s="98">
        <f>K952+J952+L952</f>
        <v>172068</v>
      </c>
      <c r="J952" s="38">
        <f>노무비목록표!E8</f>
        <v>172068</v>
      </c>
      <c r="M952" s="35" t="s">
        <v>1219</v>
      </c>
      <c r="N952" s="35" t="s">
        <v>1262</v>
      </c>
      <c r="X952" s="100" t="str">
        <f>노무비목록표!B8&amp;" / "&amp;노무비목록표!C8</f>
        <v xml:space="preserve">보통인부 / </v>
      </c>
      <c r="Y952" s="3" t="str">
        <f ca="1">HYPERLINK("#"&amp;노무비목록표!G2&amp;"!A"&amp;ROW(노무비목록표!A8),"노무5 →")</f>
        <v>노무5 →</v>
      </c>
      <c r="Z952" s="35" t="s">
        <v>1446</v>
      </c>
      <c r="AA952" s="103" t="str">
        <f>AD911</f>
        <v>0.250</v>
      </c>
      <c r="AB952" s="35" t="s">
        <v>1413</v>
      </c>
      <c r="AC952" s="103" t="str">
        <f>AD912</f>
        <v>18.750</v>
      </c>
      <c r="AD952" s="35" t="s">
        <v>1410</v>
      </c>
      <c r="AE952" s="103">
        <f>1*AD911/AD912</f>
        <v>1.3333333333333334E-2</v>
      </c>
      <c r="AF952" s="101"/>
      <c r="AG952" s="101"/>
      <c r="AH952" s="101"/>
      <c r="AI952" s="101"/>
      <c r="AJ952" s="101"/>
      <c r="AK952" s="101"/>
      <c r="AL952" s="101"/>
      <c r="AM952" s="101"/>
      <c r="AN952" s="101"/>
    </row>
    <row r="953" spans="1:40" ht="16.5" customHeight="1" x14ac:dyDescent="0.3">
      <c r="A953" s="69"/>
      <c r="B953" s="69"/>
      <c r="C953" s="69"/>
      <c r="D953" s="69"/>
      <c r="E953" s="69"/>
      <c r="F953" s="69"/>
      <c r="G953" s="17" t="s">
        <v>1405</v>
      </c>
      <c r="Z953" s="101"/>
      <c r="AA953" s="101"/>
      <c r="AB953" s="101"/>
      <c r="AC953" s="101"/>
      <c r="AD953" s="101"/>
      <c r="AE953" s="101"/>
      <c r="AF953" s="101"/>
      <c r="AG953" s="101"/>
      <c r="AH953" s="101"/>
      <c r="AI953" s="101"/>
      <c r="AJ953" s="101"/>
      <c r="AK953" s="101"/>
      <c r="AL953" s="101"/>
      <c r="AM953" s="101"/>
      <c r="AN953" s="101"/>
    </row>
    <row r="954" spans="1:40" ht="16.5" customHeight="1" x14ac:dyDescent="0.3">
      <c r="A954" s="59"/>
      <c r="B954" s="68" t="s">
        <v>1260</v>
      </c>
      <c r="C954" s="92">
        <f>E954+D954+F954</f>
        <v>5241</v>
      </c>
      <c r="D954" s="92">
        <f>SUMIF(N946:N953,M954,D946:D953)</f>
        <v>5241</v>
      </c>
      <c r="E954" s="92">
        <f>SUMIF(N946:N953,M954,E946:E953)</f>
        <v>0</v>
      </c>
      <c r="F954" s="92">
        <f>SUMIF(N946:N953,M954,F946:F953)</f>
        <v>0</v>
      </c>
      <c r="G954" s="17" t="s">
        <v>1430</v>
      </c>
      <c r="M954" s="35" t="s">
        <v>1262</v>
      </c>
      <c r="N954" s="35" t="s">
        <v>1253</v>
      </c>
      <c r="Z954" s="101"/>
      <c r="AA954" s="101"/>
      <c r="AB954" s="101"/>
      <c r="AC954" s="101"/>
      <c r="AD954" s="101"/>
      <c r="AE954" s="101"/>
      <c r="AF954" s="101"/>
      <c r="AG954" s="101"/>
      <c r="AH954" s="101"/>
      <c r="AI954" s="101"/>
      <c r="AJ954" s="101"/>
      <c r="AK954" s="101"/>
      <c r="AL954" s="101"/>
      <c r="AM954" s="101"/>
      <c r="AN954" s="101"/>
    </row>
    <row r="955" spans="1:40" ht="16.5" customHeight="1" x14ac:dyDescent="0.3">
      <c r="A955" s="69"/>
      <c r="B955" s="69"/>
      <c r="C955" s="90"/>
      <c r="D955" s="90"/>
      <c r="E955" s="90"/>
      <c r="F955" s="90"/>
      <c r="G955" s="17" t="s">
        <v>1405</v>
      </c>
      <c r="Z955" s="101"/>
      <c r="AA955" s="101"/>
      <c r="AB955" s="101"/>
      <c r="AC955" s="101"/>
      <c r="AD955" s="101"/>
      <c r="AE955" s="101"/>
      <c r="AF955" s="101"/>
      <c r="AG955" s="101"/>
      <c r="AH955" s="101"/>
      <c r="AI955" s="101"/>
      <c r="AJ955" s="101"/>
      <c r="AK955" s="101"/>
      <c r="AL955" s="101"/>
      <c r="AM955" s="101"/>
      <c r="AN955" s="101"/>
    </row>
    <row r="956" spans="1:40" ht="16.5" customHeight="1" x14ac:dyDescent="0.3">
      <c r="A956" s="59"/>
      <c r="B956" s="68" t="s">
        <v>1251</v>
      </c>
      <c r="C956" s="92">
        <f>E956+D956+F956</f>
        <v>13348.7</v>
      </c>
      <c r="D956" s="92">
        <f>SUMIF(N907:N955,M956,D907:D955)</f>
        <v>9716.1</v>
      </c>
      <c r="E956" s="92">
        <f>SUMIF(N907:N955,M956,E907:E955)</f>
        <v>2012.3000000000002</v>
      </c>
      <c r="F956" s="92">
        <f>SUMIF(N907:N955,M956,F907:F955)</f>
        <v>1620.3000000000002</v>
      </c>
      <c r="G956" s="17" t="s">
        <v>1476</v>
      </c>
      <c r="M956" s="35" t="s">
        <v>1253</v>
      </c>
      <c r="N956" s="35" t="s">
        <v>1209</v>
      </c>
      <c r="Z956" s="101"/>
      <c r="AA956" s="101"/>
      <c r="AB956" s="101"/>
      <c r="AC956" s="101"/>
      <c r="AD956" s="101"/>
      <c r="AE956" s="101"/>
      <c r="AF956" s="101"/>
      <c r="AG956" s="101"/>
      <c r="AH956" s="101"/>
      <c r="AI956" s="101"/>
      <c r="AJ956" s="101"/>
      <c r="AK956" s="101"/>
      <c r="AL956" s="101"/>
      <c r="AM956" s="101"/>
      <c r="AN956" s="101"/>
    </row>
    <row r="957" spans="1:40" ht="16.5" customHeight="1" x14ac:dyDescent="0.3">
      <c r="A957" s="69"/>
      <c r="B957" s="69"/>
      <c r="C957" s="90"/>
      <c r="D957" s="90"/>
      <c r="E957" s="90"/>
      <c r="F957" s="90"/>
      <c r="Z957" s="101"/>
      <c r="AA957" s="101"/>
      <c r="AB957" s="101"/>
      <c r="AC957" s="101"/>
      <c r="AD957" s="101"/>
      <c r="AE957" s="101"/>
      <c r="AF957" s="101"/>
      <c r="AG957" s="101"/>
      <c r="AH957" s="101"/>
      <c r="AI957" s="101"/>
      <c r="AJ957" s="101"/>
      <c r="AK957" s="101"/>
      <c r="AL957" s="101"/>
      <c r="AM957" s="101"/>
      <c r="AN957" s="101"/>
    </row>
    <row r="958" spans="1:40" ht="16.5" customHeight="1" x14ac:dyDescent="0.3">
      <c r="A958" s="69"/>
      <c r="B958" s="69"/>
      <c r="C958" s="69"/>
      <c r="D958" s="69"/>
      <c r="E958" s="69"/>
      <c r="F958" s="69"/>
      <c r="Z958" s="101"/>
      <c r="AA958" s="101"/>
      <c r="AB958" s="101"/>
      <c r="AC958" s="101"/>
      <c r="AD958" s="101"/>
      <c r="AE958" s="101"/>
      <c r="AF958" s="101"/>
      <c r="AG958" s="101"/>
      <c r="AH958" s="101"/>
      <c r="AI958" s="101"/>
      <c r="AJ958" s="101"/>
      <c r="AK958" s="101"/>
      <c r="AL958" s="101"/>
      <c r="AM958" s="101"/>
      <c r="AN958" s="101"/>
    </row>
    <row r="959" spans="1:40" ht="16.5" customHeight="1" x14ac:dyDescent="0.3">
      <c r="A959" s="69"/>
      <c r="B959" s="69"/>
      <c r="C959" s="69"/>
      <c r="D959" s="69"/>
      <c r="E959" s="69"/>
      <c r="F959" s="69"/>
      <c r="Z959" s="101"/>
      <c r="AA959" s="101"/>
      <c r="AB959" s="101"/>
      <c r="AC959" s="101"/>
      <c r="AD959" s="101"/>
      <c r="AE959" s="101"/>
      <c r="AF959" s="101"/>
      <c r="AG959" s="101"/>
      <c r="AH959" s="101"/>
      <c r="AI959" s="101"/>
      <c r="AJ959" s="101"/>
      <c r="AK959" s="101"/>
      <c r="AL959" s="101"/>
      <c r="AM959" s="101"/>
      <c r="AN959" s="101"/>
    </row>
    <row r="960" spans="1:40" ht="16.5" customHeight="1" x14ac:dyDescent="0.3">
      <c r="A960" s="69"/>
      <c r="B960" s="69"/>
      <c r="C960" s="69"/>
      <c r="D960" s="69"/>
      <c r="E960" s="69"/>
      <c r="F960" s="69"/>
      <c r="Z960" s="101"/>
      <c r="AA960" s="101"/>
      <c r="AB960" s="101"/>
      <c r="AC960" s="101"/>
      <c r="AD960" s="101"/>
      <c r="AE960" s="101"/>
      <c r="AF960" s="101"/>
      <c r="AG960" s="101"/>
      <c r="AH960" s="101"/>
      <c r="AI960" s="101"/>
      <c r="AJ960" s="101"/>
      <c r="AK960" s="101"/>
      <c r="AL960" s="101"/>
      <c r="AM960" s="101"/>
      <c r="AN960" s="101"/>
    </row>
    <row r="961" spans="1:40" ht="16.5" customHeight="1" x14ac:dyDescent="0.3">
      <c r="A961" s="69"/>
      <c r="B961" s="69"/>
      <c r="C961" s="69"/>
      <c r="D961" s="69"/>
      <c r="E961" s="69"/>
      <c r="F961" s="69"/>
      <c r="Z961" s="101"/>
      <c r="AA961" s="101"/>
      <c r="AB961" s="101"/>
      <c r="AC961" s="101"/>
      <c r="AD961" s="101"/>
      <c r="AE961" s="101"/>
      <c r="AF961" s="101"/>
      <c r="AG961" s="101"/>
      <c r="AH961" s="101"/>
      <c r="AI961" s="101"/>
      <c r="AJ961" s="101"/>
      <c r="AK961" s="101"/>
      <c r="AL961" s="101"/>
      <c r="AM961" s="101"/>
      <c r="AN961" s="101"/>
    </row>
    <row r="962" spans="1:40" ht="16.5" customHeight="1" x14ac:dyDescent="0.3">
      <c r="A962" s="69"/>
      <c r="B962" s="69"/>
      <c r="C962" s="69"/>
      <c r="D962" s="69"/>
      <c r="E962" s="69"/>
      <c r="F962" s="69"/>
      <c r="Z962" s="101"/>
      <c r="AA962" s="101"/>
      <c r="AB962" s="101"/>
      <c r="AC962" s="101"/>
      <c r="AD962" s="101"/>
      <c r="AE962" s="101"/>
      <c r="AF962" s="101"/>
      <c r="AG962" s="101"/>
      <c r="AH962" s="101"/>
      <c r="AI962" s="101"/>
      <c r="AJ962" s="101"/>
      <c r="AK962" s="101"/>
      <c r="AL962" s="101"/>
      <c r="AM962" s="101"/>
      <c r="AN962" s="101"/>
    </row>
    <row r="963" spans="1:40" ht="16.5" customHeight="1" x14ac:dyDescent="0.3">
      <c r="A963" s="69"/>
      <c r="B963" s="69"/>
      <c r="C963" s="69"/>
      <c r="D963" s="69"/>
      <c r="E963" s="69"/>
      <c r="F963" s="69"/>
      <c r="Z963" s="101"/>
      <c r="AA963" s="101"/>
      <c r="AB963" s="101"/>
      <c r="AC963" s="101"/>
      <c r="AD963" s="101"/>
      <c r="AE963" s="101"/>
      <c r="AF963" s="101"/>
      <c r="AG963" s="101"/>
      <c r="AH963" s="101"/>
      <c r="AI963" s="101"/>
      <c r="AJ963" s="101"/>
      <c r="AK963" s="101"/>
      <c r="AL963" s="101"/>
      <c r="AM963" s="101"/>
      <c r="AN963" s="101"/>
    </row>
    <row r="964" spans="1:40" ht="16.5" customHeight="1" x14ac:dyDescent="0.3">
      <c r="A964" s="69"/>
      <c r="B964" s="69"/>
      <c r="C964" s="69"/>
      <c r="D964" s="69"/>
      <c r="E964" s="69"/>
      <c r="F964" s="69"/>
      <c r="Z964" s="101"/>
      <c r="AA964" s="101"/>
      <c r="AB964" s="101"/>
      <c r="AC964" s="101"/>
      <c r="AD964" s="101"/>
      <c r="AE964" s="101"/>
      <c r="AF964" s="101"/>
      <c r="AG964" s="101"/>
      <c r="AH964" s="101"/>
      <c r="AI964" s="101"/>
      <c r="AJ964" s="101"/>
      <c r="AK964" s="101"/>
      <c r="AL964" s="101"/>
      <c r="AM964" s="101"/>
      <c r="AN964" s="101"/>
    </row>
    <row r="965" spans="1:40" ht="16.5" customHeight="1" x14ac:dyDescent="0.3">
      <c r="A965" s="69"/>
      <c r="B965" s="69"/>
      <c r="C965" s="69"/>
      <c r="D965" s="69"/>
      <c r="E965" s="69"/>
      <c r="F965" s="69"/>
      <c r="Z965" s="101"/>
      <c r="AA965" s="101"/>
      <c r="AB965" s="101"/>
      <c r="AC965" s="101"/>
      <c r="AD965" s="101"/>
      <c r="AE965" s="101"/>
      <c r="AF965" s="101"/>
      <c r="AG965" s="101"/>
      <c r="AH965" s="101"/>
      <c r="AI965" s="101"/>
      <c r="AJ965" s="101"/>
      <c r="AK965" s="101"/>
      <c r="AL965" s="101"/>
      <c r="AM965" s="101"/>
      <c r="AN965" s="101"/>
    </row>
    <row r="966" spans="1:40" ht="16.5" customHeight="1" x14ac:dyDescent="0.3">
      <c r="A966" s="69"/>
      <c r="B966" s="69"/>
      <c r="C966" s="69"/>
      <c r="D966" s="69"/>
      <c r="E966" s="69"/>
      <c r="F966" s="69"/>
      <c r="Z966" s="101"/>
      <c r="AA966" s="101"/>
      <c r="AB966" s="101"/>
      <c r="AC966" s="101"/>
      <c r="AD966" s="101"/>
      <c r="AE966" s="101"/>
      <c r="AF966" s="101"/>
      <c r="AG966" s="101"/>
      <c r="AH966" s="101"/>
      <c r="AI966" s="101"/>
      <c r="AJ966" s="101"/>
      <c r="AK966" s="101"/>
      <c r="AL966" s="101"/>
      <c r="AM966" s="101"/>
      <c r="AN966" s="101"/>
    </row>
    <row r="967" spans="1:40" ht="16.5" customHeight="1" x14ac:dyDescent="0.3">
      <c r="A967" s="69"/>
      <c r="B967" s="69"/>
      <c r="C967" s="69"/>
      <c r="D967" s="69"/>
      <c r="E967" s="69"/>
      <c r="F967" s="69"/>
      <c r="Z967" s="101"/>
      <c r="AA967" s="101"/>
      <c r="AB967" s="101"/>
      <c r="AC967" s="101"/>
      <c r="AD967" s="101"/>
      <c r="AE967" s="101"/>
      <c r="AF967" s="101"/>
      <c r="AG967" s="101"/>
      <c r="AH967" s="101"/>
      <c r="AI967" s="101"/>
      <c r="AJ967" s="101"/>
      <c r="AK967" s="101"/>
      <c r="AL967" s="101"/>
      <c r="AM967" s="101"/>
      <c r="AN967" s="101"/>
    </row>
    <row r="968" spans="1:40" ht="16.5" customHeight="1" x14ac:dyDescent="0.3">
      <c r="A968" s="69"/>
      <c r="B968" s="69"/>
      <c r="C968" s="69"/>
      <c r="D968" s="69"/>
      <c r="E968" s="69"/>
      <c r="F968" s="69"/>
      <c r="Z968" s="101"/>
      <c r="AA968" s="101"/>
      <c r="AB968" s="101"/>
      <c r="AC968" s="101"/>
      <c r="AD968" s="101"/>
      <c r="AE968" s="101"/>
      <c r="AF968" s="101"/>
      <c r="AG968" s="101"/>
      <c r="AH968" s="101"/>
      <c r="AI968" s="101"/>
      <c r="AJ968" s="101"/>
      <c r="AK968" s="101"/>
      <c r="AL968" s="101"/>
      <c r="AM968" s="101"/>
      <c r="AN968" s="101"/>
    </row>
    <row r="969" spans="1:40" ht="16.5" customHeight="1" x14ac:dyDescent="0.3">
      <c r="A969" s="69"/>
      <c r="B969" s="69"/>
      <c r="C969" s="69"/>
      <c r="D969" s="69"/>
      <c r="E969" s="69"/>
      <c r="F969" s="69"/>
      <c r="Z969" s="101"/>
      <c r="AA969" s="101"/>
      <c r="AB969" s="101"/>
      <c r="AC969" s="101"/>
      <c r="AD969" s="101"/>
      <c r="AE969" s="101"/>
      <c r="AF969" s="101"/>
      <c r="AG969" s="101"/>
      <c r="AH969" s="101"/>
      <c r="AI969" s="101"/>
      <c r="AJ969" s="101"/>
      <c r="AK969" s="101"/>
      <c r="AL969" s="101"/>
      <c r="AM969" s="101"/>
      <c r="AN969" s="101"/>
    </row>
    <row r="970" spans="1:40" ht="16.5" customHeight="1" x14ac:dyDescent="0.3">
      <c r="A970" s="69"/>
      <c r="B970" s="69"/>
      <c r="C970" s="69"/>
      <c r="D970" s="69"/>
      <c r="E970" s="69"/>
      <c r="F970" s="69"/>
      <c r="Z970" s="101"/>
      <c r="AA970" s="101"/>
      <c r="AB970" s="101"/>
      <c r="AC970" s="101"/>
      <c r="AD970" s="101"/>
      <c r="AE970" s="101"/>
      <c r="AF970" s="101"/>
      <c r="AG970" s="101"/>
      <c r="AH970" s="101"/>
      <c r="AI970" s="101"/>
      <c r="AJ970" s="101"/>
      <c r="AK970" s="101"/>
      <c r="AL970" s="101"/>
      <c r="AM970" s="101"/>
      <c r="AN970" s="101"/>
    </row>
    <row r="971" spans="1:40" ht="16.5" customHeight="1" x14ac:dyDescent="0.3">
      <c r="A971" s="69"/>
      <c r="B971" s="69"/>
      <c r="C971" s="69"/>
      <c r="D971" s="69"/>
      <c r="E971" s="69"/>
      <c r="F971" s="69"/>
      <c r="Z971" s="101"/>
      <c r="AA971" s="101"/>
      <c r="AB971" s="101"/>
      <c r="AC971" s="101"/>
      <c r="AD971" s="101"/>
      <c r="AE971" s="101"/>
      <c r="AF971" s="101"/>
      <c r="AG971" s="101"/>
      <c r="AH971" s="101"/>
      <c r="AI971" s="101"/>
      <c r="AJ971" s="101"/>
      <c r="AK971" s="101"/>
      <c r="AL971" s="101"/>
      <c r="AM971" s="101"/>
      <c r="AN971" s="101"/>
    </row>
    <row r="972" spans="1:40" ht="16.5" customHeight="1" x14ac:dyDescent="0.3">
      <c r="A972" s="69"/>
      <c r="B972" s="69"/>
      <c r="C972" s="69"/>
      <c r="D972" s="69"/>
      <c r="E972" s="69"/>
      <c r="F972" s="69"/>
      <c r="Z972" s="101"/>
      <c r="AA972" s="101"/>
      <c r="AB972" s="101"/>
      <c r="AC972" s="101"/>
      <c r="AD972" s="101"/>
      <c r="AE972" s="101"/>
      <c r="AF972" s="101"/>
      <c r="AG972" s="101"/>
      <c r="AH972" s="101"/>
      <c r="AI972" s="101"/>
      <c r="AJ972" s="101"/>
      <c r="AK972" s="101"/>
      <c r="AL972" s="101"/>
      <c r="AM972" s="101"/>
      <c r="AN972" s="101"/>
    </row>
    <row r="973" spans="1:40" ht="16.5" customHeight="1" x14ac:dyDescent="0.3">
      <c r="A973" s="69"/>
      <c r="B973" s="69"/>
      <c r="C973" s="69"/>
      <c r="D973" s="69"/>
      <c r="E973" s="69"/>
      <c r="F973" s="69"/>
      <c r="Z973" s="101"/>
      <c r="AA973" s="101"/>
      <c r="AB973" s="101"/>
      <c r="AC973" s="101"/>
      <c r="AD973" s="101"/>
      <c r="AE973" s="101"/>
      <c r="AF973" s="101"/>
      <c r="AG973" s="101"/>
      <c r="AH973" s="101"/>
      <c r="AI973" s="101"/>
      <c r="AJ973" s="101"/>
      <c r="AK973" s="101"/>
      <c r="AL973" s="101"/>
      <c r="AM973" s="101"/>
      <c r="AN973" s="101"/>
    </row>
    <row r="974" spans="1:40" ht="16.5" customHeight="1" x14ac:dyDescent="0.3">
      <c r="A974" s="69"/>
      <c r="B974" s="69"/>
      <c r="C974" s="69"/>
      <c r="D974" s="69"/>
      <c r="E974" s="69"/>
      <c r="F974" s="69"/>
      <c r="Z974" s="101"/>
      <c r="AA974" s="101"/>
      <c r="AB974" s="101"/>
      <c r="AC974" s="101"/>
      <c r="AD974" s="101"/>
      <c r="AE974" s="101"/>
      <c r="AF974" s="101"/>
      <c r="AG974" s="101"/>
      <c r="AH974" s="101"/>
      <c r="AI974" s="101"/>
      <c r="AJ974" s="101"/>
      <c r="AK974" s="101"/>
      <c r="AL974" s="101"/>
      <c r="AM974" s="101"/>
      <c r="AN974" s="101"/>
    </row>
    <row r="975" spans="1:40" ht="16.5" customHeight="1" x14ac:dyDescent="0.3">
      <c r="A975" s="69"/>
      <c r="B975" s="69"/>
      <c r="C975" s="69"/>
      <c r="D975" s="69"/>
      <c r="E975" s="69"/>
      <c r="F975" s="69"/>
      <c r="Z975" s="101"/>
      <c r="AA975" s="101"/>
      <c r="AB975" s="101"/>
      <c r="AC975" s="101"/>
      <c r="AD975" s="101"/>
      <c r="AE975" s="101"/>
      <c r="AF975" s="101"/>
      <c r="AG975" s="101"/>
      <c r="AH975" s="101"/>
      <c r="AI975" s="101"/>
      <c r="AJ975" s="101"/>
      <c r="AK975" s="101"/>
      <c r="AL975" s="101"/>
      <c r="AM975" s="101"/>
      <c r="AN975" s="101"/>
    </row>
    <row r="976" spans="1:40" ht="16.5" customHeight="1" x14ac:dyDescent="0.3">
      <c r="A976" s="69"/>
      <c r="B976" s="69"/>
      <c r="C976" s="69"/>
      <c r="D976" s="69"/>
      <c r="E976" s="69"/>
      <c r="F976" s="69"/>
      <c r="Z976" s="101"/>
      <c r="AA976" s="101"/>
      <c r="AB976" s="101"/>
      <c r="AC976" s="101"/>
      <c r="AD976" s="101"/>
      <c r="AE976" s="101"/>
      <c r="AF976" s="101"/>
      <c r="AG976" s="101"/>
      <c r="AH976" s="101"/>
      <c r="AI976" s="101"/>
      <c r="AJ976" s="101"/>
      <c r="AK976" s="101"/>
      <c r="AL976" s="101"/>
      <c r="AM976" s="101"/>
      <c r="AN976" s="101"/>
    </row>
    <row r="977" spans="1:40" ht="16.5" customHeight="1" x14ac:dyDescent="0.3">
      <c r="A977" s="69"/>
      <c r="B977" s="69"/>
      <c r="C977" s="69"/>
      <c r="D977" s="69"/>
      <c r="E977" s="69"/>
      <c r="F977" s="69"/>
      <c r="Z977" s="101"/>
      <c r="AA977" s="101"/>
      <c r="AB977" s="101"/>
      <c r="AC977" s="101"/>
      <c r="AD977" s="101"/>
      <c r="AE977" s="101"/>
      <c r="AF977" s="101"/>
      <c r="AG977" s="101"/>
      <c r="AH977" s="101"/>
      <c r="AI977" s="101"/>
      <c r="AJ977" s="101"/>
      <c r="AK977" s="101"/>
      <c r="AL977" s="101"/>
      <c r="AM977" s="101"/>
      <c r="AN977" s="101"/>
    </row>
    <row r="978" spans="1:40" ht="16.5" customHeight="1" x14ac:dyDescent="0.3">
      <c r="A978" s="69"/>
      <c r="B978" s="69"/>
      <c r="C978" s="69"/>
      <c r="D978" s="69"/>
      <c r="E978" s="69"/>
      <c r="F978" s="69"/>
      <c r="Z978" s="101"/>
      <c r="AA978" s="101"/>
      <c r="AB978" s="101"/>
      <c r="AC978" s="101"/>
      <c r="AD978" s="101"/>
      <c r="AE978" s="101"/>
      <c r="AF978" s="101"/>
      <c r="AG978" s="101"/>
      <c r="AH978" s="101"/>
      <c r="AI978" s="101"/>
      <c r="AJ978" s="101"/>
      <c r="AK978" s="101"/>
      <c r="AL978" s="101"/>
      <c r="AM978" s="101"/>
      <c r="AN978" s="101"/>
    </row>
    <row r="979" spans="1:40" ht="16.5" customHeight="1" x14ac:dyDescent="0.3">
      <c r="A979" s="69"/>
      <c r="B979" s="69"/>
      <c r="C979" s="69"/>
      <c r="D979" s="69"/>
      <c r="E979" s="69"/>
      <c r="F979" s="69"/>
      <c r="Z979" s="101"/>
      <c r="AA979" s="101"/>
      <c r="AB979" s="101"/>
      <c r="AC979" s="101"/>
      <c r="AD979" s="101"/>
      <c r="AE979" s="101"/>
      <c r="AF979" s="101"/>
      <c r="AG979" s="101"/>
      <c r="AH979" s="101"/>
      <c r="AI979" s="101"/>
      <c r="AJ979" s="101"/>
      <c r="AK979" s="101"/>
      <c r="AL979" s="101"/>
      <c r="AM979" s="101"/>
      <c r="AN979" s="101"/>
    </row>
    <row r="980" spans="1:40" ht="16.5" customHeight="1" x14ac:dyDescent="0.3">
      <c r="A980" s="69"/>
      <c r="B980" s="69"/>
      <c r="C980" s="69"/>
      <c r="D980" s="69"/>
      <c r="E980" s="69"/>
      <c r="F980" s="69"/>
      <c r="Z980" s="101"/>
      <c r="AA980" s="101"/>
      <c r="AB980" s="101"/>
      <c r="AC980" s="101"/>
      <c r="AD980" s="101"/>
      <c r="AE980" s="101"/>
      <c r="AF980" s="101"/>
      <c r="AG980" s="101"/>
      <c r="AH980" s="101"/>
      <c r="AI980" s="101"/>
      <c r="AJ980" s="101"/>
      <c r="AK980" s="101"/>
      <c r="AL980" s="101"/>
      <c r="AM980" s="101"/>
      <c r="AN980" s="101"/>
    </row>
    <row r="981" spans="1:40" ht="16.5" customHeight="1" x14ac:dyDescent="0.3">
      <c r="A981" s="69"/>
      <c r="B981" s="69"/>
      <c r="C981" s="69"/>
      <c r="D981" s="69"/>
      <c r="E981" s="69"/>
      <c r="F981" s="69"/>
      <c r="Z981" s="101"/>
      <c r="AA981" s="101"/>
      <c r="AB981" s="101"/>
      <c r="AC981" s="101"/>
      <c r="AD981" s="101"/>
      <c r="AE981" s="101"/>
      <c r="AF981" s="101"/>
      <c r="AG981" s="101"/>
      <c r="AH981" s="101"/>
      <c r="AI981" s="101"/>
      <c r="AJ981" s="101"/>
      <c r="AK981" s="101"/>
      <c r="AL981" s="101"/>
      <c r="AM981" s="101"/>
      <c r="AN981" s="101"/>
    </row>
    <row r="982" spans="1:40" ht="16.5" customHeight="1" x14ac:dyDescent="0.3">
      <c r="A982" s="69"/>
      <c r="B982" s="69"/>
      <c r="C982" s="69"/>
      <c r="D982" s="69"/>
      <c r="E982" s="69"/>
      <c r="F982" s="69"/>
      <c r="Z982" s="101"/>
      <c r="AA982" s="101"/>
      <c r="AB982" s="101"/>
      <c r="AC982" s="101"/>
      <c r="AD982" s="101"/>
      <c r="AE982" s="101"/>
      <c r="AF982" s="101"/>
      <c r="AG982" s="101"/>
      <c r="AH982" s="101"/>
      <c r="AI982" s="101"/>
      <c r="AJ982" s="101"/>
      <c r="AK982" s="101"/>
      <c r="AL982" s="101"/>
      <c r="AM982" s="101"/>
      <c r="AN982" s="101"/>
    </row>
    <row r="983" spans="1:40" ht="16.5" customHeight="1" x14ac:dyDescent="0.3">
      <c r="A983" s="69"/>
      <c r="B983" s="69"/>
      <c r="C983" s="69"/>
      <c r="D983" s="69"/>
      <c r="E983" s="69"/>
      <c r="F983" s="69"/>
      <c r="Z983" s="101"/>
      <c r="AA983" s="101"/>
      <c r="AB983" s="101"/>
      <c r="AC983" s="101"/>
      <c r="AD983" s="101"/>
      <c r="AE983" s="101"/>
      <c r="AF983" s="101"/>
      <c r="AG983" s="101"/>
      <c r="AH983" s="101"/>
      <c r="AI983" s="101"/>
      <c r="AJ983" s="101"/>
      <c r="AK983" s="101"/>
      <c r="AL983" s="101"/>
      <c r="AM983" s="101"/>
      <c r="AN983" s="101"/>
    </row>
    <row r="984" spans="1:40" ht="16.5" customHeight="1" x14ac:dyDescent="0.3">
      <c r="A984" s="69"/>
      <c r="B984" s="69"/>
      <c r="C984" s="69"/>
      <c r="D984" s="69"/>
      <c r="E984" s="69"/>
      <c r="F984" s="69"/>
      <c r="Z984" s="101"/>
      <c r="AA984" s="101"/>
      <c r="AB984" s="101"/>
      <c r="AC984" s="101"/>
      <c r="AD984" s="101"/>
      <c r="AE984" s="101"/>
      <c r="AF984" s="101"/>
      <c r="AG984" s="101"/>
      <c r="AH984" s="101"/>
      <c r="AI984" s="101"/>
      <c r="AJ984" s="101"/>
      <c r="AK984" s="101"/>
      <c r="AL984" s="101"/>
      <c r="AM984" s="101"/>
      <c r="AN984" s="101"/>
    </row>
    <row r="985" spans="1:40" ht="16.5" customHeight="1" x14ac:dyDescent="0.3">
      <c r="A985" s="69"/>
      <c r="B985" s="69"/>
      <c r="C985" s="69"/>
      <c r="D985" s="69"/>
      <c r="E985" s="69"/>
      <c r="F985" s="69"/>
      <c r="Z985" s="101"/>
      <c r="AA985" s="101"/>
      <c r="AB985" s="101"/>
      <c r="AC985" s="101"/>
      <c r="AD985" s="101"/>
      <c r="AE985" s="101"/>
      <c r="AF985" s="101"/>
      <c r="AG985" s="101"/>
      <c r="AH985" s="101"/>
      <c r="AI985" s="101"/>
      <c r="AJ985" s="101"/>
      <c r="AK985" s="101"/>
      <c r="AL985" s="101"/>
      <c r="AM985" s="101"/>
      <c r="AN985" s="101"/>
    </row>
    <row r="986" spans="1:40" ht="16.5" customHeight="1" x14ac:dyDescent="0.3">
      <c r="A986" s="69"/>
      <c r="B986" s="69"/>
      <c r="C986" s="69"/>
      <c r="D986" s="69"/>
      <c r="E986" s="69"/>
      <c r="F986" s="69"/>
      <c r="Z986" s="101"/>
      <c r="AA986" s="101"/>
      <c r="AB986" s="101"/>
      <c r="AC986" s="101"/>
      <c r="AD986" s="101"/>
      <c r="AE986" s="101"/>
      <c r="AF986" s="101"/>
      <c r="AG986" s="101"/>
      <c r="AH986" s="101"/>
      <c r="AI986" s="101"/>
      <c r="AJ986" s="101"/>
      <c r="AK986" s="101"/>
      <c r="AL986" s="101"/>
      <c r="AM986" s="101"/>
      <c r="AN986" s="101"/>
    </row>
    <row r="987" spans="1:40" ht="16.5" customHeight="1" x14ac:dyDescent="0.3">
      <c r="A987" s="69"/>
      <c r="B987" s="69"/>
      <c r="C987" s="69"/>
      <c r="D987" s="69"/>
      <c r="E987" s="69"/>
      <c r="F987" s="69"/>
      <c r="Z987" s="101"/>
      <c r="AA987" s="101"/>
      <c r="AB987" s="101"/>
      <c r="AC987" s="101"/>
      <c r="AD987" s="101"/>
      <c r="AE987" s="101"/>
      <c r="AF987" s="101"/>
      <c r="AG987" s="101"/>
      <c r="AH987" s="101"/>
      <c r="AI987" s="101"/>
      <c r="AJ987" s="101"/>
      <c r="AK987" s="101"/>
      <c r="AL987" s="101"/>
      <c r="AM987" s="101"/>
      <c r="AN987" s="101"/>
    </row>
    <row r="988" spans="1:40" ht="16.5" customHeight="1" x14ac:dyDescent="0.3">
      <c r="A988" s="69"/>
      <c r="B988" s="69"/>
      <c r="C988" s="69"/>
      <c r="D988" s="69"/>
      <c r="E988" s="69"/>
      <c r="F988" s="69"/>
      <c r="Z988" s="101"/>
      <c r="AA988" s="101"/>
      <c r="AB988" s="101"/>
      <c r="AC988" s="101"/>
      <c r="AD988" s="101"/>
      <c r="AE988" s="101"/>
      <c r="AF988" s="101"/>
      <c r="AG988" s="101"/>
      <c r="AH988" s="101"/>
      <c r="AI988" s="101"/>
      <c r="AJ988" s="101"/>
      <c r="AK988" s="101"/>
      <c r="AL988" s="101"/>
      <c r="AM988" s="101"/>
      <c r="AN988" s="101"/>
    </row>
    <row r="989" spans="1:40" ht="16.5" customHeight="1" x14ac:dyDescent="0.3">
      <c r="A989" s="69"/>
      <c r="B989" s="69"/>
      <c r="C989" s="69"/>
      <c r="D989" s="69"/>
      <c r="E989" s="69"/>
      <c r="F989" s="69"/>
      <c r="Z989" s="101"/>
      <c r="AA989" s="101"/>
      <c r="AB989" s="101"/>
      <c r="AC989" s="101"/>
      <c r="AD989" s="101"/>
      <c r="AE989" s="101"/>
      <c r="AF989" s="101"/>
      <c r="AG989" s="101"/>
      <c r="AH989" s="101"/>
      <c r="AI989" s="101"/>
      <c r="AJ989" s="101"/>
      <c r="AK989" s="101"/>
      <c r="AL989" s="101"/>
      <c r="AM989" s="101"/>
      <c r="AN989" s="101"/>
    </row>
    <row r="990" spans="1:40" ht="16.5" customHeight="1" x14ac:dyDescent="0.3">
      <c r="A990" s="69"/>
      <c r="B990" s="69"/>
      <c r="C990" s="69"/>
      <c r="D990" s="69"/>
      <c r="E990" s="69"/>
      <c r="F990" s="69"/>
      <c r="Z990" s="101"/>
      <c r="AA990" s="101"/>
      <c r="AB990" s="101"/>
      <c r="AC990" s="101"/>
      <c r="AD990" s="101"/>
      <c r="AE990" s="101"/>
      <c r="AF990" s="101"/>
      <c r="AG990" s="101"/>
      <c r="AH990" s="101"/>
      <c r="AI990" s="101"/>
      <c r="AJ990" s="101"/>
      <c r="AK990" s="101"/>
      <c r="AL990" s="101"/>
      <c r="AM990" s="101"/>
      <c r="AN990" s="101"/>
    </row>
    <row r="991" spans="1:40" ht="16.5" customHeight="1" x14ac:dyDescent="0.3">
      <c r="A991" s="69"/>
      <c r="B991" s="69"/>
      <c r="C991" s="69"/>
      <c r="D991" s="69"/>
      <c r="E991" s="69"/>
      <c r="F991" s="69"/>
      <c r="Z991" s="101"/>
      <c r="AA991" s="101"/>
      <c r="AB991" s="101"/>
      <c r="AC991" s="101"/>
      <c r="AD991" s="101"/>
      <c r="AE991" s="101"/>
      <c r="AF991" s="101"/>
      <c r="AG991" s="101"/>
      <c r="AH991" s="101"/>
      <c r="AI991" s="101"/>
      <c r="AJ991" s="101"/>
      <c r="AK991" s="101"/>
      <c r="AL991" s="101"/>
      <c r="AM991" s="101"/>
      <c r="AN991" s="101"/>
    </row>
    <row r="992" spans="1:40" ht="16.5" customHeight="1" x14ac:dyDescent="0.3">
      <c r="A992" s="69"/>
      <c r="B992" s="69"/>
      <c r="C992" s="69"/>
      <c r="D992" s="69"/>
      <c r="E992" s="69"/>
      <c r="F992" s="69"/>
      <c r="Z992" s="101"/>
      <c r="AA992" s="101"/>
      <c r="AB992" s="101"/>
      <c r="AC992" s="101"/>
      <c r="AD992" s="101"/>
      <c r="AE992" s="101"/>
      <c r="AF992" s="101"/>
      <c r="AG992" s="101"/>
      <c r="AH992" s="101"/>
      <c r="AI992" s="101"/>
      <c r="AJ992" s="101"/>
      <c r="AK992" s="101"/>
      <c r="AL992" s="101"/>
      <c r="AM992" s="101"/>
      <c r="AN992" s="101"/>
    </row>
    <row r="993" spans="1:40" ht="16.5" customHeight="1" x14ac:dyDescent="0.3">
      <c r="A993" s="69"/>
      <c r="B993" s="69"/>
      <c r="C993" s="69"/>
      <c r="D993" s="69"/>
      <c r="E993" s="69"/>
      <c r="F993" s="69"/>
      <c r="Z993" s="101"/>
      <c r="AA993" s="101"/>
      <c r="AB993" s="101"/>
      <c r="AC993" s="101"/>
      <c r="AD993" s="101"/>
      <c r="AE993" s="101"/>
      <c r="AF993" s="101"/>
      <c r="AG993" s="101"/>
      <c r="AH993" s="101"/>
      <c r="AI993" s="101"/>
      <c r="AJ993" s="101"/>
      <c r="AK993" s="101"/>
      <c r="AL993" s="101"/>
      <c r="AM993" s="101"/>
      <c r="AN993" s="101"/>
    </row>
    <row r="994" spans="1:40" ht="16.5" customHeight="1" x14ac:dyDescent="0.3">
      <c r="A994" s="69"/>
      <c r="B994" s="69"/>
      <c r="C994" s="69"/>
      <c r="D994" s="69"/>
      <c r="E994" s="69"/>
      <c r="F994" s="69"/>
      <c r="Z994" s="101"/>
      <c r="AA994" s="101"/>
      <c r="AB994" s="101"/>
      <c r="AC994" s="101"/>
      <c r="AD994" s="101"/>
      <c r="AE994" s="101"/>
      <c r="AF994" s="101"/>
      <c r="AG994" s="101"/>
      <c r="AH994" s="101"/>
      <c r="AI994" s="101"/>
      <c r="AJ994" s="101"/>
      <c r="AK994" s="101"/>
      <c r="AL994" s="101"/>
      <c r="AM994" s="101"/>
      <c r="AN994" s="101"/>
    </row>
    <row r="995" spans="1:40" ht="16.5" customHeight="1" x14ac:dyDescent="0.3">
      <c r="A995" s="69"/>
      <c r="B995" s="69"/>
      <c r="C995" s="69"/>
      <c r="D995" s="69"/>
      <c r="E995" s="69"/>
      <c r="F995" s="69"/>
      <c r="Z995" s="101"/>
      <c r="AA995" s="101"/>
      <c r="AB995" s="101"/>
      <c r="AC995" s="101"/>
      <c r="AD995" s="101"/>
      <c r="AE995" s="101"/>
      <c r="AF995" s="101"/>
      <c r="AG995" s="101"/>
      <c r="AH995" s="101"/>
      <c r="AI995" s="101"/>
      <c r="AJ995" s="101"/>
      <c r="AK995" s="101"/>
      <c r="AL995" s="101"/>
      <c r="AM995" s="101"/>
      <c r="AN995" s="101"/>
    </row>
    <row r="996" spans="1:40" ht="16.5" customHeight="1" x14ac:dyDescent="0.3">
      <c r="A996" s="69"/>
      <c r="B996" s="69"/>
      <c r="C996" s="69"/>
      <c r="D996" s="69"/>
      <c r="E996" s="69"/>
      <c r="F996" s="69"/>
      <c r="Z996" s="101"/>
      <c r="AA996" s="101"/>
      <c r="AB996" s="101"/>
      <c r="AC996" s="101"/>
      <c r="AD996" s="101"/>
      <c r="AE996" s="101"/>
      <c r="AF996" s="101"/>
      <c r="AG996" s="101"/>
      <c r="AH996" s="101"/>
      <c r="AI996" s="101"/>
      <c r="AJ996" s="101"/>
      <c r="AK996" s="101"/>
      <c r="AL996" s="101"/>
      <c r="AM996" s="101"/>
      <c r="AN996" s="101"/>
    </row>
    <row r="997" spans="1:40" ht="16.5" customHeight="1" x14ac:dyDescent="0.3">
      <c r="A997" s="69"/>
      <c r="B997" s="69"/>
      <c r="C997" s="69"/>
      <c r="D997" s="69"/>
      <c r="E997" s="69"/>
      <c r="F997" s="69"/>
      <c r="Z997" s="101"/>
      <c r="AA997" s="101"/>
      <c r="AB997" s="101"/>
      <c r="AC997" s="101"/>
      <c r="AD997" s="101"/>
      <c r="AE997" s="101"/>
      <c r="AF997" s="101"/>
      <c r="AG997" s="101"/>
      <c r="AH997" s="101"/>
      <c r="AI997" s="101"/>
      <c r="AJ997" s="101"/>
      <c r="AK997" s="101"/>
      <c r="AL997" s="101"/>
      <c r="AM997" s="101"/>
      <c r="AN997" s="101"/>
    </row>
    <row r="998" spans="1:40" ht="16.5" customHeight="1" x14ac:dyDescent="0.3">
      <c r="A998" s="69"/>
      <c r="B998" s="69"/>
      <c r="C998" s="69"/>
      <c r="D998" s="69"/>
      <c r="E998" s="69"/>
      <c r="F998" s="69"/>
      <c r="Z998" s="101"/>
      <c r="AA998" s="101"/>
      <c r="AB998" s="101"/>
      <c r="AC998" s="101"/>
      <c r="AD998" s="101"/>
      <c r="AE998" s="101"/>
      <c r="AF998" s="101"/>
      <c r="AG998" s="101"/>
      <c r="AH998" s="101"/>
      <c r="AI998" s="101"/>
      <c r="AJ998" s="101"/>
      <c r="AK998" s="101"/>
      <c r="AL998" s="101"/>
      <c r="AM998" s="101"/>
      <c r="AN998" s="101"/>
    </row>
    <row r="999" spans="1:40" ht="16.5" customHeight="1" x14ac:dyDescent="0.3">
      <c r="A999" s="69"/>
      <c r="B999" s="69"/>
      <c r="C999" s="69"/>
      <c r="D999" s="69"/>
      <c r="E999" s="69"/>
      <c r="F999" s="69"/>
      <c r="Z999" s="101"/>
      <c r="AA999" s="101"/>
      <c r="AB999" s="101"/>
      <c r="AC999" s="101"/>
      <c r="AD999" s="101"/>
      <c r="AE999" s="101"/>
      <c r="AF999" s="101"/>
      <c r="AG999" s="101"/>
      <c r="AH999" s="101"/>
      <c r="AI999" s="101"/>
      <c r="AJ999" s="101"/>
      <c r="AK999" s="101"/>
      <c r="AL999" s="101"/>
      <c r="AM999" s="101"/>
      <c r="AN999" s="101"/>
    </row>
    <row r="1000" spans="1:40" ht="16.5" customHeight="1" x14ac:dyDescent="0.3">
      <c r="A1000" s="69"/>
      <c r="B1000" s="69"/>
      <c r="C1000" s="69"/>
      <c r="D1000" s="69"/>
      <c r="E1000" s="69"/>
      <c r="F1000" s="69"/>
      <c r="Z1000" s="101"/>
      <c r="AA1000" s="101"/>
      <c r="AB1000" s="101"/>
      <c r="AC1000" s="101"/>
      <c r="AD1000" s="101"/>
      <c r="AE1000" s="101"/>
      <c r="AF1000" s="101"/>
      <c r="AG1000" s="101"/>
      <c r="AH1000" s="101"/>
      <c r="AI1000" s="101"/>
      <c r="AJ1000" s="101"/>
      <c r="AK1000" s="101"/>
      <c r="AL1000" s="101"/>
      <c r="AM1000" s="101"/>
      <c r="AN1000" s="101"/>
    </row>
    <row r="1001" spans="1:40" ht="16.5" customHeight="1" x14ac:dyDescent="0.3">
      <c r="A1001" s="69"/>
      <c r="B1001" s="69"/>
      <c r="C1001" s="69"/>
      <c r="D1001" s="69"/>
      <c r="E1001" s="69"/>
      <c r="F1001" s="69"/>
      <c r="Z1001" s="101"/>
      <c r="AA1001" s="101"/>
      <c r="AB1001" s="101"/>
      <c r="AC1001" s="101"/>
      <c r="AD1001" s="101"/>
      <c r="AE1001" s="101"/>
      <c r="AF1001" s="101"/>
      <c r="AG1001" s="101"/>
      <c r="AH1001" s="101"/>
      <c r="AI1001" s="101"/>
      <c r="AJ1001" s="101"/>
      <c r="AK1001" s="101"/>
      <c r="AL1001" s="101"/>
      <c r="AM1001" s="101"/>
      <c r="AN1001" s="101"/>
    </row>
    <row r="1002" spans="1:40" ht="16.5" customHeight="1" x14ac:dyDescent="0.3">
      <c r="A1002" s="69"/>
      <c r="B1002" s="69"/>
      <c r="C1002" s="69"/>
      <c r="D1002" s="69"/>
      <c r="E1002" s="69"/>
      <c r="F1002" s="69"/>
      <c r="Z1002" s="101"/>
      <c r="AA1002" s="101"/>
      <c r="AB1002" s="101"/>
      <c r="AC1002" s="101"/>
      <c r="AD1002" s="101"/>
      <c r="AE1002" s="101"/>
      <c r="AF1002" s="101"/>
      <c r="AG1002" s="101"/>
      <c r="AH1002" s="101"/>
      <c r="AI1002" s="101"/>
      <c r="AJ1002" s="101"/>
      <c r="AK1002" s="101"/>
      <c r="AL1002" s="101"/>
      <c r="AM1002" s="101"/>
      <c r="AN1002" s="101"/>
    </row>
    <row r="1003" spans="1:40" ht="16.5" customHeight="1" x14ac:dyDescent="0.3">
      <c r="A1003" s="74"/>
      <c r="B1003" s="74"/>
      <c r="C1003" s="74"/>
      <c r="D1003" s="74"/>
      <c r="E1003" s="74"/>
      <c r="F1003" s="74"/>
      <c r="Z1003" s="101"/>
      <c r="AA1003" s="101"/>
      <c r="AB1003" s="101"/>
      <c r="AC1003" s="101"/>
      <c r="AD1003" s="101"/>
      <c r="AE1003" s="101"/>
      <c r="AF1003" s="101"/>
      <c r="AG1003" s="101"/>
      <c r="AH1003" s="101"/>
      <c r="AI1003" s="101"/>
      <c r="AJ1003" s="101"/>
      <c r="AK1003" s="101"/>
      <c r="AL1003" s="101"/>
      <c r="AM1003" s="101"/>
      <c r="AN1003" s="101"/>
    </row>
    <row r="1004" spans="1:40" ht="16.5" customHeight="1" x14ac:dyDescent="0.3">
      <c r="A1004" s="150" t="s">
        <v>1477</v>
      </c>
      <c r="B1004" s="143"/>
      <c r="C1004" s="47">
        <f>E1004+D1004+F1004</f>
        <v>13348</v>
      </c>
      <c r="D1004" s="46">
        <f>ROUNDDOWN(SUMIF(N907:N956,M1004,D907:D956),0)</f>
        <v>9716</v>
      </c>
      <c r="E1004" s="55">
        <f>ROUNDDOWN(SUMIF(N907:N956,M1004,E907:E956),0)</f>
        <v>2012</v>
      </c>
      <c r="F1004" s="47">
        <f>ROUNDDOWN(SUMIF(N907:N956,M1004,F907:F956),0)</f>
        <v>1620</v>
      </c>
      <c r="M1004" s="35" t="s">
        <v>1209</v>
      </c>
      <c r="Z1004" s="101"/>
      <c r="AA1004" s="101"/>
      <c r="AB1004" s="101"/>
      <c r="AC1004" s="101"/>
      <c r="AD1004" s="101"/>
      <c r="AE1004" s="101"/>
      <c r="AF1004" s="101"/>
      <c r="AG1004" s="101"/>
      <c r="AH1004" s="101"/>
      <c r="AI1004" s="101"/>
      <c r="AJ1004" s="101"/>
      <c r="AK1004" s="101"/>
      <c r="AL1004" s="101"/>
      <c r="AM1004" s="101"/>
      <c r="AN1004" s="101"/>
    </row>
    <row r="1005" spans="1:40" ht="16.5" customHeight="1" x14ac:dyDescent="0.3">
      <c r="A1005" s="86" t="s">
        <v>71</v>
      </c>
      <c r="B1005" s="88" t="s">
        <v>71</v>
      </c>
      <c r="C1005" s="151">
        <f>C1104</f>
        <v>8051</v>
      </c>
      <c r="D1005" s="151">
        <f>D1104</f>
        <v>6719</v>
      </c>
      <c r="E1005" s="151">
        <f>E1104</f>
        <v>850</v>
      </c>
      <c r="F1005" s="151">
        <f>F1104</f>
        <v>482</v>
      </c>
      <c r="G1005" s="84" t="str">
        <f>HYPERLINK("#G"&amp;ROW(G1063),"_x0005_`BDCOD|D03304_x0007_`POSS|"&amp;ROW(G1007)&amp;"_x0007_`POSE|"&amp;ROW(G1063)&amp;"_x0007_`")</f>
        <v>_x0005_`BDCOD|D03304_x0007_`POSS|1007_x0007_`POSE|1063_x0007_`</v>
      </c>
      <c r="Z1005" s="101"/>
      <c r="AA1005" s="101"/>
      <c r="AB1005" s="101"/>
      <c r="AC1005" s="101"/>
      <c r="AD1005" s="101"/>
      <c r="AE1005" s="101"/>
      <c r="AF1005" s="101"/>
      <c r="AG1005" s="101"/>
      <c r="AH1005" s="101"/>
      <c r="AI1005" s="101"/>
      <c r="AJ1005" s="101"/>
      <c r="AK1005" s="101"/>
      <c r="AL1005" s="101"/>
      <c r="AM1005" s="101"/>
      <c r="AN1005" s="101"/>
    </row>
    <row r="1006" spans="1:40" ht="16.5" customHeight="1" x14ac:dyDescent="0.3">
      <c r="A1006" s="87"/>
      <c r="B1006" s="88" t="s">
        <v>168</v>
      </c>
      <c r="C1006" s="136"/>
      <c r="D1006" s="136"/>
      <c r="E1006" s="136"/>
      <c r="F1006" s="136"/>
      <c r="M1006" s="35" t="s">
        <v>1874</v>
      </c>
      <c r="Z1006" s="101"/>
      <c r="AA1006" s="101"/>
      <c r="AB1006" s="101"/>
      <c r="AC1006" s="101"/>
      <c r="AD1006" s="101"/>
      <c r="AE1006" s="101"/>
      <c r="AF1006" s="101"/>
      <c r="AG1006" s="101"/>
      <c r="AH1006" s="101"/>
      <c r="AI1006" s="101"/>
      <c r="AJ1006" s="101"/>
      <c r="AK1006" s="101"/>
      <c r="AL1006" s="101"/>
      <c r="AM1006" s="101"/>
      <c r="AN1006" s="101"/>
    </row>
    <row r="1007" spans="1:40" ht="16.5" customHeight="1" x14ac:dyDescent="0.3">
      <c r="A1007" s="59"/>
      <c r="B1007" s="68" t="s">
        <v>1876</v>
      </c>
      <c r="C1007" s="90"/>
      <c r="D1007" s="90"/>
      <c r="E1007" s="90"/>
      <c r="F1007" s="90"/>
      <c r="G1007" s="17" t="s">
        <v>1875</v>
      </c>
      <c r="Z1007" s="101"/>
      <c r="AA1007" s="101"/>
      <c r="AB1007" s="101"/>
      <c r="AC1007" s="101"/>
      <c r="AD1007" s="101"/>
      <c r="AE1007" s="101"/>
      <c r="AF1007" s="101"/>
      <c r="AG1007" s="101"/>
      <c r="AH1007" s="101"/>
      <c r="AI1007" s="101"/>
      <c r="AJ1007" s="101"/>
      <c r="AK1007" s="101"/>
      <c r="AL1007" s="101"/>
      <c r="AM1007" s="101"/>
      <c r="AN1007" s="101"/>
    </row>
    <row r="1008" spans="1:40" ht="16.5" customHeight="1" x14ac:dyDescent="0.3">
      <c r="A1008" s="69"/>
      <c r="B1008" s="69"/>
      <c r="C1008" s="69"/>
      <c r="D1008" s="69"/>
      <c r="E1008" s="69"/>
      <c r="F1008" s="69"/>
      <c r="G1008" s="17" t="s">
        <v>1405</v>
      </c>
      <c r="Z1008" s="101"/>
      <c r="AA1008" s="101"/>
      <c r="AB1008" s="101"/>
      <c r="AC1008" s="101"/>
      <c r="AD1008" s="101"/>
      <c r="AE1008" s="101"/>
      <c r="AF1008" s="101"/>
      <c r="AG1008" s="101"/>
      <c r="AH1008" s="101"/>
      <c r="AI1008" s="101"/>
      <c r="AJ1008" s="101"/>
      <c r="AK1008" s="101"/>
      <c r="AL1008" s="101"/>
      <c r="AM1008" s="101"/>
      <c r="AN1008" s="101"/>
    </row>
    <row r="1009" spans="1:40" ht="16.5" customHeight="1" x14ac:dyDescent="0.3">
      <c r="A1009" s="59"/>
      <c r="B1009" s="68" t="str">
        <f>" Q1 = "&amp;Z1009&amp;" ㎡/일/1인 "</f>
        <v xml:space="preserve"> Q1 = 250 ㎡/일/1인 </v>
      </c>
      <c r="C1009" s="69"/>
      <c r="D1009" s="69"/>
      <c r="E1009" s="69"/>
      <c r="F1009" s="69"/>
      <c r="G1009" s="17" t="s">
        <v>1877</v>
      </c>
      <c r="Z1009" s="102">
        <v>250</v>
      </c>
      <c r="AA1009" s="35" t="s">
        <v>1410</v>
      </c>
      <c r="AB1009" s="103">
        <f>Z1009</f>
        <v>250</v>
      </c>
      <c r="AC1009" s="101"/>
      <c r="AD1009" s="101"/>
      <c r="AE1009" s="101"/>
      <c r="AF1009" s="101"/>
      <c r="AG1009" s="101"/>
      <c r="AH1009" s="101"/>
      <c r="AI1009" s="101"/>
      <c r="AJ1009" s="101"/>
      <c r="AK1009" s="101"/>
      <c r="AL1009" s="101"/>
      <c r="AM1009" s="101"/>
      <c r="AN1009" s="101"/>
    </row>
    <row r="1010" spans="1:40" ht="16.5" customHeight="1" x14ac:dyDescent="0.3">
      <c r="A1010" s="59"/>
      <c r="B1010" s="68" t="str">
        <f>" Q2 = "&amp;Z1010&amp;" ㎡/일/3인 "</f>
        <v xml:space="preserve"> Q2 = 250 ㎡/일/3인 </v>
      </c>
      <c r="C1010" s="69"/>
      <c r="D1010" s="69"/>
      <c r="E1010" s="69"/>
      <c r="F1010" s="69"/>
      <c r="G1010" s="17" t="s">
        <v>1878</v>
      </c>
      <c r="Z1010" s="102">
        <v>250</v>
      </c>
      <c r="AA1010" s="35" t="s">
        <v>1410</v>
      </c>
      <c r="AB1010" s="103">
        <f>Z1010</f>
        <v>250</v>
      </c>
      <c r="AC1010" s="101"/>
      <c r="AD1010" s="101"/>
      <c r="AE1010" s="101"/>
      <c r="AF1010" s="101"/>
      <c r="AG1010" s="101"/>
      <c r="AH1010" s="101"/>
      <c r="AI1010" s="101"/>
      <c r="AJ1010" s="101"/>
      <c r="AK1010" s="101"/>
      <c r="AL1010" s="101"/>
      <c r="AM1010" s="101"/>
      <c r="AN1010" s="101"/>
    </row>
    <row r="1011" spans="1:40" ht="16.5" customHeight="1" x14ac:dyDescent="0.3">
      <c r="A1011" s="59"/>
      <c r="B1011" s="68" t="str">
        <f>" Q = "&amp;Z1011&amp;" ㎡/일 /"&amp;AB1011&amp;" hr/일 = "&amp;AD1011&amp;" ㎡/hr "</f>
        <v xml:space="preserve"> Q = 250 ㎡/일 /8 hr/일 = 31.250 ㎡/hr </v>
      </c>
      <c r="C1011" s="69"/>
      <c r="D1011" s="69"/>
      <c r="E1011" s="69"/>
      <c r="F1011" s="69"/>
      <c r="G1011" s="17" t="s">
        <v>1879</v>
      </c>
      <c r="Z1011" s="102">
        <v>250</v>
      </c>
      <c r="AA1011" s="35" t="s">
        <v>1413</v>
      </c>
      <c r="AB1011" s="102">
        <v>8</v>
      </c>
      <c r="AC1011" s="35" t="s">
        <v>1410</v>
      </c>
      <c r="AD1011" s="103" t="str">
        <f>TEXT(ROUND(Z1011/AB1011,3),"#,0.000")</f>
        <v>31.250</v>
      </c>
      <c r="AE1011" s="101"/>
      <c r="AF1011" s="101"/>
      <c r="AG1011" s="101"/>
      <c r="AH1011" s="101"/>
      <c r="AI1011" s="101"/>
      <c r="AJ1011" s="101"/>
      <c r="AK1011" s="101"/>
      <c r="AL1011" s="101"/>
      <c r="AM1011" s="101"/>
      <c r="AN1011" s="101"/>
    </row>
    <row r="1012" spans="1:40" ht="16.5" customHeight="1" x14ac:dyDescent="0.3">
      <c r="A1012" s="69"/>
      <c r="B1012" s="69"/>
      <c r="C1012" s="69"/>
      <c r="D1012" s="69"/>
      <c r="E1012" s="69"/>
      <c r="F1012" s="69"/>
      <c r="G1012" s="17" t="s">
        <v>1405</v>
      </c>
      <c r="Z1012" s="101"/>
      <c r="AA1012" s="101"/>
      <c r="AB1012" s="101"/>
      <c r="AC1012" s="101"/>
      <c r="AD1012" s="101"/>
      <c r="AE1012" s="101"/>
      <c r="AF1012" s="101"/>
      <c r="AG1012" s="101"/>
      <c r="AH1012" s="101"/>
      <c r="AI1012" s="101"/>
      <c r="AJ1012" s="101"/>
      <c r="AK1012" s="101"/>
      <c r="AL1012" s="101"/>
      <c r="AM1012" s="101"/>
      <c r="AN1012" s="101"/>
    </row>
    <row r="1013" spans="1:40" ht="16.5" customHeight="1" x14ac:dyDescent="0.3">
      <c r="A1013" s="59"/>
      <c r="B1013" s="68" t="s">
        <v>1881</v>
      </c>
      <c r="C1013" s="69"/>
      <c r="D1013" s="69"/>
      <c r="E1013" s="69"/>
      <c r="F1013" s="69"/>
      <c r="G1013" s="17" t="s">
        <v>1880</v>
      </c>
      <c r="Z1013" s="101"/>
      <c r="AA1013" s="101"/>
      <c r="AB1013" s="101"/>
      <c r="AC1013" s="101"/>
      <c r="AD1013" s="101"/>
      <c r="AE1013" s="101"/>
      <c r="AF1013" s="101"/>
      <c r="AG1013" s="101"/>
      <c r="AH1013" s="101"/>
      <c r="AI1013" s="101"/>
      <c r="AJ1013" s="101"/>
      <c r="AK1013" s="101"/>
      <c r="AL1013" s="101"/>
      <c r="AM1013" s="101"/>
      <c r="AN1013" s="101"/>
    </row>
    <row r="1014" spans="1:40" ht="16.5" customHeight="1" x14ac:dyDescent="0.3">
      <c r="A1014" s="69"/>
      <c r="B1014" s="69"/>
      <c r="C1014" s="69"/>
      <c r="D1014" s="69"/>
      <c r="E1014" s="69"/>
      <c r="F1014" s="69"/>
      <c r="G1014" s="17" t="s">
        <v>1405</v>
      </c>
      <c r="Z1014" s="101"/>
      <c r="AA1014" s="101"/>
      <c r="AB1014" s="101"/>
      <c r="AC1014" s="101"/>
      <c r="AD1014" s="101"/>
      <c r="AE1014" s="101"/>
      <c r="AF1014" s="101"/>
      <c r="AG1014" s="101"/>
      <c r="AH1014" s="101"/>
      <c r="AI1014" s="101"/>
      <c r="AJ1014" s="101"/>
      <c r="AK1014" s="101"/>
      <c r="AL1014" s="101"/>
      <c r="AM1014" s="101"/>
      <c r="AN1014" s="101"/>
    </row>
    <row r="1015" spans="1:40" ht="16.5" customHeight="1" x14ac:dyDescent="0.3">
      <c r="A1015" s="59" t="s">
        <v>1717</v>
      </c>
      <c r="B1015" s="89" t="str">
        <f>" 포 장 공: "&amp;TEXT(I1015,"#,##0"&amp;IF(I1015&lt;&gt;INT(I1015),".###",""))&amp;" / Q1 * "&amp;AC1015&amp;" 인  = "&amp;TEXT(C1015,"#,##0.0")&amp;""</f>
        <v xml:space="preserve"> 포 장 공: 273,308 / Q1 * 2 인  = 2,186.4</v>
      </c>
      <c r="C1015" s="91">
        <f>E1015+D1015+F1015</f>
        <v>2186.4</v>
      </c>
      <c r="D1015" s="91">
        <f>IF(H1015=0,0,ROUNDDOWN(J1015*H1015,1))</f>
        <v>2186.4</v>
      </c>
      <c r="E1015" s="91">
        <f>IF(H1015=0,0,ROUNDDOWN(K1015*H1015,1))</f>
        <v>0</v>
      </c>
      <c r="F1015" s="91">
        <f>IF(H1015=0,0,ROUNDDOWN(L1015*H1015,1))</f>
        <v>0</v>
      </c>
      <c r="G1015" s="17" t="s">
        <v>1882</v>
      </c>
      <c r="H1015" s="97">
        <f>ROUNDUP(AE1015,14-LEN(ABS(INT(AE1015))))</f>
        <v>8.0000000000000002E-3</v>
      </c>
      <c r="I1015" s="98">
        <f>K1015+J1015+L1015</f>
        <v>273308</v>
      </c>
      <c r="J1015" s="38">
        <f>노무비목록표!E15</f>
        <v>273308</v>
      </c>
      <c r="M1015" s="35" t="s">
        <v>1309</v>
      </c>
      <c r="N1015" s="35" t="s">
        <v>1262</v>
      </c>
      <c r="X1015" s="100" t="str">
        <f>노무비목록표!B15&amp;" / "&amp;노무비목록표!C15</f>
        <v xml:space="preserve">포장공 / </v>
      </c>
      <c r="Y1015" s="3" t="str">
        <f ca="1">HYPERLINK("#"&amp;노무비목록표!G2&amp;"!A"&amp;ROW(노무비목록표!A15),"노무12 →")</f>
        <v>노무12 →</v>
      </c>
      <c r="Z1015" s="35" t="s">
        <v>1417</v>
      </c>
      <c r="AA1015" s="103">
        <f>AB1009</f>
        <v>250</v>
      </c>
      <c r="AB1015" s="35" t="s">
        <v>1436</v>
      </c>
      <c r="AC1015" s="102">
        <v>2</v>
      </c>
      <c r="AD1015" s="35" t="s">
        <v>1410</v>
      </c>
      <c r="AE1015" s="103">
        <f>1/AB1009*AC1015</f>
        <v>8.0000000000000002E-3</v>
      </c>
      <c r="AF1015" s="101"/>
      <c r="AG1015" s="101"/>
      <c r="AH1015" s="101"/>
      <c r="AI1015" s="101"/>
      <c r="AJ1015" s="101"/>
      <c r="AK1015" s="101"/>
      <c r="AL1015" s="101"/>
      <c r="AM1015" s="101"/>
      <c r="AN1015" s="101"/>
    </row>
    <row r="1016" spans="1:40" ht="16.5" customHeight="1" x14ac:dyDescent="0.3">
      <c r="A1016" s="69"/>
      <c r="B1016" s="69"/>
      <c r="C1016" s="69"/>
      <c r="D1016" s="69"/>
      <c r="E1016" s="69"/>
      <c r="F1016" s="69"/>
      <c r="G1016" s="17" t="s">
        <v>1405</v>
      </c>
      <c r="Z1016" s="101"/>
      <c r="AA1016" s="101"/>
      <c r="AB1016" s="101"/>
      <c r="AC1016" s="101"/>
      <c r="AD1016" s="101"/>
      <c r="AE1016" s="101"/>
      <c r="AF1016" s="101"/>
      <c r="AG1016" s="101"/>
      <c r="AH1016" s="101"/>
      <c r="AI1016" s="101"/>
      <c r="AJ1016" s="101"/>
      <c r="AK1016" s="101"/>
      <c r="AL1016" s="101"/>
      <c r="AM1016" s="101"/>
      <c r="AN1016" s="101"/>
    </row>
    <row r="1017" spans="1:40" ht="16.5" customHeight="1" x14ac:dyDescent="0.3">
      <c r="A1017" s="59" t="s">
        <v>1419</v>
      </c>
      <c r="B1017" s="89" t="str">
        <f>" 보통인부: "&amp;TEXT(I1017,"#,##0"&amp;IF(I1017&lt;&gt;INT(I1017),".###",""))&amp;" / Q2 * "&amp;AC1017&amp;" 인 = "&amp;TEXT(C1017,"#,##0.0")&amp;""</f>
        <v xml:space="preserve"> 보통인부: 172,068 / Q2 * 1 인 = 688.2</v>
      </c>
      <c r="C1017" s="91">
        <f>E1017+D1017+F1017</f>
        <v>688.2</v>
      </c>
      <c r="D1017" s="91">
        <f>IF(H1017=0,0,ROUNDDOWN(J1017*H1017,1))</f>
        <v>688.2</v>
      </c>
      <c r="E1017" s="91">
        <f>IF(H1017=0,0,ROUNDDOWN(K1017*H1017,1))</f>
        <v>0</v>
      </c>
      <c r="F1017" s="91">
        <f>IF(H1017=0,0,ROUNDDOWN(L1017*H1017,1))</f>
        <v>0</v>
      </c>
      <c r="G1017" s="17" t="s">
        <v>1883</v>
      </c>
      <c r="H1017" s="97">
        <f>ROUNDUP(AE1017,14-LEN(ABS(INT(AE1017))))</f>
        <v>4.0000000000000001E-3</v>
      </c>
      <c r="I1017" s="98">
        <f>K1017+J1017+L1017</f>
        <v>172068</v>
      </c>
      <c r="J1017" s="38">
        <f>노무비목록표!E8</f>
        <v>172068</v>
      </c>
      <c r="M1017" s="35" t="s">
        <v>1219</v>
      </c>
      <c r="N1017" s="35" t="s">
        <v>1262</v>
      </c>
      <c r="X1017" s="100" t="str">
        <f>노무비목록표!B8&amp;" / "&amp;노무비목록표!C8</f>
        <v xml:space="preserve">보통인부 / </v>
      </c>
      <c r="Y1017" s="3" t="str">
        <f ca="1">HYPERLINK("#"&amp;노무비목록표!G2&amp;"!A"&amp;ROW(노무비목록표!A8),"노무5 →")</f>
        <v>노무5 →</v>
      </c>
      <c r="Z1017" s="35" t="s">
        <v>1417</v>
      </c>
      <c r="AA1017" s="103">
        <f>AB1010</f>
        <v>250</v>
      </c>
      <c r="AB1017" s="35" t="s">
        <v>1436</v>
      </c>
      <c r="AC1017" s="102">
        <v>1</v>
      </c>
      <c r="AD1017" s="35" t="s">
        <v>1410</v>
      </c>
      <c r="AE1017" s="103">
        <f>1/AB1010*AC1017</f>
        <v>4.0000000000000001E-3</v>
      </c>
      <c r="AF1017" s="101"/>
      <c r="AG1017" s="101"/>
      <c r="AH1017" s="101"/>
      <c r="AI1017" s="101"/>
      <c r="AJ1017" s="101"/>
      <c r="AK1017" s="101"/>
      <c r="AL1017" s="101"/>
      <c r="AM1017" s="101"/>
      <c r="AN1017" s="101"/>
    </row>
    <row r="1018" spans="1:40" ht="16.5" customHeight="1" x14ac:dyDescent="0.3">
      <c r="A1018" s="69"/>
      <c r="B1018" s="69"/>
      <c r="C1018" s="69"/>
      <c r="D1018" s="69"/>
      <c r="E1018" s="69"/>
      <c r="F1018" s="69"/>
      <c r="G1018" s="17" t="s">
        <v>1405</v>
      </c>
      <c r="Z1018" s="101"/>
      <c r="AA1018" s="101"/>
      <c r="AB1018" s="101"/>
      <c r="AC1018" s="101"/>
      <c r="AD1018" s="101"/>
      <c r="AE1018" s="101"/>
      <c r="AF1018" s="101"/>
      <c r="AG1018" s="101"/>
      <c r="AH1018" s="101"/>
      <c r="AI1018" s="101"/>
      <c r="AJ1018" s="101"/>
      <c r="AK1018" s="101"/>
      <c r="AL1018" s="101"/>
      <c r="AM1018" s="101"/>
      <c r="AN1018" s="101"/>
    </row>
    <row r="1019" spans="1:40" ht="16.5" customHeight="1" x14ac:dyDescent="0.3">
      <c r="A1019" s="59"/>
      <c r="B1019" s="68" t="s">
        <v>1260</v>
      </c>
      <c r="C1019" s="92">
        <f>E1019+D1019+F1019</f>
        <v>2874.6000000000004</v>
      </c>
      <c r="D1019" s="92">
        <f>SUMIF(N1007:N1018,M1019,D1007:D1018)</f>
        <v>2874.6000000000004</v>
      </c>
      <c r="E1019" s="92">
        <f>SUMIF(N1007:N1018,M1019,E1007:E1018)</f>
        <v>0</v>
      </c>
      <c r="F1019" s="92">
        <f>SUMIF(N1007:N1018,M1019,F1007:F1018)</f>
        <v>0</v>
      </c>
      <c r="G1019" s="17" t="s">
        <v>1430</v>
      </c>
      <c r="M1019" s="35" t="s">
        <v>1262</v>
      </c>
      <c r="N1019" s="35" t="s">
        <v>1253</v>
      </c>
      <c r="Z1019" s="101"/>
      <c r="AA1019" s="101"/>
      <c r="AB1019" s="101"/>
      <c r="AC1019" s="101"/>
      <c r="AD1019" s="101"/>
      <c r="AE1019" s="101"/>
      <c r="AF1019" s="101"/>
      <c r="AG1019" s="101"/>
      <c r="AH1019" s="101"/>
      <c r="AI1019" s="101"/>
      <c r="AJ1019" s="101"/>
      <c r="AK1019" s="101"/>
      <c r="AL1019" s="101"/>
      <c r="AM1019" s="101"/>
      <c r="AN1019" s="101"/>
    </row>
    <row r="1020" spans="1:40" ht="16.5" customHeight="1" x14ac:dyDescent="0.3">
      <c r="A1020" s="69"/>
      <c r="B1020" s="69"/>
      <c r="C1020" s="90"/>
      <c r="D1020" s="90"/>
      <c r="E1020" s="90"/>
      <c r="F1020" s="90"/>
      <c r="G1020" s="17" t="s">
        <v>1405</v>
      </c>
      <c r="Z1020" s="101"/>
      <c r="AA1020" s="101"/>
      <c r="AB1020" s="101"/>
      <c r="AC1020" s="101"/>
      <c r="AD1020" s="101"/>
      <c r="AE1020" s="101"/>
      <c r="AF1020" s="101"/>
      <c r="AG1020" s="101"/>
      <c r="AH1020" s="101"/>
      <c r="AI1020" s="101"/>
      <c r="AJ1020" s="101"/>
      <c r="AK1020" s="101"/>
      <c r="AL1020" s="101"/>
      <c r="AM1020" s="101"/>
      <c r="AN1020" s="101"/>
    </row>
    <row r="1021" spans="1:40" ht="16.5" customHeight="1" x14ac:dyDescent="0.3">
      <c r="A1021" s="59"/>
      <c r="B1021" s="68" t="s">
        <v>1885</v>
      </c>
      <c r="C1021" s="69"/>
      <c r="D1021" s="69"/>
      <c r="E1021" s="69"/>
      <c r="F1021" s="69"/>
      <c r="G1021" s="17" t="s">
        <v>1884</v>
      </c>
      <c r="Z1021" s="101"/>
      <c r="AA1021" s="101"/>
      <c r="AB1021" s="101"/>
      <c r="AC1021" s="101"/>
      <c r="AD1021" s="101"/>
      <c r="AE1021" s="101"/>
      <c r="AF1021" s="101"/>
      <c r="AG1021" s="101"/>
      <c r="AH1021" s="101"/>
      <c r="AI1021" s="101"/>
      <c r="AJ1021" s="101"/>
      <c r="AK1021" s="101"/>
      <c r="AL1021" s="101"/>
      <c r="AM1021" s="101"/>
      <c r="AN1021" s="101"/>
    </row>
    <row r="1022" spans="1:40" ht="16.5" customHeight="1" x14ac:dyDescent="0.3">
      <c r="A1022" s="69"/>
      <c r="B1022" s="69"/>
      <c r="C1022" s="69"/>
      <c r="D1022" s="69"/>
      <c r="E1022" s="69"/>
      <c r="F1022" s="69"/>
      <c r="G1022" s="17" t="s">
        <v>1405</v>
      </c>
      <c r="Z1022" s="101"/>
      <c r="AA1022" s="101"/>
      <c r="AB1022" s="101"/>
      <c r="AC1022" s="101"/>
      <c r="AD1022" s="101"/>
      <c r="AE1022" s="101"/>
      <c r="AF1022" s="101"/>
      <c r="AG1022" s="101"/>
      <c r="AH1022" s="101"/>
      <c r="AI1022" s="101"/>
      <c r="AJ1022" s="101"/>
      <c r="AK1022" s="101"/>
      <c r="AL1022" s="101"/>
      <c r="AM1022" s="101"/>
      <c r="AN1022" s="101"/>
    </row>
    <row r="1023" spans="1:40" ht="16.5" customHeight="1" x14ac:dyDescent="0.3">
      <c r="A1023" s="59"/>
      <c r="B1023" s="68" t="s">
        <v>1887</v>
      </c>
      <c r="C1023" s="69"/>
      <c r="D1023" s="69"/>
      <c r="E1023" s="69"/>
      <c r="F1023" s="69"/>
      <c r="G1023" s="17" t="s">
        <v>1886</v>
      </c>
      <c r="Z1023" s="101"/>
      <c r="AA1023" s="101"/>
      <c r="AB1023" s="101"/>
      <c r="AC1023" s="101"/>
      <c r="AD1023" s="101"/>
      <c r="AE1023" s="101"/>
      <c r="AF1023" s="101"/>
      <c r="AG1023" s="101"/>
      <c r="AH1023" s="101"/>
      <c r="AI1023" s="101"/>
      <c r="AJ1023" s="101"/>
      <c r="AK1023" s="101"/>
      <c r="AL1023" s="101"/>
      <c r="AM1023" s="101"/>
      <c r="AN1023" s="101"/>
    </row>
    <row r="1024" spans="1:40" ht="16.5" customHeight="1" x14ac:dyDescent="0.3">
      <c r="A1024" s="69"/>
      <c r="B1024" s="69"/>
      <c r="C1024" s="69"/>
      <c r="D1024" s="69"/>
      <c r="E1024" s="69"/>
      <c r="F1024" s="69"/>
      <c r="G1024" s="17" t="s">
        <v>1405</v>
      </c>
      <c r="Z1024" s="101"/>
      <c r="AA1024" s="101"/>
      <c r="AB1024" s="101"/>
      <c r="AC1024" s="101"/>
      <c r="AD1024" s="101"/>
      <c r="AE1024" s="101"/>
      <c r="AF1024" s="101"/>
      <c r="AG1024" s="101"/>
      <c r="AH1024" s="101"/>
      <c r="AI1024" s="101"/>
      <c r="AJ1024" s="101"/>
      <c r="AK1024" s="101"/>
      <c r="AL1024" s="101"/>
      <c r="AM1024" s="101"/>
      <c r="AN1024" s="101"/>
    </row>
    <row r="1025" spans="1:40" ht="16.5" customHeight="1" x14ac:dyDescent="0.3">
      <c r="A1025" s="59" t="s">
        <v>1734</v>
      </c>
      <c r="B1025" s="89" t="str">
        <f>" 노무비: "&amp;TEXT(I1025,"#,##0"&amp;IF(I1025&lt;&gt;INT(I1025),".###",""))&amp;"  / Q = "&amp;TEXT(C1025,"#,##0.0")&amp;""</f>
        <v xml:space="preserve"> 노무비: 59,020  / Q = 1,888.6</v>
      </c>
      <c r="C1025" s="91">
        <f>E1025+D1025+F1025</f>
        <v>1888.6</v>
      </c>
      <c r="D1025" s="91">
        <f>IF(H1025=0,0,ROUNDDOWN(J1025*H1025,1))</f>
        <v>1888.6</v>
      </c>
      <c r="E1025" s="91">
        <f>IF(H1025=0,0,ROUNDDOWN(K1025*H1025,1))</f>
        <v>0</v>
      </c>
      <c r="F1025" s="91">
        <f>IF(H1025=0,0,ROUNDDOWN(L1025*H1025,1))</f>
        <v>0</v>
      </c>
      <c r="G1025" s="17" t="s">
        <v>1888</v>
      </c>
      <c r="H1025" s="97">
        <f>ROUNDUP(AC1025,14-LEN(ABS(INT(AC1025))))</f>
        <v>3.2000000000000001E-2</v>
      </c>
      <c r="I1025" s="98">
        <f>K1025+J1025+L1025</f>
        <v>59020</v>
      </c>
      <c r="J1025" s="38">
        <f>중기목록표!F17</f>
        <v>59020</v>
      </c>
      <c r="M1025" s="35" t="s">
        <v>1735</v>
      </c>
      <c r="N1025" s="35" t="s">
        <v>1262</v>
      </c>
      <c r="X1025" s="100" t="str">
        <f>중기목록표!B17&amp;" / "&amp;중기목록표!C17</f>
        <v>로더(타이어) / 0.57㎥</v>
      </c>
      <c r="Y1025" s="3" t="str">
        <f ca="1">HYPERLINK("#"&amp;중기목록표!J2&amp;"!A"&amp;ROW(중기목록표!A17),"중기14 →")</f>
        <v>중기14 →</v>
      </c>
      <c r="Z1025" s="35" t="s">
        <v>1417</v>
      </c>
      <c r="AA1025" s="103" t="str">
        <f>AD1011</f>
        <v>31.250</v>
      </c>
      <c r="AB1025" s="35" t="s">
        <v>1410</v>
      </c>
      <c r="AC1025" s="103">
        <f>1/AD1011</f>
        <v>3.2000000000000001E-2</v>
      </c>
      <c r="AD1025" s="101"/>
      <c r="AE1025" s="101"/>
      <c r="AF1025" s="101"/>
      <c r="AG1025" s="101"/>
      <c r="AH1025" s="101"/>
      <c r="AI1025" s="101"/>
      <c r="AJ1025" s="101"/>
      <c r="AK1025" s="101"/>
      <c r="AL1025" s="101"/>
      <c r="AM1025" s="101"/>
      <c r="AN1025" s="101"/>
    </row>
    <row r="1026" spans="1:40" ht="16.5" customHeight="1" x14ac:dyDescent="0.3">
      <c r="A1026" s="69"/>
      <c r="B1026" s="69"/>
      <c r="C1026" s="69"/>
      <c r="D1026" s="69"/>
      <c r="E1026" s="69"/>
      <c r="F1026" s="69"/>
      <c r="G1026" s="17" t="s">
        <v>1405</v>
      </c>
      <c r="Z1026" s="101"/>
      <c r="AA1026" s="101"/>
      <c r="AB1026" s="101"/>
      <c r="AC1026" s="101"/>
      <c r="AD1026" s="101"/>
      <c r="AE1026" s="101"/>
      <c r="AF1026" s="101"/>
      <c r="AG1026" s="101"/>
      <c r="AH1026" s="101"/>
      <c r="AI1026" s="101"/>
      <c r="AJ1026" s="101"/>
      <c r="AK1026" s="101"/>
      <c r="AL1026" s="101"/>
      <c r="AM1026" s="101"/>
      <c r="AN1026" s="101"/>
    </row>
    <row r="1027" spans="1:40" ht="16.5" customHeight="1" x14ac:dyDescent="0.3">
      <c r="A1027" s="59" t="s">
        <v>1737</v>
      </c>
      <c r="B1027" s="89" t="str">
        <f>" 재료비: "&amp;TEXT(I1027,"#,##0"&amp;IF(I1027&lt;&gt;INT(I1027),".###",""))&amp;"  / Q = "&amp;TEXT(C1027,"#,##0.0")&amp;""</f>
        <v xml:space="preserve"> 재료비: 9,066  / Q = 290.1</v>
      </c>
      <c r="C1027" s="91">
        <f>E1027+D1027+F1027</f>
        <v>290.10000000000002</v>
      </c>
      <c r="D1027" s="91">
        <f>IF(H1027=0,0,ROUNDDOWN(J1027*H1027,1))</f>
        <v>0</v>
      </c>
      <c r="E1027" s="91">
        <f>IF(H1027=0,0,ROUNDDOWN(K1027*H1027,1))</f>
        <v>290.10000000000002</v>
      </c>
      <c r="F1027" s="91">
        <f>IF(H1027=0,0,ROUNDDOWN(L1027*H1027,1))</f>
        <v>0</v>
      </c>
      <c r="G1027" s="17" t="s">
        <v>1889</v>
      </c>
      <c r="H1027" s="97">
        <f>ROUNDUP(AC1027,14-LEN(ABS(INT(AC1027))))</f>
        <v>3.2000000000000001E-2</v>
      </c>
      <c r="I1027" s="98">
        <f>K1027+J1027+L1027</f>
        <v>9066</v>
      </c>
      <c r="K1027" s="38">
        <f>중기목록표!G17</f>
        <v>9066</v>
      </c>
      <c r="M1027" s="35" t="s">
        <v>1735</v>
      </c>
      <c r="N1027" s="35" t="s">
        <v>1262</v>
      </c>
      <c r="X1027" s="100" t="str">
        <f>중기목록표!B17&amp;" / "&amp;중기목록표!C17</f>
        <v>로더(타이어) / 0.57㎥</v>
      </c>
      <c r="Y1027" s="3" t="str">
        <f ca="1">HYPERLINK("#"&amp;중기목록표!J2&amp;"!A"&amp;ROW(중기목록표!A17),"중기14 →")</f>
        <v>중기14 →</v>
      </c>
      <c r="Z1027" s="35" t="s">
        <v>1417</v>
      </c>
      <c r="AA1027" s="103" t="str">
        <f>AD1011</f>
        <v>31.250</v>
      </c>
      <c r="AB1027" s="35" t="s">
        <v>1410</v>
      </c>
      <c r="AC1027" s="103">
        <f>1/AD1011</f>
        <v>3.2000000000000001E-2</v>
      </c>
      <c r="AD1027" s="101"/>
      <c r="AE1027" s="101"/>
      <c r="AF1027" s="101"/>
      <c r="AG1027" s="101"/>
      <c r="AH1027" s="101"/>
      <c r="AI1027" s="101"/>
      <c r="AJ1027" s="101"/>
      <c r="AK1027" s="101"/>
      <c r="AL1027" s="101"/>
      <c r="AM1027" s="101"/>
      <c r="AN1027" s="101"/>
    </row>
    <row r="1028" spans="1:40" ht="16.5" customHeight="1" x14ac:dyDescent="0.3">
      <c r="A1028" s="69"/>
      <c r="B1028" s="69"/>
      <c r="C1028" s="69"/>
      <c r="D1028" s="69"/>
      <c r="E1028" s="69"/>
      <c r="F1028" s="69"/>
      <c r="G1028" s="17" t="s">
        <v>1405</v>
      </c>
      <c r="Z1028" s="101"/>
      <c r="AA1028" s="101"/>
      <c r="AB1028" s="101"/>
      <c r="AC1028" s="101"/>
      <c r="AD1028" s="101"/>
      <c r="AE1028" s="101"/>
      <c r="AF1028" s="101"/>
      <c r="AG1028" s="101"/>
      <c r="AH1028" s="101"/>
      <c r="AI1028" s="101"/>
      <c r="AJ1028" s="101"/>
      <c r="AK1028" s="101"/>
      <c r="AL1028" s="101"/>
      <c r="AM1028" s="101"/>
      <c r="AN1028" s="101"/>
    </row>
    <row r="1029" spans="1:40" ht="16.5" customHeight="1" x14ac:dyDescent="0.3">
      <c r="A1029" s="59" t="s">
        <v>1739</v>
      </c>
      <c r="B1029" s="89" t="str">
        <f>" 경  비: "&amp;TEXT(I1029,"#,##0"&amp;IF(I1029&lt;&gt;INT(I1029),".###",""))&amp;"  / Q = "&amp;TEXT(C1029,"#,##0.0")&amp;""</f>
        <v xml:space="preserve"> 경  비: 7,505  / Q = 240.1</v>
      </c>
      <c r="C1029" s="91">
        <f>E1029+D1029+F1029</f>
        <v>240.1</v>
      </c>
      <c r="D1029" s="91">
        <f>IF(H1029=0,0,ROUNDDOWN(J1029*H1029,1))</f>
        <v>0</v>
      </c>
      <c r="E1029" s="91">
        <f>IF(H1029=0,0,ROUNDDOWN(K1029*H1029,1))</f>
        <v>0</v>
      </c>
      <c r="F1029" s="91">
        <f>IF(H1029=0,0,ROUNDDOWN(L1029*H1029,1))</f>
        <v>240.1</v>
      </c>
      <c r="G1029" s="17" t="s">
        <v>1890</v>
      </c>
      <c r="H1029" s="97">
        <f>ROUNDUP(AC1029,14-LEN(ABS(INT(AC1029))))</f>
        <v>3.2000000000000001E-2</v>
      </c>
      <c r="I1029" s="98">
        <f>K1029+J1029+L1029</f>
        <v>7505</v>
      </c>
      <c r="L1029" s="38">
        <f>중기목록표!H17</f>
        <v>7505</v>
      </c>
      <c r="M1029" s="35" t="s">
        <v>1735</v>
      </c>
      <c r="N1029" s="35" t="s">
        <v>1262</v>
      </c>
      <c r="X1029" s="100" t="str">
        <f>중기목록표!B17&amp;" / "&amp;중기목록표!C17</f>
        <v>로더(타이어) / 0.57㎥</v>
      </c>
      <c r="Y1029" s="3" t="str">
        <f ca="1">HYPERLINK("#"&amp;중기목록표!J2&amp;"!A"&amp;ROW(중기목록표!A17),"중기14 →")</f>
        <v>중기14 →</v>
      </c>
      <c r="Z1029" s="35" t="s">
        <v>1417</v>
      </c>
      <c r="AA1029" s="103" t="str">
        <f>AD1011</f>
        <v>31.250</v>
      </c>
      <c r="AB1029" s="35" t="s">
        <v>1410</v>
      </c>
      <c r="AC1029" s="103">
        <f>1/AD1011</f>
        <v>3.2000000000000001E-2</v>
      </c>
      <c r="AD1029" s="101"/>
      <c r="AE1029" s="101"/>
      <c r="AF1029" s="101"/>
      <c r="AG1029" s="101"/>
      <c r="AH1029" s="101"/>
      <c r="AI1029" s="101"/>
      <c r="AJ1029" s="101"/>
      <c r="AK1029" s="101"/>
      <c r="AL1029" s="101"/>
      <c r="AM1029" s="101"/>
      <c r="AN1029" s="101"/>
    </row>
    <row r="1030" spans="1:40" ht="16.5" customHeight="1" x14ac:dyDescent="0.3">
      <c r="A1030" s="69"/>
      <c r="B1030" s="69"/>
      <c r="C1030" s="69"/>
      <c r="D1030" s="69"/>
      <c r="E1030" s="69"/>
      <c r="F1030" s="69"/>
      <c r="G1030" s="17" t="s">
        <v>1405</v>
      </c>
      <c r="Z1030" s="101"/>
      <c r="AA1030" s="101"/>
      <c r="AB1030" s="101"/>
      <c r="AC1030" s="101"/>
      <c r="AD1030" s="101"/>
      <c r="AE1030" s="101"/>
      <c r="AF1030" s="101"/>
      <c r="AG1030" s="101"/>
      <c r="AH1030" s="101"/>
      <c r="AI1030" s="101"/>
      <c r="AJ1030" s="101"/>
      <c r="AK1030" s="101"/>
      <c r="AL1030" s="101"/>
      <c r="AM1030" s="101"/>
      <c r="AN1030" s="101"/>
    </row>
    <row r="1031" spans="1:40" ht="16.5" customHeight="1" x14ac:dyDescent="0.3">
      <c r="A1031" s="59"/>
      <c r="B1031" s="68" t="s">
        <v>1260</v>
      </c>
      <c r="C1031" s="92">
        <f>E1031+D1031+F1031</f>
        <v>2418.7999999999997</v>
      </c>
      <c r="D1031" s="92">
        <f>SUMIF(N1020:N1030,M1031,D1020:D1030)</f>
        <v>1888.6</v>
      </c>
      <c r="E1031" s="92">
        <f>SUMIF(N1020:N1030,M1031,E1020:E1030)</f>
        <v>290.10000000000002</v>
      </c>
      <c r="F1031" s="92">
        <f>SUMIF(N1020:N1030,M1031,F1020:F1030)</f>
        <v>240.1</v>
      </c>
      <c r="G1031" s="17" t="s">
        <v>1430</v>
      </c>
      <c r="M1031" s="35" t="s">
        <v>1262</v>
      </c>
      <c r="N1031" s="35" t="s">
        <v>1253</v>
      </c>
      <c r="Z1031" s="101"/>
      <c r="AA1031" s="101"/>
      <c r="AB1031" s="101"/>
      <c r="AC1031" s="101"/>
      <c r="AD1031" s="101"/>
      <c r="AE1031" s="101"/>
      <c r="AF1031" s="101"/>
      <c r="AG1031" s="101"/>
      <c r="AH1031" s="101"/>
      <c r="AI1031" s="101"/>
      <c r="AJ1031" s="101"/>
      <c r="AK1031" s="101"/>
      <c r="AL1031" s="101"/>
      <c r="AM1031" s="101"/>
      <c r="AN1031" s="101"/>
    </row>
    <row r="1032" spans="1:40" ht="16.5" customHeight="1" x14ac:dyDescent="0.3">
      <c r="A1032" s="69"/>
      <c r="B1032" s="69"/>
      <c r="C1032" s="90"/>
      <c r="D1032" s="90"/>
      <c r="E1032" s="90"/>
      <c r="F1032" s="90"/>
      <c r="G1032" s="17" t="s">
        <v>1405</v>
      </c>
      <c r="Z1032" s="101"/>
      <c r="AA1032" s="101"/>
      <c r="AB1032" s="101"/>
      <c r="AC1032" s="101"/>
      <c r="AD1032" s="101"/>
      <c r="AE1032" s="101"/>
      <c r="AF1032" s="101"/>
      <c r="AG1032" s="101"/>
      <c r="AH1032" s="101"/>
      <c r="AI1032" s="101"/>
      <c r="AJ1032" s="101"/>
      <c r="AK1032" s="101"/>
      <c r="AL1032" s="101"/>
      <c r="AM1032" s="101"/>
      <c r="AN1032" s="101"/>
    </row>
    <row r="1033" spans="1:40" ht="16.5" customHeight="1" x14ac:dyDescent="0.3">
      <c r="A1033" s="59"/>
      <c r="B1033" s="68" t="s">
        <v>1892</v>
      </c>
      <c r="C1033" s="69"/>
      <c r="D1033" s="69"/>
      <c r="E1033" s="69"/>
      <c r="F1033" s="69"/>
      <c r="G1033" s="17" t="s">
        <v>1891</v>
      </c>
      <c r="Z1033" s="101"/>
      <c r="AA1033" s="101"/>
      <c r="AB1033" s="101"/>
      <c r="AC1033" s="101"/>
      <c r="AD1033" s="101"/>
      <c r="AE1033" s="101"/>
      <c r="AF1033" s="101"/>
      <c r="AG1033" s="101"/>
      <c r="AH1033" s="101"/>
      <c r="AI1033" s="101"/>
      <c r="AJ1033" s="101"/>
      <c r="AK1033" s="101"/>
      <c r="AL1033" s="101"/>
      <c r="AM1033" s="101"/>
      <c r="AN1033" s="101"/>
    </row>
    <row r="1034" spans="1:40" ht="16.5" customHeight="1" x14ac:dyDescent="0.3">
      <c r="A1034" s="69"/>
      <c r="B1034" s="69"/>
      <c r="C1034" s="69"/>
      <c r="D1034" s="69"/>
      <c r="E1034" s="69"/>
      <c r="F1034" s="69"/>
      <c r="G1034" s="17" t="s">
        <v>1405</v>
      </c>
      <c r="Z1034" s="101"/>
      <c r="AA1034" s="101"/>
      <c r="AB1034" s="101"/>
      <c r="AC1034" s="101"/>
      <c r="AD1034" s="101"/>
      <c r="AE1034" s="101"/>
      <c r="AF1034" s="101"/>
      <c r="AG1034" s="101"/>
      <c r="AH1034" s="101"/>
      <c r="AI1034" s="101"/>
      <c r="AJ1034" s="101"/>
      <c r="AK1034" s="101"/>
      <c r="AL1034" s="101"/>
      <c r="AM1034" s="101"/>
      <c r="AN1034" s="101"/>
    </row>
    <row r="1035" spans="1:40" ht="16.5" customHeight="1" x14ac:dyDescent="0.3">
      <c r="A1035" s="59" t="s">
        <v>1603</v>
      </c>
      <c r="B1035" s="89" t="str">
        <f>" 노무비: "&amp;TEXT(I1035,"#,##0"&amp;IF(I1035&lt;&gt;INT(I1035),".###",""))&amp;" / Q = "&amp;TEXT(C1035,"#,##0.0")&amp;""</f>
        <v xml:space="preserve"> 노무비: 36,248 / Q = 1,159.9</v>
      </c>
      <c r="C1035" s="91">
        <f>E1035+D1035+F1035</f>
        <v>1159.9000000000001</v>
      </c>
      <c r="D1035" s="91">
        <f>IF(H1035=0,0,ROUNDDOWN(J1035*H1035,1))</f>
        <v>1159.9000000000001</v>
      </c>
      <c r="E1035" s="91">
        <f>IF(H1035=0,0,ROUNDDOWN(K1035*H1035,1))</f>
        <v>0</v>
      </c>
      <c r="F1035" s="91">
        <f>IF(H1035=0,0,ROUNDDOWN(L1035*H1035,1))</f>
        <v>0</v>
      </c>
      <c r="G1035" s="17" t="s">
        <v>1893</v>
      </c>
      <c r="H1035" s="97">
        <f>ROUNDUP(AC1035,14-LEN(ABS(INT(AC1035))))</f>
        <v>3.2000000000000001E-2</v>
      </c>
      <c r="I1035" s="98">
        <f>K1035+J1035+L1035</f>
        <v>36248</v>
      </c>
      <c r="J1035" s="38">
        <f>중기목록표!F36</f>
        <v>36248</v>
      </c>
      <c r="M1035" s="35" t="s">
        <v>1313</v>
      </c>
      <c r="N1035" s="35" t="s">
        <v>1262</v>
      </c>
      <c r="X1035" s="100" t="str">
        <f>중기목록표!B36&amp;" / "&amp;중기목록표!C36</f>
        <v>플레이트 콤팩터 / 1.5톤</v>
      </c>
      <c r="Y1035" s="3" t="str">
        <f ca="1">HYPERLINK("#"&amp;중기목록표!J2&amp;"!A"&amp;ROW(중기목록표!A36),"중기33 →")</f>
        <v>중기33 →</v>
      </c>
      <c r="Z1035" s="35" t="s">
        <v>1417</v>
      </c>
      <c r="AA1035" s="103" t="str">
        <f>AD1011</f>
        <v>31.250</v>
      </c>
      <c r="AB1035" s="35" t="s">
        <v>1410</v>
      </c>
      <c r="AC1035" s="103">
        <f>1/AD1011</f>
        <v>3.2000000000000001E-2</v>
      </c>
      <c r="AD1035" s="101"/>
      <c r="AE1035" s="101"/>
      <c r="AF1035" s="101"/>
      <c r="AG1035" s="101"/>
      <c r="AH1035" s="101"/>
      <c r="AI1035" s="101"/>
      <c r="AJ1035" s="101"/>
      <c r="AK1035" s="101"/>
      <c r="AL1035" s="101"/>
      <c r="AM1035" s="101"/>
      <c r="AN1035" s="101"/>
    </row>
    <row r="1036" spans="1:40" ht="16.5" customHeight="1" x14ac:dyDescent="0.3">
      <c r="A1036" s="69"/>
      <c r="B1036" s="69"/>
      <c r="C1036" s="69"/>
      <c r="D1036" s="69"/>
      <c r="E1036" s="69"/>
      <c r="F1036" s="69"/>
      <c r="G1036" s="17" t="s">
        <v>1405</v>
      </c>
      <c r="Z1036" s="101"/>
      <c r="AA1036" s="101"/>
      <c r="AB1036" s="101"/>
      <c r="AC1036" s="101"/>
      <c r="AD1036" s="101"/>
      <c r="AE1036" s="101"/>
      <c r="AF1036" s="101"/>
      <c r="AG1036" s="101"/>
      <c r="AH1036" s="101"/>
      <c r="AI1036" s="101"/>
      <c r="AJ1036" s="101"/>
      <c r="AK1036" s="101"/>
      <c r="AL1036" s="101"/>
      <c r="AM1036" s="101"/>
      <c r="AN1036" s="101"/>
    </row>
    <row r="1037" spans="1:40" ht="16.5" customHeight="1" x14ac:dyDescent="0.3">
      <c r="A1037" s="59" t="s">
        <v>1605</v>
      </c>
      <c r="B1037" s="89" t="str">
        <f>" 재료비: "&amp;TEXT(I1037,"#,##0"&amp;IF(I1037&lt;&gt;INT(I1037),".###",""))&amp;"  / Q = "&amp;TEXT(C1037,"#,##0.0")&amp;""</f>
        <v xml:space="preserve"> 재료비: 2,166  / Q = 69.3</v>
      </c>
      <c r="C1037" s="91">
        <f>E1037+D1037+F1037</f>
        <v>69.3</v>
      </c>
      <c r="D1037" s="91">
        <f>IF(H1037=0,0,ROUNDDOWN(J1037*H1037,1))</f>
        <v>0</v>
      </c>
      <c r="E1037" s="91">
        <f>IF(H1037=0,0,ROUNDDOWN(K1037*H1037,1))</f>
        <v>69.3</v>
      </c>
      <c r="F1037" s="91">
        <f>IF(H1037=0,0,ROUNDDOWN(L1037*H1037,1))</f>
        <v>0</v>
      </c>
      <c r="G1037" s="17" t="s">
        <v>1894</v>
      </c>
      <c r="H1037" s="97">
        <f>ROUNDUP(AC1037,14-LEN(ABS(INT(AC1037))))</f>
        <v>3.2000000000000001E-2</v>
      </c>
      <c r="I1037" s="98">
        <f>K1037+J1037+L1037</f>
        <v>2166</v>
      </c>
      <c r="K1037" s="38">
        <f>중기목록표!G36</f>
        <v>2166</v>
      </c>
      <c r="M1037" s="35" t="s">
        <v>1313</v>
      </c>
      <c r="N1037" s="35" t="s">
        <v>1262</v>
      </c>
      <c r="X1037" s="100" t="str">
        <f>중기목록표!B36&amp;" / "&amp;중기목록표!C36</f>
        <v>플레이트 콤팩터 / 1.5톤</v>
      </c>
      <c r="Y1037" s="3" t="str">
        <f ca="1">HYPERLINK("#"&amp;중기목록표!J2&amp;"!A"&amp;ROW(중기목록표!A36),"중기33 →")</f>
        <v>중기33 →</v>
      </c>
      <c r="Z1037" s="35" t="s">
        <v>1417</v>
      </c>
      <c r="AA1037" s="103" t="str">
        <f>AD1011</f>
        <v>31.250</v>
      </c>
      <c r="AB1037" s="35" t="s">
        <v>1410</v>
      </c>
      <c r="AC1037" s="103">
        <f>1/AD1011</f>
        <v>3.2000000000000001E-2</v>
      </c>
      <c r="AD1037" s="101"/>
      <c r="AE1037" s="101"/>
      <c r="AF1037" s="101"/>
      <c r="AG1037" s="101"/>
      <c r="AH1037" s="101"/>
      <c r="AI1037" s="101"/>
      <c r="AJ1037" s="101"/>
      <c r="AK1037" s="101"/>
      <c r="AL1037" s="101"/>
      <c r="AM1037" s="101"/>
      <c r="AN1037" s="101"/>
    </row>
    <row r="1038" spans="1:40" ht="16.5" customHeight="1" x14ac:dyDescent="0.3">
      <c r="A1038" s="69"/>
      <c r="B1038" s="69"/>
      <c r="C1038" s="69"/>
      <c r="D1038" s="69"/>
      <c r="E1038" s="69"/>
      <c r="F1038" s="69"/>
      <c r="G1038" s="17" t="s">
        <v>1405</v>
      </c>
      <c r="Z1038" s="101"/>
      <c r="AA1038" s="101"/>
      <c r="AB1038" s="101"/>
      <c r="AC1038" s="101"/>
      <c r="AD1038" s="101"/>
      <c r="AE1038" s="101"/>
      <c r="AF1038" s="101"/>
      <c r="AG1038" s="101"/>
      <c r="AH1038" s="101"/>
      <c r="AI1038" s="101"/>
      <c r="AJ1038" s="101"/>
      <c r="AK1038" s="101"/>
      <c r="AL1038" s="101"/>
      <c r="AM1038" s="101"/>
      <c r="AN1038" s="101"/>
    </row>
    <row r="1039" spans="1:40" ht="16.5" customHeight="1" x14ac:dyDescent="0.3">
      <c r="A1039" s="59" t="s">
        <v>1601</v>
      </c>
      <c r="B1039" s="89" t="str">
        <f>" 경  비: "&amp;TEXT(I1039,"#,##0"&amp;IF(I1039&lt;&gt;INT(I1039),".###",""))&amp;"  / Q = "&amp;TEXT(C1039,"#,##0.0")&amp;""</f>
        <v xml:space="preserve"> 경  비: 620  / Q = 19.8</v>
      </c>
      <c r="C1039" s="91">
        <f>E1039+D1039+F1039</f>
        <v>19.8</v>
      </c>
      <c r="D1039" s="91">
        <f>IF(H1039=0,0,ROUNDDOWN(J1039*H1039,1))</f>
        <v>0</v>
      </c>
      <c r="E1039" s="91">
        <f>IF(H1039=0,0,ROUNDDOWN(K1039*H1039,1))</f>
        <v>0</v>
      </c>
      <c r="F1039" s="91">
        <f>IF(H1039=0,0,ROUNDDOWN(L1039*H1039,1))</f>
        <v>19.8</v>
      </c>
      <c r="G1039" s="17" t="s">
        <v>1895</v>
      </c>
      <c r="H1039" s="97">
        <f>ROUNDUP(AC1039,14-LEN(ABS(INT(AC1039))))</f>
        <v>3.2000000000000001E-2</v>
      </c>
      <c r="I1039" s="98">
        <f>K1039+J1039+L1039</f>
        <v>620</v>
      </c>
      <c r="L1039" s="38">
        <f>중기목록표!H36</f>
        <v>620</v>
      </c>
      <c r="M1039" s="35" t="s">
        <v>1313</v>
      </c>
      <c r="N1039" s="35" t="s">
        <v>1262</v>
      </c>
      <c r="X1039" s="100" t="str">
        <f>중기목록표!B36&amp;" / "&amp;중기목록표!C36</f>
        <v>플레이트 콤팩터 / 1.5톤</v>
      </c>
      <c r="Y1039" s="3" t="str">
        <f ca="1">HYPERLINK("#"&amp;중기목록표!J2&amp;"!A"&amp;ROW(중기목록표!A36),"중기33 →")</f>
        <v>중기33 →</v>
      </c>
      <c r="Z1039" s="35" t="s">
        <v>1417</v>
      </c>
      <c r="AA1039" s="103" t="str">
        <f>AD1011</f>
        <v>31.250</v>
      </c>
      <c r="AB1039" s="35" t="s">
        <v>1410</v>
      </c>
      <c r="AC1039" s="103">
        <f>1/AD1011</f>
        <v>3.2000000000000001E-2</v>
      </c>
      <c r="AD1039" s="101"/>
      <c r="AE1039" s="101"/>
      <c r="AF1039" s="101"/>
      <c r="AG1039" s="101"/>
      <c r="AH1039" s="101"/>
      <c r="AI1039" s="101"/>
      <c r="AJ1039" s="101"/>
      <c r="AK1039" s="101"/>
      <c r="AL1039" s="101"/>
      <c r="AM1039" s="101"/>
      <c r="AN1039" s="101"/>
    </row>
    <row r="1040" spans="1:40" ht="16.5" customHeight="1" x14ac:dyDescent="0.3">
      <c r="A1040" s="69"/>
      <c r="B1040" s="69"/>
      <c r="C1040" s="69"/>
      <c r="D1040" s="69"/>
      <c r="E1040" s="69"/>
      <c r="F1040" s="69"/>
      <c r="G1040" s="17" t="s">
        <v>1405</v>
      </c>
      <c r="Z1040" s="101"/>
      <c r="AA1040" s="101"/>
      <c r="AB1040" s="101"/>
      <c r="AC1040" s="101"/>
      <c r="AD1040" s="101"/>
      <c r="AE1040" s="101"/>
      <c r="AF1040" s="101"/>
      <c r="AG1040" s="101"/>
      <c r="AH1040" s="101"/>
      <c r="AI1040" s="101"/>
      <c r="AJ1040" s="101"/>
      <c r="AK1040" s="101"/>
      <c r="AL1040" s="101"/>
      <c r="AM1040" s="101"/>
      <c r="AN1040" s="101"/>
    </row>
    <row r="1041" spans="1:40" ht="16.5" customHeight="1" x14ac:dyDescent="0.3">
      <c r="A1041" s="59"/>
      <c r="B1041" s="68" t="s">
        <v>1260</v>
      </c>
      <c r="C1041" s="92">
        <f>E1041+D1041+F1041</f>
        <v>1249</v>
      </c>
      <c r="D1041" s="92">
        <f>SUMIF(N1032:N1040,M1041,D1032:D1040)</f>
        <v>1159.9000000000001</v>
      </c>
      <c r="E1041" s="92">
        <f>SUMIF(N1032:N1040,M1041,E1032:E1040)</f>
        <v>69.3</v>
      </c>
      <c r="F1041" s="92">
        <f>SUMIF(N1032:N1040,M1041,F1032:F1040)</f>
        <v>19.8</v>
      </c>
      <c r="G1041" s="17" t="s">
        <v>1430</v>
      </c>
      <c r="M1041" s="35" t="s">
        <v>1262</v>
      </c>
      <c r="N1041" s="35" t="s">
        <v>1253</v>
      </c>
      <c r="Z1041" s="101"/>
      <c r="AA1041" s="101"/>
      <c r="AB1041" s="101"/>
      <c r="AC1041" s="101"/>
      <c r="AD1041" s="101"/>
      <c r="AE1041" s="101"/>
      <c r="AF1041" s="101"/>
      <c r="AG1041" s="101"/>
      <c r="AH1041" s="101"/>
      <c r="AI1041" s="101"/>
      <c r="AJ1041" s="101"/>
      <c r="AK1041" s="101"/>
      <c r="AL1041" s="101"/>
      <c r="AM1041" s="101"/>
      <c r="AN1041" s="101"/>
    </row>
    <row r="1042" spans="1:40" ht="16.5" customHeight="1" x14ac:dyDescent="0.3">
      <c r="A1042" s="69"/>
      <c r="B1042" s="69"/>
      <c r="C1042" s="90"/>
      <c r="D1042" s="90"/>
      <c r="E1042" s="90"/>
      <c r="F1042" s="90"/>
      <c r="G1042" s="17" t="s">
        <v>1405</v>
      </c>
      <c r="Z1042" s="101"/>
      <c r="AA1042" s="101"/>
      <c r="AB1042" s="101"/>
      <c r="AC1042" s="101"/>
      <c r="AD1042" s="101"/>
      <c r="AE1042" s="101"/>
      <c r="AF1042" s="101"/>
      <c r="AG1042" s="101"/>
      <c r="AH1042" s="101"/>
      <c r="AI1042" s="101"/>
      <c r="AJ1042" s="101"/>
      <c r="AK1042" s="101"/>
      <c r="AL1042" s="101"/>
      <c r="AM1042" s="101"/>
      <c r="AN1042" s="101"/>
    </row>
    <row r="1043" spans="1:40" ht="16.5" customHeight="1" x14ac:dyDescent="0.3">
      <c r="A1043" s="59"/>
      <c r="B1043" s="68" t="s">
        <v>1897</v>
      </c>
      <c r="C1043" s="69"/>
      <c r="D1043" s="69"/>
      <c r="E1043" s="69"/>
      <c r="F1043" s="69"/>
      <c r="G1043" s="17" t="s">
        <v>1896</v>
      </c>
      <c r="Z1043" s="101"/>
      <c r="AA1043" s="101"/>
      <c r="AB1043" s="101"/>
      <c r="AC1043" s="101"/>
      <c r="AD1043" s="101"/>
      <c r="AE1043" s="101"/>
      <c r="AF1043" s="101"/>
      <c r="AG1043" s="101"/>
      <c r="AH1043" s="101"/>
      <c r="AI1043" s="101"/>
      <c r="AJ1043" s="101"/>
      <c r="AK1043" s="101"/>
      <c r="AL1043" s="101"/>
      <c r="AM1043" s="101"/>
      <c r="AN1043" s="101"/>
    </row>
    <row r="1044" spans="1:40" ht="16.5" customHeight="1" x14ac:dyDescent="0.3">
      <c r="A1044" s="69"/>
      <c r="B1044" s="69"/>
      <c r="C1044" s="69"/>
      <c r="D1044" s="69"/>
      <c r="E1044" s="69"/>
      <c r="F1044" s="69"/>
      <c r="G1044" s="17" t="s">
        <v>1405</v>
      </c>
      <c r="Z1044" s="101"/>
      <c r="AA1044" s="101"/>
      <c r="AB1044" s="101"/>
      <c r="AC1044" s="101"/>
      <c r="AD1044" s="101"/>
      <c r="AE1044" s="101"/>
      <c r="AF1044" s="101"/>
      <c r="AG1044" s="101"/>
      <c r="AH1044" s="101"/>
      <c r="AI1044" s="101"/>
      <c r="AJ1044" s="101"/>
      <c r="AK1044" s="101"/>
      <c r="AL1044" s="101"/>
      <c r="AM1044" s="101"/>
      <c r="AN1044" s="101"/>
    </row>
    <row r="1045" spans="1:40" ht="16.5" customHeight="1" x14ac:dyDescent="0.3">
      <c r="A1045" s="59" t="s">
        <v>1577</v>
      </c>
      <c r="B1045" s="89" t="str">
        <f>" 노무비: "&amp;TEXT(I1045,"#,##0"&amp;IF(I1045&lt;&gt;INT(I1045),".###",""))&amp;" / Q = "&amp;TEXT(C1045,"#,##0.0")&amp;""</f>
        <v xml:space="preserve"> 노무비: 0 / Q = 0.0</v>
      </c>
      <c r="C1045" s="91">
        <f>E1045+D1045+F1045</f>
        <v>0</v>
      </c>
      <c r="D1045" s="91">
        <f>IF(H1045=0,0,ROUNDDOWN(J1045*H1045,1))</f>
        <v>0</v>
      </c>
      <c r="E1045" s="91">
        <f>IF(H1045=0,0,ROUNDDOWN(K1045*H1045,1))</f>
        <v>0</v>
      </c>
      <c r="F1045" s="91">
        <f>IF(H1045=0,0,ROUNDDOWN(L1045*H1045,1))</f>
        <v>0</v>
      </c>
      <c r="G1045" s="17" t="s">
        <v>1860</v>
      </c>
      <c r="H1045" s="97">
        <f>ROUNDUP(AC1045,14-LEN(ABS(INT(AC1045))))</f>
        <v>3.2000000000000001E-2</v>
      </c>
      <c r="I1045" s="98">
        <f>K1045+J1045+L1045</f>
        <v>0</v>
      </c>
      <c r="J1045" s="38">
        <f>중기목록표!F27</f>
        <v>0</v>
      </c>
      <c r="M1045" s="35" t="s">
        <v>1578</v>
      </c>
      <c r="N1045" s="35" t="s">
        <v>1262</v>
      </c>
      <c r="X1045" s="100" t="str">
        <f>중기목록표!B27&amp;" / "&amp;중기목록표!C27</f>
        <v>진동롤러(핸드가이드식) / 0.7톤</v>
      </c>
      <c r="Y1045" s="3" t="str">
        <f ca="1">HYPERLINK("#"&amp;중기목록표!J2&amp;"!A"&amp;ROW(중기목록표!A27),"중기24 →")</f>
        <v>중기24 →</v>
      </c>
      <c r="Z1045" s="35" t="s">
        <v>1417</v>
      </c>
      <c r="AA1045" s="103" t="str">
        <f>AD1011</f>
        <v>31.250</v>
      </c>
      <c r="AB1045" s="35" t="s">
        <v>1410</v>
      </c>
      <c r="AC1045" s="103">
        <f>1/AD1011</f>
        <v>3.2000000000000001E-2</v>
      </c>
      <c r="AD1045" s="101"/>
      <c r="AE1045" s="101"/>
      <c r="AF1045" s="101"/>
      <c r="AG1045" s="101"/>
      <c r="AH1045" s="101"/>
      <c r="AI1045" s="101"/>
      <c r="AJ1045" s="101"/>
      <c r="AK1045" s="101"/>
      <c r="AL1045" s="101"/>
      <c r="AM1045" s="101"/>
      <c r="AN1045" s="101"/>
    </row>
    <row r="1046" spans="1:40" ht="16.5" customHeight="1" x14ac:dyDescent="0.3">
      <c r="A1046" s="69"/>
      <c r="B1046" s="69"/>
      <c r="C1046" s="69"/>
      <c r="D1046" s="69"/>
      <c r="E1046" s="69"/>
      <c r="F1046" s="69"/>
      <c r="G1046" s="17" t="s">
        <v>1405</v>
      </c>
      <c r="Z1046" s="101"/>
      <c r="AA1046" s="101"/>
      <c r="AB1046" s="101"/>
      <c r="AC1046" s="101"/>
      <c r="AD1046" s="101"/>
      <c r="AE1046" s="101"/>
      <c r="AF1046" s="101"/>
      <c r="AG1046" s="101"/>
      <c r="AH1046" s="101"/>
      <c r="AI1046" s="101"/>
      <c r="AJ1046" s="101"/>
      <c r="AK1046" s="101"/>
      <c r="AL1046" s="101"/>
      <c r="AM1046" s="101"/>
      <c r="AN1046" s="101"/>
    </row>
    <row r="1047" spans="1:40" ht="16.5" customHeight="1" x14ac:dyDescent="0.3">
      <c r="A1047" s="59" t="s">
        <v>1580</v>
      </c>
      <c r="B1047" s="89" t="str">
        <f>" 재료비: "&amp;TEXT(I1047,"#,##0"&amp;IF(I1047&lt;&gt;INT(I1047),".###",""))&amp;" / Q = "&amp;TEXT(C1047,"#,##0.0")&amp;""</f>
        <v xml:space="preserve"> 재료비: 4,472 / Q = 143.1</v>
      </c>
      <c r="C1047" s="91">
        <f>E1047+D1047+F1047</f>
        <v>143.1</v>
      </c>
      <c r="D1047" s="91">
        <f>IF(H1047=0,0,ROUNDDOWN(J1047*H1047,1))</f>
        <v>0</v>
      </c>
      <c r="E1047" s="91">
        <f>IF(H1047=0,0,ROUNDDOWN(K1047*H1047,1))</f>
        <v>143.1</v>
      </c>
      <c r="F1047" s="91">
        <f>IF(H1047=0,0,ROUNDDOWN(L1047*H1047,1))</f>
        <v>0</v>
      </c>
      <c r="G1047" s="17" t="s">
        <v>1861</v>
      </c>
      <c r="H1047" s="97">
        <f>ROUNDUP(AC1047,14-LEN(ABS(INT(AC1047))))</f>
        <v>3.2000000000000001E-2</v>
      </c>
      <c r="I1047" s="98">
        <f>K1047+J1047+L1047</f>
        <v>4472</v>
      </c>
      <c r="K1047" s="38">
        <f>중기목록표!G27</f>
        <v>4472</v>
      </c>
      <c r="M1047" s="35" t="s">
        <v>1578</v>
      </c>
      <c r="N1047" s="35" t="s">
        <v>1262</v>
      </c>
      <c r="X1047" s="100" t="str">
        <f>중기목록표!B27&amp;" / "&amp;중기목록표!C27</f>
        <v>진동롤러(핸드가이드식) / 0.7톤</v>
      </c>
      <c r="Y1047" s="3" t="str">
        <f ca="1">HYPERLINK("#"&amp;중기목록표!J2&amp;"!A"&amp;ROW(중기목록표!A27),"중기24 →")</f>
        <v>중기24 →</v>
      </c>
      <c r="Z1047" s="35" t="s">
        <v>1417</v>
      </c>
      <c r="AA1047" s="103" t="str">
        <f>AD1011</f>
        <v>31.250</v>
      </c>
      <c r="AB1047" s="35" t="s">
        <v>1410</v>
      </c>
      <c r="AC1047" s="103">
        <f>1/AD1011</f>
        <v>3.2000000000000001E-2</v>
      </c>
      <c r="AD1047" s="101"/>
      <c r="AE1047" s="101"/>
      <c r="AF1047" s="101"/>
      <c r="AG1047" s="101"/>
      <c r="AH1047" s="101"/>
      <c r="AI1047" s="101"/>
      <c r="AJ1047" s="101"/>
      <c r="AK1047" s="101"/>
      <c r="AL1047" s="101"/>
      <c r="AM1047" s="101"/>
      <c r="AN1047" s="101"/>
    </row>
    <row r="1048" spans="1:40" ht="16.5" customHeight="1" x14ac:dyDescent="0.3">
      <c r="A1048" s="69"/>
      <c r="B1048" s="69"/>
      <c r="C1048" s="69"/>
      <c r="D1048" s="69"/>
      <c r="E1048" s="69"/>
      <c r="F1048" s="69"/>
      <c r="G1048" s="17" t="s">
        <v>1405</v>
      </c>
      <c r="Z1048" s="101"/>
      <c r="AA1048" s="101"/>
      <c r="AB1048" s="101"/>
      <c r="AC1048" s="101"/>
      <c r="AD1048" s="101"/>
      <c r="AE1048" s="101"/>
      <c r="AF1048" s="101"/>
      <c r="AG1048" s="101"/>
      <c r="AH1048" s="101"/>
      <c r="AI1048" s="101"/>
      <c r="AJ1048" s="101"/>
      <c r="AK1048" s="101"/>
      <c r="AL1048" s="101"/>
      <c r="AM1048" s="101"/>
      <c r="AN1048" s="101"/>
    </row>
    <row r="1049" spans="1:40" ht="16.5" customHeight="1" x14ac:dyDescent="0.3">
      <c r="A1049" s="59" t="s">
        <v>1582</v>
      </c>
      <c r="B1049" s="89" t="str">
        <f>" 경  비: "&amp;TEXT(I1049,"#,##0"&amp;IF(I1049&lt;&gt;INT(I1049),".###",""))&amp;" / Q = "&amp;TEXT(C1049,"#,##0.0")&amp;""</f>
        <v xml:space="preserve"> 경  비: 1,967 / Q = 62.9</v>
      </c>
      <c r="C1049" s="91">
        <f>E1049+D1049+F1049</f>
        <v>62.9</v>
      </c>
      <c r="D1049" s="91">
        <f>IF(H1049=0,0,ROUNDDOWN(J1049*H1049,1))</f>
        <v>0</v>
      </c>
      <c r="E1049" s="91">
        <f>IF(H1049=0,0,ROUNDDOWN(K1049*H1049,1))</f>
        <v>0</v>
      </c>
      <c r="F1049" s="91">
        <f>IF(H1049=0,0,ROUNDDOWN(L1049*H1049,1))</f>
        <v>62.9</v>
      </c>
      <c r="G1049" s="17" t="s">
        <v>1862</v>
      </c>
      <c r="H1049" s="97">
        <f>ROUNDUP(AC1049,14-LEN(ABS(INT(AC1049))))</f>
        <v>3.2000000000000001E-2</v>
      </c>
      <c r="I1049" s="98">
        <f>K1049+J1049+L1049</f>
        <v>1967</v>
      </c>
      <c r="L1049" s="38">
        <f>중기목록표!H27</f>
        <v>1967</v>
      </c>
      <c r="M1049" s="35" t="s">
        <v>1578</v>
      </c>
      <c r="N1049" s="35" t="s">
        <v>1262</v>
      </c>
      <c r="X1049" s="100" t="str">
        <f>중기목록표!B27&amp;" / "&amp;중기목록표!C27</f>
        <v>진동롤러(핸드가이드식) / 0.7톤</v>
      </c>
      <c r="Y1049" s="3" t="str">
        <f ca="1">HYPERLINK("#"&amp;중기목록표!J2&amp;"!A"&amp;ROW(중기목록표!A27),"중기24 →")</f>
        <v>중기24 →</v>
      </c>
      <c r="Z1049" s="35" t="s">
        <v>1417</v>
      </c>
      <c r="AA1049" s="103" t="str">
        <f>AD1011</f>
        <v>31.250</v>
      </c>
      <c r="AB1049" s="35" t="s">
        <v>1410</v>
      </c>
      <c r="AC1049" s="103">
        <f>1/AD1011</f>
        <v>3.2000000000000001E-2</v>
      </c>
      <c r="AD1049" s="101"/>
      <c r="AE1049" s="101"/>
      <c r="AF1049" s="101"/>
      <c r="AG1049" s="101"/>
      <c r="AH1049" s="101"/>
      <c r="AI1049" s="101"/>
      <c r="AJ1049" s="101"/>
      <c r="AK1049" s="101"/>
      <c r="AL1049" s="101"/>
      <c r="AM1049" s="101"/>
      <c r="AN1049" s="101"/>
    </row>
    <row r="1050" spans="1:40" ht="16.5" customHeight="1" x14ac:dyDescent="0.3">
      <c r="A1050" s="69"/>
      <c r="B1050" s="69"/>
      <c r="C1050" s="69"/>
      <c r="D1050" s="69"/>
      <c r="E1050" s="69"/>
      <c r="F1050" s="69"/>
      <c r="G1050" s="17" t="s">
        <v>1405</v>
      </c>
      <c r="Z1050" s="101"/>
      <c r="AA1050" s="101"/>
      <c r="AB1050" s="101"/>
      <c r="AC1050" s="101"/>
      <c r="AD1050" s="101"/>
      <c r="AE1050" s="101"/>
      <c r="AF1050" s="101"/>
      <c r="AG1050" s="101"/>
      <c r="AH1050" s="101"/>
      <c r="AI1050" s="101"/>
      <c r="AJ1050" s="101"/>
      <c r="AK1050" s="101"/>
      <c r="AL1050" s="101"/>
      <c r="AM1050" s="101"/>
      <c r="AN1050" s="101"/>
    </row>
    <row r="1051" spans="1:40" ht="16.5" customHeight="1" x14ac:dyDescent="0.3">
      <c r="A1051" s="59"/>
      <c r="B1051" s="68" t="s">
        <v>1260</v>
      </c>
      <c r="C1051" s="92">
        <f>E1051+D1051+F1051</f>
        <v>206</v>
      </c>
      <c r="D1051" s="92">
        <f>SUMIF(N1042:N1050,M1051,D1042:D1050)</f>
        <v>0</v>
      </c>
      <c r="E1051" s="92">
        <f>SUMIF(N1042:N1050,M1051,E1042:E1050)</f>
        <v>143.1</v>
      </c>
      <c r="F1051" s="92">
        <f>SUMIF(N1042:N1050,M1051,F1042:F1050)</f>
        <v>62.9</v>
      </c>
      <c r="G1051" s="17" t="s">
        <v>1430</v>
      </c>
      <c r="M1051" s="35" t="s">
        <v>1262</v>
      </c>
      <c r="N1051" s="35" t="s">
        <v>1253</v>
      </c>
      <c r="Z1051" s="101"/>
      <c r="AA1051" s="101"/>
      <c r="AB1051" s="101"/>
      <c r="AC1051" s="101"/>
      <c r="AD1051" s="101"/>
      <c r="AE1051" s="101"/>
      <c r="AF1051" s="101"/>
      <c r="AG1051" s="101"/>
      <c r="AH1051" s="101"/>
      <c r="AI1051" s="101"/>
      <c r="AJ1051" s="101"/>
      <c r="AK1051" s="101"/>
      <c r="AL1051" s="101"/>
      <c r="AM1051" s="101"/>
      <c r="AN1051" s="101"/>
    </row>
    <row r="1052" spans="1:40" ht="16.5" customHeight="1" x14ac:dyDescent="0.3">
      <c r="A1052" s="69"/>
      <c r="B1052" s="69"/>
      <c r="C1052" s="90"/>
      <c r="D1052" s="90"/>
      <c r="E1052" s="90"/>
      <c r="F1052" s="90"/>
      <c r="G1052" s="17" t="s">
        <v>1405</v>
      </c>
      <c r="Z1052" s="101"/>
      <c r="AA1052" s="101"/>
      <c r="AB1052" s="101"/>
      <c r="AC1052" s="101"/>
      <c r="AD1052" s="101"/>
      <c r="AE1052" s="101"/>
      <c r="AF1052" s="101"/>
      <c r="AG1052" s="101"/>
      <c r="AH1052" s="101"/>
      <c r="AI1052" s="101"/>
      <c r="AJ1052" s="101"/>
      <c r="AK1052" s="101"/>
      <c r="AL1052" s="101"/>
      <c r="AM1052" s="101"/>
      <c r="AN1052" s="101"/>
    </row>
    <row r="1053" spans="1:40" ht="16.5" customHeight="1" x14ac:dyDescent="0.3">
      <c r="A1053" s="59"/>
      <c r="B1053" s="68" t="s">
        <v>1899</v>
      </c>
      <c r="C1053" s="69"/>
      <c r="D1053" s="69"/>
      <c r="E1053" s="69"/>
      <c r="F1053" s="69"/>
      <c r="G1053" s="17" t="s">
        <v>1898</v>
      </c>
      <c r="Z1053" s="101"/>
      <c r="AA1053" s="101"/>
      <c r="AB1053" s="101"/>
      <c r="AC1053" s="101"/>
      <c r="AD1053" s="101"/>
      <c r="AE1053" s="101"/>
      <c r="AF1053" s="101"/>
      <c r="AG1053" s="101"/>
      <c r="AH1053" s="101"/>
      <c r="AI1053" s="101"/>
      <c r="AJ1053" s="101"/>
      <c r="AK1053" s="101"/>
      <c r="AL1053" s="101"/>
      <c r="AM1053" s="101"/>
      <c r="AN1053" s="101"/>
    </row>
    <row r="1054" spans="1:40" ht="16.5" customHeight="1" x14ac:dyDescent="0.3">
      <c r="A1054" s="69"/>
      <c r="B1054" s="69"/>
      <c r="C1054" s="69"/>
      <c r="D1054" s="69"/>
      <c r="E1054" s="69"/>
      <c r="F1054" s="69"/>
      <c r="G1054" s="17" t="s">
        <v>1405</v>
      </c>
      <c r="Z1054" s="101"/>
      <c r="AA1054" s="101"/>
      <c r="AB1054" s="101"/>
      <c r="AC1054" s="101"/>
      <c r="AD1054" s="101"/>
      <c r="AE1054" s="101"/>
      <c r="AF1054" s="101"/>
      <c r="AG1054" s="101"/>
      <c r="AH1054" s="101"/>
      <c r="AI1054" s="101"/>
      <c r="AJ1054" s="101"/>
      <c r="AK1054" s="101"/>
      <c r="AL1054" s="101"/>
      <c r="AM1054" s="101"/>
      <c r="AN1054" s="101"/>
    </row>
    <row r="1055" spans="1:40" ht="16.5" customHeight="1" x14ac:dyDescent="0.3">
      <c r="A1055" s="59" t="s">
        <v>1743</v>
      </c>
      <c r="B1055" s="89" t="str">
        <f>" 노 무 비 :  "&amp;TEXT(I1055,"#,##0"&amp;IF(I1055&lt;&gt;INT(I1055),".###",""))&amp;" / Q *"&amp;AC1055&amp;"= "&amp;TEXT(C1055,"#,##0.0")&amp;""</f>
        <v xml:space="preserve"> 노 무 비 :  49,778 / Q *0.5= 796.4</v>
      </c>
      <c r="C1055" s="91">
        <f>E1055+D1055+F1055</f>
        <v>796.4</v>
      </c>
      <c r="D1055" s="91">
        <f>IF(H1055=0,0,ROUNDDOWN(J1055*H1055,1))</f>
        <v>796.4</v>
      </c>
      <c r="E1055" s="91">
        <f>IF(H1055=0,0,ROUNDDOWN(K1055*H1055,1))</f>
        <v>0</v>
      </c>
      <c r="F1055" s="91">
        <f>IF(H1055=0,0,ROUNDDOWN(L1055*H1055,1))</f>
        <v>0</v>
      </c>
      <c r="G1055" s="17" t="s">
        <v>1900</v>
      </c>
      <c r="H1055" s="97">
        <f>ROUNDUP(AE1055,14-LEN(ABS(INT(AE1055))))</f>
        <v>1.6E-2</v>
      </c>
      <c r="I1055" s="98">
        <f>K1055+J1055+L1055</f>
        <v>49778</v>
      </c>
      <c r="J1055" s="38">
        <f>중기목록표!F21</f>
        <v>49778</v>
      </c>
      <c r="M1055" s="35" t="s">
        <v>1470</v>
      </c>
      <c r="N1055" s="35" t="s">
        <v>1262</v>
      </c>
      <c r="X1055" s="100" t="str">
        <f>중기목록표!B21&amp;" / "&amp;중기목록표!C21</f>
        <v>물탱크(살수차) / 5500ℓ</v>
      </c>
      <c r="Y1055" s="3" t="str">
        <f ca="1">HYPERLINK("#"&amp;중기목록표!J2&amp;"!A"&amp;ROW(중기목록표!A21),"중기18 →")</f>
        <v>중기18 →</v>
      </c>
      <c r="Z1055" s="35" t="s">
        <v>1417</v>
      </c>
      <c r="AA1055" s="103" t="str">
        <f>AD1011</f>
        <v>31.250</v>
      </c>
      <c r="AB1055" s="35" t="s">
        <v>1436</v>
      </c>
      <c r="AC1055" s="104">
        <v>0.5</v>
      </c>
      <c r="AD1055" s="35" t="s">
        <v>1410</v>
      </c>
      <c r="AE1055" s="103">
        <f>1/AD1011*AC1055</f>
        <v>1.6E-2</v>
      </c>
      <c r="AF1055" s="101"/>
      <c r="AG1055" s="101"/>
      <c r="AH1055" s="101"/>
      <c r="AI1055" s="101"/>
      <c r="AJ1055" s="101"/>
      <c r="AK1055" s="101"/>
      <c r="AL1055" s="101"/>
      <c r="AM1055" s="101"/>
      <c r="AN1055" s="101"/>
    </row>
    <row r="1056" spans="1:40" ht="16.5" customHeight="1" x14ac:dyDescent="0.3">
      <c r="A1056" s="69"/>
      <c r="B1056" s="69"/>
      <c r="C1056" s="69"/>
      <c r="D1056" s="69"/>
      <c r="E1056" s="69"/>
      <c r="F1056" s="69"/>
      <c r="G1056" s="17" t="s">
        <v>1405</v>
      </c>
      <c r="Z1056" s="101"/>
      <c r="AA1056" s="101"/>
      <c r="AB1056" s="101"/>
      <c r="AC1056" s="101"/>
      <c r="AD1056" s="101"/>
      <c r="AE1056" s="101"/>
      <c r="AF1056" s="101"/>
      <c r="AG1056" s="101"/>
      <c r="AH1056" s="101"/>
      <c r="AI1056" s="101"/>
      <c r="AJ1056" s="101"/>
      <c r="AK1056" s="101"/>
      <c r="AL1056" s="101"/>
      <c r="AM1056" s="101"/>
      <c r="AN1056" s="101"/>
    </row>
    <row r="1057" spans="1:40" ht="16.5" customHeight="1" x14ac:dyDescent="0.3">
      <c r="A1057" s="59" t="s">
        <v>1745</v>
      </c>
      <c r="B1057" s="89" t="str">
        <f>" 재 료 비 :  "&amp;TEXT(I1057,"#,##0"&amp;IF(I1057&lt;&gt;INT(I1057),".###",""))&amp;" / Q *"&amp;AC1057&amp;"= "&amp;TEXT(C1057,"#,##0.0")&amp;""</f>
        <v xml:space="preserve"> 재 료 비 :  21,749 / Q *0.5= 347.9</v>
      </c>
      <c r="C1057" s="91">
        <f>E1057+D1057+F1057</f>
        <v>347.9</v>
      </c>
      <c r="D1057" s="91">
        <f>IF(H1057=0,0,ROUNDDOWN(J1057*H1057,1))</f>
        <v>0</v>
      </c>
      <c r="E1057" s="91">
        <f>IF(H1057=0,0,ROUNDDOWN(K1057*H1057,1))</f>
        <v>347.9</v>
      </c>
      <c r="F1057" s="91">
        <f>IF(H1057=0,0,ROUNDDOWN(L1057*H1057,1))</f>
        <v>0</v>
      </c>
      <c r="G1057" s="17" t="s">
        <v>1901</v>
      </c>
      <c r="H1057" s="97">
        <f>ROUNDUP(AE1057,14-LEN(ABS(INT(AE1057))))</f>
        <v>1.6E-2</v>
      </c>
      <c r="I1057" s="98">
        <f>K1057+J1057+L1057</f>
        <v>21749</v>
      </c>
      <c r="K1057" s="38">
        <f>중기목록표!G21</f>
        <v>21749</v>
      </c>
      <c r="M1057" s="35" t="s">
        <v>1470</v>
      </c>
      <c r="N1057" s="35" t="s">
        <v>1262</v>
      </c>
      <c r="X1057" s="100" t="str">
        <f>중기목록표!B21&amp;" / "&amp;중기목록표!C21</f>
        <v>물탱크(살수차) / 5500ℓ</v>
      </c>
      <c r="Y1057" s="3" t="str">
        <f ca="1">HYPERLINK("#"&amp;중기목록표!J2&amp;"!A"&amp;ROW(중기목록표!A21),"중기18 →")</f>
        <v>중기18 →</v>
      </c>
      <c r="Z1057" s="35" t="s">
        <v>1417</v>
      </c>
      <c r="AA1057" s="103" t="str">
        <f>AD1011</f>
        <v>31.250</v>
      </c>
      <c r="AB1057" s="35" t="s">
        <v>1436</v>
      </c>
      <c r="AC1057" s="104">
        <v>0.5</v>
      </c>
      <c r="AD1057" s="35" t="s">
        <v>1410</v>
      </c>
      <c r="AE1057" s="103">
        <f>1/AD1011*AC1057</f>
        <v>1.6E-2</v>
      </c>
      <c r="AF1057" s="101"/>
      <c r="AG1057" s="101"/>
      <c r="AH1057" s="101"/>
      <c r="AI1057" s="101"/>
      <c r="AJ1057" s="101"/>
      <c r="AK1057" s="101"/>
      <c r="AL1057" s="101"/>
      <c r="AM1057" s="101"/>
      <c r="AN1057" s="101"/>
    </row>
    <row r="1058" spans="1:40" ht="16.5" customHeight="1" x14ac:dyDescent="0.3">
      <c r="A1058" s="69"/>
      <c r="B1058" s="69"/>
      <c r="C1058" s="69"/>
      <c r="D1058" s="69"/>
      <c r="E1058" s="69"/>
      <c r="F1058" s="69"/>
      <c r="G1058" s="17" t="s">
        <v>1405</v>
      </c>
      <c r="Z1058" s="101"/>
      <c r="AA1058" s="101"/>
      <c r="AB1058" s="101"/>
      <c r="AC1058" s="101"/>
      <c r="AD1058" s="101"/>
      <c r="AE1058" s="101"/>
      <c r="AF1058" s="101"/>
      <c r="AG1058" s="101"/>
      <c r="AH1058" s="101"/>
      <c r="AI1058" s="101"/>
      <c r="AJ1058" s="101"/>
      <c r="AK1058" s="101"/>
      <c r="AL1058" s="101"/>
      <c r="AM1058" s="101"/>
      <c r="AN1058" s="101"/>
    </row>
    <row r="1059" spans="1:40" ht="16.5" customHeight="1" x14ac:dyDescent="0.3">
      <c r="A1059" s="59" t="s">
        <v>1747</v>
      </c>
      <c r="B1059" s="89" t="str">
        <f>" 경    비 :  "&amp;TEXT(I1059,"#,##0"&amp;IF(I1059&lt;&gt;INT(I1059),".###",""))&amp;" / Q *"&amp;AC1059&amp;"= "&amp;TEXT(C1059,"#,##0.0")&amp;""</f>
        <v xml:space="preserve"> 경    비 :  9,986 / Q *0.5= 159.7</v>
      </c>
      <c r="C1059" s="91">
        <f>E1059+D1059+F1059</f>
        <v>159.69999999999999</v>
      </c>
      <c r="D1059" s="91">
        <f>IF(H1059=0,0,ROUNDDOWN(J1059*H1059,1))</f>
        <v>0</v>
      </c>
      <c r="E1059" s="91">
        <f>IF(H1059=0,0,ROUNDDOWN(K1059*H1059,1))</f>
        <v>0</v>
      </c>
      <c r="F1059" s="91">
        <f>IF(H1059=0,0,ROUNDDOWN(L1059*H1059,1))</f>
        <v>159.69999999999999</v>
      </c>
      <c r="G1059" s="17" t="s">
        <v>1902</v>
      </c>
      <c r="H1059" s="97">
        <f>ROUNDUP(AE1059,14-LEN(ABS(INT(AE1059))))</f>
        <v>1.6E-2</v>
      </c>
      <c r="I1059" s="98">
        <f>K1059+J1059+L1059</f>
        <v>9986</v>
      </c>
      <c r="L1059" s="38">
        <f>중기목록표!H21</f>
        <v>9986</v>
      </c>
      <c r="M1059" s="35" t="s">
        <v>1470</v>
      </c>
      <c r="N1059" s="35" t="s">
        <v>1262</v>
      </c>
      <c r="X1059" s="100" t="str">
        <f>중기목록표!B21&amp;" / "&amp;중기목록표!C21</f>
        <v>물탱크(살수차) / 5500ℓ</v>
      </c>
      <c r="Y1059" s="3" t="str">
        <f ca="1">HYPERLINK("#"&amp;중기목록표!J2&amp;"!A"&amp;ROW(중기목록표!A21),"중기18 →")</f>
        <v>중기18 →</v>
      </c>
      <c r="Z1059" s="35" t="s">
        <v>1417</v>
      </c>
      <c r="AA1059" s="103" t="str">
        <f>AD1011</f>
        <v>31.250</v>
      </c>
      <c r="AB1059" s="35" t="s">
        <v>1436</v>
      </c>
      <c r="AC1059" s="104">
        <v>0.5</v>
      </c>
      <c r="AD1059" s="35" t="s">
        <v>1410</v>
      </c>
      <c r="AE1059" s="103">
        <f>1/AD1011*AC1059</f>
        <v>1.6E-2</v>
      </c>
      <c r="AF1059" s="101"/>
      <c r="AG1059" s="101"/>
      <c r="AH1059" s="101"/>
      <c r="AI1059" s="101"/>
      <c r="AJ1059" s="101"/>
      <c r="AK1059" s="101"/>
      <c r="AL1059" s="101"/>
      <c r="AM1059" s="101"/>
      <c r="AN1059" s="101"/>
    </row>
    <row r="1060" spans="1:40" ht="16.5" customHeight="1" x14ac:dyDescent="0.3">
      <c r="A1060" s="69"/>
      <c r="B1060" s="69"/>
      <c r="C1060" s="69"/>
      <c r="D1060" s="69"/>
      <c r="E1060" s="69"/>
      <c r="F1060" s="69"/>
      <c r="G1060" s="17" t="s">
        <v>1405</v>
      </c>
      <c r="Z1060" s="101"/>
      <c r="AA1060" s="101"/>
      <c r="AB1060" s="101"/>
      <c r="AC1060" s="101"/>
      <c r="AD1060" s="101"/>
      <c r="AE1060" s="101"/>
      <c r="AF1060" s="101"/>
      <c r="AG1060" s="101"/>
      <c r="AH1060" s="101"/>
      <c r="AI1060" s="101"/>
      <c r="AJ1060" s="101"/>
      <c r="AK1060" s="101"/>
      <c r="AL1060" s="101"/>
      <c r="AM1060" s="101"/>
      <c r="AN1060" s="101"/>
    </row>
    <row r="1061" spans="1:40" ht="16.5" customHeight="1" x14ac:dyDescent="0.3">
      <c r="A1061" s="59"/>
      <c r="B1061" s="68" t="s">
        <v>1260</v>
      </c>
      <c r="C1061" s="92">
        <f>E1061+D1061+F1061</f>
        <v>1304</v>
      </c>
      <c r="D1061" s="92">
        <f>SUMIF(N1052:N1060,M1061,D1052:D1060)</f>
        <v>796.4</v>
      </c>
      <c r="E1061" s="92">
        <f>SUMIF(N1052:N1060,M1061,E1052:E1060)</f>
        <v>347.9</v>
      </c>
      <c r="F1061" s="92">
        <f>SUMIF(N1052:N1060,M1061,F1052:F1060)</f>
        <v>159.69999999999999</v>
      </c>
      <c r="G1061" s="17" t="s">
        <v>1430</v>
      </c>
      <c r="M1061" s="35" t="s">
        <v>1262</v>
      </c>
      <c r="N1061" s="35" t="s">
        <v>1253</v>
      </c>
      <c r="Z1061" s="101"/>
      <c r="AA1061" s="101"/>
      <c r="AB1061" s="101"/>
      <c r="AC1061" s="101"/>
      <c r="AD1061" s="101"/>
      <c r="AE1061" s="101"/>
      <c r="AF1061" s="101"/>
      <c r="AG1061" s="101"/>
      <c r="AH1061" s="101"/>
      <c r="AI1061" s="101"/>
      <c r="AJ1061" s="101"/>
      <c r="AK1061" s="101"/>
      <c r="AL1061" s="101"/>
      <c r="AM1061" s="101"/>
      <c r="AN1061" s="101"/>
    </row>
    <row r="1062" spans="1:40" ht="16.5" customHeight="1" x14ac:dyDescent="0.3">
      <c r="A1062" s="69"/>
      <c r="B1062" s="69"/>
      <c r="C1062" s="90"/>
      <c r="D1062" s="90"/>
      <c r="E1062" s="90"/>
      <c r="F1062" s="90"/>
      <c r="G1062" s="17" t="s">
        <v>1405</v>
      </c>
      <c r="Z1062" s="101"/>
      <c r="AA1062" s="101"/>
      <c r="AB1062" s="101"/>
      <c r="AC1062" s="101"/>
      <c r="AD1062" s="101"/>
      <c r="AE1062" s="101"/>
      <c r="AF1062" s="101"/>
      <c r="AG1062" s="101"/>
      <c r="AH1062" s="101"/>
      <c r="AI1062" s="101"/>
      <c r="AJ1062" s="101"/>
      <c r="AK1062" s="101"/>
      <c r="AL1062" s="101"/>
      <c r="AM1062" s="101"/>
      <c r="AN1062" s="101"/>
    </row>
    <row r="1063" spans="1:40" ht="16.5" customHeight="1" x14ac:dyDescent="0.3">
      <c r="A1063" s="59"/>
      <c r="B1063" s="68" t="s">
        <v>1251</v>
      </c>
      <c r="C1063" s="92">
        <f>E1063+D1063+F1063</f>
        <v>8052.4</v>
      </c>
      <c r="D1063" s="92">
        <f>SUMIF(N1007:N1062,M1063,D1007:D1062)</f>
        <v>6719.5</v>
      </c>
      <c r="E1063" s="92">
        <f>SUMIF(N1007:N1062,M1063,E1007:E1062)</f>
        <v>850.4</v>
      </c>
      <c r="F1063" s="92">
        <f>SUMIF(N1007:N1062,M1063,F1007:F1062)</f>
        <v>482.49999999999994</v>
      </c>
      <c r="G1063" s="17" t="s">
        <v>1476</v>
      </c>
      <c r="M1063" s="35" t="s">
        <v>1253</v>
      </c>
      <c r="N1063" s="35" t="s">
        <v>1209</v>
      </c>
      <c r="Z1063" s="101"/>
      <c r="AA1063" s="101"/>
      <c r="AB1063" s="101"/>
      <c r="AC1063" s="101"/>
      <c r="AD1063" s="101"/>
      <c r="AE1063" s="101"/>
      <c r="AF1063" s="101"/>
      <c r="AG1063" s="101"/>
      <c r="AH1063" s="101"/>
      <c r="AI1063" s="101"/>
      <c r="AJ1063" s="101"/>
      <c r="AK1063" s="101"/>
      <c r="AL1063" s="101"/>
      <c r="AM1063" s="101"/>
      <c r="AN1063" s="101"/>
    </row>
    <row r="1064" spans="1:40" ht="16.5" customHeight="1" x14ac:dyDescent="0.3">
      <c r="A1064" s="69"/>
      <c r="B1064" s="69"/>
      <c r="C1064" s="90"/>
      <c r="D1064" s="90"/>
      <c r="E1064" s="90"/>
      <c r="F1064" s="90"/>
      <c r="Z1064" s="101"/>
      <c r="AA1064" s="101"/>
      <c r="AB1064" s="101"/>
      <c r="AC1064" s="101"/>
      <c r="AD1064" s="101"/>
      <c r="AE1064" s="101"/>
      <c r="AF1064" s="101"/>
      <c r="AG1064" s="101"/>
      <c r="AH1064" s="101"/>
      <c r="AI1064" s="101"/>
      <c r="AJ1064" s="101"/>
      <c r="AK1064" s="101"/>
      <c r="AL1064" s="101"/>
      <c r="AM1064" s="101"/>
      <c r="AN1064" s="101"/>
    </row>
    <row r="1065" spans="1:40" ht="16.5" customHeight="1" x14ac:dyDescent="0.3">
      <c r="A1065" s="69"/>
      <c r="B1065" s="69"/>
      <c r="C1065" s="69"/>
      <c r="D1065" s="69"/>
      <c r="E1065" s="69"/>
      <c r="F1065" s="69"/>
      <c r="Z1065" s="101"/>
      <c r="AA1065" s="101"/>
      <c r="AB1065" s="101"/>
      <c r="AC1065" s="101"/>
      <c r="AD1065" s="101"/>
      <c r="AE1065" s="101"/>
      <c r="AF1065" s="101"/>
      <c r="AG1065" s="101"/>
      <c r="AH1065" s="101"/>
      <c r="AI1065" s="101"/>
      <c r="AJ1065" s="101"/>
      <c r="AK1065" s="101"/>
      <c r="AL1065" s="101"/>
      <c r="AM1065" s="101"/>
      <c r="AN1065" s="101"/>
    </row>
    <row r="1066" spans="1:40" ht="16.5" customHeight="1" x14ac:dyDescent="0.3">
      <c r="A1066" s="69"/>
      <c r="B1066" s="69"/>
      <c r="C1066" s="69"/>
      <c r="D1066" s="69"/>
      <c r="E1066" s="69"/>
      <c r="F1066" s="69"/>
      <c r="Z1066" s="101"/>
      <c r="AA1066" s="101"/>
      <c r="AB1066" s="101"/>
      <c r="AC1066" s="101"/>
      <c r="AD1066" s="101"/>
      <c r="AE1066" s="101"/>
      <c r="AF1066" s="101"/>
      <c r="AG1066" s="101"/>
      <c r="AH1066" s="101"/>
      <c r="AI1066" s="101"/>
      <c r="AJ1066" s="101"/>
      <c r="AK1066" s="101"/>
      <c r="AL1066" s="101"/>
      <c r="AM1066" s="101"/>
      <c r="AN1066" s="101"/>
    </row>
    <row r="1067" spans="1:40" ht="16.5" customHeight="1" x14ac:dyDescent="0.3">
      <c r="A1067" s="69"/>
      <c r="B1067" s="69"/>
      <c r="C1067" s="69"/>
      <c r="D1067" s="69"/>
      <c r="E1067" s="69"/>
      <c r="F1067" s="69"/>
      <c r="Z1067" s="101"/>
      <c r="AA1067" s="101"/>
      <c r="AB1067" s="101"/>
      <c r="AC1067" s="101"/>
      <c r="AD1067" s="101"/>
      <c r="AE1067" s="101"/>
      <c r="AF1067" s="101"/>
      <c r="AG1067" s="101"/>
      <c r="AH1067" s="101"/>
      <c r="AI1067" s="101"/>
      <c r="AJ1067" s="101"/>
      <c r="AK1067" s="101"/>
      <c r="AL1067" s="101"/>
      <c r="AM1067" s="101"/>
      <c r="AN1067" s="101"/>
    </row>
    <row r="1068" spans="1:40" ht="16.5" customHeight="1" x14ac:dyDescent="0.3">
      <c r="A1068" s="69"/>
      <c r="B1068" s="69"/>
      <c r="C1068" s="69"/>
      <c r="D1068" s="69"/>
      <c r="E1068" s="69"/>
      <c r="F1068" s="69"/>
      <c r="Z1068" s="101"/>
      <c r="AA1068" s="101"/>
      <c r="AB1068" s="101"/>
      <c r="AC1068" s="101"/>
      <c r="AD1068" s="101"/>
      <c r="AE1068" s="101"/>
      <c r="AF1068" s="101"/>
      <c r="AG1068" s="101"/>
      <c r="AH1068" s="101"/>
      <c r="AI1068" s="101"/>
      <c r="AJ1068" s="101"/>
      <c r="AK1068" s="101"/>
      <c r="AL1068" s="101"/>
      <c r="AM1068" s="101"/>
      <c r="AN1068" s="101"/>
    </row>
    <row r="1069" spans="1:40" ht="16.5" customHeight="1" x14ac:dyDescent="0.3">
      <c r="A1069" s="69"/>
      <c r="B1069" s="69"/>
      <c r="C1069" s="69"/>
      <c r="D1069" s="69"/>
      <c r="E1069" s="69"/>
      <c r="F1069" s="69"/>
      <c r="Z1069" s="101"/>
      <c r="AA1069" s="101"/>
      <c r="AB1069" s="101"/>
      <c r="AC1069" s="101"/>
      <c r="AD1069" s="101"/>
      <c r="AE1069" s="101"/>
      <c r="AF1069" s="101"/>
      <c r="AG1069" s="101"/>
      <c r="AH1069" s="101"/>
      <c r="AI1069" s="101"/>
      <c r="AJ1069" s="101"/>
      <c r="AK1069" s="101"/>
      <c r="AL1069" s="101"/>
      <c r="AM1069" s="101"/>
      <c r="AN1069" s="101"/>
    </row>
    <row r="1070" spans="1:40" ht="16.5" customHeight="1" x14ac:dyDescent="0.3">
      <c r="A1070" s="69"/>
      <c r="B1070" s="69"/>
      <c r="C1070" s="69"/>
      <c r="D1070" s="69"/>
      <c r="E1070" s="69"/>
      <c r="F1070" s="69"/>
      <c r="Z1070" s="101"/>
      <c r="AA1070" s="101"/>
      <c r="AB1070" s="101"/>
      <c r="AC1070" s="101"/>
      <c r="AD1070" s="101"/>
      <c r="AE1070" s="101"/>
      <c r="AF1070" s="101"/>
      <c r="AG1070" s="101"/>
      <c r="AH1070" s="101"/>
      <c r="AI1070" s="101"/>
      <c r="AJ1070" s="101"/>
      <c r="AK1070" s="101"/>
      <c r="AL1070" s="101"/>
      <c r="AM1070" s="101"/>
      <c r="AN1070" s="101"/>
    </row>
    <row r="1071" spans="1:40" ht="16.5" customHeight="1" x14ac:dyDescent="0.3">
      <c r="A1071" s="69"/>
      <c r="B1071" s="69"/>
      <c r="C1071" s="69"/>
      <c r="D1071" s="69"/>
      <c r="E1071" s="69"/>
      <c r="F1071" s="69"/>
      <c r="Z1071" s="101"/>
      <c r="AA1071" s="101"/>
      <c r="AB1071" s="101"/>
      <c r="AC1071" s="101"/>
      <c r="AD1071" s="101"/>
      <c r="AE1071" s="101"/>
      <c r="AF1071" s="101"/>
      <c r="AG1071" s="101"/>
      <c r="AH1071" s="101"/>
      <c r="AI1071" s="101"/>
      <c r="AJ1071" s="101"/>
      <c r="AK1071" s="101"/>
      <c r="AL1071" s="101"/>
      <c r="AM1071" s="101"/>
      <c r="AN1071" s="101"/>
    </row>
    <row r="1072" spans="1:40" ht="16.5" customHeight="1" x14ac:dyDescent="0.3">
      <c r="A1072" s="69"/>
      <c r="B1072" s="69"/>
      <c r="C1072" s="69"/>
      <c r="D1072" s="69"/>
      <c r="E1072" s="69"/>
      <c r="F1072" s="69"/>
      <c r="Z1072" s="101"/>
      <c r="AA1072" s="101"/>
      <c r="AB1072" s="101"/>
      <c r="AC1072" s="101"/>
      <c r="AD1072" s="101"/>
      <c r="AE1072" s="101"/>
      <c r="AF1072" s="101"/>
      <c r="AG1072" s="101"/>
      <c r="AH1072" s="101"/>
      <c r="AI1072" s="101"/>
      <c r="AJ1072" s="101"/>
      <c r="AK1072" s="101"/>
      <c r="AL1072" s="101"/>
      <c r="AM1072" s="101"/>
      <c r="AN1072" s="101"/>
    </row>
    <row r="1073" spans="1:40" ht="16.5" customHeight="1" x14ac:dyDescent="0.3">
      <c r="A1073" s="69"/>
      <c r="B1073" s="69"/>
      <c r="C1073" s="69"/>
      <c r="D1073" s="69"/>
      <c r="E1073" s="69"/>
      <c r="F1073" s="69"/>
      <c r="Z1073" s="101"/>
      <c r="AA1073" s="101"/>
      <c r="AB1073" s="101"/>
      <c r="AC1073" s="101"/>
      <c r="AD1073" s="101"/>
      <c r="AE1073" s="101"/>
      <c r="AF1073" s="101"/>
      <c r="AG1073" s="101"/>
      <c r="AH1073" s="101"/>
      <c r="AI1073" s="101"/>
      <c r="AJ1073" s="101"/>
      <c r="AK1073" s="101"/>
      <c r="AL1073" s="101"/>
      <c r="AM1073" s="101"/>
      <c r="AN1073" s="101"/>
    </row>
    <row r="1074" spans="1:40" ht="16.5" customHeight="1" x14ac:dyDescent="0.3">
      <c r="A1074" s="69"/>
      <c r="B1074" s="69"/>
      <c r="C1074" s="69"/>
      <c r="D1074" s="69"/>
      <c r="E1074" s="69"/>
      <c r="F1074" s="69"/>
      <c r="Z1074" s="101"/>
      <c r="AA1074" s="101"/>
      <c r="AB1074" s="101"/>
      <c r="AC1074" s="101"/>
      <c r="AD1074" s="101"/>
      <c r="AE1074" s="101"/>
      <c r="AF1074" s="101"/>
      <c r="AG1074" s="101"/>
      <c r="AH1074" s="101"/>
      <c r="AI1074" s="101"/>
      <c r="AJ1074" s="101"/>
      <c r="AK1074" s="101"/>
      <c r="AL1074" s="101"/>
      <c r="AM1074" s="101"/>
      <c r="AN1074" s="101"/>
    </row>
    <row r="1075" spans="1:40" ht="16.5" customHeight="1" x14ac:dyDescent="0.3">
      <c r="A1075" s="69"/>
      <c r="B1075" s="69"/>
      <c r="C1075" s="69"/>
      <c r="D1075" s="69"/>
      <c r="E1075" s="69"/>
      <c r="F1075" s="69"/>
      <c r="Z1075" s="101"/>
      <c r="AA1075" s="101"/>
      <c r="AB1075" s="101"/>
      <c r="AC1075" s="101"/>
      <c r="AD1075" s="101"/>
      <c r="AE1075" s="101"/>
      <c r="AF1075" s="101"/>
      <c r="AG1075" s="101"/>
      <c r="AH1075" s="101"/>
      <c r="AI1075" s="101"/>
      <c r="AJ1075" s="101"/>
      <c r="AK1075" s="101"/>
      <c r="AL1075" s="101"/>
      <c r="AM1075" s="101"/>
      <c r="AN1075" s="101"/>
    </row>
    <row r="1076" spans="1:40" ht="16.5" customHeight="1" x14ac:dyDescent="0.3">
      <c r="A1076" s="69"/>
      <c r="B1076" s="69"/>
      <c r="C1076" s="69"/>
      <c r="D1076" s="69"/>
      <c r="E1076" s="69"/>
      <c r="F1076" s="69"/>
      <c r="Z1076" s="101"/>
      <c r="AA1076" s="101"/>
      <c r="AB1076" s="101"/>
      <c r="AC1076" s="101"/>
      <c r="AD1076" s="101"/>
      <c r="AE1076" s="101"/>
      <c r="AF1076" s="101"/>
      <c r="AG1076" s="101"/>
      <c r="AH1076" s="101"/>
      <c r="AI1076" s="101"/>
      <c r="AJ1076" s="101"/>
      <c r="AK1076" s="101"/>
      <c r="AL1076" s="101"/>
      <c r="AM1076" s="101"/>
      <c r="AN1076" s="101"/>
    </row>
    <row r="1077" spans="1:40" ht="16.5" customHeight="1" x14ac:dyDescent="0.3">
      <c r="A1077" s="69"/>
      <c r="B1077" s="69"/>
      <c r="C1077" s="69"/>
      <c r="D1077" s="69"/>
      <c r="E1077" s="69"/>
      <c r="F1077" s="69"/>
      <c r="Z1077" s="101"/>
      <c r="AA1077" s="101"/>
      <c r="AB1077" s="101"/>
      <c r="AC1077" s="101"/>
      <c r="AD1077" s="101"/>
      <c r="AE1077" s="101"/>
      <c r="AF1077" s="101"/>
      <c r="AG1077" s="101"/>
      <c r="AH1077" s="101"/>
      <c r="AI1077" s="101"/>
      <c r="AJ1077" s="101"/>
      <c r="AK1077" s="101"/>
      <c r="AL1077" s="101"/>
      <c r="AM1077" s="101"/>
      <c r="AN1077" s="101"/>
    </row>
    <row r="1078" spans="1:40" ht="16.5" customHeight="1" x14ac:dyDescent="0.3">
      <c r="A1078" s="69"/>
      <c r="B1078" s="69"/>
      <c r="C1078" s="69"/>
      <c r="D1078" s="69"/>
      <c r="E1078" s="69"/>
      <c r="F1078" s="69"/>
      <c r="Z1078" s="101"/>
      <c r="AA1078" s="101"/>
      <c r="AB1078" s="101"/>
      <c r="AC1078" s="101"/>
      <c r="AD1078" s="101"/>
      <c r="AE1078" s="101"/>
      <c r="AF1078" s="101"/>
      <c r="AG1078" s="101"/>
      <c r="AH1078" s="101"/>
      <c r="AI1078" s="101"/>
      <c r="AJ1078" s="101"/>
      <c r="AK1078" s="101"/>
      <c r="AL1078" s="101"/>
      <c r="AM1078" s="101"/>
      <c r="AN1078" s="101"/>
    </row>
    <row r="1079" spans="1:40" ht="16.5" customHeight="1" x14ac:dyDescent="0.3">
      <c r="A1079" s="69"/>
      <c r="B1079" s="69"/>
      <c r="C1079" s="69"/>
      <c r="D1079" s="69"/>
      <c r="E1079" s="69"/>
      <c r="F1079" s="69"/>
      <c r="Z1079" s="101"/>
      <c r="AA1079" s="101"/>
      <c r="AB1079" s="101"/>
      <c r="AC1079" s="101"/>
      <c r="AD1079" s="101"/>
      <c r="AE1079" s="101"/>
      <c r="AF1079" s="101"/>
      <c r="AG1079" s="101"/>
      <c r="AH1079" s="101"/>
      <c r="AI1079" s="101"/>
      <c r="AJ1079" s="101"/>
      <c r="AK1079" s="101"/>
      <c r="AL1079" s="101"/>
      <c r="AM1079" s="101"/>
      <c r="AN1079" s="101"/>
    </row>
    <row r="1080" spans="1:40" ht="16.5" customHeight="1" x14ac:dyDescent="0.3">
      <c r="A1080" s="69"/>
      <c r="B1080" s="69"/>
      <c r="C1080" s="69"/>
      <c r="D1080" s="69"/>
      <c r="E1080" s="69"/>
      <c r="F1080" s="69"/>
      <c r="Z1080" s="101"/>
      <c r="AA1080" s="101"/>
      <c r="AB1080" s="101"/>
      <c r="AC1080" s="101"/>
      <c r="AD1080" s="101"/>
      <c r="AE1080" s="101"/>
      <c r="AF1080" s="101"/>
      <c r="AG1080" s="101"/>
      <c r="AH1080" s="101"/>
      <c r="AI1080" s="101"/>
      <c r="AJ1080" s="101"/>
      <c r="AK1080" s="101"/>
      <c r="AL1080" s="101"/>
      <c r="AM1080" s="101"/>
      <c r="AN1080" s="101"/>
    </row>
    <row r="1081" spans="1:40" ht="16.5" customHeight="1" x14ac:dyDescent="0.3">
      <c r="A1081" s="69"/>
      <c r="B1081" s="69"/>
      <c r="C1081" s="69"/>
      <c r="D1081" s="69"/>
      <c r="E1081" s="69"/>
      <c r="F1081" s="69"/>
      <c r="Z1081" s="101"/>
      <c r="AA1081" s="101"/>
      <c r="AB1081" s="101"/>
      <c r="AC1081" s="101"/>
      <c r="AD1081" s="101"/>
      <c r="AE1081" s="101"/>
      <c r="AF1081" s="101"/>
      <c r="AG1081" s="101"/>
      <c r="AH1081" s="101"/>
      <c r="AI1081" s="101"/>
      <c r="AJ1081" s="101"/>
      <c r="AK1081" s="101"/>
      <c r="AL1081" s="101"/>
      <c r="AM1081" s="101"/>
      <c r="AN1081" s="101"/>
    </row>
    <row r="1082" spans="1:40" ht="16.5" customHeight="1" x14ac:dyDescent="0.3">
      <c r="A1082" s="69"/>
      <c r="B1082" s="69"/>
      <c r="C1082" s="69"/>
      <c r="D1082" s="69"/>
      <c r="E1082" s="69"/>
      <c r="F1082" s="69"/>
      <c r="Z1082" s="101"/>
      <c r="AA1082" s="101"/>
      <c r="AB1082" s="101"/>
      <c r="AC1082" s="101"/>
      <c r="AD1082" s="101"/>
      <c r="AE1082" s="101"/>
      <c r="AF1082" s="101"/>
      <c r="AG1082" s="101"/>
      <c r="AH1082" s="101"/>
      <c r="AI1082" s="101"/>
      <c r="AJ1082" s="101"/>
      <c r="AK1082" s="101"/>
      <c r="AL1082" s="101"/>
      <c r="AM1082" s="101"/>
      <c r="AN1082" s="101"/>
    </row>
    <row r="1083" spans="1:40" ht="16.5" customHeight="1" x14ac:dyDescent="0.3">
      <c r="A1083" s="69"/>
      <c r="B1083" s="69"/>
      <c r="C1083" s="69"/>
      <c r="D1083" s="69"/>
      <c r="E1083" s="69"/>
      <c r="F1083" s="69"/>
      <c r="Z1083" s="101"/>
      <c r="AA1083" s="101"/>
      <c r="AB1083" s="101"/>
      <c r="AC1083" s="101"/>
      <c r="AD1083" s="101"/>
      <c r="AE1083" s="101"/>
      <c r="AF1083" s="101"/>
      <c r="AG1083" s="101"/>
      <c r="AH1083" s="101"/>
      <c r="AI1083" s="101"/>
      <c r="AJ1083" s="101"/>
      <c r="AK1083" s="101"/>
      <c r="AL1083" s="101"/>
      <c r="AM1083" s="101"/>
      <c r="AN1083" s="101"/>
    </row>
    <row r="1084" spans="1:40" ht="16.5" customHeight="1" x14ac:dyDescent="0.3">
      <c r="A1084" s="69"/>
      <c r="B1084" s="69"/>
      <c r="C1084" s="69"/>
      <c r="D1084" s="69"/>
      <c r="E1084" s="69"/>
      <c r="F1084" s="69"/>
      <c r="Z1084" s="101"/>
      <c r="AA1084" s="101"/>
      <c r="AB1084" s="101"/>
      <c r="AC1084" s="101"/>
      <c r="AD1084" s="101"/>
      <c r="AE1084" s="101"/>
      <c r="AF1084" s="101"/>
      <c r="AG1084" s="101"/>
      <c r="AH1084" s="101"/>
      <c r="AI1084" s="101"/>
      <c r="AJ1084" s="101"/>
      <c r="AK1084" s="101"/>
      <c r="AL1084" s="101"/>
      <c r="AM1084" s="101"/>
      <c r="AN1084" s="101"/>
    </row>
    <row r="1085" spans="1:40" ht="16.5" customHeight="1" x14ac:dyDescent="0.3">
      <c r="A1085" s="69"/>
      <c r="B1085" s="69"/>
      <c r="C1085" s="69"/>
      <c r="D1085" s="69"/>
      <c r="E1085" s="69"/>
      <c r="F1085" s="69"/>
      <c r="Z1085" s="101"/>
      <c r="AA1085" s="101"/>
      <c r="AB1085" s="101"/>
      <c r="AC1085" s="101"/>
      <c r="AD1085" s="101"/>
      <c r="AE1085" s="101"/>
      <c r="AF1085" s="101"/>
      <c r="AG1085" s="101"/>
      <c r="AH1085" s="101"/>
      <c r="AI1085" s="101"/>
      <c r="AJ1085" s="101"/>
      <c r="AK1085" s="101"/>
      <c r="AL1085" s="101"/>
      <c r="AM1085" s="101"/>
      <c r="AN1085" s="101"/>
    </row>
    <row r="1086" spans="1:40" ht="16.5" customHeight="1" x14ac:dyDescent="0.3">
      <c r="A1086" s="69"/>
      <c r="B1086" s="69"/>
      <c r="C1086" s="69"/>
      <c r="D1086" s="69"/>
      <c r="E1086" s="69"/>
      <c r="F1086" s="69"/>
      <c r="Z1086" s="101"/>
      <c r="AA1086" s="101"/>
      <c r="AB1086" s="101"/>
      <c r="AC1086" s="101"/>
      <c r="AD1086" s="101"/>
      <c r="AE1086" s="101"/>
      <c r="AF1086" s="101"/>
      <c r="AG1086" s="101"/>
      <c r="AH1086" s="101"/>
      <c r="AI1086" s="101"/>
      <c r="AJ1086" s="101"/>
      <c r="AK1086" s="101"/>
      <c r="AL1086" s="101"/>
      <c r="AM1086" s="101"/>
      <c r="AN1086" s="101"/>
    </row>
    <row r="1087" spans="1:40" ht="16.5" customHeight="1" x14ac:dyDescent="0.3">
      <c r="A1087" s="69"/>
      <c r="B1087" s="69"/>
      <c r="C1087" s="69"/>
      <c r="D1087" s="69"/>
      <c r="E1087" s="69"/>
      <c r="F1087" s="69"/>
      <c r="Z1087" s="101"/>
      <c r="AA1087" s="101"/>
      <c r="AB1087" s="101"/>
      <c r="AC1087" s="101"/>
      <c r="AD1087" s="101"/>
      <c r="AE1087" s="101"/>
      <c r="AF1087" s="101"/>
      <c r="AG1087" s="101"/>
      <c r="AH1087" s="101"/>
      <c r="AI1087" s="101"/>
      <c r="AJ1087" s="101"/>
      <c r="AK1087" s="101"/>
      <c r="AL1087" s="101"/>
      <c r="AM1087" s="101"/>
      <c r="AN1087" s="101"/>
    </row>
    <row r="1088" spans="1:40" ht="16.5" customHeight="1" x14ac:dyDescent="0.3">
      <c r="A1088" s="69"/>
      <c r="B1088" s="69"/>
      <c r="C1088" s="69"/>
      <c r="D1088" s="69"/>
      <c r="E1088" s="69"/>
      <c r="F1088" s="69"/>
      <c r="Z1088" s="101"/>
      <c r="AA1088" s="101"/>
      <c r="AB1088" s="101"/>
      <c r="AC1088" s="101"/>
      <c r="AD1088" s="101"/>
      <c r="AE1088" s="101"/>
      <c r="AF1088" s="101"/>
      <c r="AG1088" s="101"/>
      <c r="AH1088" s="101"/>
      <c r="AI1088" s="101"/>
      <c r="AJ1088" s="101"/>
      <c r="AK1088" s="101"/>
      <c r="AL1088" s="101"/>
      <c r="AM1088" s="101"/>
      <c r="AN1088" s="101"/>
    </row>
    <row r="1089" spans="1:40" ht="16.5" customHeight="1" x14ac:dyDescent="0.3">
      <c r="A1089" s="69"/>
      <c r="B1089" s="69"/>
      <c r="C1089" s="69"/>
      <c r="D1089" s="69"/>
      <c r="E1089" s="69"/>
      <c r="F1089" s="69"/>
      <c r="Z1089" s="101"/>
      <c r="AA1089" s="101"/>
      <c r="AB1089" s="101"/>
      <c r="AC1089" s="101"/>
      <c r="AD1089" s="101"/>
      <c r="AE1089" s="101"/>
      <c r="AF1089" s="101"/>
      <c r="AG1089" s="101"/>
      <c r="AH1089" s="101"/>
      <c r="AI1089" s="101"/>
      <c r="AJ1089" s="101"/>
      <c r="AK1089" s="101"/>
      <c r="AL1089" s="101"/>
      <c r="AM1089" s="101"/>
      <c r="AN1089" s="101"/>
    </row>
    <row r="1090" spans="1:40" ht="16.5" customHeight="1" x14ac:dyDescent="0.3">
      <c r="A1090" s="69"/>
      <c r="B1090" s="69"/>
      <c r="C1090" s="69"/>
      <c r="D1090" s="69"/>
      <c r="E1090" s="69"/>
      <c r="F1090" s="69"/>
      <c r="Z1090" s="101"/>
      <c r="AA1090" s="101"/>
      <c r="AB1090" s="101"/>
      <c r="AC1090" s="101"/>
      <c r="AD1090" s="101"/>
      <c r="AE1090" s="101"/>
      <c r="AF1090" s="101"/>
      <c r="AG1090" s="101"/>
      <c r="AH1090" s="101"/>
      <c r="AI1090" s="101"/>
      <c r="AJ1090" s="101"/>
      <c r="AK1090" s="101"/>
      <c r="AL1090" s="101"/>
      <c r="AM1090" s="101"/>
      <c r="AN1090" s="101"/>
    </row>
    <row r="1091" spans="1:40" ht="16.5" customHeight="1" x14ac:dyDescent="0.3">
      <c r="A1091" s="69"/>
      <c r="B1091" s="69"/>
      <c r="C1091" s="69"/>
      <c r="D1091" s="69"/>
      <c r="E1091" s="69"/>
      <c r="F1091" s="69"/>
      <c r="Z1091" s="101"/>
      <c r="AA1091" s="101"/>
      <c r="AB1091" s="101"/>
      <c r="AC1091" s="101"/>
      <c r="AD1091" s="101"/>
      <c r="AE1091" s="101"/>
      <c r="AF1091" s="101"/>
      <c r="AG1091" s="101"/>
      <c r="AH1091" s="101"/>
      <c r="AI1091" s="101"/>
      <c r="AJ1091" s="101"/>
      <c r="AK1091" s="101"/>
      <c r="AL1091" s="101"/>
      <c r="AM1091" s="101"/>
      <c r="AN1091" s="101"/>
    </row>
    <row r="1092" spans="1:40" ht="16.5" customHeight="1" x14ac:dyDescent="0.3">
      <c r="A1092" s="69"/>
      <c r="B1092" s="69"/>
      <c r="C1092" s="69"/>
      <c r="D1092" s="69"/>
      <c r="E1092" s="69"/>
      <c r="F1092" s="69"/>
      <c r="Z1092" s="101"/>
      <c r="AA1092" s="101"/>
      <c r="AB1092" s="101"/>
      <c r="AC1092" s="101"/>
      <c r="AD1092" s="101"/>
      <c r="AE1092" s="101"/>
      <c r="AF1092" s="101"/>
      <c r="AG1092" s="101"/>
      <c r="AH1092" s="101"/>
      <c r="AI1092" s="101"/>
      <c r="AJ1092" s="101"/>
      <c r="AK1092" s="101"/>
      <c r="AL1092" s="101"/>
      <c r="AM1092" s="101"/>
      <c r="AN1092" s="101"/>
    </row>
    <row r="1093" spans="1:40" ht="16.5" customHeight="1" x14ac:dyDescent="0.3">
      <c r="A1093" s="69"/>
      <c r="B1093" s="69"/>
      <c r="C1093" s="69"/>
      <c r="D1093" s="69"/>
      <c r="E1093" s="69"/>
      <c r="F1093" s="69"/>
      <c r="Z1093" s="101"/>
      <c r="AA1093" s="101"/>
      <c r="AB1093" s="101"/>
      <c r="AC1093" s="101"/>
      <c r="AD1093" s="101"/>
      <c r="AE1093" s="101"/>
      <c r="AF1093" s="101"/>
      <c r="AG1093" s="101"/>
      <c r="AH1093" s="101"/>
      <c r="AI1093" s="101"/>
      <c r="AJ1093" s="101"/>
      <c r="AK1093" s="101"/>
      <c r="AL1093" s="101"/>
      <c r="AM1093" s="101"/>
      <c r="AN1093" s="101"/>
    </row>
    <row r="1094" spans="1:40" ht="16.5" customHeight="1" x14ac:dyDescent="0.3">
      <c r="A1094" s="69"/>
      <c r="B1094" s="69"/>
      <c r="C1094" s="69"/>
      <c r="D1094" s="69"/>
      <c r="E1094" s="69"/>
      <c r="F1094" s="69"/>
      <c r="Z1094" s="101"/>
      <c r="AA1094" s="101"/>
      <c r="AB1094" s="101"/>
      <c r="AC1094" s="101"/>
      <c r="AD1094" s="101"/>
      <c r="AE1094" s="101"/>
      <c r="AF1094" s="101"/>
      <c r="AG1094" s="101"/>
      <c r="AH1094" s="101"/>
      <c r="AI1094" s="101"/>
      <c r="AJ1094" s="101"/>
      <c r="AK1094" s="101"/>
      <c r="AL1094" s="101"/>
      <c r="AM1094" s="101"/>
      <c r="AN1094" s="101"/>
    </row>
    <row r="1095" spans="1:40" ht="16.5" customHeight="1" x14ac:dyDescent="0.3">
      <c r="A1095" s="69"/>
      <c r="B1095" s="69"/>
      <c r="C1095" s="69"/>
      <c r="D1095" s="69"/>
      <c r="E1095" s="69"/>
      <c r="F1095" s="69"/>
      <c r="Z1095" s="101"/>
      <c r="AA1095" s="101"/>
      <c r="AB1095" s="101"/>
      <c r="AC1095" s="101"/>
      <c r="AD1095" s="101"/>
      <c r="AE1095" s="101"/>
      <c r="AF1095" s="101"/>
      <c r="AG1095" s="101"/>
      <c r="AH1095" s="101"/>
      <c r="AI1095" s="101"/>
      <c r="AJ1095" s="101"/>
      <c r="AK1095" s="101"/>
      <c r="AL1095" s="101"/>
      <c r="AM1095" s="101"/>
      <c r="AN1095" s="101"/>
    </row>
    <row r="1096" spans="1:40" ht="16.5" customHeight="1" x14ac:dyDescent="0.3">
      <c r="A1096" s="69"/>
      <c r="B1096" s="69"/>
      <c r="C1096" s="69"/>
      <c r="D1096" s="69"/>
      <c r="E1096" s="69"/>
      <c r="F1096" s="69"/>
      <c r="Z1096" s="101"/>
      <c r="AA1096" s="101"/>
      <c r="AB1096" s="101"/>
      <c r="AC1096" s="101"/>
      <c r="AD1096" s="101"/>
      <c r="AE1096" s="101"/>
      <c r="AF1096" s="101"/>
      <c r="AG1096" s="101"/>
      <c r="AH1096" s="101"/>
      <c r="AI1096" s="101"/>
      <c r="AJ1096" s="101"/>
      <c r="AK1096" s="101"/>
      <c r="AL1096" s="101"/>
      <c r="AM1096" s="101"/>
      <c r="AN1096" s="101"/>
    </row>
    <row r="1097" spans="1:40" ht="16.5" customHeight="1" x14ac:dyDescent="0.3">
      <c r="A1097" s="69"/>
      <c r="B1097" s="69"/>
      <c r="C1097" s="69"/>
      <c r="D1097" s="69"/>
      <c r="E1097" s="69"/>
      <c r="F1097" s="69"/>
      <c r="Z1097" s="101"/>
      <c r="AA1097" s="101"/>
      <c r="AB1097" s="101"/>
      <c r="AC1097" s="101"/>
      <c r="AD1097" s="101"/>
      <c r="AE1097" s="101"/>
      <c r="AF1097" s="101"/>
      <c r="AG1097" s="101"/>
      <c r="AH1097" s="101"/>
      <c r="AI1097" s="101"/>
      <c r="AJ1097" s="101"/>
      <c r="AK1097" s="101"/>
      <c r="AL1097" s="101"/>
      <c r="AM1097" s="101"/>
      <c r="AN1097" s="101"/>
    </row>
    <row r="1098" spans="1:40" ht="16.5" customHeight="1" x14ac:dyDescent="0.3">
      <c r="A1098" s="69"/>
      <c r="B1098" s="69"/>
      <c r="C1098" s="69"/>
      <c r="D1098" s="69"/>
      <c r="E1098" s="69"/>
      <c r="F1098" s="69"/>
      <c r="Z1098" s="101"/>
      <c r="AA1098" s="101"/>
      <c r="AB1098" s="101"/>
      <c r="AC1098" s="101"/>
      <c r="AD1098" s="101"/>
      <c r="AE1098" s="101"/>
      <c r="AF1098" s="101"/>
      <c r="AG1098" s="101"/>
      <c r="AH1098" s="101"/>
      <c r="AI1098" s="101"/>
      <c r="AJ1098" s="101"/>
      <c r="AK1098" s="101"/>
      <c r="AL1098" s="101"/>
      <c r="AM1098" s="101"/>
      <c r="AN1098" s="101"/>
    </row>
    <row r="1099" spans="1:40" ht="16.5" customHeight="1" x14ac:dyDescent="0.3">
      <c r="A1099" s="69"/>
      <c r="B1099" s="69"/>
      <c r="C1099" s="69"/>
      <c r="D1099" s="69"/>
      <c r="E1099" s="69"/>
      <c r="F1099" s="69"/>
      <c r="Z1099" s="101"/>
      <c r="AA1099" s="101"/>
      <c r="AB1099" s="101"/>
      <c r="AC1099" s="101"/>
      <c r="AD1099" s="101"/>
      <c r="AE1099" s="101"/>
      <c r="AF1099" s="101"/>
      <c r="AG1099" s="101"/>
      <c r="AH1099" s="101"/>
      <c r="AI1099" s="101"/>
      <c r="AJ1099" s="101"/>
      <c r="AK1099" s="101"/>
      <c r="AL1099" s="101"/>
      <c r="AM1099" s="101"/>
      <c r="AN1099" s="101"/>
    </row>
    <row r="1100" spans="1:40" ht="16.5" customHeight="1" x14ac:dyDescent="0.3">
      <c r="A1100" s="69"/>
      <c r="B1100" s="69"/>
      <c r="C1100" s="69"/>
      <c r="D1100" s="69"/>
      <c r="E1100" s="69"/>
      <c r="F1100" s="69"/>
      <c r="Z1100" s="101"/>
      <c r="AA1100" s="101"/>
      <c r="AB1100" s="101"/>
      <c r="AC1100" s="101"/>
      <c r="AD1100" s="101"/>
      <c r="AE1100" s="101"/>
      <c r="AF1100" s="101"/>
      <c r="AG1100" s="101"/>
      <c r="AH1100" s="101"/>
      <c r="AI1100" s="101"/>
      <c r="AJ1100" s="101"/>
      <c r="AK1100" s="101"/>
      <c r="AL1100" s="101"/>
      <c r="AM1100" s="101"/>
      <c r="AN1100" s="101"/>
    </row>
    <row r="1101" spans="1:40" ht="16.5" customHeight="1" x14ac:dyDescent="0.3">
      <c r="A1101" s="69"/>
      <c r="B1101" s="69"/>
      <c r="C1101" s="69"/>
      <c r="D1101" s="69"/>
      <c r="E1101" s="69"/>
      <c r="F1101" s="69"/>
      <c r="Z1101" s="101"/>
      <c r="AA1101" s="101"/>
      <c r="AB1101" s="101"/>
      <c r="AC1101" s="101"/>
      <c r="AD1101" s="101"/>
      <c r="AE1101" s="101"/>
      <c r="AF1101" s="101"/>
      <c r="AG1101" s="101"/>
      <c r="AH1101" s="101"/>
      <c r="AI1101" s="101"/>
      <c r="AJ1101" s="101"/>
      <c r="AK1101" s="101"/>
      <c r="AL1101" s="101"/>
      <c r="AM1101" s="101"/>
      <c r="AN1101" s="101"/>
    </row>
    <row r="1102" spans="1:40" ht="16.5" customHeight="1" x14ac:dyDescent="0.3">
      <c r="A1102" s="69"/>
      <c r="B1102" s="69"/>
      <c r="C1102" s="69"/>
      <c r="D1102" s="69"/>
      <c r="E1102" s="69"/>
      <c r="F1102" s="69"/>
      <c r="Z1102" s="101"/>
      <c r="AA1102" s="101"/>
      <c r="AB1102" s="101"/>
      <c r="AC1102" s="101"/>
      <c r="AD1102" s="101"/>
      <c r="AE1102" s="101"/>
      <c r="AF1102" s="101"/>
      <c r="AG1102" s="101"/>
      <c r="AH1102" s="101"/>
      <c r="AI1102" s="101"/>
      <c r="AJ1102" s="101"/>
      <c r="AK1102" s="101"/>
      <c r="AL1102" s="101"/>
      <c r="AM1102" s="101"/>
      <c r="AN1102" s="101"/>
    </row>
    <row r="1103" spans="1:40" ht="16.5" customHeight="1" x14ac:dyDescent="0.3">
      <c r="A1103" s="74"/>
      <c r="B1103" s="74"/>
      <c r="C1103" s="74"/>
      <c r="D1103" s="74"/>
      <c r="E1103" s="74"/>
      <c r="F1103" s="74"/>
      <c r="Z1103" s="101"/>
      <c r="AA1103" s="101"/>
      <c r="AB1103" s="101"/>
      <c r="AC1103" s="101"/>
      <c r="AD1103" s="101"/>
      <c r="AE1103" s="101"/>
      <c r="AF1103" s="101"/>
      <c r="AG1103" s="101"/>
      <c r="AH1103" s="101"/>
      <c r="AI1103" s="101"/>
      <c r="AJ1103" s="101"/>
      <c r="AK1103" s="101"/>
      <c r="AL1103" s="101"/>
      <c r="AM1103" s="101"/>
      <c r="AN1103" s="101"/>
    </row>
    <row r="1104" spans="1:40" ht="16.5" customHeight="1" x14ac:dyDescent="0.3">
      <c r="A1104" s="150" t="s">
        <v>1477</v>
      </c>
      <c r="B1104" s="143"/>
      <c r="C1104" s="47">
        <f>E1104+D1104+F1104</f>
        <v>8051</v>
      </c>
      <c r="D1104" s="46">
        <f>ROUNDDOWN(SUMIF(N1007:N1063,M1104,D1007:D1063),0)</f>
        <v>6719</v>
      </c>
      <c r="E1104" s="55">
        <f>ROUNDDOWN(SUMIF(N1007:N1063,M1104,E1007:E1063),0)</f>
        <v>850</v>
      </c>
      <c r="F1104" s="47">
        <f>ROUNDDOWN(SUMIF(N1007:N1063,M1104,F1007:F1063),0)</f>
        <v>482</v>
      </c>
      <c r="M1104" s="35" t="s">
        <v>1209</v>
      </c>
      <c r="Z1104" s="101"/>
      <c r="AA1104" s="101"/>
      <c r="AB1104" s="101"/>
      <c r="AC1104" s="101"/>
      <c r="AD1104" s="101"/>
      <c r="AE1104" s="101"/>
      <c r="AF1104" s="101"/>
      <c r="AG1104" s="101"/>
      <c r="AH1104" s="101"/>
      <c r="AI1104" s="101"/>
      <c r="AJ1104" s="101"/>
      <c r="AK1104" s="101"/>
      <c r="AL1104" s="101"/>
      <c r="AM1104" s="101"/>
      <c r="AN1104" s="101"/>
    </row>
    <row r="1105" spans="1:40" ht="16.5" customHeight="1" x14ac:dyDescent="0.3">
      <c r="A1105" s="86" t="s">
        <v>75</v>
      </c>
      <c r="B1105" s="88" t="s">
        <v>75</v>
      </c>
      <c r="C1105" s="151">
        <f>C1154</f>
        <v>30791</v>
      </c>
      <c r="D1105" s="151">
        <f>D1154</f>
        <v>27994</v>
      </c>
      <c r="E1105" s="151">
        <f>E1154</f>
        <v>1314</v>
      </c>
      <c r="F1105" s="151">
        <f>F1154</f>
        <v>1483</v>
      </c>
      <c r="G1105" s="84" t="str">
        <f>HYPERLINK("#G"&amp;ROW(G1138),"_x0005_`BDCOD|D04433_x0007_`POSS|"&amp;ROW(G1107)&amp;"_x0007_`POSE|"&amp;ROW(G1138)&amp;"_x0007_`")</f>
        <v>_x0005_`BDCOD|D04433_x0007_`POSS|1107_x0007_`POSE|1138_x0007_`</v>
      </c>
      <c r="Z1105" s="101"/>
      <c r="AA1105" s="101"/>
      <c r="AB1105" s="101"/>
      <c r="AC1105" s="101"/>
      <c r="AD1105" s="101"/>
      <c r="AE1105" s="101"/>
      <c r="AF1105" s="101"/>
      <c r="AG1105" s="101"/>
      <c r="AH1105" s="101"/>
      <c r="AI1105" s="101"/>
      <c r="AJ1105" s="101"/>
      <c r="AK1105" s="101"/>
      <c r="AL1105" s="101"/>
      <c r="AM1105" s="101"/>
      <c r="AN1105" s="101"/>
    </row>
    <row r="1106" spans="1:40" ht="16.5" customHeight="1" x14ac:dyDescent="0.3">
      <c r="A1106" s="87"/>
      <c r="B1106" s="88" t="s">
        <v>171</v>
      </c>
      <c r="C1106" s="136"/>
      <c r="D1106" s="136"/>
      <c r="E1106" s="136"/>
      <c r="F1106" s="136"/>
      <c r="M1106" s="35" t="s">
        <v>1903</v>
      </c>
      <c r="Z1106" s="101"/>
      <c r="AA1106" s="101"/>
      <c r="AB1106" s="101"/>
      <c r="AC1106" s="101"/>
      <c r="AD1106" s="101"/>
      <c r="AE1106" s="101"/>
      <c r="AF1106" s="101"/>
      <c r="AG1106" s="101"/>
      <c r="AH1106" s="101"/>
      <c r="AI1106" s="101"/>
      <c r="AJ1106" s="101"/>
      <c r="AK1106" s="101"/>
      <c r="AL1106" s="101"/>
      <c r="AM1106" s="101"/>
      <c r="AN1106" s="101"/>
    </row>
    <row r="1107" spans="1:40" ht="16.5" customHeight="1" x14ac:dyDescent="0.3">
      <c r="A1107" s="59"/>
      <c r="B1107" s="68" t="s">
        <v>1905</v>
      </c>
      <c r="C1107" s="90"/>
      <c r="D1107" s="90"/>
      <c r="E1107" s="90"/>
      <c r="F1107" s="90"/>
      <c r="G1107" s="17" t="s">
        <v>1904</v>
      </c>
      <c r="Z1107" s="101"/>
      <c r="AA1107" s="101"/>
      <c r="AB1107" s="101"/>
      <c r="AC1107" s="101"/>
      <c r="AD1107" s="101"/>
      <c r="AE1107" s="101"/>
      <c r="AF1107" s="101"/>
      <c r="AG1107" s="101"/>
      <c r="AH1107" s="101"/>
      <c r="AI1107" s="101"/>
      <c r="AJ1107" s="101"/>
      <c r="AK1107" s="101"/>
      <c r="AL1107" s="101"/>
      <c r="AM1107" s="101"/>
      <c r="AN1107" s="101"/>
    </row>
    <row r="1108" spans="1:40" ht="16.5" customHeight="1" x14ac:dyDescent="0.3">
      <c r="A1108" s="69"/>
      <c r="B1108" s="69"/>
      <c r="C1108" s="69"/>
      <c r="D1108" s="69"/>
      <c r="E1108" s="69"/>
      <c r="F1108" s="69"/>
      <c r="G1108" s="17" t="s">
        <v>1512</v>
      </c>
      <c r="Z1108" s="101"/>
      <c r="AA1108" s="101"/>
      <c r="AB1108" s="101"/>
      <c r="AC1108" s="101"/>
      <c r="AD1108" s="101"/>
      <c r="AE1108" s="101"/>
      <c r="AF1108" s="101"/>
      <c r="AG1108" s="101"/>
      <c r="AH1108" s="101"/>
      <c r="AI1108" s="101"/>
      <c r="AJ1108" s="101"/>
      <c r="AK1108" s="101"/>
      <c r="AL1108" s="101"/>
      <c r="AM1108" s="101"/>
      <c r="AN1108" s="101"/>
    </row>
    <row r="1109" spans="1:40" ht="16.5" customHeight="1" x14ac:dyDescent="0.3">
      <c r="A1109" s="59"/>
      <c r="B1109" s="68" t="str">
        <f>" Q1 = "&amp;Z1109&amp;" 인 /"&amp;AB1109&amp;" hr/일 = "&amp;AD1109&amp;" hr/일 "</f>
        <v xml:space="preserve"> Q1 = 3 인 /8 hr/일 = 0.375 hr/일 </v>
      </c>
      <c r="C1109" s="69"/>
      <c r="D1109" s="69"/>
      <c r="E1109" s="69"/>
      <c r="F1109" s="69"/>
      <c r="G1109" s="17" t="s">
        <v>1906</v>
      </c>
      <c r="Z1109" s="102">
        <v>3</v>
      </c>
      <c r="AA1109" s="35" t="s">
        <v>1413</v>
      </c>
      <c r="AB1109" s="102">
        <v>8</v>
      </c>
      <c r="AC1109" s="35" t="s">
        <v>1410</v>
      </c>
      <c r="AD1109" s="103" t="str">
        <f>TEXT(ROUND(Z1109/AB1109,3),"#,0.000")</f>
        <v>0.375</v>
      </c>
      <c r="AE1109" s="101"/>
      <c r="AF1109" s="101"/>
      <c r="AG1109" s="101"/>
      <c r="AH1109" s="101"/>
      <c r="AI1109" s="101"/>
      <c r="AJ1109" s="101"/>
      <c r="AK1109" s="101"/>
      <c r="AL1109" s="101"/>
      <c r="AM1109" s="101"/>
      <c r="AN1109" s="101"/>
    </row>
    <row r="1110" spans="1:40" ht="16.5" customHeight="1" x14ac:dyDescent="0.3">
      <c r="A1110" s="69"/>
      <c r="B1110" s="69"/>
      <c r="C1110" s="69"/>
      <c r="D1110" s="69"/>
      <c r="E1110" s="69"/>
      <c r="F1110" s="69"/>
      <c r="G1110" s="17" t="s">
        <v>1405</v>
      </c>
      <c r="Z1110" s="101"/>
      <c r="AA1110" s="101"/>
      <c r="AB1110" s="101"/>
      <c r="AC1110" s="101"/>
      <c r="AD1110" s="101"/>
      <c r="AE1110" s="101"/>
      <c r="AF1110" s="101"/>
      <c r="AG1110" s="101"/>
      <c r="AH1110" s="101"/>
      <c r="AI1110" s="101"/>
      <c r="AJ1110" s="101"/>
      <c r="AK1110" s="101"/>
      <c r="AL1110" s="101"/>
      <c r="AM1110" s="101"/>
      <c r="AN1110" s="101"/>
    </row>
    <row r="1111" spans="1:40" ht="16.5" customHeight="1" x14ac:dyDescent="0.3">
      <c r="A1111" s="59"/>
      <c r="B1111" s="68" t="str">
        <f>" Q2 = "&amp;Z1111&amp;" 인 /"&amp;AB1111&amp;" hr/일 = "&amp;AD1111&amp;" hr/일 "</f>
        <v xml:space="preserve"> Q2 = 1 인 /8 hr/일 = 0.125 hr/일 </v>
      </c>
      <c r="C1111" s="69"/>
      <c r="D1111" s="69"/>
      <c r="E1111" s="69"/>
      <c r="F1111" s="69"/>
      <c r="G1111" s="17" t="s">
        <v>1712</v>
      </c>
      <c r="Z1111" s="102">
        <v>1</v>
      </c>
      <c r="AA1111" s="35" t="s">
        <v>1413</v>
      </c>
      <c r="AB1111" s="102">
        <v>8</v>
      </c>
      <c r="AC1111" s="35" t="s">
        <v>1410</v>
      </c>
      <c r="AD1111" s="103" t="str">
        <f>TEXT(ROUND(Z1111/AB1111,3),"#,0.000")</f>
        <v>0.125</v>
      </c>
      <c r="AE1111" s="101"/>
      <c r="AF1111" s="101"/>
      <c r="AG1111" s="101"/>
      <c r="AH1111" s="101"/>
      <c r="AI1111" s="101"/>
      <c r="AJ1111" s="101"/>
      <c r="AK1111" s="101"/>
      <c r="AL1111" s="101"/>
      <c r="AM1111" s="101"/>
      <c r="AN1111" s="101"/>
    </row>
    <row r="1112" spans="1:40" ht="16.5" customHeight="1" x14ac:dyDescent="0.3">
      <c r="A1112" s="69"/>
      <c r="B1112" s="69"/>
      <c r="C1112" s="69"/>
      <c r="D1112" s="69"/>
      <c r="E1112" s="69"/>
      <c r="F1112" s="69"/>
      <c r="G1112" s="17" t="s">
        <v>1405</v>
      </c>
      <c r="Z1112" s="101"/>
      <c r="AA1112" s="101"/>
      <c r="AB1112" s="101"/>
      <c r="AC1112" s="101"/>
      <c r="AD1112" s="101"/>
      <c r="AE1112" s="101"/>
      <c r="AF1112" s="101"/>
      <c r="AG1112" s="101"/>
      <c r="AH1112" s="101"/>
      <c r="AI1112" s="101"/>
      <c r="AJ1112" s="101"/>
      <c r="AK1112" s="101"/>
      <c r="AL1112" s="101"/>
      <c r="AM1112" s="101"/>
      <c r="AN1112" s="101"/>
    </row>
    <row r="1113" spans="1:40" ht="16.5" customHeight="1" x14ac:dyDescent="0.3">
      <c r="A1113" s="59"/>
      <c r="B1113" s="68" t="str">
        <f>" Q = "&amp;Z1113&amp;" m/일 /"&amp;AB1113&amp;" hr/일 = "&amp;AD1113&amp;" m/hr "</f>
        <v xml:space="preserve"> Q = 110 m/일 /8 hr/일 = 13.750 m/hr </v>
      </c>
      <c r="C1113" s="69"/>
      <c r="D1113" s="69"/>
      <c r="E1113" s="69"/>
      <c r="F1113" s="69"/>
      <c r="G1113" s="17" t="s">
        <v>1907</v>
      </c>
      <c r="Z1113" s="102">
        <v>110</v>
      </c>
      <c r="AA1113" s="35" t="s">
        <v>1413</v>
      </c>
      <c r="AB1113" s="102">
        <v>8</v>
      </c>
      <c r="AC1113" s="35" t="s">
        <v>1410</v>
      </c>
      <c r="AD1113" s="103" t="str">
        <f>TEXT(ROUND(Z1113/AB1113,3),"#,0.000")</f>
        <v>13.750</v>
      </c>
      <c r="AE1113" s="101"/>
      <c r="AF1113" s="101"/>
      <c r="AG1113" s="101"/>
      <c r="AH1113" s="101"/>
      <c r="AI1113" s="101"/>
      <c r="AJ1113" s="101"/>
      <c r="AK1113" s="101"/>
      <c r="AL1113" s="101"/>
      <c r="AM1113" s="101"/>
      <c r="AN1113" s="101"/>
    </row>
    <row r="1114" spans="1:40" ht="16.5" customHeight="1" x14ac:dyDescent="0.3">
      <c r="A1114" s="69"/>
      <c r="B1114" s="69"/>
      <c r="C1114" s="69"/>
      <c r="D1114" s="69"/>
      <c r="E1114" s="69"/>
      <c r="F1114" s="69"/>
      <c r="G1114" s="17" t="s">
        <v>1405</v>
      </c>
      <c r="Z1114" s="101"/>
      <c r="AA1114" s="101"/>
      <c r="AB1114" s="101"/>
      <c r="AC1114" s="101"/>
      <c r="AD1114" s="101"/>
      <c r="AE1114" s="101"/>
      <c r="AF1114" s="101"/>
      <c r="AG1114" s="101"/>
      <c r="AH1114" s="101"/>
      <c r="AI1114" s="101"/>
      <c r="AJ1114" s="101"/>
      <c r="AK1114" s="101"/>
      <c r="AL1114" s="101"/>
      <c r="AM1114" s="101"/>
      <c r="AN1114" s="101"/>
    </row>
    <row r="1115" spans="1:40" ht="16.5" customHeight="1" x14ac:dyDescent="0.3">
      <c r="A1115" s="59"/>
      <c r="B1115" s="68" t="s">
        <v>1909</v>
      </c>
      <c r="C1115" s="69"/>
      <c r="D1115" s="69"/>
      <c r="E1115" s="69"/>
      <c r="F1115" s="69"/>
      <c r="G1115" s="17" t="s">
        <v>1908</v>
      </c>
      <c r="Z1115" s="101"/>
      <c r="AA1115" s="101"/>
      <c r="AB1115" s="101"/>
      <c r="AC1115" s="101"/>
      <c r="AD1115" s="101"/>
      <c r="AE1115" s="101"/>
      <c r="AF1115" s="101"/>
      <c r="AG1115" s="101"/>
      <c r="AH1115" s="101"/>
      <c r="AI1115" s="101"/>
      <c r="AJ1115" s="101"/>
      <c r="AK1115" s="101"/>
      <c r="AL1115" s="101"/>
      <c r="AM1115" s="101"/>
      <c r="AN1115" s="101"/>
    </row>
    <row r="1116" spans="1:40" ht="16.5" customHeight="1" x14ac:dyDescent="0.3">
      <c r="A1116" s="69"/>
      <c r="B1116" s="69"/>
      <c r="C1116" s="69"/>
      <c r="D1116" s="69"/>
      <c r="E1116" s="69"/>
      <c r="F1116" s="69"/>
      <c r="G1116" s="17" t="s">
        <v>1405</v>
      </c>
      <c r="Z1116" s="101"/>
      <c r="AA1116" s="101"/>
      <c r="AB1116" s="101"/>
      <c r="AC1116" s="101"/>
      <c r="AD1116" s="101"/>
      <c r="AE1116" s="101"/>
      <c r="AF1116" s="101"/>
      <c r="AG1116" s="101"/>
      <c r="AH1116" s="101"/>
      <c r="AI1116" s="101"/>
      <c r="AJ1116" s="101"/>
      <c r="AK1116" s="101"/>
      <c r="AL1116" s="101"/>
      <c r="AM1116" s="101"/>
      <c r="AN1116" s="101"/>
    </row>
    <row r="1117" spans="1:40" ht="16.5" customHeight="1" x14ac:dyDescent="0.3">
      <c r="A1117" s="69"/>
      <c r="B1117" s="69"/>
      <c r="C1117" s="69"/>
      <c r="D1117" s="69"/>
      <c r="E1117" s="69"/>
      <c r="F1117" s="69"/>
      <c r="G1117" s="17" t="s">
        <v>1405</v>
      </c>
      <c r="Z1117" s="101"/>
      <c r="AA1117" s="101"/>
      <c r="AB1117" s="101"/>
      <c r="AC1117" s="101"/>
      <c r="AD1117" s="101"/>
      <c r="AE1117" s="101"/>
      <c r="AF1117" s="101"/>
      <c r="AG1117" s="101"/>
      <c r="AH1117" s="101"/>
      <c r="AI1117" s="101"/>
      <c r="AJ1117" s="101"/>
      <c r="AK1117" s="101"/>
      <c r="AL1117" s="101"/>
      <c r="AM1117" s="101"/>
      <c r="AN1117" s="101"/>
    </row>
    <row r="1118" spans="1:40" ht="16.5" customHeight="1" x14ac:dyDescent="0.3">
      <c r="A1118" s="59"/>
      <c r="B1118" s="68" t="s">
        <v>1911</v>
      </c>
      <c r="C1118" s="69"/>
      <c r="D1118" s="69"/>
      <c r="E1118" s="69"/>
      <c r="F1118" s="69"/>
      <c r="G1118" s="17" t="s">
        <v>1910</v>
      </c>
      <c r="Z1118" s="101"/>
      <c r="AA1118" s="101"/>
      <c r="AB1118" s="101"/>
      <c r="AC1118" s="101"/>
      <c r="AD1118" s="101"/>
      <c r="AE1118" s="101"/>
      <c r="AF1118" s="101"/>
      <c r="AG1118" s="101"/>
      <c r="AH1118" s="101"/>
      <c r="AI1118" s="101"/>
      <c r="AJ1118" s="101"/>
      <c r="AK1118" s="101"/>
      <c r="AL1118" s="101"/>
      <c r="AM1118" s="101"/>
      <c r="AN1118" s="101"/>
    </row>
    <row r="1119" spans="1:40" ht="16.5" customHeight="1" x14ac:dyDescent="0.3">
      <c r="A1119" s="69"/>
      <c r="B1119" s="69"/>
      <c r="C1119" s="69"/>
      <c r="D1119" s="69"/>
      <c r="E1119" s="69"/>
      <c r="F1119" s="69"/>
      <c r="G1119" s="17" t="s">
        <v>1405</v>
      </c>
      <c r="Z1119" s="101"/>
      <c r="AA1119" s="101"/>
      <c r="AB1119" s="101"/>
      <c r="AC1119" s="101"/>
      <c r="AD1119" s="101"/>
      <c r="AE1119" s="101"/>
      <c r="AF1119" s="101"/>
      <c r="AG1119" s="101"/>
      <c r="AH1119" s="101"/>
      <c r="AI1119" s="101"/>
      <c r="AJ1119" s="101"/>
      <c r="AK1119" s="101"/>
      <c r="AL1119" s="101"/>
      <c r="AM1119" s="101"/>
      <c r="AN1119" s="101"/>
    </row>
    <row r="1120" spans="1:40" ht="16.5" customHeight="1" x14ac:dyDescent="0.3">
      <c r="A1120" s="59"/>
      <c r="B1120" s="68" t="s">
        <v>1913</v>
      </c>
      <c r="C1120" s="69"/>
      <c r="D1120" s="69"/>
      <c r="E1120" s="69"/>
      <c r="F1120" s="69"/>
      <c r="G1120" s="17" t="s">
        <v>1912</v>
      </c>
      <c r="Z1120" s="101"/>
      <c r="AA1120" s="101"/>
      <c r="AB1120" s="101"/>
      <c r="AC1120" s="101"/>
      <c r="AD1120" s="101"/>
      <c r="AE1120" s="101"/>
      <c r="AF1120" s="101"/>
      <c r="AG1120" s="101"/>
      <c r="AH1120" s="101"/>
      <c r="AI1120" s="101"/>
      <c r="AJ1120" s="101"/>
      <c r="AK1120" s="101"/>
      <c r="AL1120" s="101"/>
      <c r="AM1120" s="101"/>
      <c r="AN1120" s="101"/>
    </row>
    <row r="1121" spans="1:40" ht="16.5" customHeight="1" x14ac:dyDescent="0.3">
      <c r="A1121" s="69"/>
      <c r="B1121" s="69"/>
      <c r="C1121" s="69"/>
      <c r="D1121" s="69"/>
      <c r="E1121" s="69"/>
      <c r="F1121" s="69"/>
      <c r="G1121" s="17" t="s">
        <v>1405</v>
      </c>
      <c r="Z1121" s="101"/>
      <c r="AA1121" s="101"/>
      <c r="AB1121" s="101"/>
      <c r="AC1121" s="101"/>
      <c r="AD1121" s="101"/>
      <c r="AE1121" s="101"/>
      <c r="AF1121" s="101"/>
      <c r="AG1121" s="101"/>
      <c r="AH1121" s="101"/>
      <c r="AI1121" s="101"/>
      <c r="AJ1121" s="101"/>
      <c r="AK1121" s="101"/>
      <c r="AL1121" s="101"/>
      <c r="AM1121" s="101"/>
      <c r="AN1121" s="101"/>
    </row>
    <row r="1122" spans="1:40" ht="16.5" customHeight="1" x14ac:dyDescent="0.3">
      <c r="A1122" s="59" t="s">
        <v>1416</v>
      </c>
      <c r="B1122" s="89" t="str">
        <f>" 1)특별인부: "&amp;Z1122&amp;" 인 *"&amp;TEXT(I1122,"#,##0"&amp;IF(I1122&lt;&gt;INT(I1122),".###",""))&amp;"*Q1/Q= "&amp;TEXT(C1122,"#,##0.0")&amp;""</f>
        <v xml:space="preserve"> 1)특별인부: 3 인 *226,122*Q1/Q= 18,500.8</v>
      </c>
      <c r="C1122" s="91">
        <f>E1122+D1122+F1122</f>
        <v>18500.8</v>
      </c>
      <c r="D1122" s="91">
        <f>IF(H1122=0,0,ROUNDDOWN(J1122*H1122,1))</f>
        <v>18500.8</v>
      </c>
      <c r="E1122" s="91">
        <f>IF(H1122=0,0,ROUNDDOWN(K1122*H1122,1))</f>
        <v>0</v>
      </c>
      <c r="F1122" s="91">
        <f>IF(H1122=0,0,ROUNDDOWN(L1122*H1122,1))</f>
        <v>0</v>
      </c>
      <c r="G1122" s="17" t="s">
        <v>1914</v>
      </c>
      <c r="H1122" s="97">
        <f>ROUNDUP(AF1122,14-LEN(ABS(INT(AF1122))))</f>
        <v>8.1818181818199998E-2</v>
      </c>
      <c r="I1122" s="98">
        <f>K1122+J1122+L1122</f>
        <v>226122</v>
      </c>
      <c r="J1122" s="38">
        <f>노무비목록표!E13</f>
        <v>226122</v>
      </c>
      <c r="M1122" s="35" t="s">
        <v>1215</v>
      </c>
      <c r="N1122" s="35" t="s">
        <v>1262</v>
      </c>
      <c r="X1122" s="100" t="str">
        <f>노무비목록표!B13&amp;" / "&amp;노무비목록표!C13</f>
        <v xml:space="preserve">특별인부 / </v>
      </c>
      <c r="Y1122" s="3" t="str">
        <f ca="1">HYPERLINK("#"&amp;노무비목록표!G2&amp;"!A"&amp;ROW(노무비목록표!A13),"노무10 →")</f>
        <v>노무10 →</v>
      </c>
      <c r="Z1122" s="102">
        <v>3</v>
      </c>
      <c r="AA1122" s="35" t="s">
        <v>1570</v>
      </c>
      <c r="AB1122" s="103" t="str">
        <f>AD1109</f>
        <v>0.375</v>
      </c>
      <c r="AC1122" s="35" t="s">
        <v>1413</v>
      </c>
      <c r="AD1122" s="103" t="str">
        <f>AD1113</f>
        <v>13.750</v>
      </c>
      <c r="AE1122" s="35" t="s">
        <v>1410</v>
      </c>
      <c r="AF1122" s="103">
        <f>Z1122*1*AD1109/AD1113</f>
        <v>8.1818181818181818E-2</v>
      </c>
      <c r="AG1122" s="101"/>
      <c r="AH1122" s="101"/>
      <c r="AI1122" s="101"/>
      <c r="AJ1122" s="101"/>
      <c r="AK1122" s="101"/>
      <c r="AL1122" s="101"/>
      <c r="AM1122" s="101"/>
      <c r="AN1122" s="101"/>
    </row>
    <row r="1123" spans="1:40" ht="16.5" customHeight="1" x14ac:dyDescent="0.3">
      <c r="A1123" s="69"/>
      <c r="B1123" s="69"/>
      <c r="C1123" s="69"/>
      <c r="D1123" s="69"/>
      <c r="E1123" s="69"/>
      <c r="F1123" s="69"/>
      <c r="G1123" s="17" t="s">
        <v>1405</v>
      </c>
      <c r="Z1123" s="101"/>
      <c r="AA1123" s="101"/>
      <c r="AB1123" s="101"/>
      <c r="AC1123" s="101"/>
      <c r="AD1123" s="101"/>
      <c r="AE1123" s="101"/>
      <c r="AF1123" s="101"/>
      <c r="AG1123" s="101"/>
      <c r="AH1123" s="101"/>
      <c r="AI1123" s="101"/>
      <c r="AJ1123" s="101"/>
      <c r="AK1123" s="101"/>
      <c r="AL1123" s="101"/>
      <c r="AM1123" s="101"/>
      <c r="AN1123" s="101"/>
    </row>
    <row r="1124" spans="1:40" ht="16.5" customHeight="1" x14ac:dyDescent="0.3">
      <c r="A1124" s="59" t="s">
        <v>1419</v>
      </c>
      <c r="B1124" s="89" t="str">
        <f>" 2)보통인부: "&amp;Z1124&amp;" 인 *"&amp;TEXT(I1124,"#,##0"&amp;IF(I1124&lt;&gt;INT(I1124),".###",""))&amp;"*Q2/Q= "&amp;TEXT(C1124,"#,##0.0")&amp;""</f>
        <v xml:space="preserve"> 2)보통인부: 1 인 *172,068*Q2/Q= 1,564.2</v>
      </c>
      <c r="C1124" s="91">
        <f>E1124+D1124+F1124</f>
        <v>1564.2</v>
      </c>
      <c r="D1124" s="91">
        <f>IF(H1124=0,0,ROUNDDOWN(J1124*H1124,1))</f>
        <v>1564.2</v>
      </c>
      <c r="E1124" s="91">
        <f>IF(H1124=0,0,ROUNDDOWN(K1124*H1124,1))</f>
        <v>0</v>
      </c>
      <c r="F1124" s="91">
        <f>IF(H1124=0,0,ROUNDDOWN(L1124*H1124,1))</f>
        <v>0</v>
      </c>
      <c r="G1124" s="17" t="s">
        <v>1915</v>
      </c>
      <c r="H1124" s="97">
        <f>ROUNDUP(AF1124,14-LEN(ABS(INT(AF1124))))</f>
        <v>9.0909090910000004E-3</v>
      </c>
      <c r="I1124" s="98">
        <f>K1124+J1124+L1124</f>
        <v>172068</v>
      </c>
      <c r="J1124" s="38">
        <f>노무비목록표!E8</f>
        <v>172068</v>
      </c>
      <c r="M1124" s="35" t="s">
        <v>1219</v>
      </c>
      <c r="N1124" s="35" t="s">
        <v>1262</v>
      </c>
      <c r="X1124" s="100" t="str">
        <f>노무비목록표!B8&amp;" / "&amp;노무비목록표!C8</f>
        <v xml:space="preserve">보통인부 / </v>
      </c>
      <c r="Y1124" s="3" t="str">
        <f ca="1">HYPERLINK("#"&amp;노무비목록표!G2&amp;"!A"&amp;ROW(노무비목록표!A8),"노무5 →")</f>
        <v>노무5 →</v>
      </c>
      <c r="Z1124" s="102">
        <v>1</v>
      </c>
      <c r="AA1124" s="35" t="s">
        <v>1570</v>
      </c>
      <c r="AB1124" s="103" t="str">
        <f>AD1111</f>
        <v>0.125</v>
      </c>
      <c r="AC1124" s="35" t="s">
        <v>1413</v>
      </c>
      <c r="AD1124" s="103" t="str">
        <f>AD1113</f>
        <v>13.750</v>
      </c>
      <c r="AE1124" s="35" t="s">
        <v>1410</v>
      </c>
      <c r="AF1124" s="103">
        <f>Z1124*1*AD1111/AD1113</f>
        <v>9.0909090909090905E-3</v>
      </c>
      <c r="AG1124" s="101"/>
      <c r="AH1124" s="101"/>
      <c r="AI1124" s="101"/>
      <c r="AJ1124" s="101"/>
      <c r="AK1124" s="101"/>
      <c r="AL1124" s="101"/>
      <c r="AM1124" s="101"/>
      <c r="AN1124" s="101"/>
    </row>
    <row r="1125" spans="1:40" ht="16.5" customHeight="1" x14ac:dyDescent="0.3">
      <c r="A1125" s="69"/>
      <c r="B1125" s="69"/>
      <c r="C1125" s="69"/>
      <c r="D1125" s="69"/>
      <c r="E1125" s="69"/>
      <c r="F1125" s="69"/>
      <c r="G1125" s="17" t="s">
        <v>1405</v>
      </c>
      <c r="Z1125" s="101"/>
      <c r="AA1125" s="101"/>
      <c r="AB1125" s="101"/>
      <c r="AC1125" s="101"/>
      <c r="AD1125" s="101"/>
      <c r="AE1125" s="101"/>
      <c r="AF1125" s="101"/>
      <c r="AG1125" s="101"/>
      <c r="AH1125" s="101"/>
      <c r="AI1125" s="101"/>
      <c r="AJ1125" s="101"/>
      <c r="AK1125" s="101"/>
      <c r="AL1125" s="101"/>
      <c r="AM1125" s="101"/>
      <c r="AN1125" s="101"/>
    </row>
    <row r="1126" spans="1:40" ht="16.5" customHeight="1" x14ac:dyDescent="0.3">
      <c r="A1126" s="59" t="s">
        <v>266</v>
      </c>
      <c r="B1126" s="89" t="str">
        <f>" 3) 굴착기(0.2㎥): "&amp;TEXT(I1126,"#,##0"&amp;IF(I1126&lt;&gt;INT(I1126),".###",""))&amp;"/Q = "&amp;TEXT(C1126,"#,##0.0")&amp;""</f>
        <v xml:space="preserve"> 3) 굴착기(0.2㎥): 83,776/Q = 6,092.6</v>
      </c>
      <c r="C1126" s="91">
        <f>E1126+D1126+F1126</f>
        <v>6092.5999999999995</v>
      </c>
      <c r="D1126" s="91">
        <f>IF(H1126=0,0,ROUNDDOWN(J1126*H1126,1))</f>
        <v>4292.3</v>
      </c>
      <c r="E1126" s="91">
        <f>IF(H1126=0,0,ROUNDDOWN(K1126*H1126,1))</f>
        <v>791.4</v>
      </c>
      <c r="F1126" s="91">
        <f>IF(H1126=0,0,ROUNDDOWN(L1126*H1126,1))</f>
        <v>1008.9</v>
      </c>
      <c r="G1126" s="17" t="s">
        <v>1916</v>
      </c>
      <c r="H1126" s="97">
        <f>ROUNDUP(AC1126,14-LEN(ABS(INT(AC1126))))</f>
        <v>7.2727272727300007E-2</v>
      </c>
      <c r="I1126" s="98">
        <f>K1126+J1126+L1126</f>
        <v>83776</v>
      </c>
      <c r="J1126" s="38">
        <f>중기목록표!F5</f>
        <v>59020</v>
      </c>
      <c r="K1126" s="38">
        <f>중기목록표!G5</f>
        <v>10883</v>
      </c>
      <c r="L1126" s="38">
        <f>중기목록표!H5</f>
        <v>13873</v>
      </c>
      <c r="M1126" s="35" t="s">
        <v>1222</v>
      </c>
      <c r="N1126" s="35" t="s">
        <v>1262</v>
      </c>
      <c r="X1126" s="100" t="str">
        <f>중기목록표!B5&amp;" / "&amp;중기목록표!C5</f>
        <v>굴착기(무한궤도) / 0.2㎥</v>
      </c>
      <c r="Y1126" s="3" t="str">
        <f ca="1">HYPERLINK("#"&amp;중기목록표!J2&amp;"!A"&amp;ROW(중기목록표!A5),"중기2 →")</f>
        <v>중기2 →</v>
      </c>
      <c r="Z1126" s="35" t="s">
        <v>1417</v>
      </c>
      <c r="AA1126" s="103" t="str">
        <f>AD1113</f>
        <v>13.750</v>
      </c>
      <c r="AB1126" s="35" t="s">
        <v>1410</v>
      </c>
      <c r="AC1126" s="103">
        <f>1/AD1113</f>
        <v>7.2727272727272724E-2</v>
      </c>
      <c r="AD1126" s="101"/>
      <c r="AE1126" s="101"/>
      <c r="AF1126" s="101"/>
      <c r="AG1126" s="101"/>
      <c r="AH1126" s="101"/>
      <c r="AI1126" s="101"/>
      <c r="AJ1126" s="101"/>
      <c r="AK1126" s="101"/>
      <c r="AL1126" s="101"/>
      <c r="AM1126" s="101"/>
      <c r="AN1126" s="101"/>
    </row>
    <row r="1127" spans="1:40" ht="16.5" customHeight="1" x14ac:dyDescent="0.3">
      <c r="A1127" s="69"/>
      <c r="B1127" s="69"/>
      <c r="C1127" s="69"/>
      <c r="D1127" s="69"/>
      <c r="E1127" s="69"/>
      <c r="F1127" s="69"/>
      <c r="G1127" s="17" t="s">
        <v>1405</v>
      </c>
      <c r="Z1127" s="101"/>
      <c r="AA1127" s="101"/>
      <c r="AB1127" s="101"/>
      <c r="AC1127" s="101"/>
      <c r="AD1127" s="101"/>
      <c r="AE1127" s="101"/>
      <c r="AF1127" s="101"/>
      <c r="AG1127" s="101"/>
      <c r="AH1127" s="101"/>
      <c r="AI1127" s="101"/>
      <c r="AJ1127" s="101"/>
      <c r="AK1127" s="101"/>
      <c r="AL1127" s="101"/>
      <c r="AM1127" s="101"/>
      <c r="AN1127" s="101"/>
    </row>
    <row r="1128" spans="1:40" ht="16.5" customHeight="1" x14ac:dyDescent="0.3">
      <c r="A1128" s="59" t="s">
        <v>295</v>
      </c>
      <c r="B1128" s="89" t="str">
        <f>" 4) 트럭(2.5ton):  "&amp;TEXT(I1128,"#,##0"&amp;IF(I1128&lt;&gt;INT(I1128),".###",""))&amp;"/Q = "&amp;TEXT(C1128,"#,##0.0")&amp;""</f>
        <v xml:space="preserve"> 4) 트럭(2.5ton):  63,499/Q = 4,618.0</v>
      </c>
      <c r="C1128" s="91">
        <f>E1128+D1128+F1128</f>
        <v>4618</v>
      </c>
      <c r="D1128" s="91">
        <f>IF(H1128=0,0,ROUNDDOWN(J1128*H1128,1))</f>
        <v>3620.2</v>
      </c>
      <c r="E1128" s="91">
        <f>IF(H1128=0,0,ROUNDDOWN(K1128*H1128,1))</f>
        <v>523.5</v>
      </c>
      <c r="F1128" s="91">
        <f>IF(H1128=0,0,ROUNDDOWN(L1128*H1128,1))</f>
        <v>474.3</v>
      </c>
      <c r="G1128" s="17" t="s">
        <v>1917</v>
      </c>
      <c r="H1128" s="97">
        <f>ROUNDUP(AC1128,14-LEN(ABS(INT(AC1128))))</f>
        <v>7.2727272727300007E-2</v>
      </c>
      <c r="I1128" s="98">
        <f>K1128+J1128+L1128</f>
        <v>63499</v>
      </c>
      <c r="J1128" s="38">
        <f>중기목록표!F14</f>
        <v>49778</v>
      </c>
      <c r="K1128" s="38">
        <f>중기목록표!G14</f>
        <v>7199</v>
      </c>
      <c r="L1128" s="38">
        <f>중기목록표!H14</f>
        <v>6522</v>
      </c>
      <c r="M1128" s="35" t="s">
        <v>1225</v>
      </c>
      <c r="N1128" s="35" t="s">
        <v>1262</v>
      </c>
      <c r="X1128" s="100" t="str">
        <f>중기목록표!B14&amp;" / "&amp;중기목록표!C14</f>
        <v>덤프트럭 / 2.5톤</v>
      </c>
      <c r="Y1128" s="3" t="str">
        <f ca="1">HYPERLINK("#"&amp;중기목록표!J2&amp;"!A"&amp;ROW(중기목록표!A14),"중기11 →")</f>
        <v>중기11 →</v>
      </c>
      <c r="Z1128" s="35" t="s">
        <v>1417</v>
      </c>
      <c r="AA1128" s="103" t="str">
        <f>AD1113</f>
        <v>13.750</v>
      </c>
      <c r="AB1128" s="35" t="s">
        <v>1410</v>
      </c>
      <c r="AC1128" s="103">
        <f>1/AD1113</f>
        <v>7.2727272727272724E-2</v>
      </c>
      <c r="AD1128" s="101"/>
      <c r="AE1128" s="101"/>
      <c r="AF1128" s="101"/>
      <c r="AG1128" s="101"/>
      <c r="AH1128" s="101"/>
      <c r="AI1128" s="101"/>
      <c r="AJ1128" s="101"/>
      <c r="AK1128" s="101"/>
      <c r="AL1128" s="101"/>
      <c r="AM1128" s="101"/>
      <c r="AN1128" s="101"/>
    </row>
    <row r="1129" spans="1:40" ht="16.5" customHeight="1" x14ac:dyDescent="0.3">
      <c r="A1129" s="69"/>
      <c r="B1129" s="69"/>
      <c r="C1129" s="69"/>
      <c r="D1129" s="69"/>
      <c r="E1129" s="69"/>
      <c r="F1129" s="69"/>
      <c r="G1129" s="17" t="s">
        <v>1405</v>
      </c>
      <c r="Z1129" s="101"/>
      <c r="AA1129" s="101"/>
      <c r="AB1129" s="101"/>
      <c r="AC1129" s="101"/>
      <c r="AD1129" s="101"/>
      <c r="AE1129" s="101"/>
      <c r="AF1129" s="101"/>
      <c r="AG1129" s="101"/>
      <c r="AH1129" s="101"/>
      <c r="AI1129" s="101"/>
      <c r="AJ1129" s="101"/>
      <c r="AK1129" s="101"/>
      <c r="AL1129" s="101"/>
      <c r="AM1129" s="101"/>
      <c r="AN1129" s="101"/>
    </row>
    <row r="1130" spans="1:40" ht="16.5" customHeight="1" x14ac:dyDescent="0.3">
      <c r="A1130" s="59"/>
      <c r="B1130" s="68" t="s">
        <v>1260</v>
      </c>
      <c r="C1130" s="92">
        <f>E1130+D1130+F1130</f>
        <v>30775.600000000002</v>
      </c>
      <c r="D1130" s="92">
        <f>SUMIF(N1107:N1129,M1130,D1107:D1129)</f>
        <v>27977.5</v>
      </c>
      <c r="E1130" s="92">
        <f>SUMIF(N1107:N1129,M1130,E1107:E1129)</f>
        <v>1314.9</v>
      </c>
      <c r="F1130" s="92">
        <f>SUMIF(N1107:N1129,M1130,F1107:F1129)</f>
        <v>1483.2</v>
      </c>
      <c r="G1130" s="17" t="s">
        <v>1430</v>
      </c>
      <c r="M1130" s="35" t="s">
        <v>1262</v>
      </c>
      <c r="N1130" s="35" t="s">
        <v>1253</v>
      </c>
      <c r="Z1130" s="101"/>
      <c r="AA1130" s="101"/>
      <c r="AB1130" s="101"/>
      <c r="AC1130" s="101"/>
      <c r="AD1130" s="101"/>
      <c r="AE1130" s="101"/>
      <c r="AF1130" s="101"/>
      <c r="AG1130" s="101"/>
      <c r="AH1130" s="101"/>
      <c r="AI1130" s="101"/>
      <c r="AJ1130" s="101"/>
      <c r="AK1130" s="101"/>
      <c r="AL1130" s="101"/>
      <c r="AM1130" s="101"/>
      <c r="AN1130" s="101"/>
    </row>
    <row r="1131" spans="1:40" ht="16.5" customHeight="1" x14ac:dyDescent="0.3">
      <c r="A1131" s="69"/>
      <c r="B1131" s="69"/>
      <c r="C1131" s="90"/>
      <c r="D1131" s="90"/>
      <c r="E1131" s="90"/>
      <c r="F1131" s="90"/>
      <c r="G1131" s="17" t="s">
        <v>1405</v>
      </c>
      <c r="Z1131" s="101"/>
      <c r="AA1131" s="101"/>
      <c r="AB1131" s="101"/>
      <c r="AC1131" s="101"/>
      <c r="AD1131" s="101"/>
      <c r="AE1131" s="101"/>
      <c r="AF1131" s="101"/>
      <c r="AG1131" s="101"/>
      <c r="AH1131" s="101"/>
      <c r="AI1131" s="101"/>
      <c r="AJ1131" s="101"/>
      <c r="AK1131" s="101"/>
      <c r="AL1131" s="101"/>
      <c r="AM1131" s="101"/>
      <c r="AN1131" s="101"/>
    </row>
    <row r="1132" spans="1:40" ht="16.5" customHeight="1" x14ac:dyDescent="0.3">
      <c r="A1132" s="59"/>
      <c r="B1132" s="68" t="s">
        <v>1919</v>
      </c>
      <c r="C1132" s="69"/>
      <c r="D1132" s="69"/>
      <c r="E1132" s="69"/>
      <c r="F1132" s="69"/>
      <c r="G1132" s="17" t="s">
        <v>1918</v>
      </c>
      <c r="Z1132" s="101"/>
      <c r="AA1132" s="101"/>
      <c r="AB1132" s="101"/>
      <c r="AC1132" s="101"/>
      <c r="AD1132" s="101"/>
      <c r="AE1132" s="101"/>
      <c r="AF1132" s="101"/>
      <c r="AG1132" s="101"/>
      <c r="AH1132" s="101"/>
      <c r="AI1132" s="101"/>
      <c r="AJ1132" s="101"/>
      <c r="AK1132" s="101"/>
      <c r="AL1132" s="101"/>
      <c r="AM1132" s="101"/>
      <c r="AN1132" s="101"/>
    </row>
    <row r="1133" spans="1:40" ht="16.5" customHeight="1" x14ac:dyDescent="0.3">
      <c r="A1133" s="69"/>
      <c r="B1133" s="69"/>
      <c r="C1133" s="69"/>
      <c r="D1133" s="69"/>
      <c r="E1133" s="69"/>
      <c r="F1133" s="69"/>
      <c r="G1133" s="17" t="s">
        <v>1405</v>
      </c>
      <c r="Z1133" s="101"/>
      <c r="AA1133" s="101"/>
      <c r="AB1133" s="101"/>
      <c r="AC1133" s="101"/>
      <c r="AD1133" s="101"/>
      <c r="AE1133" s="101"/>
      <c r="AF1133" s="101"/>
      <c r="AG1133" s="101"/>
      <c r="AH1133" s="101"/>
      <c r="AI1133" s="101"/>
      <c r="AJ1133" s="101"/>
      <c r="AK1133" s="101"/>
      <c r="AL1133" s="101"/>
      <c r="AM1133" s="101"/>
      <c r="AN1133" s="101"/>
    </row>
    <row r="1134" spans="1:40" ht="16.5" customHeight="1" x14ac:dyDescent="0.3">
      <c r="A1134" s="59" t="s">
        <v>1921</v>
      </c>
      <c r="B1134" s="89" t="str">
        <f>"   "&amp;Z1134&amp;" ㎥ * "&amp;TEXT(I1134,"#,##0"&amp;IF(I1134&lt;&gt;INT(I1134),".###",""))&amp;" = "&amp;TEXT(C1134,"#,##0.0")&amp;""</f>
        <v xml:space="preserve">   0.00023 ㎥ * 73,989 = 17.0</v>
      </c>
      <c r="C1134" s="91">
        <f>E1134+D1134+F1134</f>
        <v>17</v>
      </c>
      <c r="D1134" s="91">
        <f>IF(H1134=0,0,ROUNDDOWN(J1134*H1134,1))</f>
        <v>17</v>
      </c>
      <c r="E1134" s="91">
        <f>IF(H1134=0,0,ROUNDDOWN(K1134*H1134,1))</f>
        <v>0</v>
      </c>
      <c r="F1134" s="91">
        <f>IF(H1134=0,0,ROUNDDOWN(L1134*H1134,1))</f>
        <v>0</v>
      </c>
      <c r="G1134" s="17" t="s">
        <v>1920</v>
      </c>
      <c r="H1134" s="97">
        <f>ROUNDUP(AC1134,14-LEN(ABS(INT(AC1134))))</f>
        <v>2.3000000000000001E-4</v>
      </c>
      <c r="I1134" s="98">
        <f>K1134+J1134+L1134</f>
        <v>73989</v>
      </c>
      <c r="J1134" s="38">
        <f>단가산출근거목록표!F30</f>
        <v>73989</v>
      </c>
      <c r="K1134" s="38">
        <f>단가산출근거목록표!G30</f>
        <v>0</v>
      </c>
      <c r="L1134" s="38">
        <f>단가산출근거목록표!H30</f>
        <v>0</v>
      </c>
      <c r="M1134" s="35" t="s">
        <v>1922</v>
      </c>
      <c r="N1134" s="35" t="s">
        <v>1262</v>
      </c>
      <c r="X1134" s="100" t="str">
        <f>단가산출근거목록표!B30&amp;" / "&amp;단가산출근거목록표!C30</f>
        <v xml:space="preserve">몰탈 (1:3) / </v>
      </c>
      <c r="Y1134" s="3" t="str">
        <f ca="1">HYPERLINK("#"&amp;단가산출근거목록표!J2&amp;"!A"&amp;ROW(단가산출근거목록표!A30),"산근27 →")</f>
        <v>산근27 →</v>
      </c>
      <c r="Z1134" s="104">
        <v>2.3000000000000001E-4</v>
      </c>
      <c r="AA1134" s="35" t="s">
        <v>1670</v>
      </c>
      <c r="AB1134" s="35" t="s">
        <v>1410</v>
      </c>
      <c r="AC1134" s="103">
        <f>Z1134*1</f>
        <v>2.3000000000000001E-4</v>
      </c>
      <c r="AD1134" s="101"/>
      <c r="AE1134" s="101"/>
      <c r="AF1134" s="101"/>
      <c r="AG1134" s="101"/>
      <c r="AH1134" s="101"/>
      <c r="AI1134" s="101"/>
      <c r="AJ1134" s="101"/>
      <c r="AK1134" s="101"/>
      <c r="AL1134" s="101"/>
      <c r="AM1134" s="101"/>
      <c r="AN1134" s="101"/>
    </row>
    <row r="1135" spans="1:40" ht="16.5" customHeight="1" x14ac:dyDescent="0.3">
      <c r="A1135" s="69"/>
      <c r="B1135" s="69"/>
      <c r="C1135" s="69"/>
      <c r="D1135" s="69"/>
      <c r="E1135" s="69"/>
      <c r="F1135" s="69"/>
      <c r="G1135" s="17" t="s">
        <v>1405</v>
      </c>
      <c r="Z1135" s="101"/>
      <c r="AA1135" s="101"/>
      <c r="AB1135" s="101"/>
      <c r="AC1135" s="101"/>
      <c r="AD1135" s="101"/>
      <c r="AE1135" s="101"/>
      <c r="AF1135" s="101"/>
      <c r="AG1135" s="101"/>
      <c r="AH1135" s="101"/>
      <c r="AI1135" s="101"/>
      <c r="AJ1135" s="101"/>
      <c r="AK1135" s="101"/>
      <c r="AL1135" s="101"/>
      <c r="AM1135" s="101"/>
      <c r="AN1135" s="101"/>
    </row>
    <row r="1136" spans="1:40" ht="16.5" customHeight="1" x14ac:dyDescent="0.3">
      <c r="A1136" s="59"/>
      <c r="B1136" s="68" t="s">
        <v>1260</v>
      </c>
      <c r="C1136" s="92">
        <f>E1136+D1136+F1136</f>
        <v>17</v>
      </c>
      <c r="D1136" s="92">
        <f>SUMIF(N1131:N1135,M1136,D1131:D1135)</f>
        <v>17</v>
      </c>
      <c r="E1136" s="92">
        <f>SUMIF(N1131:N1135,M1136,E1131:E1135)</f>
        <v>0</v>
      </c>
      <c r="F1136" s="92">
        <f>SUMIF(N1131:N1135,M1136,F1131:F1135)</f>
        <v>0</v>
      </c>
      <c r="G1136" s="17" t="s">
        <v>1430</v>
      </c>
      <c r="M1136" s="35" t="s">
        <v>1262</v>
      </c>
      <c r="N1136" s="35" t="s">
        <v>1253</v>
      </c>
      <c r="Z1136" s="101"/>
      <c r="AA1136" s="101"/>
      <c r="AB1136" s="101"/>
      <c r="AC1136" s="101"/>
      <c r="AD1136" s="101"/>
      <c r="AE1136" s="101"/>
      <c r="AF1136" s="101"/>
      <c r="AG1136" s="101"/>
      <c r="AH1136" s="101"/>
      <c r="AI1136" s="101"/>
      <c r="AJ1136" s="101"/>
      <c r="AK1136" s="101"/>
      <c r="AL1136" s="101"/>
      <c r="AM1136" s="101"/>
      <c r="AN1136" s="101"/>
    </row>
    <row r="1137" spans="1:40" ht="16.5" customHeight="1" x14ac:dyDescent="0.3">
      <c r="A1137" s="69"/>
      <c r="B1137" s="69"/>
      <c r="C1137" s="90"/>
      <c r="D1137" s="90"/>
      <c r="E1137" s="90"/>
      <c r="F1137" s="90"/>
      <c r="G1137" s="17" t="s">
        <v>1405</v>
      </c>
      <c r="Z1137" s="101"/>
      <c r="AA1137" s="101"/>
      <c r="AB1137" s="101"/>
      <c r="AC1137" s="101"/>
      <c r="AD1137" s="101"/>
      <c r="AE1137" s="101"/>
      <c r="AF1137" s="101"/>
      <c r="AG1137" s="101"/>
      <c r="AH1137" s="101"/>
      <c r="AI1137" s="101"/>
      <c r="AJ1137" s="101"/>
      <c r="AK1137" s="101"/>
      <c r="AL1137" s="101"/>
      <c r="AM1137" s="101"/>
      <c r="AN1137" s="101"/>
    </row>
    <row r="1138" spans="1:40" ht="16.5" customHeight="1" x14ac:dyDescent="0.3">
      <c r="A1138" s="59"/>
      <c r="B1138" s="68" t="s">
        <v>1251</v>
      </c>
      <c r="C1138" s="92">
        <f>E1138+D1138+F1138</f>
        <v>30792.600000000002</v>
      </c>
      <c r="D1138" s="92">
        <f>SUMIF(N1107:N1137,M1138,D1107:D1137)</f>
        <v>27994.5</v>
      </c>
      <c r="E1138" s="92">
        <f>SUMIF(N1107:N1137,M1138,E1107:E1137)</f>
        <v>1314.9</v>
      </c>
      <c r="F1138" s="92">
        <f>SUMIF(N1107:N1137,M1138,F1107:F1137)</f>
        <v>1483.2</v>
      </c>
      <c r="G1138" s="17" t="s">
        <v>1476</v>
      </c>
      <c r="M1138" s="35" t="s">
        <v>1253</v>
      </c>
      <c r="N1138" s="35" t="s">
        <v>1209</v>
      </c>
      <c r="Z1138" s="101"/>
      <c r="AA1138" s="101"/>
      <c r="AB1138" s="101"/>
      <c r="AC1138" s="101"/>
      <c r="AD1138" s="101"/>
      <c r="AE1138" s="101"/>
      <c r="AF1138" s="101"/>
      <c r="AG1138" s="101"/>
      <c r="AH1138" s="101"/>
      <c r="AI1138" s="101"/>
      <c r="AJ1138" s="101"/>
      <c r="AK1138" s="101"/>
      <c r="AL1138" s="101"/>
      <c r="AM1138" s="101"/>
      <c r="AN1138" s="101"/>
    </row>
    <row r="1139" spans="1:40" ht="16.5" customHeight="1" x14ac:dyDescent="0.3">
      <c r="A1139" s="69"/>
      <c r="B1139" s="69"/>
      <c r="C1139" s="90"/>
      <c r="D1139" s="90"/>
      <c r="E1139" s="90"/>
      <c r="F1139" s="90"/>
      <c r="Z1139" s="101"/>
      <c r="AA1139" s="101"/>
      <c r="AB1139" s="101"/>
      <c r="AC1139" s="101"/>
      <c r="AD1139" s="101"/>
      <c r="AE1139" s="101"/>
      <c r="AF1139" s="101"/>
      <c r="AG1139" s="101"/>
      <c r="AH1139" s="101"/>
      <c r="AI1139" s="101"/>
      <c r="AJ1139" s="101"/>
      <c r="AK1139" s="101"/>
      <c r="AL1139" s="101"/>
      <c r="AM1139" s="101"/>
      <c r="AN1139" s="101"/>
    </row>
    <row r="1140" spans="1:40" ht="16.5" customHeight="1" x14ac:dyDescent="0.3">
      <c r="A1140" s="69"/>
      <c r="B1140" s="69"/>
      <c r="C1140" s="69"/>
      <c r="D1140" s="69"/>
      <c r="E1140" s="69"/>
      <c r="F1140" s="69"/>
      <c r="Z1140" s="101"/>
      <c r="AA1140" s="101"/>
      <c r="AB1140" s="101"/>
      <c r="AC1140" s="101"/>
      <c r="AD1140" s="101"/>
      <c r="AE1140" s="101"/>
      <c r="AF1140" s="101"/>
      <c r="AG1140" s="101"/>
      <c r="AH1140" s="101"/>
      <c r="AI1140" s="101"/>
      <c r="AJ1140" s="101"/>
      <c r="AK1140" s="101"/>
      <c r="AL1140" s="101"/>
      <c r="AM1140" s="101"/>
      <c r="AN1140" s="101"/>
    </row>
    <row r="1141" spans="1:40" ht="16.5" customHeight="1" x14ac:dyDescent="0.3">
      <c r="A1141" s="69"/>
      <c r="B1141" s="69"/>
      <c r="C1141" s="69"/>
      <c r="D1141" s="69"/>
      <c r="E1141" s="69"/>
      <c r="F1141" s="69"/>
      <c r="Z1141" s="101"/>
      <c r="AA1141" s="101"/>
      <c r="AB1141" s="101"/>
      <c r="AC1141" s="101"/>
      <c r="AD1141" s="101"/>
      <c r="AE1141" s="101"/>
      <c r="AF1141" s="101"/>
      <c r="AG1141" s="101"/>
      <c r="AH1141" s="101"/>
      <c r="AI1141" s="101"/>
      <c r="AJ1141" s="101"/>
      <c r="AK1141" s="101"/>
      <c r="AL1141" s="101"/>
      <c r="AM1141" s="101"/>
      <c r="AN1141" s="101"/>
    </row>
    <row r="1142" spans="1:40" ht="16.5" customHeight="1" x14ac:dyDescent="0.3">
      <c r="A1142" s="69"/>
      <c r="B1142" s="69"/>
      <c r="C1142" s="69"/>
      <c r="D1142" s="69"/>
      <c r="E1142" s="69"/>
      <c r="F1142" s="69"/>
      <c r="Z1142" s="101"/>
      <c r="AA1142" s="101"/>
      <c r="AB1142" s="101"/>
      <c r="AC1142" s="101"/>
      <c r="AD1142" s="101"/>
      <c r="AE1142" s="101"/>
      <c r="AF1142" s="101"/>
      <c r="AG1142" s="101"/>
      <c r="AH1142" s="101"/>
      <c r="AI1142" s="101"/>
      <c r="AJ1142" s="101"/>
      <c r="AK1142" s="101"/>
      <c r="AL1142" s="101"/>
      <c r="AM1142" s="101"/>
      <c r="AN1142" s="101"/>
    </row>
    <row r="1143" spans="1:40" ht="16.5" customHeight="1" x14ac:dyDescent="0.3">
      <c r="A1143" s="69"/>
      <c r="B1143" s="69"/>
      <c r="C1143" s="69"/>
      <c r="D1143" s="69"/>
      <c r="E1143" s="69"/>
      <c r="F1143" s="69"/>
      <c r="Z1143" s="101"/>
      <c r="AA1143" s="101"/>
      <c r="AB1143" s="101"/>
      <c r="AC1143" s="101"/>
      <c r="AD1143" s="101"/>
      <c r="AE1143" s="101"/>
      <c r="AF1143" s="101"/>
      <c r="AG1143" s="101"/>
      <c r="AH1143" s="101"/>
      <c r="AI1143" s="101"/>
      <c r="AJ1143" s="101"/>
      <c r="AK1143" s="101"/>
      <c r="AL1143" s="101"/>
      <c r="AM1143" s="101"/>
      <c r="AN1143" s="101"/>
    </row>
    <row r="1144" spans="1:40" ht="16.5" customHeight="1" x14ac:dyDescent="0.3">
      <c r="A1144" s="69"/>
      <c r="B1144" s="69"/>
      <c r="C1144" s="69"/>
      <c r="D1144" s="69"/>
      <c r="E1144" s="69"/>
      <c r="F1144" s="69"/>
      <c r="Z1144" s="101"/>
      <c r="AA1144" s="101"/>
      <c r="AB1144" s="101"/>
      <c r="AC1144" s="101"/>
      <c r="AD1144" s="101"/>
      <c r="AE1144" s="101"/>
      <c r="AF1144" s="101"/>
      <c r="AG1144" s="101"/>
      <c r="AH1144" s="101"/>
      <c r="AI1144" s="101"/>
      <c r="AJ1144" s="101"/>
      <c r="AK1144" s="101"/>
      <c r="AL1144" s="101"/>
      <c r="AM1144" s="101"/>
      <c r="AN1144" s="101"/>
    </row>
    <row r="1145" spans="1:40" ht="16.5" customHeight="1" x14ac:dyDescent="0.3">
      <c r="A1145" s="69"/>
      <c r="B1145" s="69"/>
      <c r="C1145" s="69"/>
      <c r="D1145" s="69"/>
      <c r="E1145" s="69"/>
      <c r="F1145" s="69"/>
      <c r="Z1145" s="101"/>
      <c r="AA1145" s="101"/>
      <c r="AB1145" s="101"/>
      <c r="AC1145" s="101"/>
      <c r="AD1145" s="101"/>
      <c r="AE1145" s="101"/>
      <c r="AF1145" s="101"/>
      <c r="AG1145" s="101"/>
      <c r="AH1145" s="101"/>
      <c r="AI1145" s="101"/>
      <c r="AJ1145" s="101"/>
      <c r="AK1145" s="101"/>
      <c r="AL1145" s="101"/>
      <c r="AM1145" s="101"/>
      <c r="AN1145" s="101"/>
    </row>
    <row r="1146" spans="1:40" ht="16.5" customHeight="1" x14ac:dyDescent="0.3">
      <c r="A1146" s="69"/>
      <c r="B1146" s="69"/>
      <c r="C1146" s="69"/>
      <c r="D1146" s="69"/>
      <c r="E1146" s="69"/>
      <c r="F1146" s="69"/>
      <c r="Z1146" s="101"/>
      <c r="AA1146" s="101"/>
      <c r="AB1146" s="101"/>
      <c r="AC1146" s="101"/>
      <c r="AD1146" s="101"/>
      <c r="AE1146" s="101"/>
      <c r="AF1146" s="101"/>
      <c r="AG1146" s="101"/>
      <c r="AH1146" s="101"/>
      <c r="AI1146" s="101"/>
      <c r="AJ1146" s="101"/>
      <c r="AK1146" s="101"/>
      <c r="AL1146" s="101"/>
      <c r="AM1146" s="101"/>
      <c r="AN1146" s="101"/>
    </row>
    <row r="1147" spans="1:40" ht="16.5" customHeight="1" x14ac:dyDescent="0.3">
      <c r="A1147" s="69"/>
      <c r="B1147" s="69"/>
      <c r="C1147" s="69"/>
      <c r="D1147" s="69"/>
      <c r="E1147" s="69"/>
      <c r="F1147" s="69"/>
      <c r="Z1147" s="101"/>
      <c r="AA1147" s="101"/>
      <c r="AB1147" s="101"/>
      <c r="AC1147" s="101"/>
      <c r="AD1147" s="101"/>
      <c r="AE1147" s="101"/>
      <c r="AF1147" s="101"/>
      <c r="AG1147" s="101"/>
      <c r="AH1147" s="101"/>
      <c r="AI1147" s="101"/>
      <c r="AJ1147" s="101"/>
      <c r="AK1147" s="101"/>
      <c r="AL1147" s="101"/>
      <c r="AM1147" s="101"/>
      <c r="AN1147" s="101"/>
    </row>
    <row r="1148" spans="1:40" ht="16.5" customHeight="1" x14ac:dyDescent="0.3">
      <c r="A1148" s="69"/>
      <c r="B1148" s="69"/>
      <c r="C1148" s="69"/>
      <c r="D1148" s="69"/>
      <c r="E1148" s="69"/>
      <c r="F1148" s="69"/>
      <c r="Z1148" s="101"/>
      <c r="AA1148" s="101"/>
      <c r="AB1148" s="101"/>
      <c r="AC1148" s="101"/>
      <c r="AD1148" s="101"/>
      <c r="AE1148" s="101"/>
      <c r="AF1148" s="101"/>
      <c r="AG1148" s="101"/>
      <c r="AH1148" s="101"/>
      <c r="AI1148" s="101"/>
      <c r="AJ1148" s="101"/>
      <c r="AK1148" s="101"/>
      <c r="AL1148" s="101"/>
      <c r="AM1148" s="101"/>
      <c r="AN1148" s="101"/>
    </row>
    <row r="1149" spans="1:40" ht="16.5" customHeight="1" x14ac:dyDescent="0.3">
      <c r="A1149" s="69"/>
      <c r="B1149" s="69"/>
      <c r="C1149" s="69"/>
      <c r="D1149" s="69"/>
      <c r="E1149" s="69"/>
      <c r="F1149" s="69"/>
      <c r="Z1149" s="101"/>
      <c r="AA1149" s="101"/>
      <c r="AB1149" s="101"/>
      <c r="AC1149" s="101"/>
      <c r="AD1149" s="101"/>
      <c r="AE1149" s="101"/>
      <c r="AF1149" s="101"/>
      <c r="AG1149" s="101"/>
      <c r="AH1149" s="101"/>
      <c r="AI1149" s="101"/>
      <c r="AJ1149" s="101"/>
      <c r="AK1149" s="101"/>
      <c r="AL1149" s="101"/>
      <c r="AM1149" s="101"/>
      <c r="AN1149" s="101"/>
    </row>
    <row r="1150" spans="1:40" ht="16.5" customHeight="1" x14ac:dyDescent="0.3">
      <c r="A1150" s="69"/>
      <c r="B1150" s="69"/>
      <c r="C1150" s="69"/>
      <c r="D1150" s="69"/>
      <c r="E1150" s="69"/>
      <c r="F1150" s="69"/>
      <c r="Z1150" s="101"/>
      <c r="AA1150" s="101"/>
      <c r="AB1150" s="101"/>
      <c r="AC1150" s="101"/>
      <c r="AD1150" s="101"/>
      <c r="AE1150" s="101"/>
      <c r="AF1150" s="101"/>
      <c r="AG1150" s="101"/>
      <c r="AH1150" s="101"/>
      <c r="AI1150" s="101"/>
      <c r="AJ1150" s="101"/>
      <c r="AK1150" s="101"/>
      <c r="AL1150" s="101"/>
      <c r="AM1150" s="101"/>
      <c r="AN1150" s="101"/>
    </row>
    <row r="1151" spans="1:40" ht="16.5" customHeight="1" x14ac:dyDescent="0.3">
      <c r="A1151" s="69"/>
      <c r="B1151" s="69"/>
      <c r="C1151" s="69"/>
      <c r="D1151" s="69"/>
      <c r="E1151" s="69"/>
      <c r="F1151" s="69"/>
      <c r="Z1151" s="101"/>
      <c r="AA1151" s="101"/>
      <c r="AB1151" s="101"/>
      <c r="AC1151" s="101"/>
      <c r="AD1151" s="101"/>
      <c r="AE1151" s="101"/>
      <c r="AF1151" s="101"/>
      <c r="AG1151" s="101"/>
      <c r="AH1151" s="101"/>
      <c r="AI1151" s="101"/>
      <c r="AJ1151" s="101"/>
      <c r="AK1151" s="101"/>
      <c r="AL1151" s="101"/>
      <c r="AM1151" s="101"/>
      <c r="AN1151" s="101"/>
    </row>
    <row r="1152" spans="1:40" ht="16.5" customHeight="1" x14ac:dyDescent="0.3">
      <c r="A1152" s="69"/>
      <c r="B1152" s="69"/>
      <c r="C1152" s="69"/>
      <c r="D1152" s="69"/>
      <c r="E1152" s="69"/>
      <c r="F1152" s="69"/>
      <c r="Z1152" s="101"/>
      <c r="AA1152" s="101"/>
      <c r="AB1152" s="101"/>
      <c r="AC1152" s="101"/>
      <c r="AD1152" s="101"/>
      <c r="AE1152" s="101"/>
      <c r="AF1152" s="101"/>
      <c r="AG1152" s="101"/>
      <c r="AH1152" s="101"/>
      <c r="AI1152" s="101"/>
      <c r="AJ1152" s="101"/>
      <c r="AK1152" s="101"/>
      <c r="AL1152" s="101"/>
      <c r="AM1152" s="101"/>
      <c r="AN1152" s="101"/>
    </row>
    <row r="1153" spans="1:40" ht="16.5" customHeight="1" x14ac:dyDescent="0.3">
      <c r="A1153" s="74"/>
      <c r="B1153" s="74"/>
      <c r="C1153" s="74"/>
      <c r="D1153" s="74"/>
      <c r="E1153" s="74"/>
      <c r="F1153" s="74"/>
      <c r="Z1153" s="101"/>
      <c r="AA1153" s="101"/>
      <c r="AB1153" s="101"/>
      <c r="AC1153" s="101"/>
      <c r="AD1153" s="101"/>
      <c r="AE1153" s="101"/>
      <c r="AF1153" s="101"/>
      <c r="AG1153" s="101"/>
      <c r="AH1153" s="101"/>
      <c r="AI1153" s="101"/>
      <c r="AJ1153" s="101"/>
      <c r="AK1153" s="101"/>
      <c r="AL1153" s="101"/>
      <c r="AM1153" s="101"/>
      <c r="AN1153" s="101"/>
    </row>
    <row r="1154" spans="1:40" ht="16.5" customHeight="1" x14ac:dyDescent="0.3">
      <c r="A1154" s="150" t="s">
        <v>1477</v>
      </c>
      <c r="B1154" s="143"/>
      <c r="C1154" s="47">
        <f>E1154+D1154+F1154</f>
        <v>30791</v>
      </c>
      <c r="D1154" s="46">
        <f>ROUNDDOWN(SUMIF(N1107:N1138,M1154,D1107:D1138),0)</f>
        <v>27994</v>
      </c>
      <c r="E1154" s="55">
        <f>ROUNDDOWN(SUMIF(N1107:N1138,M1154,E1107:E1138),0)</f>
        <v>1314</v>
      </c>
      <c r="F1154" s="47">
        <f>ROUNDDOWN(SUMIF(N1107:N1138,M1154,F1107:F1138),0)</f>
        <v>1483</v>
      </c>
      <c r="M1154" s="35" t="s">
        <v>1209</v>
      </c>
      <c r="Z1154" s="101"/>
      <c r="AA1154" s="101"/>
      <c r="AB1154" s="101"/>
      <c r="AC1154" s="101"/>
      <c r="AD1154" s="101"/>
      <c r="AE1154" s="101"/>
      <c r="AF1154" s="101"/>
      <c r="AG1154" s="101"/>
      <c r="AH1154" s="101"/>
      <c r="AI1154" s="101"/>
      <c r="AJ1154" s="101"/>
      <c r="AK1154" s="101"/>
      <c r="AL1154" s="101"/>
      <c r="AM1154" s="101"/>
      <c r="AN1154" s="101"/>
    </row>
    <row r="1155" spans="1:40" ht="16.5" customHeight="1" x14ac:dyDescent="0.3">
      <c r="A1155" s="86" t="s">
        <v>79</v>
      </c>
      <c r="B1155" s="88" t="s">
        <v>79</v>
      </c>
      <c r="C1155" s="151">
        <f>C1204</f>
        <v>50425</v>
      </c>
      <c r="D1155" s="151">
        <f>D1204</f>
        <v>48024</v>
      </c>
      <c r="E1155" s="151">
        <f>E1204</f>
        <v>0</v>
      </c>
      <c r="F1155" s="151">
        <f>F1204</f>
        <v>2401</v>
      </c>
      <c r="G1155" s="84" t="str">
        <f>HYPERLINK("#G"&amp;ROW(G1184),"_x0005_`BDCOD|D02768_x0007_`POSS|"&amp;ROW(G1157)&amp;"_x0007_`POSE|"&amp;ROW(G1184)&amp;"_x0007_`")</f>
        <v>_x0005_`BDCOD|D02768_x0007_`POSS|1157_x0007_`POSE|1184_x0007_`</v>
      </c>
      <c r="Z1155" s="101"/>
      <c r="AA1155" s="101"/>
      <c r="AB1155" s="101"/>
      <c r="AC1155" s="101"/>
      <c r="AD1155" s="101"/>
      <c r="AE1155" s="101"/>
      <c r="AF1155" s="101"/>
      <c r="AG1155" s="101"/>
      <c r="AH1155" s="101"/>
      <c r="AI1155" s="101"/>
      <c r="AJ1155" s="101"/>
      <c r="AK1155" s="101"/>
      <c r="AL1155" s="101"/>
      <c r="AM1155" s="101"/>
      <c r="AN1155" s="101"/>
    </row>
    <row r="1156" spans="1:40" ht="16.5" customHeight="1" x14ac:dyDescent="0.3">
      <c r="A1156" s="87"/>
      <c r="B1156" s="88" t="s">
        <v>174</v>
      </c>
      <c r="C1156" s="136"/>
      <c r="D1156" s="136"/>
      <c r="E1156" s="136"/>
      <c r="F1156" s="136"/>
      <c r="M1156" s="35" t="s">
        <v>1923</v>
      </c>
      <c r="Z1156" s="101"/>
      <c r="AA1156" s="101"/>
      <c r="AB1156" s="101"/>
      <c r="AC1156" s="101"/>
      <c r="AD1156" s="101"/>
      <c r="AE1156" s="101"/>
      <c r="AF1156" s="101"/>
      <c r="AG1156" s="101"/>
      <c r="AH1156" s="101"/>
      <c r="AI1156" s="101"/>
      <c r="AJ1156" s="101"/>
      <c r="AK1156" s="101"/>
      <c r="AL1156" s="101"/>
      <c r="AM1156" s="101"/>
      <c r="AN1156" s="101"/>
    </row>
    <row r="1157" spans="1:40" ht="16.5" customHeight="1" x14ac:dyDescent="0.3">
      <c r="A1157" s="69"/>
      <c r="B1157" s="69"/>
      <c r="C1157" s="90"/>
      <c r="D1157" s="90"/>
      <c r="E1157" s="90"/>
      <c r="F1157" s="90"/>
      <c r="G1157" s="17" t="s">
        <v>1405</v>
      </c>
      <c r="Z1157" s="101"/>
      <c r="AA1157" s="101"/>
      <c r="AB1157" s="101"/>
      <c r="AC1157" s="101"/>
      <c r="AD1157" s="101"/>
      <c r="AE1157" s="101"/>
      <c r="AF1157" s="101"/>
      <c r="AG1157" s="101"/>
      <c r="AH1157" s="101"/>
      <c r="AI1157" s="101"/>
      <c r="AJ1157" s="101"/>
      <c r="AK1157" s="101"/>
      <c r="AL1157" s="101"/>
      <c r="AM1157" s="101"/>
      <c r="AN1157" s="101"/>
    </row>
    <row r="1158" spans="1:40" ht="16.5" customHeight="1" x14ac:dyDescent="0.3">
      <c r="A1158" s="59"/>
      <c r="B1158" s="68" t="str">
        <f>" Q1 = "&amp;Z1158&amp;" 인 /"&amp;AB1158&amp;" hr/일 = "&amp;AD1158&amp;" hr/일 "</f>
        <v xml:space="preserve"> Q1 = 2 인 /8 hr/일 = 0.250 hr/일 </v>
      </c>
      <c r="C1158" s="69"/>
      <c r="D1158" s="69"/>
      <c r="E1158" s="69"/>
      <c r="F1158" s="69"/>
      <c r="G1158" s="17" t="s">
        <v>1694</v>
      </c>
      <c r="Z1158" s="102">
        <v>2</v>
      </c>
      <c r="AA1158" s="35" t="s">
        <v>1413</v>
      </c>
      <c r="AB1158" s="102">
        <v>8</v>
      </c>
      <c r="AC1158" s="35" t="s">
        <v>1410</v>
      </c>
      <c r="AD1158" s="103" t="str">
        <f>TEXT(ROUND(Z1158/AB1158,3),"#,0.000")</f>
        <v>0.250</v>
      </c>
      <c r="AE1158" s="101"/>
      <c r="AF1158" s="101"/>
      <c r="AG1158" s="101"/>
      <c r="AH1158" s="101"/>
      <c r="AI1158" s="101"/>
      <c r="AJ1158" s="101"/>
      <c r="AK1158" s="101"/>
      <c r="AL1158" s="101"/>
      <c r="AM1158" s="101"/>
      <c r="AN1158" s="101"/>
    </row>
    <row r="1159" spans="1:40" ht="16.5" customHeight="1" x14ac:dyDescent="0.3">
      <c r="A1159" s="69"/>
      <c r="B1159" s="69"/>
      <c r="C1159" s="69"/>
      <c r="D1159" s="69"/>
      <c r="E1159" s="69"/>
      <c r="F1159" s="69"/>
      <c r="G1159" s="17" t="s">
        <v>1405</v>
      </c>
      <c r="Z1159" s="101"/>
      <c r="AA1159" s="101"/>
      <c r="AB1159" s="101"/>
      <c r="AC1159" s="101"/>
      <c r="AD1159" s="101"/>
      <c r="AE1159" s="101"/>
      <c r="AF1159" s="101"/>
      <c r="AG1159" s="101"/>
      <c r="AH1159" s="101"/>
      <c r="AI1159" s="101"/>
      <c r="AJ1159" s="101"/>
      <c r="AK1159" s="101"/>
      <c r="AL1159" s="101"/>
      <c r="AM1159" s="101"/>
      <c r="AN1159" s="101"/>
    </row>
    <row r="1160" spans="1:40" ht="16.5" customHeight="1" x14ac:dyDescent="0.3">
      <c r="A1160" s="59"/>
      <c r="B1160" s="68" t="str">
        <f>" Q2 = "&amp;Z1160&amp;" 인 /"&amp;AB1160&amp;" hr/일 = "&amp;AD1160&amp;" hr/일 "</f>
        <v xml:space="preserve"> Q2 = 1 인 /8 hr/일 = 0.125 hr/일 </v>
      </c>
      <c r="C1160" s="69"/>
      <c r="D1160" s="69"/>
      <c r="E1160" s="69"/>
      <c r="F1160" s="69"/>
      <c r="G1160" s="17" t="s">
        <v>1712</v>
      </c>
      <c r="Z1160" s="102">
        <v>1</v>
      </c>
      <c r="AA1160" s="35" t="s">
        <v>1413</v>
      </c>
      <c r="AB1160" s="102">
        <v>8</v>
      </c>
      <c r="AC1160" s="35" t="s">
        <v>1410</v>
      </c>
      <c r="AD1160" s="103" t="str">
        <f>TEXT(ROUND(Z1160/AB1160,3),"#,0.000")</f>
        <v>0.125</v>
      </c>
      <c r="AE1160" s="101"/>
      <c r="AF1160" s="101"/>
      <c r="AG1160" s="101"/>
      <c r="AH1160" s="101"/>
      <c r="AI1160" s="101"/>
      <c r="AJ1160" s="101"/>
      <c r="AK1160" s="101"/>
      <c r="AL1160" s="101"/>
      <c r="AM1160" s="101"/>
      <c r="AN1160" s="101"/>
    </row>
    <row r="1161" spans="1:40" ht="16.5" customHeight="1" x14ac:dyDescent="0.3">
      <c r="A1161" s="69"/>
      <c r="B1161" s="69"/>
      <c r="C1161" s="69"/>
      <c r="D1161" s="69"/>
      <c r="E1161" s="69"/>
      <c r="F1161" s="69"/>
      <c r="G1161" s="17" t="s">
        <v>1405</v>
      </c>
      <c r="Z1161" s="101"/>
      <c r="AA1161" s="101"/>
      <c r="AB1161" s="101"/>
      <c r="AC1161" s="101"/>
      <c r="AD1161" s="101"/>
      <c r="AE1161" s="101"/>
      <c r="AF1161" s="101"/>
      <c r="AG1161" s="101"/>
      <c r="AH1161" s="101"/>
      <c r="AI1161" s="101"/>
      <c r="AJ1161" s="101"/>
      <c r="AK1161" s="101"/>
      <c r="AL1161" s="101"/>
      <c r="AM1161" s="101"/>
      <c r="AN1161" s="101"/>
    </row>
    <row r="1162" spans="1:40" ht="16.5" customHeight="1" x14ac:dyDescent="0.3">
      <c r="A1162" s="59"/>
      <c r="B1162" s="68" t="str">
        <f>" Q = "&amp;Z1162&amp;" 개소/일 /"&amp;AB1162&amp;" hr/일 = "&amp;AD1162&amp;" ㎡/hr "</f>
        <v xml:space="preserve"> Q = 13 개소/일 /8 hr/일 = 1.625 ㎡/hr </v>
      </c>
      <c r="C1162" s="69"/>
      <c r="D1162" s="69"/>
      <c r="E1162" s="69"/>
      <c r="F1162" s="69"/>
      <c r="G1162" s="17" t="s">
        <v>1924</v>
      </c>
      <c r="Z1162" s="102">
        <v>13</v>
      </c>
      <c r="AA1162" s="35" t="s">
        <v>1413</v>
      </c>
      <c r="AB1162" s="102">
        <v>8</v>
      </c>
      <c r="AC1162" s="35" t="s">
        <v>1410</v>
      </c>
      <c r="AD1162" s="103" t="str">
        <f>TEXT(ROUND(Z1162/AB1162,3),"#,0.000")</f>
        <v>1.625</v>
      </c>
      <c r="AE1162" s="101"/>
      <c r="AF1162" s="101"/>
      <c r="AG1162" s="101"/>
      <c r="AH1162" s="101"/>
      <c r="AI1162" s="101"/>
      <c r="AJ1162" s="101"/>
      <c r="AK1162" s="101"/>
      <c r="AL1162" s="101"/>
      <c r="AM1162" s="101"/>
      <c r="AN1162" s="101"/>
    </row>
    <row r="1163" spans="1:40" ht="16.5" customHeight="1" x14ac:dyDescent="0.3">
      <c r="A1163" s="69"/>
      <c r="B1163" s="69"/>
      <c r="C1163" s="69"/>
      <c r="D1163" s="69"/>
      <c r="E1163" s="69"/>
      <c r="F1163" s="69"/>
      <c r="G1163" s="17" t="s">
        <v>1405</v>
      </c>
      <c r="Z1163" s="101"/>
      <c r="AA1163" s="101"/>
      <c r="AB1163" s="101"/>
      <c r="AC1163" s="101"/>
      <c r="AD1163" s="101"/>
      <c r="AE1163" s="101"/>
      <c r="AF1163" s="101"/>
      <c r="AG1163" s="101"/>
      <c r="AH1163" s="101"/>
      <c r="AI1163" s="101"/>
      <c r="AJ1163" s="101"/>
      <c r="AK1163" s="101"/>
      <c r="AL1163" s="101"/>
      <c r="AM1163" s="101"/>
      <c r="AN1163" s="101"/>
    </row>
    <row r="1164" spans="1:40" ht="16.5" customHeight="1" x14ac:dyDescent="0.3">
      <c r="A1164" s="59"/>
      <c r="B1164" s="68" t="s">
        <v>1926</v>
      </c>
      <c r="C1164" s="69"/>
      <c r="D1164" s="69"/>
      <c r="E1164" s="69"/>
      <c r="F1164" s="69"/>
      <c r="G1164" s="17" t="s">
        <v>1925</v>
      </c>
      <c r="Z1164" s="101"/>
      <c r="AA1164" s="101"/>
      <c r="AB1164" s="101"/>
      <c r="AC1164" s="101"/>
      <c r="AD1164" s="101"/>
      <c r="AE1164" s="101"/>
      <c r="AF1164" s="101"/>
      <c r="AG1164" s="101"/>
      <c r="AH1164" s="101"/>
      <c r="AI1164" s="101"/>
      <c r="AJ1164" s="101"/>
      <c r="AK1164" s="101"/>
      <c r="AL1164" s="101"/>
      <c r="AM1164" s="101"/>
      <c r="AN1164" s="101"/>
    </row>
    <row r="1165" spans="1:40" ht="16.5" customHeight="1" x14ac:dyDescent="0.3">
      <c r="A1165" s="69"/>
      <c r="B1165" s="69"/>
      <c r="C1165" s="69"/>
      <c r="D1165" s="69"/>
      <c r="E1165" s="69"/>
      <c r="F1165" s="69"/>
      <c r="G1165" s="17" t="s">
        <v>1405</v>
      </c>
      <c r="Z1165" s="101"/>
      <c r="AA1165" s="101"/>
      <c r="AB1165" s="101"/>
      <c r="AC1165" s="101"/>
      <c r="AD1165" s="101"/>
      <c r="AE1165" s="101"/>
      <c r="AF1165" s="101"/>
      <c r="AG1165" s="101"/>
      <c r="AH1165" s="101"/>
      <c r="AI1165" s="101"/>
      <c r="AJ1165" s="101"/>
      <c r="AK1165" s="101"/>
      <c r="AL1165" s="101"/>
      <c r="AM1165" s="101"/>
      <c r="AN1165" s="101"/>
    </row>
    <row r="1166" spans="1:40" ht="16.5" customHeight="1" x14ac:dyDescent="0.3">
      <c r="A1166" s="59"/>
      <c r="B1166" s="68" t="s">
        <v>1928</v>
      </c>
      <c r="C1166" s="69"/>
      <c r="D1166" s="69"/>
      <c r="E1166" s="69"/>
      <c r="F1166" s="69"/>
      <c r="G1166" s="17" t="s">
        <v>1927</v>
      </c>
      <c r="Z1166" s="101"/>
      <c r="AA1166" s="101"/>
      <c r="AB1166" s="101"/>
      <c r="AC1166" s="101"/>
      <c r="AD1166" s="101"/>
      <c r="AE1166" s="101"/>
      <c r="AF1166" s="101"/>
      <c r="AG1166" s="101"/>
      <c r="AH1166" s="101"/>
      <c r="AI1166" s="101"/>
      <c r="AJ1166" s="101"/>
      <c r="AK1166" s="101"/>
      <c r="AL1166" s="101"/>
      <c r="AM1166" s="101"/>
      <c r="AN1166" s="101"/>
    </row>
    <row r="1167" spans="1:40" ht="16.5" customHeight="1" x14ac:dyDescent="0.3">
      <c r="A1167" s="69"/>
      <c r="B1167" s="69"/>
      <c r="C1167" s="69"/>
      <c r="D1167" s="69"/>
      <c r="E1167" s="69"/>
      <c r="F1167" s="69"/>
      <c r="G1167" s="17" t="s">
        <v>1405</v>
      </c>
      <c r="Z1167" s="101"/>
      <c r="AA1167" s="101"/>
      <c r="AB1167" s="101"/>
      <c r="AC1167" s="101"/>
      <c r="AD1167" s="101"/>
      <c r="AE1167" s="101"/>
      <c r="AF1167" s="101"/>
      <c r="AG1167" s="101"/>
      <c r="AH1167" s="101"/>
      <c r="AI1167" s="101"/>
      <c r="AJ1167" s="101"/>
      <c r="AK1167" s="101"/>
      <c r="AL1167" s="101"/>
      <c r="AM1167" s="101"/>
      <c r="AN1167" s="101"/>
    </row>
    <row r="1168" spans="1:40" ht="16.5" customHeight="1" x14ac:dyDescent="0.3">
      <c r="A1168" s="59" t="s">
        <v>1416</v>
      </c>
      <c r="B1168" s="89" t="str">
        <f>"  특별인부 "&amp;TEXT(I1168,"#,##0"&amp;IF(I1168&lt;&gt;INT(I1168),".###",""))&amp;"*Q1/Q = "&amp;TEXT(C1168,"#,##0.0")&amp;""</f>
        <v xml:space="preserve">  특별인부 226,122*Q1/Q = 34,788.0</v>
      </c>
      <c r="C1168" s="91">
        <f>E1168+D1168+F1168</f>
        <v>34788</v>
      </c>
      <c r="D1168" s="91">
        <f>IF(H1168=0,0,ROUNDDOWN(J1168*H1168,1))</f>
        <v>34788</v>
      </c>
      <c r="E1168" s="91">
        <f>IF(H1168=0,0,ROUNDDOWN(K1168*H1168,1))</f>
        <v>0</v>
      </c>
      <c r="F1168" s="91">
        <f>IF(H1168=0,0,ROUNDDOWN(L1168*H1168,1))</f>
        <v>0</v>
      </c>
      <c r="G1168" s="17" t="s">
        <v>1929</v>
      </c>
      <c r="H1168" s="97">
        <f>ROUNDUP(AE1168,14-LEN(ABS(INT(AE1168))))</f>
        <v>0.15384615384620001</v>
      </c>
      <c r="I1168" s="98">
        <f>K1168+J1168+L1168</f>
        <v>226122</v>
      </c>
      <c r="J1168" s="38">
        <f>노무비목록표!E13</f>
        <v>226122</v>
      </c>
      <c r="M1168" s="35" t="s">
        <v>1215</v>
      </c>
      <c r="N1168" s="35" t="s">
        <v>1262</v>
      </c>
      <c r="X1168" s="100" t="str">
        <f>노무비목록표!B13&amp;" / "&amp;노무비목록표!C13</f>
        <v xml:space="preserve">특별인부 / </v>
      </c>
      <c r="Y1168" s="3" t="str">
        <f ca="1">HYPERLINK("#"&amp;노무비목록표!G2&amp;"!A"&amp;ROW(노무비목록표!A13),"노무10 →")</f>
        <v>노무10 →</v>
      </c>
      <c r="Z1168" s="35" t="s">
        <v>1446</v>
      </c>
      <c r="AA1168" s="103" t="str">
        <f>AD1158</f>
        <v>0.250</v>
      </c>
      <c r="AB1168" s="35" t="s">
        <v>1413</v>
      </c>
      <c r="AC1168" s="103" t="str">
        <f>AD1162</f>
        <v>1.625</v>
      </c>
      <c r="AD1168" s="35" t="s">
        <v>1410</v>
      </c>
      <c r="AE1168" s="103">
        <f>1*AD1158/AD1162</f>
        <v>0.15384615384615385</v>
      </c>
      <c r="AF1168" s="101"/>
      <c r="AG1168" s="101"/>
      <c r="AH1168" s="101"/>
      <c r="AI1168" s="101"/>
      <c r="AJ1168" s="101"/>
      <c r="AK1168" s="101"/>
      <c r="AL1168" s="101"/>
      <c r="AM1168" s="101"/>
      <c r="AN1168" s="101"/>
    </row>
    <row r="1169" spans="1:40" ht="16.5" customHeight="1" x14ac:dyDescent="0.3">
      <c r="A1169" s="69"/>
      <c r="B1169" s="69"/>
      <c r="C1169" s="69"/>
      <c r="D1169" s="69"/>
      <c r="E1169" s="69"/>
      <c r="F1169" s="69"/>
      <c r="G1169" s="17" t="s">
        <v>1405</v>
      </c>
      <c r="Z1169" s="101"/>
      <c r="AA1169" s="101"/>
      <c r="AB1169" s="101"/>
      <c r="AC1169" s="101"/>
      <c r="AD1169" s="101"/>
      <c r="AE1169" s="101"/>
      <c r="AF1169" s="101"/>
      <c r="AG1169" s="101"/>
      <c r="AH1169" s="101"/>
      <c r="AI1169" s="101"/>
      <c r="AJ1169" s="101"/>
      <c r="AK1169" s="101"/>
      <c r="AL1169" s="101"/>
      <c r="AM1169" s="101"/>
      <c r="AN1169" s="101"/>
    </row>
    <row r="1170" spans="1:40" ht="16.5" customHeight="1" x14ac:dyDescent="0.3">
      <c r="A1170" s="59" t="s">
        <v>1419</v>
      </c>
      <c r="B1170" s="89" t="str">
        <f>"  인    부 "&amp;TEXT(I1170,"#,##0"&amp;IF(I1170&lt;&gt;INT(I1170),".###",""))&amp;"*Q2/Q = "&amp;TEXT(C1170,"#,##0.0")&amp;""</f>
        <v xml:space="preserve">  인    부 172,068*Q2/Q = 13,236.0</v>
      </c>
      <c r="C1170" s="91">
        <f>E1170+D1170+F1170</f>
        <v>13236</v>
      </c>
      <c r="D1170" s="91">
        <f>IF(H1170=0,0,ROUNDDOWN(J1170*H1170,1))</f>
        <v>13236</v>
      </c>
      <c r="E1170" s="91">
        <f>IF(H1170=0,0,ROUNDDOWN(K1170*H1170,1))</f>
        <v>0</v>
      </c>
      <c r="F1170" s="91">
        <f>IF(H1170=0,0,ROUNDDOWN(L1170*H1170,1))</f>
        <v>0</v>
      </c>
      <c r="G1170" s="17" t="s">
        <v>1930</v>
      </c>
      <c r="H1170" s="97">
        <f>ROUNDUP(AE1170,14-LEN(ABS(INT(AE1170))))</f>
        <v>7.6923076923100006E-2</v>
      </c>
      <c r="I1170" s="98">
        <f>K1170+J1170+L1170</f>
        <v>172068</v>
      </c>
      <c r="J1170" s="38">
        <f>노무비목록표!E8</f>
        <v>172068</v>
      </c>
      <c r="M1170" s="35" t="s">
        <v>1219</v>
      </c>
      <c r="N1170" s="35" t="s">
        <v>1262</v>
      </c>
      <c r="X1170" s="100" t="str">
        <f>노무비목록표!B8&amp;" / "&amp;노무비목록표!C8</f>
        <v xml:space="preserve">보통인부 / </v>
      </c>
      <c r="Y1170" s="3" t="str">
        <f ca="1">HYPERLINK("#"&amp;노무비목록표!G2&amp;"!A"&amp;ROW(노무비목록표!A8),"노무5 →")</f>
        <v>노무5 →</v>
      </c>
      <c r="Z1170" s="35" t="s">
        <v>1446</v>
      </c>
      <c r="AA1170" s="103" t="str">
        <f>AD1160</f>
        <v>0.125</v>
      </c>
      <c r="AB1170" s="35" t="s">
        <v>1413</v>
      </c>
      <c r="AC1170" s="103" t="str">
        <f>AD1162</f>
        <v>1.625</v>
      </c>
      <c r="AD1170" s="35" t="s">
        <v>1410</v>
      </c>
      <c r="AE1170" s="103">
        <f>1*AD1160/AD1162</f>
        <v>7.6923076923076927E-2</v>
      </c>
      <c r="AF1170" s="101"/>
      <c r="AG1170" s="101"/>
      <c r="AH1170" s="101"/>
      <c r="AI1170" s="101"/>
      <c r="AJ1170" s="101"/>
      <c r="AK1170" s="101"/>
      <c r="AL1170" s="101"/>
      <c r="AM1170" s="101"/>
      <c r="AN1170" s="101"/>
    </row>
    <row r="1171" spans="1:40" ht="16.5" customHeight="1" x14ac:dyDescent="0.3">
      <c r="A1171" s="69"/>
      <c r="B1171" s="69"/>
      <c r="C1171" s="69"/>
      <c r="D1171" s="69"/>
      <c r="E1171" s="69"/>
      <c r="F1171" s="69"/>
      <c r="G1171" s="17" t="s">
        <v>1405</v>
      </c>
      <c r="Z1171" s="101"/>
      <c r="AA1171" s="101"/>
      <c r="AB1171" s="101"/>
      <c r="AC1171" s="101"/>
      <c r="AD1171" s="101"/>
      <c r="AE1171" s="101"/>
      <c r="AF1171" s="101"/>
      <c r="AG1171" s="101"/>
      <c r="AH1171" s="101"/>
      <c r="AI1171" s="101"/>
      <c r="AJ1171" s="101"/>
      <c r="AK1171" s="101"/>
      <c r="AL1171" s="101"/>
      <c r="AM1171" s="101"/>
      <c r="AN1171" s="101"/>
    </row>
    <row r="1172" spans="1:40" ht="16.5" customHeight="1" x14ac:dyDescent="0.3">
      <c r="A1172" s="59"/>
      <c r="B1172" s="68" t="s">
        <v>1260</v>
      </c>
      <c r="C1172" s="92">
        <f>E1172+D1172+F1172</f>
        <v>48024</v>
      </c>
      <c r="D1172" s="92">
        <f>SUMIF(N1157:N1171,M1172,D1157:D1171)</f>
        <v>48024</v>
      </c>
      <c r="E1172" s="92">
        <f>SUMIF(N1157:N1171,M1172,E1157:E1171)</f>
        <v>0</v>
      </c>
      <c r="F1172" s="92">
        <f>SUMIF(N1157:N1171,M1172,F1157:F1171)</f>
        <v>0</v>
      </c>
      <c r="G1172" s="17" t="s">
        <v>1430</v>
      </c>
      <c r="M1172" s="35" t="s">
        <v>1262</v>
      </c>
      <c r="N1172" s="35" t="s">
        <v>1253</v>
      </c>
      <c r="Z1172" s="101"/>
      <c r="AA1172" s="101"/>
      <c r="AB1172" s="101"/>
      <c r="AC1172" s="101"/>
      <c r="AD1172" s="101"/>
      <c r="AE1172" s="101"/>
      <c r="AF1172" s="101"/>
      <c r="AG1172" s="101"/>
      <c r="AH1172" s="101"/>
      <c r="AI1172" s="101"/>
      <c r="AJ1172" s="101"/>
      <c r="AK1172" s="101"/>
      <c r="AL1172" s="101"/>
      <c r="AM1172" s="101"/>
      <c r="AN1172" s="101"/>
    </row>
    <row r="1173" spans="1:40" ht="16.5" customHeight="1" x14ac:dyDescent="0.3">
      <c r="A1173" s="69"/>
      <c r="B1173" s="69"/>
      <c r="C1173" s="90"/>
      <c r="D1173" s="90"/>
      <c r="E1173" s="90"/>
      <c r="F1173" s="90"/>
      <c r="G1173" s="17" t="s">
        <v>1405</v>
      </c>
      <c r="Z1173" s="101"/>
      <c r="AA1173" s="101"/>
      <c r="AB1173" s="101"/>
      <c r="AC1173" s="101"/>
      <c r="AD1173" s="101"/>
      <c r="AE1173" s="101"/>
      <c r="AF1173" s="101"/>
      <c r="AG1173" s="101"/>
      <c r="AH1173" s="101"/>
      <c r="AI1173" s="101"/>
      <c r="AJ1173" s="101"/>
      <c r="AK1173" s="101"/>
      <c r="AL1173" s="101"/>
      <c r="AM1173" s="101"/>
      <c r="AN1173" s="101"/>
    </row>
    <row r="1174" spans="1:40" ht="16.5" customHeight="1" x14ac:dyDescent="0.3">
      <c r="A1174" s="69"/>
      <c r="B1174" s="69"/>
      <c r="C1174" s="69"/>
      <c r="D1174" s="69"/>
      <c r="E1174" s="69"/>
      <c r="F1174" s="69"/>
      <c r="G1174" s="17" t="s">
        <v>1405</v>
      </c>
      <c r="Z1174" s="101"/>
      <c r="AA1174" s="101"/>
      <c r="AB1174" s="101"/>
      <c r="AC1174" s="101"/>
      <c r="AD1174" s="101"/>
      <c r="AE1174" s="101"/>
      <c r="AF1174" s="101"/>
      <c r="AG1174" s="101"/>
      <c r="AH1174" s="101"/>
      <c r="AI1174" s="101"/>
      <c r="AJ1174" s="101"/>
      <c r="AK1174" s="101"/>
      <c r="AL1174" s="101"/>
      <c r="AM1174" s="101"/>
      <c r="AN1174" s="101"/>
    </row>
    <row r="1175" spans="1:40" ht="16.5" customHeight="1" x14ac:dyDescent="0.3">
      <c r="A1175" s="59"/>
      <c r="B1175" s="68" t="s">
        <v>1932</v>
      </c>
      <c r="C1175" s="69"/>
      <c r="D1175" s="69"/>
      <c r="E1175" s="69"/>
      <c r="F1175" s="69"/>
      <c r="G1175" s="17" t="s">
        <v>1931</v>
      </c>
      <c r="Z1175" s="101"/>
      <c r="AA1175" s="101"/>
      <c r="AB1175" s="101"/>
      <c r="AC1175" s="101"/>
      <c r="AD1175" s="101"/>
      <c r="AE1175" s="101"/>
      <c r="AF1175" s="101"/>
      <c r="AG1175" s="101"/>
      <c r="AH1175" s="101"/>
      <c r="AI1175" s="101"/>
      <c r="AJ1175" s="101"/>
      <c r="AK1175" s="101"/>
      <c r="AL1175" s="101"/>
      <c r="AM1175" s="101"/>
      <c r="AN1175" s="101"/>
    </row>
    <row r="1176" spans="1:40" ht="16.5" customHeight="1" x14ac:dyDescent="0.3">
      <c r="A1176" s="69"/>
      <c r="B1176" s="69"/>
      <c r="C1176" s="69"/>
      <c r="D1176" s="69"/>
      <c r="E1176" s="69"/>
      <c r="F1176" s="69"/>
      <c r="G1176" s="17" t="s">
        <v>1405</v>
      </c>
      <c r="Z1176" s="101"/>
      <c r="AA1176" s="101"/>
      <c r="AB1176" s="101"/>
      <c r="AC1176" s="101"/>
      <c r="AD1176" s="101"/>
      <c r="AE1176" s="101"/>
      <c r="AF1176" s="101"/>
      <c r="AG1176" s="101"/>
      <c r="AH1176" s="101"/>
      <c r="AI1176" s="101"/>
      <c r="AJ1176" s="101"/>
      <c r="AK1176" s="101"/>
      <c r="AL1176" s="101"/>
      <c r="AM1176" s="101"/>
      <c r="AN1176" s="101"/>
    </row>
    <row r="1177" spans="1:40" ht="16.5" customHeight="1" x14ac:dyDescent="0.3">
      <c r="A1177" s="69"/>
      <c r="B1177" s="69"/>
      <c r="C1177" s="69"/>
      <c r="D1177" s="69"/>
      <c r="E1177" s="69"/>
      <c r="F1177" s="69"/>
      <c r="G1177" s="17" t="s">
        <v>1405</v>
      </c>
      <c r="Z1177" s="101"/>
      <c r="AA1177" s="101"/>
      <c r="AB1177" s="101"/>
      <c r="AC1177" s="101"/>
      <c r="AD1177" s="101"/>
      <c r="AE1177" s="101"/>
      <c r="AF1177" s="101"/>
      <c r="AG1177" s="101"/>
      <c r="AH1177" s="101"/>
      <c r="AI1177" s="101"/>
      <c r="AJ1177" s="101"/>
      <c r="AK1177" s="101"/>
      <c r="AL1177" s="101"/>
      <c r="AM1177" s="101"/>
      <c r="AN1177" s="101"/>
    </row>
    <row r="1178" spans="1:40" ht="16.5" customHeight="1" x14ac:dyDescent="0.3">
      <c r="A1178" s="59" t="s">
        <v>1934</v>
      </c>
      <c r="B1178" s="89" t="str">
        <f>" 공구손료 : "&amp;TEXT(I1178,"#,##0"&amp;IF(I1178&lt;&gt;INT(I1178),".###",""))&amp;" * "&amp;AA1178&amp;" %  = "&amp;TEXT(C1178,"#,##0.0")&amp;""</f>
        <v xml:space="preserve"> 공구손료 : 48,024 * 5 %  = 2,401.2</v>
      </c>
      <c r="C1178" s="91">
        <f>E1178+D1178+F1178</f>
        <v>2401.1999999999998</v>
      </c>
      <c r="D1178" s="91">
        <f>IF(H1178=0,0,ROUNDDOWN(J1178*H1178/100,1))</f>
        <v>0</v>
      </c>
      <c r="E1178" s="91">
        <f>IF(H1178=0,0,ROUNDDOWN(K1178*H1178/100,1))</f>
        <v>0</v>
      </c>
      <c r="F1178" s="91">
        <f>IF(H1178=0,0,ROUNDDOWN(L1178*H1178/100,1))</f>
        <v>2401.1999999999998</v>
      </c>
      <c r="G1178" s="17" t="s">
        <v>1933</v>
      </c>
      <c r="H1178" s="97">
        <f>ROUNDUP(AC1178,14-LEN(ABS(INT(AC1178))))</f>
        <v>5</v>
      </c>
      <c r="I1178" s="98">
        <f>K1178+J1178+L1178</f>
        <v>48024</v>
      </c>
      <c r="J1178" s="36">
        <v>0</v>
      </c>
      <c r="K1178" s="36">
        <v>0</v>
      </c>
      <c r="L1178" s="36">
        <v>48024</v>
      </c>
      <c r="M1178" s="35" t="s">
        <v>1935</v>
      </c>
      <c r="N1178" s="35" t="s">
        <v>1262</v>
      </c>
      <c r="Z1178" s="35" t="s">
        <v>1446</v>
      </c>
      <c r="AA1178" s="102">
        <v>5</v>
      </c>
      <c r="AB1178" s="35" t="s">
        <v>1410</v>
      </c>
      <c r="AC1178" s="103">
        <f>1*AA1178</f>
        <v>5</v>
      </c>
      <c r="AD1178" s="101"/>
      <c r="AE1178" s="101"/>
      <c r="AF1178" s="101"/>
      <c r="AG1178" s="101"/>
      <c r="AH1178" s="101"/>
      <c r="AI1178" s="101"/>
      <c r="AJ1178" s="101"/>
      <c r="AK1178" s="101"/>
      <c r="AL1178" s="101"/>
      <c r="AM1178" s="101"/>
      <c r="AN1178" s="101"/>
    </row>
    <row r="1179" spans="1:40" ht="16.5" customHeight="1" x14ac:dyDescent="0.3">
      <c r="A1179" s="69"/>
      <c r="B1179" s="69"/>
      <c r="C1179" s="69"/>
      <c r="D1179" s="69"/>
      <c r="E1179" s="69"/>
      <c r="F1179" s="69"/>
      <c r="G1179" s="17" t="s">
        <v>1405</v>
      </c>
      <c r="Z1179" s="101"/>
      <c r="AA1179" s="101"/>
      <c r="AB1179" s="101"/>
      <c r="AC1179" s="101"/>
      <c r="AD1179" s="101"/>
      <c r="AE1179" s="101"/>
      <c r="AF1179" s="101"/>
      <c r="AG1179" s="101"/>
      <c r="AH1179" s="101"/>
      <c r="AI1179" s="101"/>
      <c r="AJ1179" s="101"/>
      <c r="AK1179" s="101"/>
      <c r="AL1179" s="101"/>
      <c r="AM1179" s="101"/>
      <c r="AN1179" s="101"/>
    </row>
    <row r="1180" spans="1:40" ht="16.5" customHeight="1" x14ac:dyDescent="0.3">
      <c r="A1180" s="69"/>
      <c r="B1180" s="69"/>
      <c r="C1180" s="69"/>
      <c r="D1180" s="69"/>
      <c r="E1180" s="69"/>
      <c r="F1180" s="69"/>
      <c r="G1180" s="17" t="s">
        <v>1405</v>
      </c>
      <c r="Z1180" s="101"/>
      <c r="AA1180" s="101"/>
      <c r="AB1180" s="101"/>
      <c r="AC1180" s="101"/>
      <c r="AD1180" s="101"/>
      <c r="AE1180" s="101"/>
      <c r="AF1180" s="101"/>
      <c r="AG1180" s="101"/>
      <c r="AH1180" s="101"/>
      <c r="AI1180" s="101"/>
      <c r="AJ1180" s="101"/>
      <c r="AK1180" s="101"/>
      <c r="AL1180" s="101"/>
      <c r="AM1180" s="101"/>
      <c r="AN1180" s="101"/>
    </row>
    <row r="1181" spans="1:40" ht="16.5" customHeight="1" x14ac:dyDescent="0.3">
      <c r="A1181" s="59"/>
      <c r="B1181" s="68" t="s">
        <v>1260</v>
      </c>
      <c r="C1181" s="92">
        <f>E1181+D1181+F1181</f>
        <v>2401.1999999999998</v>
      </c>
      <c r="D1181" s="92">
        <f>SUMIF(N1173:N1180,M1181,D1173:D1180)</f>
        <v>0</v>
      </c>
      <c r="E1181" s="92">
        <f>SUMIF(N1173:N1180,M1181,E1173:E1180)</f>
        <v>0</v>
      </c>
      <c r="F1181" s="92">
        <f>SUMIF(N1173:N1180,M1181,F1173:F1180)</f>
        <v>2401.1999999999998</v>
      </c>
      <c r="G1181" s="17" t="s">
        <v>1430</v>
      </c>
      <c r="M1181" s="35" t="s">
        <v>1262</v>
      </c>
      <c r="N1181" s="35" t="s">
        <v>1253</v>
      </c>
      <c r="Z1181" s="101"/>
      <c r="AA1181" s="101"/>
      <c r="AB1181" s="101"/>
      <c r="AC1181" s="101"/>
      <c r="AD1181" s="101"/>
      <c r="AE1181" s="101"/>
      <c r="AF1181" s="101"/>
      <c r="AG1181" s="101"/>
      <c r="AH1181" s="101"/>
      <c r="AI1181" s="101"/>
      <c r="AJ1181" s="101"/>
      <c r="AK1181" s="101"/>
      <c r="AL1181" s="101"/>
      <c r="AM1181" s="101"/>
      <c r="AN1181" s="101"/>
    </row>
    <row r="1182" spans="1:40" ht="16.5" customHeight="1" x14ac:dyDescent="0.3">
      <c r="A1182" s="69"/>
      <c r="B1182" s="69"/>
      <c r="C1182" s="90"/>
      <c r="D1182" s="90"/>
      <c r="E1182" s="90"/>
      <c r="F1182" s="90"/>
      <c r="G1182" s="17" t="s">
        <v>1405</v>
      </c>
      <c r="Z1182" s="101"/>
      <c r="AA1182" s="101"/>
      <c r="AB1182" s="101"/>
      <c r="AC1182" s="101"/>
      <c r="AD1182" s="101"/>
      <c r="AE1182" s="101"/>
      <c r="AF1182" s="101"/>
      <c r="AG1182" s="101"/>
      <c r="AH1182" s="101"/>
      <c r="AI1182" s="101"/>
      <c r="AJ1182" s="101"/>
      <c r="AK1182" s="101"/>
      <c r="AL1182" s="101"/>
      <c r="AM1182" s="101"/>
      <c r="AN1182" s="101"/>
    </row>
    <row r="1183" spans="1:40" ht="16.5" customHeight="1" x14ac:dyDescent="0.3">
      <c r="A1183" s="59"/>
      <c r="B1183" s="68" t="s">
        <v>1251</v>
      </c>
      <c r="C1183" s="92">
        <f>E1183+D1183+F1183</f>
        <v>50425.2</v>
      </c>
      <c r="D1183" s="92">
        <f>SUMIF(N1157:N1182,M1183,D1157:D1182)</f>
        <v>48024</v>
      </c>
      <c r="E1183" s="92">
        <f>SUMIF(N1157:N1182,M1183,E1157:E1182)</f>
        <v>0</v>
      </c>
      <c r="F1183" s="92">
        <f>SUMIF(N1157:N1182,M1183,F1157:F1182)</f>
        <v>2401.1999999999998</v>
      </c>
      <c r="G1183" s="17" t="s">
        <v>1476</v>
      </c>
      <c r="M1183" s="35" t="s">
        <v>1253</v>
      </c>
      <c r="N1183" s="35" t="s">
        <v>1209</v>
      </c>
      <c r="Z1183" s="101"/>
      <c r="AA1183" s="101"/>
      <c r="AB1183" s="101"/>
      <c r="AC1183" s="101"/>
      <c r="AD1183" s="101"/>
      <c r="AE1183" s="101"/>
      <c r="AF1183" s="101"/>
      <c r="AG1183" s="101"/>
      <c r="AH1183" s="101"/>
      <c r="AI1183" s="101"/>
      <c r="AJ1183" s="101"/>
      <c r="AK1183" s="101"/>
      <c r="AL1183" s="101"/>
      <c r="AM1183" s="101"/>
      <c r="AN1183" s="101"/>
    </row>
    <row r="1184" spans="1:40" ht="16.5" customHeight="1" x14ac:dyDescent="0.3">
      <c r="A1184" s="69"/>
      <c r="B1184" s="69"/>
      <c r="C1184" s="90"/>
      <c r="D1184" s="90"/>
      <c r="E1184" s="90"/>
      <c r="F1184" s="90"/>
      <c r="G1184" s="17" t="s">
        <v>1936</v>
      </c>
      <c r="Z1184" s="101"/>
      <c r="AA1184" s="101"/>
      <c r="AB1184" s="101"/>
      <c r="AC1184" s="101"/>
      <c r="AD1184" s="101"/>
      <c r="AE1184" s="101"/>
      <c r="AF1184" s="101"/>
      <c r="AG1184" s="101"/>
      <c r="AH1184" s="101"/>
      <c r="AI1184" s="101"/>
      <c r="AJ1184" s="101"/>
      <c r="AK1184" s="101"/>
      <c r="AL1184" s="101"/>
      <c r="AM1184" s="101"/>
      <c r="AN1184" s="101"/>
    </row>
    <row r="1185" spans="1:40" ht="16.5" customHeight="1" x14ac:dyDescent="0.3">
      <c r="A1185" s="69"/>
      <c r="B1185" s="69"/>
      <c r="C1185" s="69"/>
      <c r="D1185" s="69"/>
      <c r="E1185" s="69"/>
      <c r="F1185" s="69"/>
      <c r="Z1185" s="101"/>
      <c r="AA1185" s="101"/>
      <c r="AB1185" s="101"/>
      <c r="AC1185" s="101"/>
      <c r="AD1185" s="101"/>
      <c r="AE1185" s="101"/>
      <c r="AF1185" s="101"/>
      <c r="AG1185" s="101"/>
      <c r="AH1185" s="101"/>
      <c r="AI1185" s="101"/>
      <c r="AJ1185" s="101"/>
      <c r="AK1185" s="101"/>
      <c r="AL1185" s="101"/>
      <c r="AM1185" s="101"/>
      <c r="AN1185" s="101"/>
    </row>
    <row r="1186" spans="1:40" ht="16.5" customHeight="1" x14ac:dyDescent="0.3">
      <c r="A1186" s="69"/>
      <c r="B1186" s="69"/>
      <c r="C1186" s="69"/>
      <c r="D1186" s="69"/>
      <c r="E1186" s="69"/>
      <c r="F1186" s="69"/>
      <c r="Z1186" s="101"/>
      <c r="AA1186" s="101"/>
      <c r="AB1186" s="101"/>
      <c r="AC1186" s="101"/>
      <c r="AD1186" s="101"/>
      <c r="AE1186" s="101"/>
      <c r="AF1186" s="101"/>
      <c r="AG1186" s="101"/>
      <c r="AH1186" s="101"/>
      <c r="AI1186" s="101"/>
      <c r="AJ1186" s="101"/>
      <c r="AK1186" s="101"/>
      <c r="AL1186" s="101"/>
      <c r="AM1186" s="101"/>
      <c r="AN1186" s="101"/>
    </row>
    <row r="1187" spans="1:40" ht="16.5" customHeight="1" x14ac:dyDescent="0.3">
      <c r="A1187" s="69"/>
      <c r="B1187" s="69"/>
      <c r="C1187" s="69"/>
      <c r="D1187" s="69"/>
      <c r="E1187" s="69"/>
      <c r="F1187" s="69"/>
      <c r="Z1187" s="101"/>
      <c r="AA1187" s="101"/>
      <c r="AB1187" s="101"/>
      <c r="AC1187" s="101"/>
      <c r="AD1187" s="101"/>
      <c r="AE1187" s="101"/>
      <c r="AF1187" s="101"/>
      <c r="AG1187" s="101"/>
      <c r="AH1187" s="101"/>
      <c r="AI1187" s="101"/>
      <c r="AJ1187" s="101"/>
      <c r="AK1187" s="101"/>
      <c r="AL1187" s="101"/>
      <c r="AM1187" s="101"/>
      <c r="AN1187" s="101"/>
    </row>
    <row r="1188" spans="1:40" ht="16.5" customHeight="1" x14ac:dyDescent="0.3">
      <c r="A1188" s="69"/>
      <c r="B1188" s="69"/>
      <c r="C1188" s="69"/>
      <c r="D1188" s="69"/>
      <c r="E1188" s="69"/>
      <c r="F1188" s="69"/>
      <c r="Z1188" s="101"/>
      <c r="AA1188" s="101"/>
      <c r="AB1188" s="101"/>
      <c r="AC1188" s="101"/>
      <c r="AD1188" s="101"/>
      <c r="AE1188" s="101"/>
      <c r="AF1188" s="101"/>
      <c r="AG1188" s="101"/>
      <c r="AH1188" s="101"/>
      <c r="AI1188" s="101"/>
      <c r="AJ1188" s="101"/>
      <c r="AK1188" s="101"/>
      <c r="AL1188" s="101"/>
      <c r="AM1188" s="101"/>
      <c r="AN1188" s="101"/>
    </row>
    <row r="1189" spans="1:40" ht="16.5" customHeight="1" x14ac:dyDescent="0.3">
      <c r="A1189" s="69"/>
      <c r="B1189" s="69"/>
      <c r="C1189" s="69"/>
      <c r="D1189" s="69"/>
      <c r="E1189" s="69"/>
      <c r="F1189" s="69"/>
      <c r="Z1189" s="101"/>
      <c r="AA1189" s="101"/>
      <c r="AB1189" s="101"/>
      <c r="AC1189" s="101"/>
      <c r="AD1189" s="101"/>
      <c r="AE1189" s="101"/>
      <c r="AF1189" s="101"/>
      <c r="AG1189" s="101"/>
      <c r="AH1189" s="101"/>
      <c r="AI1189" s="101"/>
      <c r="AJ1189" s="101"/>
      <c r="AK1189" s="101"/>
      <c r="AL1189" s="101"/>
      <c r="AM1189" s="101"/>
      <c r="AN1189" s="101"/>
    </row>
    <row r="1190" spans="1:40" ht="16.5" customHeight="1" x14ac:dyDescent="0.3">
      <c r="A1190" s="69"/>
      <c r="B1190" s="69"/>
      <c r="C1190" s="69"/>
      <c r="D1190" s="69"/>
      <c r="E1190" s="69"/>
      <c r="F1190" s="69"/>
      <c r="Z1190" s="101"/>
      <c r="AA1190" s="101"/>
      <c r="AB1190" s="101"/>
      <c r="AC1190" s="101"/>
      <c r="AD1190" s="101"/>
      <c r="AE1190" s="101"/>
      <c r="AF1190" s="101"/>
      <c r="AG1190" s="101"/>
      <c r="AH1190" s="101"/>
      <c r="AI1190" s="101"/>
      <c r="AJ1190" s="101"/>
      <c r="AK1190" s="101"/>
      <c r="AL1190" s="101"/>
      <c r="AM1190" s="101"/>
      <c r="AN1190" s="101"/>
    </row>
    <row r="1191" spans="1:40" ht="16.5" customHeight="1" x14ac:dyDescent="0.3">
      <c r="A1191" s="69"/>
      <c r="B1191" s="69"/>
      <c r="C1191" s="69"/>
      <c r="D1191" s="69"/>
      <c r="E1191" s="69"/>
      <c r="F1191" s="69"/>
      <c r="Z1191" s="101"/>
      <c r="AA1191" s="101"/>
      <c r="AB1191" s="101"/>
      <c r="AC1191" s="101"/>
      <c r="AD1191" s="101"/>
      <c r="AE1191" s="101"/>
      <c r="AF1191" s="101"/>
      <c r="AG1191" s="101"/>
      <c r="AH1191" s="101"/>
      <c r="AI1191" s="101"/>
      <c r="AJ1191" s="101"/>
      <c r="AK1191" s="101"/>
      <c r="AL1191" s="101"/>
      <c r="AM1191" s="101"/>
      <c r="AN1191" s="101"/>
    </row>
    <row r="1192" spans="1:40" ht="16.5" customHeight="1" x14ac:dyDescent="0.3">
      <c r="A1192" s="69"/>
      <c r="B1192" s="69"/>
      <c r="C1192" s="69"/>
      <c r="D1192" s="69"/>
      <c r="E1192" s="69"/>
      <c r="F1192" s="69"/>
      <c r="Z1192" s="101"/>
      <c r="AA1192" s="101"/>
      <c r="AB1192" s="101"/>
      <c r="AC1192" s="101"/>
      <c r="AD1192" s="101"/>
      <c r="AE1192" s="101"/>
      <c r="AF1192" s="101"/>
      <c r="AG1192" s="101"/>
      <c r="AH1192" s="101"/>
      <c r="AI1192" s="101"/>
      <c r="AJ1192" s="101"/>
      <c r="AK1192" s="101"/>
      <c r="AL1192" s="101"/>
      <c r="AM1192" s="101"/>
      <c r="AN1192" s="101"/>
    </row>
    <row r="1193" spans="1:40" ht="16.5" customHeight="1" x14ac:dyDescent="0.3">
      <c r="A1193" s="69"/>
      <c r="B1193" s="69"/>
      <c r="C1193" s="69"/>
      <c r="D1193" s="69"/>
      <c r="E1193" s="69"/>
      <c r="F1193" s="69"/>
      <c r="Z1193" s="101"/>
      <c r="AA1193" s="101"/>
      <c r="AB1193" s="101"/>
      <c r="AC1193" s="101"/>
      <c r="AD1193" s="101"/>
      <c r="AE1193" s="101"/>
      <c r="AF1193" s="101"/>
      <c r="AG1193" s="101"/>
      <c r="AH1193" s="101"/>
      <c r="AI1193" s="101"/>
      <c r="AJ1193" s="101"/>
      <c r="AK1193" s="101"/>
      <c r="AL1193" s="101"/>
      <c r="AM1193" s="101"/>
      <c r="AN1193" s="101"/>
    </row>
    <row r="1194" spans="1:40" ht="16.5" customHeight="1" x14ac:dyDescent="0.3">
      <c r="A1194" s="69"/>
      <c r="B1194" s="69"/>
      <c r="C1194" s="69"/>
      <c r="D1194" s="69"/>
      <c r="E1194" s="69"/>
      <c r="F1194" s="69"/>
      <c r="Z1194" s="101"/>
      <c r="AA1194" s="101"/>
      <c r="AB1194" s="101"/>
      <c r="AC1194" s="101"/>
      <c r="AD1194" s="101"/>
      <c r="AE1194" s="101"/>
      <c r="AF1194" s="101"/>
      <c r="AG1194" s="101"/>
      <c r="AH1194" s="101"/>
      <c r="AI1194" s="101"/>
      <c r="AJ1194" s="101"/>
      <c r="AK1194" s="101"/>
      <c r="AL1194" s="101"/>
      <c r="AM1194" s="101"/>
      <c r="AN1194" s="101"/>
    </row>
    <row r="1195" spans="1:40" ht="16.5" customHeight="1" x14ac:dyDescent="0.3">
      <c r="A1195" s="69"/>
      <c r="B1195" s="69"/>
      <c r="C1195" s="69"/>
      <c r="D1195" s="69"/>
      <c r="E1195" s="69"/>
      <c r="F1195" s="69"/>
      <c r="Z1195" s="101"/>
      <c r="AA1195" s="101"/>
      <c r="AB1195" s="101"/>
      <c r="AC1195" s="101"/>
      <c r="AD1195" s="101"/>
      <c r="AE1195" s="101"/>
      <c r="AF1195" s="101"/>
      <c r="AG1195" s="101"/>
      <c r="AH1195" s="101"/>
      <c r="AI1195" s="101"/>
      <c r="AJ1195" s="101"/>
      <c r="AK1195" s="101"/>
      <c r="AL1195" s="101"/>
      <c r="AM1195" s="101"/>
      <c r="AN1195" s="101"/>
    </row>
    <row r="1196" spans="1:40" ht="16.5" customHeight="1" x14ac:dyDescent="0.3">
      <c r="A1196" s="69"/>
      <c r="B1196" s="69"/>
      <c r="C1196" s="69"/>
      <c r="D1196" s="69"/>
      <c r="E1196" s="69"/>
      <c r="F1196" s="69"/>
      <c r="Z1196" s="101"/>
      <c r="AA1196" s="101"/>
      <c r="AB1196" s="101"/>
      <c r="AC1196" s="101"/>
      <c r="AD1196" s="101"/>
      <c r="AE1196" s="101"/>
      <c r="AF1196" s="101"/>
      <c r="AG1196" s="101"/>
      <c r="AH1196" s="101"/>
      <c r="AI1196" s="101"/>
      <c r="AJ1196" s="101"/>
      <c r="AK1196" s="101"/>
      <c r="AL1196" s="101"/>
      <c r="AM1196" s="101"/>
      <c r="AN1196" s="101"/>
    </row>
    <row r="1197" spans="1:40" ht="16.5" customHeight="1" x14ac:dyDescent="0.3">
      <c r="A1197" s="69"/>
      <c r="B1197" s="69"/>
      <c r="C1197" s="69"/>
      <c r="D1197" s="69"/>
      <c r="E1197" s="69"/>
      <c r="F1197" s="69"/>
      <c r="Z1197" s="101"/>
      <c r="AA1197" s="101"/>
      <c r="AB1197" s="101"/>
      <c r="AC1197" s="101"/>
      <c r="AD1197" s="101"/>
      <c r="AE1197" s="101"/>
      <c r="AF1197" s="101"/>
      <c r="AG1197" s="101"/>
      <c r="AH1197" s="101"/>
      <c r="AI1197" s="101"/>
      <c r="AJ1197" s="101"/>
      <c r="AK1197" s="101"/>
      <c r="AL1197" s="101"/>
      <c r="AM1197" s="101"/>
      <c r="AN1197" s="101"/>
    </row>
    <row r="1198" spans="1:40" ht="16.5" customHeight="1" x14ac:dyDescent="0.3">
      <c r="A1198" s="69"/>
      <c r="B1198" s="69"/>
      <c r="C1198" s="69"/>
      <c r="D1198" s="69"/>
      <c r="E1198" s="69"/>
      <c r="F1198" s="69"/>
      <c r="Z1198" s="101"/>
      <c r="AA1198" s="101"/>
      <c r="AB1198" s="101"/>
      <c r="AC1198" s="101"/>
      <c r="AD1198" s="101"/>
      <c r="AE1198" s="101"/>
      <c r="AF1198" s="101"/>
      <c r="AG1198" s="101"/>
      <c r="AH1198" s="101"/>
      <c r="AI1198" s="101"/>
      <c r="AJ1198" s="101"/>
      <c r="AK1198" s="101"/>
      <c r="AL1198" s="101"/>
      <c r="AM1198" s="101"/>
      <c r="AN1198" s="101"/>
    </row>
    <row r="1199" spans="1:40" ht="16.5" customHeight="1" x14ac:dyDescent="0.3">
      <c r="A1199" s="69"/>
      <c r="B1199" s="69"/>
      <c r="C1199" s="69"/>
      <c r="D1199" s="69"/>
      <c r="E1199" s="69"/>
      <c r="F1199" s="69"/>
      <c r="Z1199" s="101"/>
      <c r="AA1199" s="101"/>
      <c r="AB1199" s="101"/>
      <c r="AC1199" s="101"/>
      <c r="AD1199" s="101"/>
      <c r="AE1199" s="101"/>
      <c r="AF1199" s="101"/>
      <c r="AG1199" s="101"/>
      <c r="AH1199" s="101"/>
      <c r="AI1199" s="101"/>
      <c r="AJ1199" s="101"/>
      <c r="AK1199" s="101"/>
      <c r="AL1199" s="101"/>
      <c r="AM1199" s="101"/>
      <c r="AN1199" s="101"/>
    </row>
    <row r="1200" spans="1:40" ht="16.5" customHeight="1" x14ac:dyDescent="0.3">
      <c r="A1200" s="69"/>
      <c r="B1200" s="69"/>
      <c r="C1200" s="69"/>
      <c r="D1200" s="69"/>
      <c r="E1200" s="69"/>
      <c r="F1200" s="69"/>
      <c r="Z1200" s="101"/>
      <c r="AA1200" s="101"/>
      <c r="AB1200" s="101"/>
      <c r="AC1200" s="101"/>
      <c r="AD1200" s="101"/>
      <c r="AE1200" s="101"/>
      <c r="AF1200" s="101"/>
      <c r="AG1200" s="101"/>
      <c r="AH1200" s="101"/>
      <c r="AI1200" s="101"/>
      <c r="AJ1200" s="101"/>
      <c r="AK1200" s="101"/>
      <c r="AL1200" s="101"/>
      <c r="AM1200" s="101"/>
      <c r="AN1200" s="101"/>
    </row>
    <row r="1201" spans="1:40" ht="16.5" customHeight="1" x14ac:dyDescent="0.3">
      <c r="A1201" s="69"/>
      <c r="B1201" s="69"/>
      <c r="C1201" s="69"/>
      <c r="D1201" s="69"/>
      <c r="E1201" s="69"/>
      <c r="F1201" s="69"/>
      <c r="Z1201" s="101"/>
      <c r="AA1201" s="101"/>
      <c r="AB1201" s="101"/>
      <c r="AC1201" s="101"/>
      <c r="AD1201" s="101"/>
      <c r="AE1201" s="101"/>
      <c r="AF1201" s="101"/>
      <c r="AG1201" s="101"/>
      <c r="AH1201" s="101"/>
      <c r="AI1201" s="101"/>
      <c r="AJ1201" s="101"/>
      <c r="AK1201" s="101"/>
      <c r="AL1201" s="101"/>
      <c r="AM1201" s="101"/>
      <c r="AN1201" s="101"/>
    </row>
    <row r="1202" spans="1:40" ht="16.5" customHeight="1" x14ac:dyDescent="0.3">
      <c r="A1202" s="69"/>
      <c r="B1202" s="69"/>
      <c r="C1202" s="69"/>
      <c r="D1202" s="69"/>
      <c r="E1202" s="69"/>
      <c r="F1202" s="69"/>
      <c r="Z1202" s="101"/>
      <c r="AA1202" s="101"/>
      <c r="AB1202" s="101"/>
      <c r="AC1202" s="101"/>
      <c r="AD1202" s="101"/>
      <c r="AE1202" s="101"/>
      <c r="AF1202" s="101"/>
      <c r="AG1202" s="101"/>
      <c r="AH1202" s="101"/>
      <c r="AI1202" s="101"/>
      <c r="AJ1202" s="101"/>
      <c r="AK1202" s="101"/>
      <c r="AL1202" s="101"/>
      <c r="AM1202" s="101"/>
      <c r="AN1202" s="101"/>
    </row>
    <row r="1203" spans="1:40" ht="16.5" customHeight="1" x14ac:dyDescent="0.3">
      <c r="A1203" s="74"/>
      <c r="B1203" s="74"/>
      <c r="C1203" s="74"/>
      <c r="D1203" s="74"/>
      <c r="E1203" s="74"/>
      <c r="F1203" s="74"/>
      <c r="Z1203" s="101"/>
      <c r="AA1203" s="101"/>
      <c r="AB1203" s="101"/>
      <c r="AC1203" s="101"/>
      <c r="AD1203" s="101"/>
      <c r="AE1203" s="101"/>
      <c r="AF1203" s="101"/>
      <c r="AG1203" s="101"/>
      <c r="AH1203" s="101"/>
      <c r="AI1203" s="101"/>
      <c r="AJ1203" s="101"/>
      <c r="AK1203" s="101"/>
      <c r="AL1203" s="101"/>
      <c r="AM1203" s="101"/>
      <c r="AN1203" s="101"/>
    </row>
    <row r="1204" spans="1:40" ht="16.5" customHeight="1" x14ac:dyDescent="0.3">
      <c r="A1204" s="150" t="s">
        <v>1477</v>
      </c>
      <c r="B1204" s="143"/>
      <c r="C1204" s="47">
        <f>E1204+D1204+F1204</f>
        <v>50425</v>
      </c>
      <c r="D1204" s="46">
        <f>ROUNDDOWN(SUMIF(N1157:N1184,M1204,D1157:D1184),0)</f>
        <v>48024</v>
      </c>
      <c r="E1204" s="55">
        <f>ROUNDDOWN(SUMIF(N1157:N1184,M1204,E1157:E1184),0)</f>
        <v>0</v>
      </c>
      <c r="F1204" s="47">
        <f>ROUNDDOWN(SUMIF(N1157:N1184,M1204,F1157:F1184),0)</f>
        <v>2401</v>
      </c>
      <c r="M1204" s="35" t="s">
        <v>1209</v>
      </c>
      <c r="Z1204" s="101"/>
      <c r="AA1204" s="101"/>
      <c r="AB1204" s="101"/>
      <c r="AC1204" s="101"/>
      <c r="AD1204" s="101"/>
      <c r="AE1204" s="101"/>
      <c r="AF1204" s="101"/>
      <c r="AG1204" s="101"/>
      <c r="AH1204" s="101"/>
      <c r="AI1204" s="101"/>
      <c r="AJ1204" s="101"/>
      <c r="AK1204" s="101"/>
      <c r="AL1204" s="101"/>
      <c r="AM1204" s="101"/>
      <c r="AN1204" s="101"/>
    </row>
    <row r="1205" spans="1:40" ht="16.5" customHeight="1" x14ac:dyDescent="0.3">
      <c r="A1205" s="86" t="s">
        <v>83</v>
      </c>
      <c r="B1205" s="88" t="s">
        <v>83</v>
      </c>
      <c r="C1205" s="151">
        <f>C1304</f>
        <v>870233</v>
      </c>
      <c r="D1205" s="151">
        <f>D1304</f>
        <v>0</v>
      </c>
      <c r="E1205" s="151">
        <f>E1304</f>
        <v>0</v>
      </c>
      <c r="F1205" s="151">
        <f>F1304</f>
        <v>870233</v>
      </c>
      <c r="G1205" s="84" t="str">
        <f>HYPERLINK("#G"&amp;ROW(G1273),"_x0005_`BDCOD|D03917_x0007_`POSS|"&amp;ROW(G1207)&amp;"_x0007_`POSE|"&amp;ROW(G1273)&amp;"_x0007_`")</f>
        <v>_x0005_`BDCOD|D03917_x0007_`POSS|1207_x0007_`POSE|1273_x0007_`</v>
      </c>
      <c r="Z1205" s="101"/>
      <c r="AA1205" s="101"/>
      <c r="AB1205" s="101"/>
      <c r="AC1205" s="101"/>
      <c r="AD1205" s="101"/>
      <c r="AE1205" s="101"/>
      <c r="AF1205" s="101"/>
      <c r="AG1205" s="101"/>
      <c r="AH1205" s="101"/>
      <c r="AI1205" s="101"/>
      <c r="AJ1205" s="101"/>
      <c r="AK1205" s="101"/>
      <c r="AL1205" s="101"/>
      <c r="AM1205" s="101"/>
      <c r="AN1205" s="101"/>
    </row>
    <row r="1206" spans="1:40" ht="16.5" customHeight="1" x14ac:dyDescent="0.3">
      <c r="A1206" s="87"/>
      <c r="B1206" s="88" t="s">
        <v>177</v>
      </c>
      <c r="C1206" s="136"/>
      <c r="D1206" s="136"/>
      <c r="E1206" s="136"/>
      <c r="F1206" s="136"/>
      <c r="M1206" s="35" t="s">
        <v>1937</v>
      </c>
      <c r="Z1206" s="101"/>
      <c r="AA1206" s="101"/>
      <c r="AB1206" s="101"/>
      <c r="AC1206" s="101"/>
      <c r="AD1206" s="101"/>
      <c r="AE1206" s="101"/>
      <c r="AF1206" s="101"/>
      <c r="AG1206" s="101"/>
      <c r="AH1206" s="101"/>
      <c r="AI1206" s="101"/>
      <c r="AJ1206" s="101"/>
      <c r="AK1206" s="101"/>
      <c r="AL1206" s="101"/>
      <c r="AM1206" s="101"/>
      <c r="AN1206" s="101"/>
    </row>
    <row r="1207" spans="1:40" ht="16.5" customHeight="1" x14ac:dyDescent="0.3">
      <c r="A1207" s="69"/>
      <c r="B1207" s="69"/>
      <c r="C1207" s="90"/>
      <c r="D1207" s="90"/>
      <c r="E1207" s="90"/>
      <c r="F1207" s="90"/>
      <c r="G1207" s="17" t="s">
        <v>1405</v>
      </c>
      <c r="Z1207" s="101"/>
      <c r="AA1207" s="101"/>
      <c r="AB1207" s="101"/>
      <c r="AC1207" s="101"/>
      <c r="AD1207" s="101"/>
      <c r="AE1207" s="101"/>
      <c r="AF1207" s="101"/>
      <c r="AG1207" s="101"/>
      <c r="AH1207" s="101"/>
      <c r="AI1207" s="101"/>
      <c r="AJ1207" s="101"/>
      <c r="AK1207" s="101"/>
      <c r="AL1207" s="101"/>
      <c r="AM1207" s="101"/>
      <c r="AN1207" s="101"/>
    </row>
    <row r="1208" spans="1:40" ht="16.5" customHeight="1" x14ac:dyDescent="0.3">
      <c r="A1208" s="69"/>
      <c r="B1208" s="69"/>
      <c r="C1208" s="69"/>
      <c r="D1208" s="69"/>
      <c r="E1208" s="69"/>
      <c r="F1208" s="69"/>
      <c r="G1208" s="17" t="s">
        <v>1405</v>
      </c>
      <c r="Z1208" s="101"/>
      <c r="AA1208" s="101"/>
      <c r="AB1208" s="101"/>
      <c r="AC1208" s="101"/>
      <c r="AD1208" s="101"/>
      <c r="AE1208" s="101"/>
      <c r="AF1208" s="101"/>
      <c r="AG1208" s="101"/>
      <c r="AH1208" s="101"/>
      <c r="AI1208" s="101"/>
      <c r="AJ1208" s="101"/>
      <c r="AK1208" s="101"/>
      <c r="AL1208" s="101"/>
      <c r="AM1208" s="101"/>
      <c r="AN1208" s="101"/>
    </row>
    <row r="1209" spans="1:40" ht="16.5" customHeight="1" x14ac:dyDescent="0.3">
      <c r="A1209" s="59"/>
      <c r="B1209" s="68" t="str">
        <f>" 1. 트레일러 운반(20TON)   L="&amp;Z1209&amp;" ㎞ "</f>
        <v xml:space="preserve"> 1. 트레일러 운반(20TON)   L=18 ㎞ </v>
      </c>
      <c r="C1209" s="69"/>
      <c r="D1209" s="69"/>
      <c r="E1209" s="69"/>
      <c r="F1209" s="69"/>
      <c r="G1209" s="17" t="s">
        <v>1938</v>
      </c>
      <c r="Z1209" s="102">
        <v>18</v>
      </c>
      <c r="AA1209" s="35" t="s">
        <v>1410</v>
      </c>
      <c r="AB1209" s="103">
        <f>Z1209</f>
        <v>18</v>
      </c>
      <c r="AC1209" s="101"/>
      <c r="AD1209" s="101"/>
      <c r="AE1209" s="101"/>
      <c r="AF1209" s="101"/>
      <c r="AG1209" s="101"/>
      <c r="AH1209" s="101"/>
      <c r="AI1209" s="101"/>
      <c r="AJ1209" s="101"/>
      <c r="AK1209" s="101"/>
      <c r="AL1209" s="101"/>
      <c r="AM1209" s="101"/>
      <c r="AN1209" s="101"/>
    </row>
    <row r="1210" spans="1:40" ht="16.5" customHeight="1" x14ac:dyDescent="0.3">
      <c r="A1210" s="69"/>
      <c r="B1210" s="69"/>
      <c r="C1210" s="69"/>
      <c r="D1210" s="69"/>
      <c r="E1210" s="69"/>
      <c r="F1210" s="69"/>
      <c r="G1210" s="17" t="s">
        <v>1405</v>
      </c>
      <c r="Z1210" s="101"/>
      <c r="AA1210" s="101"/>
      <c r="AB1210" s="101"/>
      <c r="AC1210" s="101"/>
      <c r="AD1210" s="101"/>
      <c r="AE1210" s="101"/>
      <c r="AF1210" s="101"/>
      <c r="AG1210" s="101"/>
      <c r="AH1210" s="101"/>
      <c r="AI1210" s="101"/>
      <c r="AJ1210" s="101"/>
      <c r="AK1210" s="101"/>
      <c r="AL1210" s="101"/>
      <c r="AM1210" s="101"/>
      <c r="AN1210" s="101"/>
    </row>
    <row r="1211" spans="1:40" ht="16.5" customHeight="1" x14ac:dyDescent="0.3">
      <c r="A1211" s="69"/>
      <c r="B1211" s="69"/>
      <c r="C1211" s="69"/>
      <c r="D1211" s="69"/>
      <c r="E1211" s="69"/>
      <c r="F1211" s="69"/>
      <c r="G1211" s="17" t="s">
        <v>1405</v>
      </c>
      <c r="Z1211" s="101"/>
      <c r="AA1211" s="101"/>
      <c r="AB1211" s="101"/>
      <c r="AC1211" s="101"/>
      <c r="AD1211" s="101"/>
      <c r="AE1211" s="101"/>
      <c r="AF1211" s="101"/>
      <c r="AG1211" s="101"/>
      <c r="AH1211" s="101"/>
      <c r="AI1211" s="101"/>
      <c r="AJ1211" s="101"/>
      <c r="AK1211" s="101"/>
      <c r="AL1211" s="101"/>
      <c r="AM1211" s="101"/>
      <c r="AN1211" s="101"/>
    </row>
    <row r="1212" spans="1:40" ht="16.5" customHeight="1" x14ac:dyDescent="0.3">
      <c r="A1212" s="59"/>
      <c r="B1212" s="68" t="s">
        <v>1940</v>
      </c>
      <c r="C1212" s="69"/>
      <c r="D1212" s="69"/>
      <c r="E1212" s="69"/>
      <c r="F1212" s="69"/>
      <c r="G1212" s="17" t="s">
        <v>1939</v>
      </c>
      <c r="Z1212" s="101"/>
      <c r="AA1212" s="101"/>
      <c r="AB1212" s="101"/>
      <c r="AC1212" s="101"/>
      <c r="AD1212" s="101"/>
      <c r="AE1212" s="101"/>
      <c r="AF1212" s="101"/>
      <c r="AG1212" s="101"/>
      <c r="AH1212" s="101"/>
      <c r="AI1212" s="101"/>
      <c r="AJ1212" s="101"/>
      <c r="AK1212" s="101"/>
      <c r="AL1212" s="101"/>
      <c r="AM1212" s="101"/>
      <c r="AN1212" s="101"/>
    </row>
    <row r="1213" spans="1:40" ht="16.5" customHeight="1" x14ac:dyDescent="0.3">
      <c r="A1213" s="69"/>
      <c r="B1213" s="69"/>
      <c r="C1213" s="69"/>
      <c r="D1213" s="69"/>
      <c r="E1213" s="69"/>
      <c r="F1213" s="69"/>
      <c r="G1213" s="17" t="s">
        <v>1405</v>
      </c>
      <c r="Z1213" s="101"/>
      <c r="AA1213" s="101"/>
      <c r="AB1213" s="101"/>
      <c r="AC1213" s="101"/>
      <c r="AD1213" s="101"/>
      <c r="AE1213" s="101"/>
      <c r="AF1213" s="101"/>
      <c r="AG1213" s="101"/>
      <c r="AH1213" s="101"/>
      <c r="AI1213" s="101"/>
      <c r="AJ1213" s="101"/>
      <c r="AK1213" s="101"/>
      <c r="AL1213" s="101"/>
      <c r="AM1213" s="101"/>
      <c r="AN1213" s="101"/>
    </row>
    <row r="1214" spans="1:40" ht="16.5" customHeight="1" x14ac:dyDescent="0.3">
      <c r="A1214" s="69"/>
      <c r="B1214" s="69"/>
      <c r="C1214" s="69"/>
      <c r="D1214" s="69"/>
      <c r="E1214" s="69"/>
      <c r="F1214" s="69"/>
      <c r="G1214" s="17" t="s">
        <v>1405</v>
      </c>
      <c r="Z1214" s="101"/>
      <c r="AA1214" s="101"/>
      <c r="AB1214" s="101"/>
      <c r="AC1214" s="101"/>
      <c r="AD1214" s="101"/>
      <c r="AE1214" s="101"/>
      <c r="AF1214" s="101"/>
      <c r="AG1214" s="101"/>
      <c r="AH1214" s="101"/>
      <c r="AI1214" s="101"/>
      <c r="AJ1214" s="101"/>
      <c r="AK1214" s="101"/>
      <c r="AL1214" s="101"/>
      <c r="AM1214" s="101"/>
      <c r="AN1214" s="101"/>
    </row>
    <row r="1215" spans="1:40" ht="16.5" customHeight="1" x14ac:dyDescent="0.3">
      <c r="A1215" s="59"/>
      <c r="B1215" s="68" t="s">
        <v>1942</v>
      </c>
      <c r="C1215" s="69"/>
      <c r="D1215" s="69"/>
      <c r="E1215" s="69"/>
      <c r="F1215" s="69"/>
      <c r="G1215" s="17" t="s">
        <v>1941</v>
      </c>
      <c r="Z1215" s="101"/>
      <c r="AA1215" s="101"/>
      <c r="AB1215" s="101"/>
      <c r="AC1215" s="101"/>
      <c r="AD1215" s="101"/>
      <c r="AE1215" s="101"/>
      <c r="AF1215" s="101"/>
      <c r="AG1215" s="101"/>
      <c r="AH1215" s="101"/>
      <c r="AI1215" s="101"/>
      <c r="AJ1215" s="101"/>
      <c r="AK1215" s="101"/>
      <c r="AL1215" s="101"/>
      <c r="AM1215" s="101"/>
      <c r="AN1215" s="101"/>
    </row>
    <row r="1216" spans="1:40" ht="16.5" customHeight="1" x14ac:dyDescent="0.3">
      <c r="A1216" s="69"/>
      <c r="B1216" s="69"/>
      <c r="C1216" s="69"/>
      <c r="D1216" s="69"/>
      <c r="E1216" s="69"/>
      <c r="F1216" s="69"/>
      <c r="G1216" s="17" t="s">
        <v>1405</v>
      </c>
      <c r="Z1216" s="101"/>
      <c r="AA1216" s="101"/>
      <c r="AB1216" s="101"/>
      <c r="AC1216" s="101"/>
      <c r="AD1216" s="101"/>
      <c r="AE1216" s="101"/>
      <c r="AF1216" s="101"/>
      <c r="AG1216" s="101"/>
      <c r="AH1216" s="101"/>
      <c r="AI1216" s="101"/>
      <c r="AJ1216" s="101"/>
      <c r="AK1216" s="101"/>
      <c r="AL1216" s="101"/>
      <c r="AM1216" s="101"/>
      <c r="AN1216" s="101"/>
    </row>
    <row r="1217" spans="1:40" ht="16.5" customHeight="1" x14ac:dyDescent="0.3">
      <c r="A1217" s="69"/>
      <c r="B1217" s="69"/>
      <c r="C1217" s="69"/>
      <c r="D1217" s="69"/>
      <c r="E1217" s="69"/>
      <c r="F1217" s="69"/>
      <c r="G1217" s="17" t="s">
        <v>1405</v>
      </c>
      <c r="Z1217" s="101"/>
      <c r="AA1217" s="101"/>
      <c r="AB1217" s="101"/>
      <c r="AC1217" s="101"/>
      <c r="AD1217" s="101"/>
      <c r="AE1217" s="101"/>
      <c r="AF1217" s="101"/>
      <c r="AG1217" s="101"/>
      <c r="AH1217" s="101"/>
      <c r="AI1217" s="101"/>
      <c r="AJ1217" s="101"/>
      <c r="AK1217" s="101"/>
      <c r="AL1217" s="101"/>
      <c r="AM1217" s="101"/>
      <c r="AN1217" s="101"/>
    </row>
    <row r="1218" spans="1:40" ht="16.5" customHeight="1" x14ac:dyDescent="0.3">
      <c r="A1218" s="59"/>
      <c r="B1218" s="68" t="s">
        <v>1944</v>
      </c>
      <c r="C1218" s="69"/>
      <c r="D1218" s="69"/>
      <c r="E1218" s="69"/>
      <c r="F1218" s="69"/>
      <c r="G1218" s="17" t="s">
        <v>1943</v>
      </c>
      <c r="Z1218" s="101"/>
      <c r="AA1218" s="101"/>
      <c r="AB1218" s="101"/>
      <c r="AC1218" s="101"/>
      <c r="AD1218" s="101"/>
      <c r="AE1218" s="101"/>
      <c r="AF1218" s="101"/>
      <c r="AG1218" s="101"/>
      <c r="AH1218" s="101"/>
      <c r="AI1218" s="101"/>
      <c r="AJ1218" s="101"/>
      <c r="AK1218" s="101"/>
      <c r="AL1218" s="101"/>
      <c r="AM1218" s="101"/>
      <c r="AN1218" s="101"/>
    </row>
    <row r="1219" spans="1:40" ht="16.5" customHeight="1" x14ac:dyDescent="0.3">
      <c r="A1219" s="69"/>
      <c r="B1219" s="69"/>
      <c r="C1219" s="69"/>
      <c r="D1219" s="69"/>
      <c r="E1219" s="69"/>
      <c r="F1219" s="69"/>
      <c r="G1219" s="17" t="s">
        <v>1405</v>
      </c>
      <c r="Z1219" s="101"/>
      <c r="AA1219" s="101"/>
      <c r="AB1219" s="101"/>
      <c r="AC1219" s="101"/>
      <c r="AD1219" s="101"/>
      <c r="AE1219" s="101"/>
      <c r="AF1219" s="101"/>
      <c r="AG1219" s="101"/>
      <c r="AH1219" s="101"/>
      <c r="AI1219" s="101"/>
      <c r="AJ1219" s="101"/>
      <c r="AK1219" s="101"/>
      <c r="AL1219" s="101"/>
      <c r="AM1219" s="101"/>
      <c r="AN1219" s="101"/>
    </row>
    <row r="1220" spans="1:40" ht="16.5" customHeight="1" x14ac:dyDescent="0.3">
      <c r="A1220" s="69"/>
      <c r="B1220" s="69"/>
      <c r="C1220" s="69"/>
      <c r="D1220" s="69"/>
      <c r="E1220" s="69"/>
      <c r="F1220" s="69"/>
      <c r="G1220" s="17" t="s">
        <v>1405</v>
      </c>
      <c r="Z1220" s="101"/>
      <c r="AA1220" s="101"/>
      <c r="AB1220" s="101"/>
      <c r="AC1220" s="101"/>
      <c r="AD1220" s="101"/>
      <c r="AE1220" s="101"/>
      <c r="AF1220" s="101"/>
      <c r="AG1220" s="101"/>
      <c r="AH1220" s="101"/>
      <c r="AI1220" s="101"/>
      <c r="AJ1220" s="101"/>
      <c r="AK1220" s="101"/>
      <c r="AL1220" s="101"/>
      <c r="AM1220" s="101"/>
      <c r="AN1220" s="101"/>
    </row>
    <row r="1221" spans="1:40" ht="16.5" customHeight="1" x14ac:dyDescent="0.3">
      <c r="A1221" s="59"/>
      <c r="B1221" s="68" t="s">
        <v>1946</v>
      </c>
      <c r="C1221" s="69"/>
      <c r="D1221" s="69"/>
      <c r="E1221" s="69"/>
      <c r="F1221" s="69"/>
      <c r="G1221" s="17" t="s">
        <v>1945</v>
      </c>
      <c r="Z1221" s="101"/>
      <c r="AA1221" s="101"/>
      <c r="AB1221" s="101"/>
      <c r="AC1221" s="101"/>
      <c r="AD1221" s="101"/>
      <c r="AE1221" s="101"/>
      <c r="AF1221" s="101"/>
      <c r="AG1221" s="101"/>
      <c r="AH1221" s="101"/>
      <c r="AI1221" s="101"/>
      <c r="AJ1221" s="101"/>
      <c r="AK1221" s="101"/>
      <c r="AL1221" s="101"/>
      <c r="AM1221" s="101"/>
      <c r="AN1221" s="101"/>
    </row>
    <row r="1222" spans="1:40" ht="16.5" customHeight="1" x14ac:dyDescent="0.3">
      <c r="A1222" s="69"/>
      <c r="B1222" s="69"/>
      <c r="C1222" s="69"/>
      <c r="D1222" s="69"/>
      <c r="E1222" s="69"/>
      <c r="F1222" s="69"/>
      <c r="G1222" s="17" t="s">
        <v>1405</v>
      </c>
      <c r="Z1222" s="101"/>
      <c r="AA1222" s="101"/>
      <c r="AB1222" s="101"/>
      <c r="AC1222" s="101"/>
      <c r="AD1222" s="101"/>
      <c r="AE1222" s="101"/>
      <c r="AF1222" s="101"/>
      <c r="AG1222" s="101"/>
      <c r="AH1222" s="101"/>
      <c r="AI1222" s="101"/>
      <c r="AJ1222" s="101"/>
      <c r="AK1222" s="101"/>
      <c r="AL1222" s="101"/>
      <c r="AM1222" s="101"/>
      <c r="AN1222" s="101"/>
    </row>
    <row r="1223" spans="1:40" ht="16.5" customHeight="1" x14ac:dyDescent="0.3">
      <c r="A1223" s="69"/>
      <c r="B1223" s="69"/>
      <c r="C1223" s="69"/>
      <c r="D1223" s="69"/>
      <c r="E1223" s="69"/>
      <c r="F1223" s="69"/>
      <c r="G1223" s="17" t="s">
        <v>1405</v>
      </c>
      <c r="Z1223" s="101"/>
      <c r="AA1223" s="101"/>
      <c r="AB1223" s="101"/>
      <c r="AC1223" s="101"/>
      <c r="AD1223" s="101"/>
      <c r="AE1223" s="101"/>
      <c r="AF1223" s="101"/>
      <c r="AG1223" s="101"/>
      <c r="AH1223" s="101"/>
      <c r="AI1223" s="101"/>
      <c r="AJ1223" s="101"/>
      <c r="AK1223" s="101"/>
      <c r="AL1223" s="101"/>
      <c r="AM1223" s="101"/>
      <c r="AN1223" s="101"/>
    </row>
    <row r="1224" spans="1:40" ht="16.5" customHeight="1" x14ac:dyDescent="0.3">
      <c r="A1224" s="59"/>
      <c r="B1224" s="68" t="s">
        <v>1948</v>
      </c>
      <c r="C1224" s="69"/>
      <c r="D1224" s="69"/>
      <c r="E1224" s="69"/>
      <c r="F1224" s="69"/>
      <c r="G1224" s="17" t="s">
        <v>1947</v>
      </c>
      <c r="Z1224" s="101"/>
      <c r="AA1224" s="101"/>
      <c r="AB1224" s="101"/>
      <c r="AC1224" s="101"/>
      <c r="AD1224" s="101"/>
      <c r="AE1224" s="101"/>
      <c r="AF1224" s="101"/>
      <c r="AG1224" s="101"/>
      <c r="AH1224" s="101"/>
      <c r="AI1224" s="101"/>
      <c r="AJ1224" s="101"/>
      <c r="AK1224" s="101"/>
      <c r="AL1224" s="101"/>
      <c r="AM1224" s="101"/>
      <c r="AN1224" s="101"/>
    </row>
    <row r="1225" spans="1:40" ht="16.5" customHeight="1" x14ac:dyDescent="0.3">
      <c r="A1225" s="69"/>
      <c r="B1225" s="69"/>
      <c r="C1225" s="69"/>
      <c r="D1225" s="69"/>
      <c r="E1225" s="69"/>
      <c r="F1225" s="69"/>
      <c r="G1225" s="17" t="s">
        <v>1405</v>
      </c>
      <c r="Z1225" s="101"/>
      <c r="AA1225" s="101"/>
      <c r="AB1225" s="101"/>
      <c r="AC1225" s="101"/>
      <c r="AD1225" s="101"/>
      <c r="AE1225" s="101"/>
      <c r="AF1225" s="101"/>
      <c r="AG1225" s="101"/>
      <c r="AH1225" s="101"/>
      <c r="AI1225" s="101"/>
      <c r="AJ1225" s="101"/>
      <c r="AK1225" s="101"/>
      <c r="AL1225" s="101"/>
      <c r="AM1225" s="101"/>
      <c r="AN1225" s="101"/>
    </row>
    <row r="1226" spans="1:40" ht="16.5" customHeight="1" x14ac:dyDescent="0.3">
      <c r="A1226" s="59"/>
      <c r="B1226" s="68" t="s">
        <v>1950</v>
      </c>
      <c r="C1226" s="69"/>
      <c r="D1226" s="69"/>
      <c r="E1226" s="69"/>
      <c r="F1226" s="69"/>
      <c r="G1226" s="17" t="s">
        <v>1949</v>
      </c>
      <c r="Z1226" s="101"/>
      <c r="AA1226" s="101"/>
      <c r="AB1226" s="101"/>
      <c r="AC1226" s="101"/>
      <c r="AD1226" s="101"/>
      <c r="AE1226" s="101"/>
      <c r="AF1226" s="101"/>
      <c r="AG1226" s="101"/>
      <c r="AH1226" s="101"/>
      <c r="AI1226" s="101"/>
      <c r="AJ1226" s="101"/>
      <c r="AK1226" s="101"/>
      <c r="AL1226" s="101"/>
      <c r="AM1226" s="101"/>
      <c r="AN1226" s="101"/>
    </row>
    <row r="1227" spans="1:40" ht="16.5" customHeight="1" x14ac:dyDescent="0.3">
      <c r="A1227" s="59"/>
      <c r="B1227" s="68" t="str">
        <f>"            Q1 = "&amp;Z1227&amp;"  대 "</f>
        <v xml:space="preserve">            Q1 = 2  대 </v>
      </c>
      <c r="C1227" s="69"/>
      <c r="D1227" s="69"/>
      <c r="E1227" s="69"/>
      <c r="F1227" s="69"/>
      <c r="G1227" s="17" t="s">
        <v>1951</v>
      </c>
      <c r="Z1227" s="102">
        <v>2</v>
      </c>
      <c r="AA1227" s="35" t="s">
        <v>1410</v>
      </c>
      <c r="AB1227" s="103">
        <f>Z1227</f>
        <v>2</v>
      </c>
      <c r="AC1227" s="101"/>
      <c r="AD1227" s="101"/>
      <c r="AE1227" s="101"/>
      <c r="AF1227" s="101"/>
      <c r="AG1227" s="101"/>
      <c r="AH1227" s="101"/>
      <c r="AI1227" s="101"/>
      <c r="AJ1227" s="101"/>
      <c r="AK1227" s="101"/>
      <c r="AL1227" s="101"/>
      <c r="AM1227" s="101"/>
      <c r="AN1227" s="101"/>
    </row>
    <row r="1228" spans="1:40" ht="16.5" customHeight="1" x14ac:dyDescent="0.3">
      <c r="A1228" s="69"/>
      <c r="B1228" s="69"/>
      <c r="C1228" s="69"/>
      <c r="D1228" s="69"/>
      <c r="E1228" s="69"/>
      <c r="F1228" s="69"/>
      <c r="G1228" s="17" t="s">
        <v>1405</v>
      </c>
      <c r="Z1228" s="101"/>
      <c r="AA1228" s="101"/>
      <c r="AB1228" s="101"/>
      <c r="AC1228" s="101"/>
      <c r="AD1228" s="101"/>
      <c r="AE1228" s="101"/>
      <c r="AF1228" s="101"/>
      <c r="AG1228" s="101"/>
      <c r="AH1228" s="101"/>
      <c r="AI1228" s="101"/>
      <c r="AJ1228" s="101"/>
      <c r="AK1228" s="101"/>
      <c r="AL1228" s="101"/>
      <c r="AM1228" s="101"/>
      <c r="AN1228" s="101"/>
    </row>
    <row r="1229" spans="1:40" ht="16.5" customHeight="1" x14ac:dyDescent="0.3">
      <c r="A1229" s="69"/>
      <c r="B1229" s="69"/>
      <c r="C1229" s="69"/>
      <c r="D1229" s="69"/>
      <c r="E1229" s="69"/>
      <c r="F1229" s="69"/>
      <c r="G1229" s="17" t="s">
        <v>1405</v>
      </c>
      <c r="Z1229" s="101"/>
      <c r="AA1229" s="101"/>
      <c r="AB1229" s="101"/>
      <c r="AC1229" s="101"/>
      <c r="AD1229" s="101"/>
      <c r="AE1229" s="101"/>
      <c r="AF1229" s="101"/>
      <c r="AG1229" s="101"/>
      <c r="AH1229" s="101"/>
      <c r="AI1229" s="101"/>
      <c r="AJ1229" s="101"/>
      <c r="AK1229" s="101"/>
      <c r="AL1229" s="101"/>
      <c r="AM1229" s="101"/>
      <c r="AN1229" s="101"/>
    </row>
    <row r="1230" spans="1:40" ht="16.5" customHeight="1" x14ac:dyDescent="0.3">
      <c r="A1230" s="59"/>
      <c r="B1230" s="68" t="s">
        <v>1953</v>
      </c>
      <c r="C1230" s="69"/>
      <c r="D1230" s="69"/>
      <c r="E1230" s="69"/>
      <c r="F1230" s="69"/>
      <c r="G1230" s="17" t="s">
        <v>1952</v>
      </c>
      <c r="Z1230" s="101"/>
      <c r="AA1230" s="101"/>
      <c r="AB1230" s="101"/>
      <c r="AC1230" s="101"/>
      <c r="AD1230" s="101"/>
      <c r="AE1230" s="101"/>
      <c r="AF1230" s="101"/>
      <c r="AG1230" s="101"/>
      <c r="AH1230" s="101"/>
      <c r="AI1230" s="101"/>
      <c r="AJ1230" s="101"/>
      <c r="AK1230" s="101"/>
      <c r="AL1230" s="101"/>
      <c r="AM1230" s="101"/>
      <c r="AN1230" s="101"/>
    </row>
    <row r="1231" spans="1:40" ht="16.5" customHeight="1" x14ac:dyDescent="0.3">
      <c r="A1231" s="69"/>
      <c r="B1231" s="69"/>
      <c r="C1231" s="69"/>
      <c r="D1231" s="69"/>
      <c r="E1231" s="69"/>
      <c r="F1231" s="69"/>
      <c r="G1231" s="17" t="s">
        <v>1405</v>
      </c>
      <c r="Z1231" s="101"/>
      <c r="AA1231" s="101"/>
      <c r="AB1231" s="101"/>
      <c r="AC1231" s="101"/>
      <c r="AD1231" s="101"/>
      <c r="AE1231" s="101"/>
      <c r="AF1231" s="101"/>
      <c r="AG1231" s="101"/>
      <c r="AH1231" s="101"/>
      <c r="AI1231" s="101"/>
      <c r="AJ1231" s="101"/>
      <c r="AK1231" s="101"/>
      <c r="AL1231" s="101"/>
      <c r="AM1231" s="101"/>
      <c r="AN1231" s="101"/>
    </row>
    <row r="1232" spans="1:40" ht="16.5" customHeight="1" x14ac:dyDescent="0.3">
      <c r="A1232" s="69"/>
      <c r="B1232" s="69"/>
      <c r="C1232" s="69"/>
      <c r="D1232" s="69"/>
      <c r="E1232" s="69"/>
      <c r="F1232" s="69"/>
      <c r="G1232" s="17" t="s">
        <v>1405</v>
      </c>
      <c r="Z1232" s="101"/>
      <c r="AA1232" s="101"/>
      <c r="AB1232" s="101"/>
      <c r="AC1232" s="101"/>
      <c r="AD1232" s="101"/>
      <c r="AE1232" s="101"/>
      <c r="AF1232" s="101"/>
      <c r="AG1232" s="101"/>
      <c r="AH1232" s="101"/>
      <c r="AI1232" s="101"/>
      <c r="AJ1232" s="101"/>
      <c r="AK1232" s="101"/>
      <c r="AL1232" s="101"/>
      <c r="AM1232" s="101"/>
      <c r="AN1232" s="101"/>
    </row>
    <row r="1233" spans="1:40" ht="16.5" customHeight="1" x14ac:dyDescent="0.3">
      <c r="A1233" s="59"/>
      <c r="B1233" s="68" t="str">
        <f>"    t1 = "&amp;Z1233&amp;"/"&amp;AB1233&amp;"  hr "</f>
        <v xml:space="preserve">    t1 = 20/60  hr </v>
      </c>
      <c r="C1233" s="69"/>
      <c r="D1233" s="69"/>
      <c r="E1233" s="69"/>
      <c r="F1233" s="69"/>
      <c r="G1233" s="17" t="s">
        <v>1954</v>
      </c>
      <c r="Z1233" s="102">
        <v>20</v>
      </c>
      <c r="AA1233" s="35" t="s">
        <v>1413</v>
      </c>
      <c r="AB1233" s="102">
        <v>60</v>
      </c>
      <c r="AC1233" s="35" t="s">
        <v>1410</v>
      </c>
      <c r="AD1233" s="103">
        <f>ROUND(Z1233/AB1233,13)</f>
        <v>0.33333333333330001</v>
      </c>
      <c r="AE1233" s="101"/>
      <c r="AF1233" s="101"/>
      <c r="AG1233" s="101"/>
      <c r="AH1233" s="101"/>
      <c r="AI1233" s="101"/>
      <c r="AJ1233" s="101"/>
      <c r="AK1233" s="101"/>
      <c r="AL1233" s="101"/>
      <c r="AM1233" s="101"/>
      <c r="AN1233" s="101"/>
    </row>
    <row r="1234" spans="1:40" ht="16.5" customHeight="1" x14ac:dyDescent="0.3">
      <c r="A1234" s="69"/>
      <c r="B1234" s="69"/>
      <c r="C1234" s="69"/>
      <c r="D1234" s="69"/>
      <c r="E1234" s="69"/>
      <c r="F1234" s="69"/>
      <c r="G1234" s="17" t="s">
        <v>1405</v>
      </c>
      <c r="Z1234" s="101"/>
      <c r="AA1234" s="101"/>
      <c r="AB1234" s="101"/>
      <c r="AC1234" s="101"/>
      <c r="AD1234" s="101"/>
      <c r="AE1234" s="101"/>
      <c r="AF1234" s="101"/>
      <c r="AG1234" s="101"/>
      <c r="AH1234" s="101"/>
      <c r="AI1234" s="101"/>
      <c r="AJ1234" s="101"/>
      <c r="AK1234" s="101"/>
      <c r="AL1234" s="101"/>
      <c r="AM1234" s="101"/>
      <c r="AN1234" s="101"/>
    </row>
    <row r="1235" spans="1:40" ht="16.5" customHeight="1" x14ac:dyDescent="0.3">
      <c r="A1235" s="69"/>
      <c r="B1235" s="69"/>
      <c r="C1235" s="69"/>
      <c r="D1235" s="69"/>
      <c r="E1235" s="69"/>
      <c r="F1235" s="69"/>
      <c r="G1235" s="17" t="s">
        <v>1405</v>
      </c>
      <c r="Z1235" s="101"/>
      <c r="AA1235" s="101"/>
      <c r="AB1235" s="101"/>
      <c r="AC1235" s="101"/>
      <c r="AD1235" s="101"/>
      <c r="AE1235" s="101"/>
      <c r="AF1235" s="101"/>
      <c r="AG1235" s="101"/>
      <c r="AH1235" s="101"/>
      <c r="AI1235" s="101"/>
      <c r="AJ1235" s="101"/>
      <c r="AK1235" s="101"/>
      <c r="AL1235" s="101"/>
      <c r="AM1235" s="101"/>
      <c r="AN1235" s="101"/>
    </row>
    <row r="1236" spans="1:40" ht="16.5" customHeight="1" x14ac:dyDescent="0.3">
      <c r="A1236" s="59"/>
      <c r="B1236" s="68" t="str">
        <f>"    t2 = L / "&amp;AB1236&amp;" * "&amp;AD1236&amp;" = "&amp;AF1236&amp;"  hr "</f>
        <v xml:space="preserve">    t2 = L / 40 * 2 = 0.900  hr </v>
      </c>
      <c r="C1236" s="69"/>
      <c r="D1236" s="69"/>
      <c r="E1236" s="69"/>
      <c r="F1236" s="69"/>
      <c r="G1236" s="17" t="s">
        <v>1955</v>
      </c>
      <c r="Z1236" s="103">
        <f>AB1209</f>
        <v>18</v>
      </c>
      <c r="AA1236" s="35" t="s">
        <v>1413</v>
      </c>
      <c r="AB1236" s="102">
        <v>40</v>
      </c>
      <c r="AC1236" s="35" t="s">
        <v>1436</v>
      </c>
      <c r="AD1236" s="102">
        <v>2</v>
      </c>
      <c r="AE1236" s="35" t="s">
        <v>1410</v>
      </c>
      <c r="AF1236" s="103" t="str">
        <f>TEXT(ROUND(AB1209/AB1236*AD1236,3),"#,0.000")</f>
        <v>0.900</v>
      </c>
      <c r="AG1236" s="101"/>
      <c r="AH1236" s="101"/>
      <c r="AI1236" s="101"/>
      <c r="AJ1236" s="101"/>
      <c r="AK1236" s="101"/>
      <c r="AL1236" s="101"/>
      <c r="AM1236" s="101"/>
      <c r="AN1236" s="101"/>
    </row>
    <row r="1237" spans="1:40" ht="16.5" customHeight="1" x14ac:dyDescent="0.3">
      <c r="A1237" s="69"/>
      <c r="B1237" s="69"/>
      <c r="C1237" s="69"/>
      <c r="D1237" s="69"/>
      <c r="E1237" s="69"/>
      <c r="F1237" s="69"/>
      <c r="G1237" s="17" t="s">
        <v>1405</v>
      </c>
      <c r="Z1237" s="101"/>
      <c r="AA1237" s="101"/>
      <c r="AB1237" s="101"/>
      <c r="AC1237" s="101"/>
      <c r="AD1237" s="101"/>
      <c r="AE1237" s="101"/>
      <c r="AF1237" s="101"/>
      <c r="AG1237" s="101"/>
      <c r="AH1237" s="101"/>
      <c r="AI1237" s="101"/>
      <c r="AJ1237" s="101"/>
      <c r="AK1237" s="101"/>
      <c r="AL1237" s="101"/>
      <c r="AM1237" s="101"/>
      <c r="AN1237" s="101"/>
    </row>
    <row r="1238" spans="1:40" ht="16.5" customHeight="1" x14ac:dyDescent="0.3">
      <c r="A1238" s="69"/>
      <c r="B1238" s="69"/>
      <c r="C1238" s="69"/>
      <c r="D1238" s="69"/>
      <c r="E1238" s="69"/>
      <c r="F1238" s="69"/>
      <c r="G1238" s="17" t="s">
        <v>1405</v>
      </c>
      <c r="Z1238" s="101"/>
      <c r="AA1238" s="101"/>
      <c r="AB1238" s="101"/>
      <c r="AC1238" s="101"/>
      <c r="AD1238" s="101"/>
      <c r="AE1238" s="101"/>
      <c r="AF1238" s="101"/>
      <c r="AG1238" s="101"/>
      <c r="AH1238" s="101"/>
      <c r="AI1238" s="101"/>
      <c r="AJ1238" s="101"/>
      <c r="AK1238" s="101"/>
      <c r="AL1238" s="101"/>
      <c r="AM1238" s="101"/>
      <c r="AN1238" s="101"/>
    </row>
    <row r="1239" spans="1:40" ht="16.5" customHeight="1" x14ac:dyDescent="0.3">
      <c r="A1239" s="59"/>
      <c r="B1239" s="68" t="str">
        <f>"    t3 = "&amp;Z1239&amp;"/"&amp;AB1239&amp;"  hr "</f>
        <v xml:space="preserve">    t3 = 20/60  hr </v>
      </c>
      <c r="C1239" s="69"/>
      <c r="D1239" s="69"/>
      <c r="E1239" s="69"/>
      <c r="F1239" s="69"/>
      <c r="G1239" s="17" t="s">
        <v>1956</v>
      </c>
      <c r="Z1239" s="102">
        <v>20</v>
      </c>
      <c r="AA1239" s="35" t="s">
        <v>1413</v>
      </c>
      <c r="AB1239" s="102">
        <v>60</v>
      </c>
      <c r="AC1239" s="35" t="s">
        <v>1410</v>
      </c>
      <c r="AD1239" s="103">
        <f>ROUND(Z1239/AB1239,13)</f>
        <v>0.33333333333330001</v>
      </c>
      <c r="AE1239" s="101"/>
      <c r="AF1239" s="101"/>
      <c r="AG1239" s="101"/>
      <c r="AH1239" s="101"/>
      <c r="AI1239" s="101"/>
      <c r="AJ1239" s="101"/>
      <c r="AK1239" s="101"/>
      <c r="AL1239" s="101"/>
      <c r="AM1239" s="101"/>
      <c r="AN1239" s="101"/>
    </row>
    <row r="1240" spans="1:40" ht="16.5" customHeight="1" x14ac:dyDescent="0.3">
      <c r="A1240" s="69"/>
      <c r="B1240" s="69"/>
      <c r="C1240" s="69"/>
      <c r="D1240" s="69"/>
      <c r="E1240" s="69"/>
      <c r="F1240" s="69"/>
      <c r="G1240" s="17" t="s">
        <v>1405</v>
      </c>
      <c r="Z1240" s="101"/>
      <c r="AA1240" s="101"/>
      <c r="AB1240" s="101"/>
      <c r="AC1240" s="101"/>
      <c r="AD1240" s="101"/>
      <c r="AE1240" s="101"/>
      <c r="AF1240" s="101"/>
      <c r="AG1240" s="101"/>
      <c r="AH1240" s="101"/>
      <c r="AI1240" s="101"/>
      <c r="AJ1240" s="101"/>
      <c r="AK1240" s="101"/>
      <c r="AL1240" s="101"/>
      <c r="AM1240" s="101"/>
      <c r="AN1240" s="101"/>
    </row>
    <row r="1241" spans="1:40" ht="16.5" customHeight="1" x14ac:dyDescent="0.3">
      <c r="A1241" s="69"/>
      <c r="B1241" s="69"/>
      <c r="C1241" s="69"/>
      <c r="D1241" s="69"/>
      <c r="E1241" s="69"/>
      <c r="F1241" s="69"/>
      <c r="G1241" s="17" t="s">
        <v>1405</v>
      </c>
      <c r="Z1241" s="101"/>
      <c r="AA1241" s="101"/>
      <c r="AB1241" s="101"/>
      <c r="AC1241" s="101"/>
      <c r="AD1241" s="101"/>
      <c r="AE1241" s="101"/>
      <c r="AF1241" s="101"/>
      <c r="AG1241" s="101"/>
      <c r="AH1241" s="101"/>
      <c r="AI1241" s="101"/>
      <c r="AJ1241" s="101"/>
      <c r="AK1241" s="101"/>
      <c r="AL1241" s="101"/>
      <c r="AM1241" s="101"/>
      <c r="AN1241" s="101"/>
    </row>
    <row r="1242" spans="1:40" ht="16.5" customHeight="1" x14ac:dyDescent="0.3">
      <c r="A1242" s="59"/>
      <c r="B1242" s="68" t="str">
        <f>"    Cm = t1 + t2 + t3 = "&amp;AF1242&amp;" hr "</f>
        <v xml:space="preserve">    Cm = t1 + t2 + t3 = 1.567 hr </v>
      </c>
      <c r="C1242" s="69"/>
      <c r="D1242" s="69"/>
      <c r="E1242" s="69"/>
      <c r="F1242" s="69"/>
      <c r="G1242" s="17" t="s">
        <v>1957</v>
      </c>
      <c r="Z1242" s="103">
        <f>AD1233</f>
        <v>0.33333333333330001</v>
      </c>
      <c r="AA1242" s="35" t="s">
        <v>1462</v>
      </c>
      <c r="AB1242" s="103" t="str">
        <f>AF1236</f>
        <v>0.900</v>
      </c>
      <c r="AC1242" s="35" t="s">
        <v>1462</v>
      </c>
      <c r="AD1242" s="103">
        <f>AD1239</f>
        <v>0.33333333333330001</v>
      </c>
      <c r="AE1242" s="35" t="s">
        <v>1410</v>
      </c>
      <c r="AF1242" s="103" t="str">
        <f>TEXT(ROUND(AD1233+AF1236+AD1239,3),"#,0.000")</f>
        <v>1.567</v>
      </c>
      <c r="AG1242" s="101"/>
      <c r="AH1242" s="101"/>
      <c r="AI1242" s="101"/>
      <c r="AJ1242" s="101"/>
      <c r="AK1242" s="101"/>
      <c r="AL1242" s="101"/>
      <c r="AM1242" s="101"/>
      <c r="AN1242" s="101"/>
    </row>
    <row r="1243" spans="1:40" ht="16.5" customHeight="1" x14ac:dyDescent="0.3">
      <c r="A1243" s="69"/>
      <c r="B1243" s="69"/>
      <c r="C1243" s="69"/>
      <c r="D1243" s="69"/>
      <c r="E1243" s="69"/>
      <c r="F1243" s="69"/>
      <c r="G1243" s="17" t="s">
        <v>1405</v>
      </c>
      <c r="Z1243" s="101"/>
      <c r="AA1243" s="101"/>
      <c r="AB1243" s="101"/>
      <c r="AC1243" s="101"/>
      <c r="AD1243" s="101"/>
      <c r="AE1243" s="101"/>
      <c r="AF1243" s="101"/>
      <c r="AG1243" s="101"/>
      <c r="AH1243" s="101"/>
      <c r="AI1243" s="101"/>
      <c r="AJ1243" s="101"/>
      <c r="AK1243" s="101"/>
      <c r="AL1243" s="101"/>
      <c r="AM1243" s="101"/>
      <c r="AN1243" s="101"/>
    </row>
    <row r="1244" spans="1:40" ht="16.5" customHeight="1" x14ac:dyDescent="0.3">
      <c r="A1244" s="69"/>
      <c r="B1244" s="69"/>
      <c r="C1244" s="69"/>
      <c r="D1244" s="69"/>
      <c r="E1244" s="69"/>
      <c r="F1244" s="69"/>
      <c r="G1244" s="17" t="s">
        <v>1405</v>
      </c>
      <c r="Z1244" s="101"/>
      <c r="AA1244" s="101"/>
      <c r="AB1244" s="101"/>
      <c r="AC1244" s="101"/>
      <c r="AD1244" s="101"/>
      <c r="AE1244" s="101"/>
      <c r="AF1244" s="101"/>
      <c r="AG1244" s="101"/>
      <c r="AH1244" s="101"/>
      <c r="AI1244" s="101"/>
      <c r="AJ1244" s="101"/>
      <c r="AK1244" s="101"/>
      <c r="AL1244" s="101"/>
      <c r="AM1244" s="101"/>
      <c r="AN1244" s="101"/>
    </row>
    <row r="1245" spans="1:40" ht="16.5" customHeight="1" x14ac:dyDescent="0.3">
      <c r="A1245" s="59" t="s">
        <v>1959</v>
      </c>
      <c r="B1245" s="89" t="str">
        <f>"  경  비: "&amp;TEXT(I1245,"#,##0"&amp;IF(I1245&lt;&gt;INT(I1245),".###",""))&amp;"*Cm*"&amp;AC1245&amp;" 회 *Q1 = "&amp;TEXT(C1245,"#,##0.0")&amp;""</f>
        <v xml:space="preserve">  경  비: 17,314*Cm*2 회 *Q1 = 108,524.1</v>
      </c>
      <c r="C1245" s="91">
        <f>E1245+D1245+F1245</f>
        <v>108524.1</v>
      </c>
      <c r="D1245" s="91">
        <f>IF(H1245=0,0,ROUNDDOWN(J1245*H1245,1))</f>
        <v>0</v>
      </c>
      <c r="E1245" s="91">
        <f>IF(H1245=0,0,ROUNDDOWN(K1245*H1245,1))</f>
        <v>0</v>
      </c>
      <c r="F1245" s="91">
        <f>IF(H1245=0,0,ROUNDDOWN(L1245*H1245,1))</f>
        <v>108524.1</v>
      </c>
      <c r="G1245" s="17" t="s">
        <v>1958</v>
      </c>
      <c r="H1245" s="97">
        <f>ROUNDUP(AG1245,14-LEN(ABS(INT(AG1245))))</f>
        <v>6.2679999999999998</v>
      </c>
      <c r="I1245" s="98">
        <f>K1245+J1245+L1245</f>
        <v>17314</v>
      </c>
      <c r="L1245" s="38">
        <f>중기목록표!H33</f>
        <v>17314</v>
      </c>
      <c r="M1245" s="35" t="s">
        <v>1960</v>
      </c>
      <c r="N1245" s="35" t="s">
        <v>1262</v>
      </c>
      <c r="X1245" s="100" t="str">
        <f>중기목록표!B33&amp;" / "&amp;중기목록표!C33</f>
        <v>트럭 트랙터 및 평판트레일러 / 20톤</v>
      </c>
      <c r="Y1245" s="3" t="str">
        <f ca="1">HYPERLINK("#"&amp;중기목록표!J2&amp;"!A"&amp;ROW(중기목록표!A33),"중기30 →")</f>
        <v>중기30 →</v>
      </c>
      <c r="Z1245" s="35" t="s">
        <v>1446</v>
      </c>
      <c r="AA1245" s="103" t="str">
        <f>AF1242</f>
        <v>1.567</v>
      </c>
      <c r="AB1245" s="35" t="s">
        <v>1436</v>
      </c>
      <c r="AC1245" s="102">
        <v>2</v>
      </c>
      <c r="AD1245" s="35" t="s">
        <v>1436</v>
      </c>
      <c r="AE1245" s="103">
        <f>AB1227</f>
        <v>2</v>
      </c>
      <c r="AF1245" s="35" t="s">
        <v>1410</v>
      </c>
      <c r="AG1245" s="103">
        <f>1*AF1242*AC1245*AB1227</f>
        <v>6.2679999999999998</v>
      </c>
      <c r="AH1245" s="101"/>
      <c r="AI1245" s="101"/>
      <c r="AJ1245" s="101"/>
      <c r="AK1245" s="101"/>
      <c r="AL1245" s="101"/>
      <c r="AM1245" s="101"/>
      <c r="AN1245" s="101"/>
    </row>
    <row r="1246" spans="1:40" ht="16.5" customHeight="1" x14ac:dyDescent="0.3">
      <c r="A1246" s="69"/>
      <c r="B1246" s="69"/>
      <c r="C1246" s="69"/>
      <c r="D1246" s="69"/>
      <c r="E1246" s="69"/>
      <c r="F1246" s="69"/>
      <c r="G1246" s="17" t="s">
        <v>1405</v>
      </c>
      <c r="Z1246" s="101"/>
      <c r="AA1246" s="101"/>
      <c r="AB1246" s="101"/>
      <c r="AC1246" s="101"/>
      <c r="AD1246" s="101"/>
      <c r="AE1246" s="101"/>
      <c r="AF1246" s="101"/>
      <c r="AG1246" s="101"/>
      <c r="AH1246" s="101"/>
      <c r="AI1246" s="101"/>
      <c r="AJ1246" s="101"/>
      <c r="AK1246" s="101"/>
      <c r="AL1246" s="101"/>
      <c r="AM1246" s="101"/>
      <c r="AN1246" s="101"/>
    </row>
    <row r="1247" spans="1:40" ht="16.5" customHeight="1" x14ac:dyDescent="0.3">
      <c r="A1247" s="69"/>
      <c r="B1247" s="69"/>
      <c r="C1247" s="69"/>
      <c r="D1247" s="69"/>
      <c r="E1247" s="69"/>
      <c r="F1247" s="69"/>
      <c r="G1247" s="17" t="s">
        <v>1405</v>
      </c>
      <c r="Z1247" s="101"/>
      <c r="AA1247" s="101"/>
      <c r="AB1247" s="101"/>
      <c r="AC1247" s="101"/>
      <c r="AD1247" s="101"/>
      <c r="AE1247" s="101"/>
      <c r="AF1247" s="101"/>
      <c r="AG1247" s="101"/>
      <c r="AH1247" s="101"/>
      <c r="AI1247" s="101"/>
      <c r="AJ1247" s="101"/>
      <c r="AK1247" s="101"/>
      <c r="AL1247" s="101"/>
      <c r="AM1247" s="101"/>
      <c r="AN1247" s="101"/>
    </row>
    <row r="1248" spans="1:40" ht="16.5" customHeight="1" x14ac:dyDescent="0.3">
      <c r="A1248" s="59" t="s">
        <v>1962</v>
      </c>
      <c r="B1248" s="89" t="str">
        <f>"  노무비: "&amp;TEXT(I1248,"#,##0"&amp;IF(I1248&lt;&gt;INT(I1248),".###",""))&amp;"*Cm*"&amp;AC1248&amp;" 회 *Q1 = "&amp;TEXT(C1248,"#,##0.0")&amp;""</f>
        <v xml:space="preserve">  노무비: 59,020*Cm*2 회 *Q1 = 369,937.3</v>
      </c>
      <c r="C1248" s="91">
        <f>E1248+D1248+F1248</f>
        <v>369937.3</v>
      </c>
      <c r="D1248" s="91">
        <f>IF(H1248=0,0,ROUNDDOWN(J1248*H1248,1))</f>
        <v>369937.3</v>
      </c>
      <c r="E1248" s="91">
        <f>IF(H1248=0,0,ROUNDDOWN(K1248*H1248,1))</f>
        <v>0</v>
      </c>
      <c r="F1248" s="91">
        <f>IF(H1248=0,0,ROUNDDOWN(L1248*H1248,1))</f>
        <v>0</v>
      </c>
      <c r="G1248" s="17" t="s">
        <v>1961</v>
      </c>
      <c r="H1248" s="97">
        <f>ROUNDUP(AG1248,14-LEN(ABS(INT(AG1248))))</f>
        <v>6.2679999999999998</v>
      </c>
      <c r="I1248" s="98">
        <f>K1248+J1248+L1248</f>
        <v>59020</v>
      </c>
      <c r="J1248" s="38">
        <f>중기목록표!F33</f>
        <v>59020</v>
      </c>
      <c r="M1248" s="35" t="s">
        <v>1960</v>
      </c>
      <c r="N1248" s="35" t="s">
        <v>1262</v>
      </c>
      <c r="X1248" s="100" t="str">
        <f>중기목록표!B33&amp;" / "&amp;중기목록표!C33</f>
        <v>트럭 트랙터 및 평판트레일러 / 20톤</v>
      </c>
      <c r="Y1248" s="3" t="str">
        <f ca="1">HYPERLINK("#"&amp;중기목록표!J2&amp;"!A"&amp;ROW(중기목록표!A33),"중기30 →")</f>
        <v>중기30 →</v>
      </c>
      <c r="Z1248" s="35" t="s">
        <v>1446</v>
      </c>
      <c r="AA1248" s="103" t="str">
        <f>AF1242</f>
        <v>1.567</v>
      </c>
      <c r="AB1248" s="35" t="s">
        <v>1436</v>
      </c>
      <c r="AC1248" s="102">
        <v>2</v>
      </c>
      <c r="AD1248" s="35" t="s">
        <v>1436</v>
      </c>
      <c r="AE1248" s="103">
        <f>AB1227</f>
        <v>2</v>
      </c>
      <c r="AF1248" s="35" t="s">
        <v>1410</v>
      </c>
      <c r="AG1248" s="103">
        <f>1*AF1242*AC1248*AB1227</f>
        <v>6.2679999999999998</v>
      </c>
      <c r="AH1248" s="101"/>
      <c r="AI1248" s="101"/>
      <c r="AJ1248" s="101"/>
      <c r="AK1248" s="101"/>
      <c r="AL1248" s="101"/>
      <c r="AM1248" s="101"/>
      <c r="AN1248" s="101"/>
    </row>
    <row r="1249" spans="1:40" ht="16.5" customHeight="1" x14ac:dyDescent="0.3">
      <c r="A1249" s="69"/>
      <c r="B1249" s="69"/>
      <c r="C1249" s="69"/>
      <c r="D1249" s="69"/>
      <c r="E1249" s="69"/>
      <c r="F1249" s="69"/>
      <c r="G1249" s="17" t="s">
        <v>1405</v>
      </c>
      <c r="Z1249" s="101"/>
      <c r="AA1249" s="101"/>
      <c r="AB1249" s="101"/>
      <c r="AC1249" s="101"/>
      <c r="AD1249" s="101"/>
      <c r="AE1249" s="101"/>
      <c r="AF1249" s="101"/>
      <c r="AG1249" s="101"/>
      <c r="AH1249" s="101"/>
      <c r="AI1249" s="101"/>
      <c r="AJ1249" s="101"/>
      <c r="AK1249" s="101"/>
      <c r="AL1249" s="101"/>
      <c r="AM1249" s="101"/>
      <c r="AN1249" s="101"/>
    </row>
    <row r="1250" spans="1:40" ht="16.5" customHeight="1" x14ac:dyDescent="0.3">
      <c r="A1250" s="69"/>
      <c r="B1250" s="69"/>
      <c r="C1250" s="69"/>
      <c r="D1250" s="69"/>
      <c r="E1250" s="69"/>
      <c r="F1250" s="69"/>
      <c r="G1250" s="17" t="s">
        <v>1405</v>
      </c>
      <c r="Z1250" s="101"/>
      <c r="AA1250" s="101"/>
      <c r="AB1250" s="101"/>
      <c r="AC1250" s="101"/>
      <c r="AD1250" s="101"/>
      <c r="AE1250" s="101"/>
      <c r="AF1250" s="101"/>
      <c r="AG1250" s="101"/>
      <c r="AH1250" s="101"/>
      <c r="AI1250" s="101"/>
      <c r="AJ1250" s="101"/>
      <c r="AK1250" s="101"/>
      <c r="AL1250" s="101"/>
      <c r="AM1250" s="101"/>
      <c r="AN1250" s="101"/>
    </row>
    <row r="1251" spans="1:40" ht="16.5" customHeight="1" x14ac:dyDescent="0.3">
      <c r="A1251" s="59" t="s">
        <v>1964</v>
      </c>
      <c r="B1251" s="89" t="str">
        <f>"  재료비: "&amp;TEXT(I1251,"#,##0"&amp;IF(I1251&lt;&gt;INT(I1251),".###",""))&amp;"*Cm*"&amp;AC1251&amp;" 회 *Q1 = "&amp;TEXT(C1251,"#,##0.0")&amp;""</f>
        <v xml:space="preserve">  재료비: 41,260*Cm*2 회 *Q1 = 258,617.6</v>
      </c>
      <c r="C1251" s="91">
        <f>E1251+D1251+F1251</f>
        <v>258617.60000000001</v>
      </c>
      <c r="D1251" s="91">
        <f>IF(H1251=0,0,ROUNDDOWN(J1251*H1251,1))</f>
        <v>0</v>
      </c>
      <c r="E1251" s="91">
        <f>IF(H1251=0,0,ROUNDDOWN(K1251*H1251,1))</f>
        <v>258617.60000000001</v>
      </c>
      <c r="F1251" s="91">
        <f>IF(H1251=0,0,ROUNDDOWN(L1251*H1251,1))</f>
        <v>0</v>
      </c>
      <c r="G1251" s="17" t="s">
        <v>1963</v>
      </c>
      <c r="H1251" s="97">
        <f>ROUNDUP(AG1251,14-LEN(ABS(INT(AG1251))))</f>
        <v>6.2679999999999998</v>
      </c>
      <c r="I1251" s="98">
        <f>K1251+J1251+L1251</f>
        <v>41260</v>
      </c>
      <c r="K1251" s="38">
        <f>중기목록표!G33</f>
        <v>41260</v>
      </c>
      <c r="M1251" s="35" t="s">
        <v>1960</v>
      </c>
      <c r="N1251" s="35" t="s">
        <v>1262</v>
      </c>
      <c r="X1251" s="100" t="str">
        <f>중기목록표!B33&amp;" / "&amp;중기목록표!C33</f>
        <v>트럭 트랙터 및 평판트레일러 / 20톤</v>
      </c>
      <c r="Y1251" s="3" t="str">
        <f ca="1">HYPERLINK("#"&amp;중기목록표!J2&amp;"!A"&amp;ROW(중기목록표!A33),"중기30 →")</f>
        <v>중기30 →</v>
      </c>
      <c r="Z1251" s="35" t="s">
        <v>1446</v>
      </c>
      <c r="AA1251" s="103" t="str">
        <f>AF1242</f>
        <v>1.567</v>
      </c>
      <c r="AB1251" s="35" t="s">
        <v>1436</v>
      </c>
      <c r="AC1251" s="102">
        <v>2</v>
      </c>
      <c r="AD1251" s="35" t="s">
        <v>1436</v>
      </c>
      <c r="AE1251" s="103">
        <f>AB1227</f>
        <v>2</v>
      </c>
      <c r="AF1251" s="35" t="s">
        <v>1410</v>
      </c>
      <c r="AG1251" s="103">
        <f>1*AF1242*AC1251*AB1227</f>
        <v>6.2679999999999998</v>
      </c>
      <c r="AH1251" s="101"/>
      <c r="AI1251" s="101"/>
      <c r="AJ1251" s="101"/>
      <c r="AK1251" s="101"/>
      <c r="AL1251" s="101"/>
      <c r="AM1251" s="101"/>
      <c r="AN1251" s="101"/>
    </row>
    <row r="1252" spans="1:40" ht="16.5" customHeight="1" x14ac:dyDescent="0.3">
      <c r="A1252" s="69"/>
      <c r="B1252" s="69"/>
      <c r="C1252" s="69"/>
      <c r="D1252" s="69"/>
      <c r="E1252" s="69"/>
      <c r="F1252" s="69"/>
      <c r="G1252" s="17" t="s">
        <v>1405</v>
      </c>
      <c r="Z1252" s="101"/>
      <c r="AA1252" s="101"/>
      <c r="AB1252" s="101"/>
      <c r="AC1252" s="101"/>
      <c r="AD1252" s="101"/>
      <c r="AE1252" s="101"/>
      <c r="AF1252" s="101"/>
      <c r="AG1252" s="101"/>
      <c r="AH1252" s="101"/>
      <c r="AI1252" s="101"/>
      <c r="AJ1252" s="101"/>
      <c r="AK1252" s="101"/>
      <c r="AL1252" s="101"/>
      <c r="AM1252" s="101"/>
      <c r="AN1252" s="101"/>
    </row>
    <row r="1253" spans="1:40" ht="16.5" customHeight="1" x14ac:dyDescent="0.3">
      <c r="A1253" s="69"/>
      <c r="B1253" s="69"/>
      <c r="C1253" s="69"/>
      <c r="D1253" s="69"/>
      <c r="E1253" s="69"/>
      <c r="F1253" s="69"/>
      <c r="G1253" s="17" t="s">
        <v>1405</v>
      </c>
      <c r="Z1253" s="101"/>
      <c r="AA1253" s="101"/>
      <c r="AB1253" s="101"/>
      <c r="AC1253" s="101"/>
      <c r="AD1253" s="101"/>
      <c r="AE1253" s="101"/>
      <c r="AF1253" s="101"/>
      <c r="AG1253" s="101"/>
      <c r="AH1253" s="101"/>
      <c r="AI1253" s="101"/>
      <c r="AJ1253" s="101"/>
      <c r="AK1253" s="101"/>
      <c r="AL1253" s="101"/>
      <c r="AM1253" s="101"/>
      <c r="AN1253" s="101"/>
    </row>
    <row r="1254" spans="1:40" ht="16.5" customHeight="1" x14ac:dyDescent="0.3">
      <c r="A1254" s="59"/>
      <c r="B1254" s="68" t="s">
        <v>1260</v>
      </c>
      <c r="C1254" s="92">
        <f>E1254+D1254+F1254</f>
        <v>737079</v>
      </c>
      <c r="D1254" s="92">
        <f>SUMIF(N1207:N1253,M1254,D1207:D1253)</f>
        <v>369937.3</v>
      </c>
      <c r="E1254" s="92">
        <f>SUMIF(N1207:N1253,M1254,E1207:E1253)</f>
        <v>258617.60000000001</v>
      </c>
      <c r="F1254" s="92">
        <f>SUMIF(N1207:N1253,M1254,F1207:F1253)</f>
        <v>108524.1</v>
      </c>
      <c r="G1254" s="17" t="s">
        <v>1430</v>
      </c>
      <c r="M1254" s="35" t="s">
        <v>1262</v>
      </c>
      <c r="N1254" s="35" t="s">
        <v>1658</v>
      </c>
      <c r="Z1254" s="101"/>
      <c r="AA1254" s="101"/>
      <c r="AB1254" s="101"/>
      <c r="AC1254" s="101"/>
      <c r="AD1254" s="101"/>
      <c r="AE1254" s="101"/>
      <c r="AF1254" s="101"/>
      <c r="AG1254" s="101"/>
      <c r="AH1254" s="101"/>
      <c r="AI1254" s="101"/>
      <c r="AJ1254" s="101"/>
      <c r="AK1254" s="101"/>
      <c r="AL1254" s="101"/>
      <c r="AM1254" s="101"/>
      <c r="AN1254" s="101"/>
    </row>
    <row r="1255" spans="1:40" ht="16.5" customHeight="1" x14ac:dyDescent="0.3">
      <c r="A1255" s="69"/>
      <c r="B1255" s="69"/>
      <c r="C1255" s="90"/>
      <c r="D1255" s="90"/>
      <c r="E1255" s="90"/>
      <c r="F1255" s="90"/>
      <c r="G1255" s="17" t="s">
        <v>1405</v>
      </c>
      <c r="Z1255" s="101"/>
      <c r="AA1255" s="101"/>
      <c r="AB1255" s="101"/>
      <c r="AC1255" s="101"/>
      <c r="AD1255" s="101"/>
      <c r="AE1255" s="101"/>
      <c r="AF1255" s="101"/>
      <c r="AG1255" s="101"/>
      <c r="AH1255" s="101"/>
      <c r="AI1255" s="101"/>
      <c r="AJ1255" s="101"/>
      <c r="AK1255" s="101"/>
      <c r="AL1255" s="101"/>
      <c r="AM1255" s="101"/>
      <c r="AN1255" s="101"/>
    </row>
    <row r="1256" spans="1:40" ht="16.5" customHeight="1" x14ac:dyDescent="0.3">
      <c r="A1256" s="69"/>
      <c r="B1256" s="69"/>
      <c r="C1256" s="69"/>
      <c r="D1256" s="69"/>
      <c r="E1256" s="69"/>
      <c r="F1256" s="69"/>
      <c r="G1256" s="17" t="s">
        <v>1405</v>
      </c>
      <c r="Z1256" s="101"/>
      <c r="AA1256" s="101"/>
      <c r="AB1256" s="101"/>
      <c r="AC1256" s="101"/>
      <c r="AD1256" s="101"/>
      <c r="AE1256" s="101"/>
      <c r="AF1256" s="101"/>
      <c r="AG1256" s="101"/>
      <c r="AH1256" s="101"/>
      <c r="AI1256" s="101"/>
      <c r="AJ1256" s="101"/>
      <c r="AK1256" s="101"/>
      <c r="AL1256" s="101"/>
      <c r="AM1256" s="101"/>
      <c r="AN1256" s="101"/>
    </row>
    <row r="1257" spans="1:40" ht="16.5" customHeight="1" x14ac:dyDescent="0.3">
      <c r="A1257" s="59"/>
      <c r="B1257" s="68" t="s">
        <v>1966</v>
      </c>
      <c r="C1257" s="69"/>
      <c r="D1257" s="69"/>
      <c r="E1257" s="69"/>
      <c r="F1257" s="69"/>
      <c r="G1257" s="17" t="s">
        <v>1965</v>
      </c>
      <c r="Z1257" s="101"/>
      <c r="AA1257" s="101"/>
      <c r="AB1257" s="101"/>
      <c r="AC1257" s="101"/>
      <c r="AD1257" s="101"/>
      <c r="AE1257" s="101"/>
      <c r="AF1257" s="101"/>
      <c r="AG1257" s="101"/>
      <c r="AH1257" s="101"/>
      <c r="AI1257" s="101"/>
      <c r="AJ1257" s="101"/>
      <c r="AK1257" s="101"/>
      <c r="AL1257" s="101"/>
      <c r="AM1257" s="101"/>
      <c r="AN1257" s="101"/>
    </row>
    <row r="1258" spans="1:40" ht="16.5" customHeight="1" x14ac:dyDescent="0.3">
      <c r="A1258" s="69"/>
      <c r="B1258" s="69"/>
      <c r="C1258" s="69"/>
      <c r="D1258" s="69"/>
      <c r="E1258" s="69"/>
      <c r="F1258" s="69"/>
      <c r="G1258" s="17" t="s">
        <v>1405</v>
      </c>
      <c r="Z1258" s="101"/>
      <c r="AA1258" s="101"/>
      <c r="AB1258" s="101"/>
      <c r="AC1258" s="101"/>
      <c r="AD1258" s="101"/>
      <c r="AE1258" s="101"/>
      <c r="AF1258" s="101"/>
      <c r="AG1258" s="101"/>
      <c r="AH1258" s="101"/>
      <c r="AI1258" s="101"/>
      <c r="AJ1258" s="101"/>
      <c r="AK1258" s="101"/>
      <c r="AL1258" s="101"/>
      <c r="AM1258" s="101"/>
      <c r="AN1258" s="101"/>
    </row>
    <row r="1259" spans="1:40" ht="16.5" customHeight="1" x14ac:dyDescent="0.3">
      <c r="A1259" s="69"/>
      <c r="B1259" s="69"/>
      <c r="C1259" s="69"/>
      <c r="D1259" s="69"/>
      <c r="E1259" s="69"/>
      <c r="F1259" s="69"/>
      <c r="G1259" s="17" t="s">
        <v>1405</v>
      </c>
      <c r="Z1259" s="101"/>
      <c r="AA1259" s="101"/>
      <c r="AB1259" s="101"/>
      <c r="AC1259" s="101"/>
      <c r="AD1259" s="101"/>
      <c r="AE1259" s="101"/>
      <c r="AF1259" s="101"/>
      <c r="AG1259" s="101"/>
      <c r="AH1259" s="101"/>
      <c r="AI1259" s="101"/>
      <c r="AJ1259" s="101"/>
      <c r="AK1259" s="101"/>
      <c r="AL1259" s="101"/>
      <c r="AM1259" s="101"/>
      <c r="AN1259" s="101"/>
    </row>
    <row r="1260" spans="1:40" ht="16.5" customHeight="1" x14ac:dyDescent="0.3">
      <c r="A1260" s="59"/>
      <c r="B1260" s="68" t="str">
        <f>" t2 = (L /"&amp;AC1260&amp;") * "&amp;AE1260&amp;" * "&amp;AG1260&amp;" = "&amp;AI1260&amp;"  분 "</f>
        <v xml:space="preserve"> t2 = (L /30) * 2 * 60 = 72.000  분 </v>
      </c>
      <c r="C1260" s="69"/>
      <c r="D1260" s="69"/>
      <c r="E1260" s="69"/>
      <c r="F1260" s="69"/>
      <c r="G1260" s="17" t="s">
        <v>1967</v>
      </c>
      <c r="Z1260" s="35" t="s">
        <v>1457</v>
      </c>
      <c r="AA1260" s="103">
        <f>AB1209</f>
        <v>18</v>
      </c>
      <c r="AB1260" s="35" t="s">
        <v>1413</v>
      </c>
      <c r="AC1260" s="102">
        <v>30</v>
      </c>
      <c r="AD1260" s="35" t="s">
        <v>1458</v>
      </c>
      <c r="AE1260" s="102">
        <v>2</v>
      </c>
      <c r="AF1260" s="35" t="s">
        <v>1436</v>
      </c>
      <c r="AG1260" s="102">
        <v>60</v>
      </c>
      <c r="AH1260" s="35" t="s">
        <v>1410</v>
      </c>
      <c r="AI1260" s="103" t="str">
        <f>TEXT(ROUND((AB1209/AC1260)*AE1260*AG1260,3),"#,0.000")</f>
        <v>72.000</v>
      </c>
      <c r="AJ1260" s="101"/>
      <c r="AK1260" s="101"/>
      <c r="AL1260" s="101"/>
      <c r="AM1260" s="101"/>
      <c r="AN1260" s="101"/>
    </row>
    <row r="1261" spans="1:40" ht="16.5" customHeight="1" x14ac:dyDescent="0.3">
      <c r="A1261" s="69"/>
      <c r="B1261" s="69"/>
      <c r="C1261" s="69"/>
      <c r="D1261" s="69"/>
      <c r="E1261" s="69"/>
      <c r="F1261" s="69"/>
      <c r="G1261" s="17" t="s">
        <v>1405</v>
      </c>
      <c r="Z1261" s="101"/>
      <c r="AA1261" s="101"/>
      <c r="AB1261" s="101"/>
      <c r="AC1261" s="101"/>
      <c r="AD1261" s="101"/>
      <c r="AE1261" s="101"/>
      <c r="AF1261" s="101"/>
      <c r="AG1261" s="101"/>
      <c r="AH1261" s="101"/>
      <c r="AI1261" s="101"/>
      <c r="AJ1261" s="101"/>
      <c r="AK1261" s="101"/>
      <c r="AL1261" s="101"/>
      <c r="AM1261" s="101"/>
      <c r="AN1261" s="101"/>
    </row>
    <row r="1262" spans="1:40" ht="16.5" customHeight="1" x14ac:dyDescent="0.3">
      <c r="A1262" s="69"/>
      <c r="B1262" s="69"/>
      <c r="C1262" s="69"/>
      <c r="D1262" s="69"/>
      <c r="E1262" s="69"/>
      <c r="F1262" s="69"/>
      <c r="G1262" s="17" t="s">
        <v>1405</v>
      </c>
      <c r="Z1262" s="101"/>
      <c r="AA1262" s="101"/>
      <c r="AB1262" s="101"/>
      <c r="AC1262" s="101"/>
      <c r="AD1262" s="101"/>
      <c r="AE1262" s="101"/>
      <c r="AF1262" s="101"/>
      <c r="AG1262" s="101"/>
      <c r="AH1262" s="101"/>
      <c r="AI1262" s="101"/>
      <c r="AJ1262" s="101"/>
      <c r="AK1262" s="101"/>
      <c r="AL1262" s="101"/>
      <c r="AM1262" s="101"/>
      <c r="AN1262" s="101"/>
    </row>
    <row r="1263" spans="1:40" ht="16.5" customHeight="1" x14ac:dyDescent="0.3">
      <c r="A1263" s="59"/>
      <c r="B1263" s="68" t="str">
        <f>" Q =("&amp;AA1263&amp;" * "&amp;AC1263&amp;")/ t2 = "&amp;AG1263&amp;"  회/시간 "</f>
        <v xml:space="preserve"> Q =(60 * 0.9)/ t2 = 0.750  회/시간 </v>
      </c>
      <c r="C1263" s="69"/>
      <c r="D1263" s="69"/>
      <c r="E1263" s="69"/>
      <c r="F1263" s="69"/>
      <c r="G1263" s="17" t="s">
        <v>1968</v>
      </c>
      <c r="Z1263" s="35" t="s">
        <v>1457</v>
      </c>
      <c r="AA1263" s="102">
        <v>60</v>
      </c>
      <c r="AB1263" s="35" t="s">
        <v>1436</v>
      </c>
      <c r="AC1263" s="104">
        <v>0.9</v>
      </c>
      <c r="AD1263" s="35" t="s">
        <v>1465</v>
      </c>
      <c r="AE1263" s="103" t="str">
        <f>AI1260</f>
        <v>72.000</v>
      </c>
      <c r="AF1263" s="35" t="s">
        <v>1410</v>
      </c>
      <c r="AG1263" s="103" t="str">
        <f>TEXT(ROUND((AA1263*AC1263)/AI1260,3),"#,0.000")</f>
        <v>0.750</v>
      </c>
      <c r="AH1263" s="101"/>
      <c r="AI1263" s="101"/>
      <c r="AJ1263" s="101"/>
      <c r="AK1263" s="101"/>
      <c r="AL1263" s="101"/>
      <c r="AM1263" s="101"/>
      <c r="AN1263" s="101"/>
    </row>
    <row r="1264" spans="1:40" ht="16.5" customHeight="1" x14ac:dyDescent="0.3">
      <c r="A1264" s="69"/>
      <c r="B1264" s="69"/>
      <c r="C1264" s="69"/>
      <c r="D1264" s="69"/>
      <c r="E1264" s="69"/>
      <c r="F1264" s="69"/>
      <c r="G1264" s="17" t="s">
        <v>1405</v>
      </c>
      <c r="Z1264" s="101"/>
      <c r="AA1264" s="101"/>
      <c r="AB1264" s="101"/>
      <c r="AC1264" s="101"/>
      <c r="AD1264" s="101"/>
      <c r="AE1264" s="101"/>
      <c r="AF1264" s="101"/>
      <c r="AG1264" s="101"/>
      <c r="AH1264" s="101"/>
      <c r="AI1264" s="101"/>
      <c r="AJ1264" s="101"/>
      <c r="AK1264" s="101"/>
      <c r="AL1264" s="101"/>
      <c r="AM1264" s="101"/>
      <c r="AN1264" s="101"/>
    </row>
    <row r="1265" spans="1:40" ht="16.5" customHeight="1" x14ac:dyDescent="0.3">
      <c r="A1265" s="69"/>
      <c r="B1265" s="69"/>
      <c r="C1265" s="69"/>
      <c r="D1265" s="69"/>
      <c r="E1265" s="69"/>
      <c r="F1265" s="69"/>
      <c r="G1265" s="17" t="s">
        <v>1405</v>
      </c>
      <c r="Z1265" s="101"/>
      <c r="AA1265" s="101"/>
      <c r="AB1265" s="101"/>
      <c r="AC1265" s="101"/>
      <c r="AD1265" s="101"/>
      <c r="AE1265" s="101"/>
      <c r="AF1265" s="101"/>
      <c r="AG1265" s="101"/>
      <c r="AH1265" s="101"/>
      <c r="AI1265" s="101"/>
      <c r="AJ1265" s="101"/>
      <c r="AK1265" s="101"/>
      <c r="AL1265" s="101"/>
      <c r="AM1265" s="101"/>
      <c r="AN1265" s="101"/>
    </row>
    <row r="1266" spans="1:40" ht="16.5" customHeight="1" x14ac:dyDescent="0.3">
      <c r="A1266" s="59" t="s">
        <v>352</v>
      </c>
      <c r="B1266" s="89" t="str">
        <f>" C = "&amp;TEXT(I1266,"#,##0"&amp;IF(I1266&lt;&gt;INT(I1266),".###",""))&amp;" / Q = "&amp;TEXT(C1266,"#,##0.0")&amp;""</f>
        <v xml:space="preserve"> C = 99,866 / Q = 133,154.6</v>
      </c>
      <c r="C1266" s="91">
        <f>E1266+D1266+F1266</f>
        <v>133154.6</v>
      </c>
      <c r="D1266" s="91">
        <f>IF(H1266=0,0,ROUNDDOWN(J1266*H1266,1))</f>
        <v>78693.3</v>
      </c>
      <c r="E1266" s="91">
        <f>IF(H1266=0,0,ROUNDDOWN(K1266*H1266,1))</f>
        <v>12669.3</v>
      </c>
      <c r="F1266" s="91">
        <f>IF(H1266=0,0,ROUNDDOWN(L1266*H1266,1))</f>
        <v>41792</v>
      </c>
      <c r="G1266" s="17" t="s">
        <v>1969</v>
      </c>
      <c r="H1266" s="97">
        <f>ROUNDUP(AC1266,14-LEN(ABS(INT(AC1266))))</f>
        <v>1.3333333333333999</v>
      </c>
      <c r="I1266" s="98">
        <f>K1266+J1266+L1266</f>
        <v>99866</v>
      </c>
      <c r="J1266" s="38">
        <f>중기목록표!F29</f>
        <v>59020</v>
      </c>
      <c r="K1266" s="38">
        <f>중기목록표!G29</f>
        <v>9502</v>
      </c>
      <c r="L1266" s="38">
        <f>중기목록표!H29</f>
        <v>31344</v>
      </c>
      <c r="M1266" s="35" t="s">
        <v>1970</v>
      </c>
      <c r="N1266" s="35" t="s">
        <v>1262</v>
      </c>
      <c r="X1266" s="100" t="str">
        <f>중기목록표!B29&amp;" / "&amp;중기목록표!C29</f>
        <v>크레인(타이어) / 10톤</v>
      </c>
      <c r="Y1266" s="3" t="str">
        <f ca="1">HYPERLINK("#"&amp;중기목록표!J2&amp;"!A"&amp;ROW(중기목록표!A29),"중기26 →")</f>
        <v>중기26 →</v>
      </c>
      <c r="Z1266" s="35" t="s">
        <v>1417</v>
      </c>
      <c r="AA1266" s="103" t="str">
        <f>AG1263</f>
        <v>0.750</v>
      </c>
      <c r="AB1266" s="35" t="s">
        <v>1410</v>
      </c>
      <c r="AC1266" s="103">
        <f>1/AG1263</f>
        <v>1.3333333333333333</v>
      </c>
      <c r="AD1266" s="105" t="s">
        <v>1453</v>
      </c>
      <c r="AE1266" s="103">
        <f>C1266</f>
        <v>133154.6</v>
      </c>
      <c r="AF1266" s="101"/>
      <c r="AG1266" s="101"/>
      <c r="AH1266" s="101"/>
      <c r="AI1266" s="101"/>
      <c r="AJ1266" s="101"/>
      <c r="AK1266" s="101"/>
      <c r="AL1266" s="101"/>
      <c r="AM1266" s="101"/>
      <c r="AN1266" s="101"/>
    </row>
    <row r="1267" spans="1:40" ht="16.5" customHeight="1" x14ac:dyDescent="0.3">
      <c r="A1267" s="69"/>
      <c r="B1267" s="69"/>
      <c r="C1267" s="69"/>
      <c r="D1267" s="69"/>
      <c r="E1267" s="69"/>
      <c r="F1267" s="69"/>
      <c r="G1267" s="17" t="s">
        <v>1405</v>
      </c>
      <c r="Z1267" s="101"/>
      <c r="AA1267" s="101"/>
      <c r="AB1267" s="101"/>
      <c r="AC1267" s="101"/>
      <c r="AD1267" s="101"/>
      <c r="AE1267" s="101"/>
      <c r="AF1267" s="101"/>
      <c r="AG1267" s="101"/>
      <c r="AH1267" s="101"/>
      <c r="AI1267" s="101"/>
      <c r="AJ1267" s="101"/>
      <c r="AK1267" s="101"/>
      <c r="AL1267" s="101"/>
      <c r="AM1267" s="101"/>
      <c r="AN1267" s="101"/>
    </row>
    <row r="1268" spans="1:40" ht="16.5" customHeight="1" x14ac:dyDescent="0.3">
      <c r="A1268" s="69"/>
      <c r="B1268" s="69"/>
      <c r="C1268" s="69"/>
      <c r="D1268" s="69"/>
      <c r="E1268" s="69"/>
      <c r="F1268" s="69"/>
      <c r="G1268" s="17" t="s">
        <v>1405</v>
      </c>
      <c r="Z1268" s="101"/>
      <c r="AA1268" s="101"/>
      <c r="AB1268" s="101"/>
      <c r="AC1268" s="101"/>
      <c r="AD1268" s="101"/>
      <c r="AE1268" s="101"/>
      <c r="AF1268" s="101"/>
      <c r="AG1268" s="101"/>
      <c r="AH1268" s="101"/>
      <c r="AI1268" s="101"/>
      <c r="AJ1268" s="101"/>
      <c r="AK1268" s="101"/>
      <c r="AL1268" s="101"/>
      <c r="AM1268" s="101"/>
      <c r="AN1268" s="101"/>
    </row>
    <row r="1269" spans="1:40" ht="16.5" customHeight="1" x14ac:dyDescent="0.3">
      <c r="A1269" s="59"/>
      <c r="B1269" s="68" t="s">
        <v>1260</v>
      </c>
      <c r="C1269" s="92">
        <f>E1269+D1269+F1269</f>
        <v>133154.6</v>
      </c>
      <c r="D1269" s="92">
        <f>SUMIF(N1255:N1268,M1269,D1255:D1268)</f>
        <v>78693.3</v>
      </c>
      <c r="E1269" s="92">
        <f>SUMIF(N1255:N1268,M1269,E1255:E1268)</f>
        <v>12669.3</v>
      </c>
      <c r="F1269" s="92">
        <f>SUMIF(N1255:N1268,M1269,F1255:F1268)</f>
        <v>41792</v>
      </c>
      <c r="G1269" s="17" t="s">
        <v>1430</v>
      </c>
      <c r="M1269" s="35" t="s">
        <v>1262</v>
      </c>
      <c r="N1269" s="35" t="s">
        <v>1658</v>
      </c>
      <c r="Z1269" s="101"/>
      <c r="AA1269" s="101"/>
      <c r="AB1269" s="101"/>
      <c r="AC1269" s="101"/>
      <c r="AD1269" s="101"/>
      <c r="AE1269" s="101"/>
      <c r="AF1269" s="101"/>
      <c r="AG1269" s="101"/>
      <c r="AH1269" s="101"/>
      <c r="AI1269" s="101"/>
      <c r="AJ1269" s="101"/>
      <c r="AK1269" s="101"/>
      <c r="AL1269" s="101"/>
      <c r="AM1269" s="101"/>
      <c r="AN1269" s="101"/>
    </row>
    <row r="1270" spans="1:40" ht="16.5" customHeight="1" x14ac:dyDescent="0.3">
      <c r="A1270" s="69"/>
      <c r="B1270" s="69"/>
      <c r="C1270" s="90"/>
      <c r="D1270" s="90"/>
      <c r="E1270" s="90"/>
      <c r="F1270" s="90"/>
      <c r="G1270" s="17" t="s">
        <v>1405</v>
      </c>
      <c r="Z1270" s="101"/>
      <c r="AA1270" s="101"/>
      <c r="AB1270" s="101"/>
      <c r="AC1270" s="101"/>
      <c r="AD1270" s="101"/>
      <c r="AE1270" s="101"/>
      <c r="AF1270" s="101"/>
      <c r="AG1270" s="101"/>
      <c r="AH1270" s="101"/>
      <c r="AI1270" s="101"/>
      <c r="AJ1270" s="101"/>
      <c r="AK1270" s="101"/>
      <c r="AL1270" s="101"/>
      <c r="AM1270" s="101"/>
      <c r="AN1270" s="101"/>
    </row>
    <row r="1271" spans="1:40" ht="16.5" customHeight="1" x14ac:dyDescent="0.3">
      <c r="A1271" s="59"/>
      <c r="B1271" s="68" t="s">
        <v>1657</v>
      </c>
      <c r="C1271" s="93">
        <f>E1271+D1271+F1271</f>
        <v>870233.59999999998</v>
      </c>
      <c r="D1271" s="93">
        <f>SUMIF(N1207:N1270,M1271,D1207:D1270)</f>
        <v>448630.6</v>
      </c>
      <c r="E1271" s="93">
        <f>SUMIF(N1207:N1270,M1271,E1207:E1270)</f>
        <v>271286.90000000002</v>
      </c>
      <c r="F1271" s="93">
        <f>SUMIF(N1207:N1270,M1271,F1207:F1270)</f>
        <v>150316.1</v>
      </c>
      <c r="G1271" s="17" t="s">
        <v>1656</v>
      </c>
      <c r="M1271" s="35" t="s">
        <v>1658</v>
      </c>
      <c r="Z1271" s="101"/>
      <c r="AA1271" s="101"/>
      <c r="AB1271" s="101"/>
      <c r="AC1271" s="101"/>
      <c r="AD1271" s="101"/>
      <c r="AE1271" s="101"/>
      <c r="AF1271" s="101"/>
      <c r="AG1271" s="101"/>
      <c r="AH1271" s="101"/>
      <c r="AI1271" s="101"/>
      <c r="AJ1271" s="101"/>
      <c r="AK1271" s="101"/>
      <c r="AL1271" s="101"/>
      <c r="AM1271" s="101"/>
      <c r="AN1271" s="101"/>
    </row>
    <row r="1272" spans="1:40" ht="16.5" customHeight="1" x14ac:dyDescent="0.3">
      <c r="A1272" s="69"/>
      <c r="B1272" s="69"/>
      <c r="C1272" s="94"/>
      <c r="D1272" s="94"/>
      <c r="E1272" s="94"/>
      <c r="F1272" s="94"/>
      <c r="G1272" s="17" t="s">
        <v>1405</v>
      </c>
      <c r="Z1272" s="101"/>
      <c r="AA1272" s="101"/>
      <c r="AB1272" s="101"/>
      <c r="AC1272" s="101"/>
      <c r="AD1272" s="101"/>
      <c r="AE1272" s="101"/>
      <c r="AF1272" s="101"/>
      <c r="AG1272" s="101"/>
      <c r="AH1272" s="101"/>
      <c r="AI1272" s="101"/>
      <c r="AJ1272" s="101"/>
      <c r="AK1272" s="101"/>
      <c r="AL1272" s="101"/>
      <c r="AM1272" s="101"/>
      <c r="AN1272" s="101"/>
    </row>
    <row r="1273" spans="1:40" ht="16.5" customHeight="1" x14ac:dyDescent="0.3">
      <c r="A1273" s="59" t="s">
        <v>1660</v>
      </c>
      <c r="B1273" s="89" t="str">
        <f>""&amp;TEXT(I1273,"#,##0"&amp;IF(I1273&lt;&gt;INT(I1273),".###",""))&amp;" * "&amp;AA1273&amp;" = "&amp;TEXT(C1273,"#,##0.0")&amp;""</f>
        <v>870,233.6 * 1 = 870,233.6</v>
      </c>
      <c r="C1273" s="91">
        <f>E1273+D1273+F1273</f>
        <v>870233.59999999998</v>
      </c>
      <c r="D1273" s="91">
        <f>IF(H1273=0,0,ROUNDDOWN(J1273*H1273,1))</f>
        <v>0</v>
      </c>
      <c r="E1273" s="91">
        <f>IF(H1273=0,0,ROUNDDOWN(K1273*H1273,1))</f>
        <v>0</v>
      </c>
      <c r="F1273" s="91">
        <f>IF(H1273=0,0,ROUNDDOWN(L1273*H1273,1))</f>
        <v>870233.59999999998</v>
      </c>
      <c r="G1273" s="17" t="s">
        <v>1659</v>
      </c>
      <c r="H1273" s="97">
        <f>ROUNDUP(AC1273,14-LEN(ABS(INT(AC1273))))</f>
        <v>1</v>
      </c>
      <c r="I1273" s="98">
        <f>K1273+J1273+L1273</f>
        <v>870233.59999999998</v>
      </c>
      <c r="J1273" s="36">
        <v>0</v>
      </c>
      <c r="K1273" s="36">
        <v>0</v>
      </c>
      <c r="L1273" s="99">
        <v>870233.59999999998</v>
      </c>
      <c r="M1273" s="35" t="s">
        <v>1661</v>
      </c>
      <c r="N1273" s="35" t="s">
        <v>1209</v>
      </c>
      <c r="Z1273" s="35" t="s">
        <v>1446</v>
      </c>
      <c r="AA1273" s="102">
        <v>1</v>
      </c>
      <c r="AB1273" s="35" t="s">
        <v>1410</v>
      </c>
      <c r="AC1273" s="103">
        <f>1*AA1273</f>
        <v>1</v>
      </c>
      <c r="AD1273" s="101"/>
      <c r="AE1273" s="101"/>
      <c r="AF1273" s="101"/>
      <c r="AG1273" s="101"/>
      <c r="AH1273" s="101"/>
      <c r="AI1273" s="101"/>
      <c r="AJ1273" s="101"/>
      <c r="AK1273" s="101"/>
      <c r="AL1273" s="101"/>
      <c r="AM1273" s="101"/>
      <c r="AN1273" s="101"/>
    </row>
    <row r="1274" spans="1:40" ht="16.5" customHeight="1" x14ac:dyDescent="0.3">
      <c r="A1274" s="69"/>
      <c r="B1274" s="69"/>
      <c r="C1274" s="69"/>
      <c r="D1274" s="69"/>
      <c r="E1274" s="69"/>
      <c r="F1274" s="69"/>
      <c r="Z1274" s="101"/>
      <c r="AA1274" s="101"/>
      <c r="AB1274" s="101"/>
      <c r="AC1274" s="101"/>
      <c r="AD1274" s="101"/>
      <c r="AE1274" s="101"/>
      <c r="AF1274" s="101"/>
      <c r="AG1274" s="101"/>
      <c r="AH1274" s="101"/>
      <c r="AI1274" s="101"/>
      <c r="AJ1274" s="101"/>
      <c r="AK1274" s="101"/>
      <c r="AL1274" s="101"/>
      <c r="AM1274" s="101"/>
      <c r="AN1274" s="101"/>
    </row>
    <row r="1275" spans="1:40" ht="16.5" customHeight="1" x14ac:dyDescent="0.3">
      <c r="A1275" s="69"/>
      <c r="B1275" s="69"/>
      <c r="C1275" s="69"/>
      <c r="D1275" s="69"/>
      <c r="E1275" s="69"/>
      <c r="F1275" s="69"/>
      <c r="Z1275" s="101"/>
      <c r="AA1275" s="101"/>
      <c r="AB1275" s="101"/>
      <c r="AC1275" s="101"/>
      <c r="AD1275" s="101"/>
      <c r="AE1275" s="101"/>
      <c r="AF1275" s="101"/>
      <c r="AG1275" s="101"/>
      <c r="AH1275" s="101"/>
      <c r="AI1275" s="101"/>
      <c r="AJ1275" s="101"/>
      <c r="AK1275" s="101"/>
      <c r="AL1275" s="101"/>
      <c r="AM1275" s="101"/>
      <c r="AN1275" s="101"/>
    </row>
    <row r="1276" spans="1:40" ht="16.5" customHeight="1" x14ac:dyDescent="0.3">
      <c r="A1276" s="69"/>
      <c r="B1276" s="69"/>
      <c r="C1276" s="69"/>
      <c r="D1276" s="69"/>
      <c r="E1276" s="69"/>
      <c r="F1276" s="69"/>
      <c r="Z1276" s="101"/>
      <c r="AA1276" s="101"/>
      <c r="AB1276" s="101"/>
      <c r="AC1276" s="101"/>
      <c r="AD1276" s="101"/>
      <c r="AE1276" s="101"/>
      <c r="AF1276" s="101"/>
      <c r="AG1276" s="101"/>
      <c r="AH1276" s="101"/>
      <c r="AI1276" s="101"/>
      <c r="AJ1276" s="101"/>
      <c r="AK1276" s="101"/>
      <c r="AL1276" s="101"/>
      <c r="AM1276" s="101"/>
      <c r="AN1276" s="101"/>
    </row>
    <row r="1277" spans="1:40" ht="16.5" customHeight="1" x14ac:dyDescent="0.3">
      <c r="A1277" s="69"/>
      <c r="B1277" s="69"/>
      <c r="C1277" s="69"/>
      <c r="D1277" s="69"/>
      <c r="E1277" s="69"/>
      <c r="F1277" s="69"/>
      <c r="Z1277" s="101"/>
      <c r="AA1277" s="101"/>
      <c r="AB1277" s="101"/>
      <c r="AC1277" s="101"/>
      <c r="AD1277" s="101"/>
      <c r="AE1277" s="101"/>
      <c r="AF1277" s="101"/>
      <c r="AG1277" s="101"/>
      <c r="AH1277" s="101"/>
      <c r="AI1277" s="101"/>
      <c r="AJ1277" s="101"/>
      <c r="AK1277" s="101"/>
      <c r="AL1277" s="101"/>
      <c r="AM1277" s="101"/>
      <c r="AN1277" s="101"/>
    </row>
    <row r="1278" spans="1:40" ht="16.5" customHeight="1" x14ac:dyDescent="0.3">
      <c r="A1278" s="69"/>
      <c r="B1278" s="69"/>
      <c r="C1278" s="69"/>
      <c r="D1278" s="69"/>
      <c r="E1278" s="69"/>
      <c r="F1278" s="69"/>
      <c r="Z1278" s="101"/>
      <c r="AA1278" s="101"/>
      <c r="AB1278" s="101"/>
      <c r="AC1278" s="101"/>
      <c r="AD1278" s="101"/>
      <c r="AE1278" s="101"/>
      <c r="AF1278" s="101"/>
      <c r="AG1278" s="101"/>
      <c r="AH1278" s="101"/>
      <c r="AI1278" s="101"/>
      <c r="AJ1278" s="101"/>
      <c r="AK1278" s="101"/>
      <c r="AL1278" s="101"/>
      <c r="AM1278" s="101"/>
      <c r="AN1278" s="101"/>
    </row>
    <row r="1279" spans="1:40" ht="16.5" customHeight="1" x14ac:dyDescent="0.3">
      <c r="A1279" s="69"/>
      <c r="B1279" s="69"/>
      <c r="C1279" s="69"/>
      <c r="D1279" s="69"/>
      <c r="E1279" s="69"/>
      <c r="F1279" s="69"/>
      <c r="Z1279" s="101"/>
      <c r="AA1279" s="101"/>
      <c r="AB1279" s="101"/>
      <c r="AC1279" s="101"/>
      <c r="AD1279" s="101"/>
      <c r="AE1279" s="101"/>
      <c r="AF1279" s="101"/>
      <c r="AG1279" s="101"/>
      <c r="AH1279" s="101"/>
      <c r="AI1279" s="101"/>
      <c r="AJ1279" s="101"/>
      <c r="AK1279" s="101"/>
      <c r="AL1279" s="101"/>
      <c r="AM1279" s="101"/>
      <c r="AN1279" s="101"/>
    </row>
    <row r="1280" spans="1:40" ht="16.5" customHeight="1" x14ac:dyDescent="0.3">
      <c r="A1280" s="69"/>
      <c r="B1280" s="69"/>
      <c r="C1280" s="69"/>
      <c r="D1280" s="69"/>
      <c r="E1280" s="69"/>
      <c r="F1280" s="69"/>
      <c r="Z1280" s="101"/>
      <c r="AA1280" s="101"/>
      <c r="AB1280" s="101"/>
      <c r="AC1280" s="101"/>
      <c r="AD1280" s="101"/>
      <c r="AE1280" s="101"/>
      <c r="AF1280" s="101"/>
      <c r="AG1280" s="101"/>
      <c r="AH1280" s="101"/>
      <c r="AI1280" s="101"/>
      <c r="AJ1280" s="101"/>
      <c r="AK1280" s="101"/>
      <c r="AL1280" s="101"/>
      <c r="AM1280" s="101"/>
      <c r="AN1280" s="101"/>
    </row>
    <row r="1281" spans="1:40" ht="16.5" customHeight="1" x14ac:dyDescent="0.3">
      <c r="A1281" s="69"/>
      <c r="B1281" s="69"/>
      <c r="C1281" s="69"/>
      <c r="D1281" s="69"/>
      <c r="E1281" s="69"/>
      <c r="F1281" s="69"/>
      <c r="Z1281" s="101"/>
      <c r="AA1281" s="101"/>
      <c r="AB1281" s="101"/>
      <c r="AC1281" s="101"/>
      <c r="AD1281" s="101"/>
      <c r="AE1281" s="101"/>
      <c r="AF1281" s="101"/>
      <c r="AG1281" s="101"/>
      <c r="AH1281" s="101"/>
      <c r="AI1281" s="101"/>
      <c r="AJ1281" s="101"/>
      <c r="AK1281" s="101"/>
      <c r="AL1281" s="101"/>
      <c r="AM1281" s="101"/>
      <c r="AN1281" s="101"/>
    </row>
    <row r="1282" spans="1:40" ht="16.5" customHeight="1" x14ac:dyDescent="0.3">
      <c r="A1282" s="69"/>
      <c r="B1282" s="69"/>
      <c r="C1282" s="69"/>
      <c r="D1282" s="69"/>
      <c r="E1282" s="69"/>
      <c r="F1282" s="69"/>
      <c r="Z1282" s="101"/>
      <c r="AA1282" s="101"/>
      <c r="AB1282" s="101"/>
      <c r="AC1282" s="101"/>
      <c r="AD1282" s="101"/>
      <c r="AE1282" s="101"/>
      <c r="AF1282" s="101"/>
      <c r="AG1282" s="101"/>
      <c r="AH1282" s="101"/>
      <c r="AI1282" s="101"/>
      <c r="AJ1282" s="101"/>
      <c r="AK1282" s="101"/>
      <c r="AL1282" s="101"/>
      <c r="AM1282" s="101"/>
      <c r="AN1282" s="101"/>
    </row>
    <row r="1283" spans="1:40" ht="16.5" customHeight="1" x14ac:dyDescent="0.3">
      <c r="A1283" s="69"/>
      <c r="B1283" s="69"/>
      <c r="C1283" s="69"/>
      <c r="D1283" s="69"/>
      <c r="E1283" s="69"/>
      <c r="F1283" s="69"/>
      <c r="Z1283" s="101"/>
      <c r="AA1283" s="101"/>
      <c r="AB1283" s="101"/>
      <c r="AC1283" s="101"/>
      <c r="AD1283" s="101"/>
      <c r="AE1283" s="101"/>
      <c r="AF1283" s="101"/>
      <c r="AG1283" s="101"/>
      <c r="AH1283" s="101"/>
      <c r="AI1283" s="101"/>
      <c r="AJ1283" s="101"/>
      <c r="AK1283" s="101"/>
      <c r="AL1283" s="101"/>
      <c r="AM1283" s="101"/>
      <c r="AN1283" s="101"/>
    </row>
    <row r="1284" spans="1:40" ht="16.5" customHeight="1" x14ac:dyDescent="0.3">
      <c r="A1284" s="69"/>
      <c r="B1284" s="69"/>
      <c r="C1284" s="69"/>
      <c r="D1284" s="69"/>
      <c r="E1284" s="69"/>
      <c r="F1284" s="69"/>
      <c r="Z1284" s="101"/>
      <c r="AA1284" s="101"/>
      <c r="AB1284" s="101"/>
      <c r="AC1284" s="101"/>
      <c r="AD1284" s="101"/>
      <c r="AE1284" s="101"/>
      <c r="AF1284" s="101"/>
      <c r="AG1284" s="101"/>
      <c r="AH1284" s="101"/>
      <c r="AI1284" s="101"/>
      <c r="AJ1284" s="101"/>
      <c r="AK1284" s="101"/>
      <c r="AL1284" s="101"/>
      <c r="AM1284" s="101"/>
      <c r="AN1284" s="101"/>
    </row>
    <row r="1285" spans="1:40" ht="16.5" customHeight="1" x14ac:dyDescent="0.3">
      <c r="A1285" s="69"/>
      <c r="B1285" s="69"/>
      <c r="C1285" s="69"/>
      <c r="D1285" s="69"/>
      <c r="E1285" s="69"/>
      <c r="F1285" s="69"/>
      <c r="Z1285" s="101"/>
      <c r="AA1285" s="101"/>
      <c r="AB1285" s="101"/>
      <c r="AC1285" s="101"/>
      <c r="AD1285" s="101"/>
      <c r="AE1285" s="101"/>
      <c r="AF1285" s="101"/>
      <c r="AG1285" s="101"/>
      <c r="AH1285" s="101"/>
      <c r="AI1285" s="101"/>
      <c r="AJ1285" s="101"/>
      <c r="AK1285" s="101"/>
      <c r="AL1285" s="101"/>
      <c r="AM1285" s="101"/>
      <c r="AN1285" s="101"/>
    </row>
    <row r="1286" spans="1:40" ht="16.5" customHeight="1" x14ac:dyDescent="0.3">
      <c r="A1286" s="69"/>
      <c r="B1286" s="69"/>
      <c r="C1286" s="69"/>
      <c r="D1286" s="69"/>
      <c r="E1286" s="69"/>
      <c r="F1286" s="69"/>
      <c r="Z1286" s="101"/>
      <c r="AA1286" s="101"/>
      <c r="AB1286" s="101"/>
      <c r="AC1286" s="101"/>
      <c r="AD1286" s="101"/>
      <c r="AE1286" s="101"/>
      <c r="AF1286" s="101"/>
      <c r="AG1286" s="101"/>
      <c r="AH1286" s="101"/>
      <c r="AI1286" s="101"/>
      <c r="AJ1286" s="101"/>
      <c r="AK1286" s="101"/>
      <c r="AL1286" s="101"/>
      <c r="AM1286" s="101"/>
      <c r="AN1286" s="101"/>
    </row>
    <row r="1287" spans="1:40" ht="16.5" customHeight="1" x14ac:dyDescent="0.3">
      <c r="A1287" s="69"/>
      <c r="B1287" s="69"/>
      <c r="C1287" s="69"/>
      <c r="D1287" s="69"/>
      <c r="E1287" s="69"/>
      <c r="F1287" s="69"/>
      <c r="Z1287" s="101"/>
      <c r="AA1287" s="101"/>
      <c r="AB1287" s="101"/>
      <c r="AC1287" s="101"/>
      <c r="AD1287" s="101"/>
      <c r="AE1287" s="101"/>
      <c r="AF1287" s="101"/>
      <c r="AG1287" s="101"/>
      <c r="AH1287" s="101"/>
      <c r="AI1287" s="101"/>
      <c r="AJ1287" s="101"/>
      <c r="AK1287" s="101"/>
      <c r="AL1287" s="101"/>
      <c r="AM1287" s="101"/>
      <c r="AN1287" s="101"/>
    </row>
    <row r="1288" spans="1:40" ht="16.5" customHeight="1" x14ac:dyDescent="0.3">
      <c r="A1288" s="69"/>
      <c r="B1288" s="69"/>
      <c r="C1288" s="69"/>
      <c r="D1288" s="69"/>
      <c r="E1288" s="69"/>
      <c r="F1288" s="69"/>
      <c r="Z1288" s="101"/>
      <c r="AA1288" s="101"/>
      <c r="AB1288" s="101"/>
      <c r="AC1288" s="101"/>
      <c r="AD1288" s="101"/>
      <c r="AE1288" s="101"/>
      <c r="AF1288" s="101"/>
      <c r="AG1288" s="101"/>
      <c r="AH1288" s="101"/>
      <c r="AI1288" s="101"/>
      <c r="AJ1288" s="101"/>
      <c r="AK1288" s="101"/>
      <c r="AL1288" s="101"/>
      <c r="AM1288" s="101"/>
      <c r="AN1288" s="101"/>
    </row>
    <row r="1289" spans="1:40" ht="16.5" customHeight="1" x14ac:dyDescent="0.3">
      <c r="A1289" s="69"/>
      <c r="B1289" s="69"/>
      <c r="C1289" s="69"/>
      <c r="D1289" s="69"/>
      <c r="E1289" s="69"/>
      <c r="F1289" s="69"/>
      <c r="Z1289" s="101"/>
      <c r="AA1289" s="101"/>
      <c r="AB1289" s="101"/>
      <c r="AC1289" s="101"/>
      <c r="AD1289" s="101"/>
      <c r="AE1289" s="101"/>
      <c r="AF1289" s="101"/>
      <c r="AG1289" s="101"/>
      <c r="AH1289" s="101"/>
      <c r="AI1289" s="101"/>
      <c r="AJ1289" s="101"/>
      <c r="AK1289" s="101"/>
      <c r="AL1289" s="101"/>
      <c r="AM1289" s="101"/>
      <c r="AN1289" s="101"/>
    </row>
    <row r="1290" spans="1:40" ht="16.5" customHeight="1" x14ac:dyDescent="0.3">
      <c r="A1290" s="69"/>
      <c r="B1290" s="69"/>
      <c r="C1290" s="69"/>
      <c r="D1290" s="69"/>
      <c r="E1290" s="69"/>
      <c r="F1290" s="69"/>
      <c r="Z1290" s="101"/>
      <c r="AA1290" s="101"/>
      <c r="AB1290" s="101"/>
      <c r="AC1290" s="101"/>
      <c r="AD1290" s="101"/>
      <c r="AE1290" s="101"/>
      <c r="AF1290" s="101"/>
      <c r="AG1290" s="101"/>
      <c r="AH1290" s="101"/>
      <c r="AI1290" s="101"/>
      <c r="AJ1290" s="101"/>
      <c r="AK1290" s="101"/>
      <c r="AL1290" s="101"/>
      <c r="AM1290" s="101"/>
      <c r="AN1290" s="101"/>
    </row>
    <row r="1291" spans="1:40" ht="16.5" customHeight="1" x14ac:dyDescent="0.3">
      <c r="A1291" s="69"/>
      <c r="B1291" s="69"/>
      <c r="C1291" s="69"/>
      <c r="D1291" s="69"/>
      <c r="E1291" s="69"/>
      <c r="F1291" s="69"/>
      <c r="Z1291" s="101"/>
      <c r="AA1291" s="101"/>
      <c r="AB1291" s="101"/>
      <c r="AC1291" s="101"/>
      <c r="AD1291" s="101"/>
      <c r="AE1291" s="101"/>
      <c r="AF1291" s="101"/>
      <c r="AG1291" s="101"/>
      <c r="AH1291" s="101"/>
      <c r="AI1291" s="101"/>
      <c r="AJ1291" s="101"/>
      <c r="AK1291" s="101"/>
      <c r="AL1291" s="101"/>
      <c r="AM1291" s="101"/>
      <c r="AN1291" s="101"/>
    </row>
    <row r="1292" spans="1:40" ht="16.5" customHeight="1" x14ac:dyDescent="0.3">
      <c r="A1292" s="69"/>
      <c r="B1292" s="69"/>
      <c r="C1292" s="69"/>
      <c r="D1292" s="69"/>
      <c r="E1292" s="69"/>
      <c r="F1292" s="69"/>
      <c r="Z1292" s="101"/>
      <c r="AA1292" s="101"/>
      <c r="AB1292" s="101"/>
      <c r="AC1292" s="101"/>
      <c r="AD1292" s="101"/>
      <c r="AE1292" s="101"/>
      <c r="AF1292" s="101"/>
      <c r="AG1292" s="101"/>
      <c r="AH1292" s="101"/>
      <c r="AI1292" s="101"/>
      <c r="AJ1292" s="101"/>
      <c r="AK1292" s="101"/>
      <c r="AL1292" s="101"/>
      <c r="AM1292" s="101"/>
      <c r="AN1292" s="101"/>
    </row>
    <row r="1293" spans="1:40" ht="16.5" customHeight="1" x14ac:dyDescent="0.3">
      <c r="A1293" s="69"/>
      <c r="B1293" s="69"/>
      <c r="C1293" s="69"/>
      <c r="D1293" s="69"/>
      <c r="E1293" s="69"/>
      <c r="F1293" s="69"/>
      <c r="Z1293" s="101"/>
      <c r="AA1293" s="101"/>
      <c r="AB1293" s="101"/>
      <c r="AC1293" s="101"/>
      <c r="AD1293" s="101"/>
      <c r="AE1293" s="101"/>
      <c r="AF1293" s="101"/>
      <c r="AG1293" s="101"/>
      <c r="AH1293" s="101"/>
      <c r="AI1293" s="101"/>
      <c r="AJ1293" s="101"/>
      <c r="AK1293" s="101"/>
      <c r="AL1293" s="101"/>
      <c r="AM1293" s="101"/>
      <c r="AN1293" s="101"/>
    </row>
    <row r="1294" spans="1:40" ht="16.5" customHeight="1" x14ac:dyDescent="0.3">
      <c r="A1294" s="69"/>
      <c r="B1294" s="69"/>
      <c r="C1294" s="69"/>
      <c r="D1294" s="69"/>
      <c r="E1294" s="69"/>
      <c r="F1294" s="69"/>
      <c r="Z1294" s="101"/>
      <c r="AA1294" s="101"/>
      <c r="AB1294" s="101"/>
      <c r="AC1294" s="101"/>
      <c r="AD1294" s="101"/>
      <c r="AE1294" s="101"/>
      <c r="AF1294" s="101"/>
      <c r="AG1294" s="101"/>
      <c r="AH1294" s="101"/>
      <c r="AI1294" s="101"/>
      <c r="AJ1294" s="101"/>
      <c r="AK1294" s="101"/>
      <c r="AL1294" s="101"/>
      <c r="AM1294" s="101"/>
      <c r="AN1294" s="101"/>
    </row>
    <row r="1295" spans="1:40" ht="16.5" customHeight="1" x14ac:dyDescent="0.3">
      <c r="A1295" s="69"/>
      <c r="B1295" s="69"/>
      <c r="C1295" s="69"/>
      <c r="D1295" s="69"/>
      <c r="E1295" s="69"/>
      <c r="F1295" s="69"/>
      <c r="Z1295" s="101"/>
      <c r="AA1295" s="101"/>
      <c r="AB1295" s="101"/>
      <c r="AC1295" s="101"/>
      <c r="AD1295" s="101"/>
      <c r="AE1295" s="101"/>
      <c r="AF1295" s="101"/>
      <c r="AG1295" s="101"/>
      <c r="AH1295" s="101"/>
      <c r="AI1295" s="101"/>
      <c r="AJ1295" s="101"/>
      <c r="AK1295" s="101"/>
      <c r="AL1295" s="101"/>
      <c r="AM1295" s="101"/>
      <c r="AN1295" s="101"/>
    </row>
    <row r="1296" spans="1:40" ht="16.5" customHeight="1" x14ac:dyDescent="0.3">
      <c r="A1296" s="69"/>
      <c r="B1296" s="69"/>
      <c r="C1296" s="69"/>
      <c r="D1296" s="69"/>
      <c r="E1296" s="69"/>
      <c r="F1296" s="69"/>
      <c r="Z1296" s="101"/>
      <c r="AA1296" s="101"/>
      <c r="AB1296" s="101"/>
      <c r="AC1296" s="101"/>
      <c r="AD1296" s="101"/>
      <c r="AE1296" s="101"/>
      <c r="AF1296" s="101"/>
      <c r="AG1296" s="101"/>
      <c r="AH1296" s="101"/>
      <c r="AI1296" s="101"/>
      <c r="AJ1296" s="101"/>
      <c r="AK1296" s="101"/>
      <c r="AL1296" s="101"/>
      <c r="AM1296" s="101"/>
      <c r="AN1296" s="101"/>
    </row>
    <row r="1297" spans="1:40" ht="16.5" customHeight="1" x14ac:dyDescent="0.3">
      <c r="A1297" s="69"/>
      <c r="B1297" s="69"/>
      <c r="C1297" s="69"/>
      <c r="D1297" s="69"/>
      <c r="E1297" s="69"/>
      <c r="F1297" s="69"/>
      <c r="Z1297" s="101"/>
      <c r="AA1297" s="101"/>
      <c r="AB1297" s="101"/>
      <c r="AC1297" s="101"/>
      <c r="AD1297" s="101"/>
      <c r="AE1297" s="101"/>
      <c r="AF1297" s="101"/>
      <c r="AG1297" s="101"/>
      <c r="AH1297" s="101"/>
      <c r="AI1297" s="101"/>
      <c r="AJ1297" s="101"/>
      <c r="AK1297" s="101"/>
      <c r="AL1297" s="101"/>
      <c r="AM1297" s="101"/>
      <c r="AN1297" s="101"/>
    </row>
    <row r="1298" spans="1:40" ht="16.5" customHeight="1" x14ac:dyDescent="0.3">
      <c r="A1298" s="69"/>
      <c r="B1298" s="69"/>
      <c r="C1298" s="69"/>
      <c r="D1298" s="69"/>
      <c r="E1298" s="69"/>
      <c r="F1298" s="69"/>
      <c r="Z1298" s="101"/>
      <c r="AA1298" s="101"/>
      <c r="AB1298" s="101"/>
      <c r="AC1298" s="101"/>
      <c r="AD1298" s="101"/>
      <c r="AE1298" s="101"/>
      <c r="AF1298" s="101"/>
      <c r="AG1298" s="101"/>
      <c r="AH1298" s="101"/>
      <c r="AI1298" s="101"/>
      <c r="AJ1298" s="101"/>
      <c r="AK1298" s="101"/>
      <c r="AL1298" s="101"/>
      <c r="AM1298" s="101"/>
      <c r="AN1298" s="101"/>
    </row>
    <row r="1299" spans="1:40" ht="16.5" customHeight="1" x14ac:dyDescent="0.3">
      <c r="A1299" s="69"/>
      <c r="B1299" s="69"/>
      <c r="C1299" s="69"/>
      <c r="D1299" s="69"/>
      <c r="E1299" s="69"/>
      <c r="F1299" s="69"/>
      <c r="Z1299" s="101"/>
      <c r="AA1299" s="101"/>
      <c r="AB1299" s="101"/>
      <c r="AC1299" s="101"/>
      <c r="AD1299" s="101"/>
      <c r="AE1299" s="101"/>
      <c r="AF1299" s="101"/>
      <c r="AG1299" s="101"/>
      <c r="AH1299" s="101"/>
      <c r="AI1299" s="101"/>
      <c r="AJ1299" s="101"/>
      <c r="AK1299" s="101"/>
      <c r="AL1299" s="101"/>
      <c r="AM1299" s="101"/>
      <c r="AN1299" s="101"/>
    </row>
    <row r="1300" spans="1:40" ht="16.5" customHeight="1" x14ac:dyDescent="0.3">
      <c r="A1300" s="69"/>
      <c r="B1300" s="69"/>
      <c r="C1300" s="69"/>
      <c r="D1300" s="69"/>
      <c r="E1300" s="69"/>
      <c r="F1300" s="69"/>
      <c r="Z1300" s="101"/>
      <c r="AA1300" s="101"/>
      <c r="AB1300" s="101"/>
      <c r="AC1300" s="101"/>
      <c r="AD1300" s="101"/>
      <c r="AE1300" s="101"/>
      <c r="AF1300" s="101"/>
      <c r="AG1300" s="101"/>
      <c r="AH1300" s="101"/>
      <c r="AI1300" s="101"/>
      <c r="AJ1300" s="101"/>
      <c r="AK1300" s="101"/>
      <c r="AL1300" s="101"/>
      <c r="AM1300" s="101"/>
      <c r="AN1300" s="101"/>
    </row>
    <row r="1301" spans="1:40" ht="16.5" customHeight="1" x14ac:dyDescent="0.3">
      <c r="A1301" s="69"/>
      <c r="B1301" s="69"/>
      <c r="C1301" s="69"/>
      <c r="D1301" s="69"/>
      <c r="E1301" s="69"/>
      <c r="F1301" s="69"/>
      <c r="Z1301" s="101"/>
      <c r="AA1301" s="101"/>
      <c r="AB1301" s="101"/>
      <c r="AC1301" s="101"/>
      <c r="AD1301" s="101"/>
      <c r="AE1301" s="101"/>
      <c r="AF1301" s="101"/>
      <c r="AG1301" s="101"/>
      <c r="AH1301" s="101"/>
      <c r="AI1301" s="101"/>
      <c r="AJ1301" s="101"/>
      <c r="AK1301" s="101"/>
      <c r="AL1301" s="101"/>
      <c r="AM1301" s="101"/>
      <c r="AN1301" s="101"/>
    </row>
    <row r="1302" spans="1:40" ht="16.5" customHeight="1" x14ac:dyDescent="0.3">
      <c r="A1302" s="69"/>
      <c r="B1302" s="69"/>
      <c r="C1302" s="69"/>
      <c r="D1302" s="69"/>
      <c r="E1302" s="69"/>
      <c r="F1302" s="69"/>
      <c r="Z1302" s="101"/>
      <c r="AA1302" s="101"/>
      <c r="AB1302" s="101"/>
      <c r="AC1302" s="101"/>
      <c r="AD1302" s="101"/>
      <c r="AE1302" s="101"/>
      <c r="AF1302" s="101"/>
      <c r="AG1302" s="101"/>
      <c r="AH1302" s="101"/>
      <c r="AI1302" s="101"/>
      <c r="AJ1302" s="101"/>
      <c r="AK1302" s="101"/>
      <c r="AL1302" s="101"/>
      <c r="AM1302" s="101"/>
      <c r="AN1302" s="101"/>
    </row>
    <row r="1303" spans="1:40" ht="16.5" customHeight="1" x14ac:dyDescent="0.3">
      <c r="A1303" s="74"/>
      <c r="B1303" s="74"/>
      <c r="C1303" s="74"/>
      <c r="D1303" s="74"/>
      <c r="E1303" s="74"/>
      <c r="F1303" s="74"/>
      <c r="Z1303" s="101"/>
      <c r="AA1303" s="101"/>
      <c r="AB1303" s="101"/>
      <c r="AC1303" s="101"/>
      <c r="AD1303" s="101"/>
      <c r="AE1303" s="101"/>
      <c r="AF1303" s="101"/>
      <c r="AG1303" s="101"/>
      <c r="AH1303" s="101"/>
      <c r="AI1303" s="101"/>
      <c r="AJ1303" s="101"/>
      <c r="AK1303" s="101"/>
      <c r="AL1303" s="101"/>
      <c r="AM1303" s="101"/>
      <c r="AN1303" s="101"/>
    </row>
    <row r="1304" spans="1:40" ht="16.5" customHeight="1" x14ac:dyDescent="0.3">
      <c r="A1304" s="150" t="s">
        <v>1477</v>
      </c>
      <c r="B1304" s="143"/>
      <c r="C1304" s="47">
        <f>E1304+D1304+F1304</f>
        <v>870233</v>
      </c>
      <c r="D1304" s="46">
        <f>ROUNDDOWN(SUMIF(N1207:N1273,M1304,D1207:D1273),0)</f>
        <v>0</v>
      </c>
      <c r="E1304" s="55">
        <f>ROUNDDOWN(SUMIF(N1207:N1273,M1304,E1207:E1273),0)</f>
        <v>0</v>
      </c>
      <c r="F1304" s="47">
        <f>ROUNDDOWN(SUMIF(N1207:N1273,M1304,F1207:F1273),0)</f>
        <v>870233</v>
      </c>
      <c r="M1304" s="35" t="s">
        <v>1209</v>
      </c>
      <c r="Z1304" s="101"/>
      <c r="AA1304" s="101"/>
      <c r="AB1304" s="101"/>
      <c r="AC1304" s="101"/>
      <c r="AD1304" s="101"/>
      <c r="AE1304" s="101"/>
      <c r="AF1304" s="101"/>
      <c r="AG1304" s="101"/>
      <c r="AH1304" s="101"/>
      <c r="AI1304" s="101"/>
      <c r="AJ1304" s="101"/>
      <c r="AK1304" s="101"/>
      <c r="AL1304" s="101"/>
      <c r="AM1304" s="101"/>
      <c r="AN1304" s="101"/>
    </row>
    <row r="1305" spans="1:40" ht="16.5" customHeight="1" x14ac:dyDescent="0.3">
      <c r="A1305" s="86" t="s">
        <v>86</v>
      </c>
      <c r="B1305" s="88" t="s">
        <v>86</v>
      </c>
      <c r="C1305" s="151">
        <f>C1354</f>
        <v>19887</v>
      </c>
      <c r="D1305" s="151">
        <f>D1354</f>
        <v>2275</v>
      </c>
      <c r="E1305" s="151">
        <f>E1354</f>
        <v>17337</v>
      </c>
      <c r="F1305" s="151">
        <f>F1354</f>
        <v>275</v>
      </c>
      <c r="G1305" s="84" t="str">
        <f>HYPERLINK("#G"&amp;ROW(G1352),"_x0005_`BDCOD|D02956_x0007_`POSS|"&amp;ROW(G1307)&amp;"_x0007_`POSE|"&amp;ROW(G1352)&amp;"_x0007_`")</f>
        <v>_x0005_`BDCOD|D02956_x0007_`POSS|1307_x0007_`POSE|1352_x0007_`</v>
      </c>
      <c r="Z1305" s="101"/>
      <c r="AA1305" s="101"/>
      <c r="AB1305" s="101"/>
      <c r="AC1305" s="101"/>
      <c r="AD1305" s="101"/>
      <c r="AE1305" s="101"/>
      <c r="AF1305" s="101"/>
      <c r="AG1305" s="101"/>
      <c r="AH1305" s="101"/>
      <c r="AI1305" s="101"/>
      <c r="AJ1305" s="101"/>
      <c r="AK1305" s="101"/>
      <c r="AL1305" s="101"/>
      <c r="AM1305" s="101"/>
      <c r="AN1305" s="101"/>
    </row>
    <row r="1306" spans="1:40" ht="16.5" customHeight="1" x14ac:dyDescent="0.3">
      <c r="A1306" s="87"/>
      <c r="B1306" s="88" t="s">
        <v>181</v>
      </c>
      <c r="C1306" s="136"/>
      <c r="D1306" s="136"/>
      <c r="E1306" s="136"/>
      <c r="F1306" s="136"/>
      <c r="M1306" s="35" t="s">
        <v>1971</v>
      </c>
      <c r="Z1306" s="101"/>
      <c r="AA1306" s="101"/>
      <c r="AB1306" s="101"/>
      <c r="AC1306" s="101"/>
      <c r="AD1306" s="101"/>
      <c r="AE1306" s="101"/>
      <c r="AF1306" s="101"/>
      <c r="AG1306" s="101"/>
      <c r="AH1306" s="101"/>
      <c r="AI1306" s="101"/>
      <c r="AJ1306" s="101"/>
      <c r="AK1306" s="101"/>
      <c r="AL1306" s="101"/>
      <c r="AM1306" s="101"/>
      <c r="AN1306" s="101"/>
    </row>
    <row r="1307" spans="1:40" ht="16.5" customHeight="1" x14ac:dyDescent="0.3">
      <c r="A1307" s="69"/>
      <c r="B1307" s="69"/>
      <c r="C1307" s="90"/>
      <c r="D1307" s="90"/>
      <c r="E1307" s="90"/>
      <c r="F1307" s="90"/>
      <c r="G1307" s="17" t="s">
        <v>1405</v>
      </c>
      <c r="Z1307" s="101"/>
      <c r="AA1307" s="101"/>
      <c r="AB1307" s="101"/>
      <c r="AC1307" s="101"/>
      <c r="AD1307" s="101"/>
      <c r="AE1307" s="101"/>
      <c r="AF1307" s="101"/>
      <c r="AG1307" s="101"/>
      <c r="AH1307" s="101"/>
      <c r="AI1307" s="101"/>
      <c r="AJ1307" s="101"/>
      <c r="AK1307" s="101"/>
      <c r="AL1307" s="101"/>
      <c r="AM1307" s="101"/>
      <c r="AN1307" s="101"/>
    </row>
    <row r="1308" spans="1:40" ht="16.5" customHeight="1" x14ac:dyDescent="0.3">
      <c r="A1308" s="59"/>
      <c r="B1308" s="68" t="s">
        <v>1973</v>
      </c>
      <c r="C1308" s="69"/>
      <c r="D1308" s="69"/>
      <c r="E1308" s="69"/>
      <c r="F1308" s="69"/>
      <c r="G1308" s="17" t="s">
        <v>1972</v>
      </c>
      <c r="Z1308" s="101"/>
      <c r="AA1308" s="101"/>
      <c r="AB1308" s="101"/>
      <c r="AC1308" s="101"/>
      <c r="AD1308" s="101"/>
      <c r="AE1308" s="101"/>
      <c r="AF1308" s="101"/>
      <c r="AG1308" s="101"/>
      <c r="AH1308" s="101"/>
      <c r="AI1308" s="101"/>
      <c r="AJ1308" s="101"/>
      <c r="AK1308" s="101"/>
      <c r="AL1308" s="101"/>
      <c r="AM1308" s="101"/>
      <c r="AN1308" s="101"/>
    </row>
    <row r="1309" spans="1:40" ht="16.5" customHeight="1" x14ac:dyDescent="0.3">
      <c r="A1309" s="59"/>
      <c r="B1309" s="68" t="s">
        <v>1975</v>
      </c>
      <c r="C1309" s="69"/>
      <c r="D1309" s="69"/>
      <c r="E1309" s="69"/>
      <c r="F1309" s="69"/>
      <c r="G1309" s="17" t="s">
        <v>1974</v>
      </c>
      <c r="Z1309" s="101"/>
      <c r="AA1309" s="101"/>
      <c r="AB1309" s="101"/>
      <c r="AC1309" s="101"/>
      <c r="AD1309" s="101"/>
      <c r="AE1309" s="101"/>
      <c r="AF1309" s="101"/>
      <c r="AG1309" s="101"/>
      <c r="AH1309" s="101"/>
      <c r="AI1309" s="101"/>
      <c r="AJ1309" s="101"/>
      <c r="AK1309" s="101"/>
      <c r="AL1309" s="101"/>
      <c r="AM1309" s="101"/>
      <c r="AN1309" s="101"/>
    </row>
    <row r="1310" spans="1:40" ht="16.5" customHeight="1" x14ac:dyDescent="0.3">
      <c r="A1310" s="69"/>
      <c r="B1310" s="69"/>
      <c r="C1310" s="69"/>
      <c r="D1310" s="69"/>
      <c r="E1310" s="69"/>
      <c r="F1310" s="69"/>
      <c r="G1310" s="17" t="s">
        <v>1405</v>
      </c>
      <c r="Z1310" s="101"/>
      <c r="AA1310" s="101"/>
      <c r="AB1310" s="101"/>
      <c r="AC1310" s="101"/>
      <c r="AD1310" s="101"/>
      <c r="AE1310" s="101"/>
      <c r="AF1310" s="101"/>
      <c r="AG1310" s="101"/>
      <c r="AH1310" s="101"/>
      <c r="AI1310" s="101"/>
      <c r="AJ1310" s="101"/>
      <c r="AK1310" s="101"/>
      <c r="AL1310" s="101"/>
      <c r="AM1310" s="101"/>
      <c r="AN1310" s="101"/>
    </row>
    <row r="1311" spans="1:40" ht="16.5" customHeight="1" x14ac:dyDescent="0.3">
      <c r="A1311" s="59"/>
      <c r="B1311" s="68" t="str">
        <f>" Q  = "&amp;Z1311&amp;" * "&amp;AB1311&amp;" = "&amp;AD1311&amp;" ㎡/일 "</f>
        <v xml:space="preserve"> Q  = 700 * 1 = 700.000 ㎡/일 </v>
      </c>
      <c r="C1311" s="69"/>
      <c r="D1311" s="69"/>
      <c r="E1311" s="69"/>
      <c r="F1311" s="69"/>
      <c r="G1311" s="17" t="s">
        <v>1976</v>
      </c>
      <c r="Z1311" s="102">
        <v>700</v>
      </c>
      <c r="AA1311" s="35" t="s">
        <v>1436</v>
      </c>
      <c r="AB1311" s="102">
        <v>1</v>
      </c>
      <c r="AC1311" s="35" t="s">
        <v>1410</v>
      </c>
      <c r="AD1311" s="103" t="str">
        <f>TEXT(ROUND(Z1311*AB1311,3),"#,0.000")</f>
        <v>700.000</v>
      </c>
      <c r="AE1311" s="101"/>
      <c r="AF1311" s="101"/>
      <c r="AG1311" s="101"/>
      <c r="AH1311" s="101"/>
      <c r="AI1311" s="101"/>
      <c r="AJ1311" s="101"/>
      <c r="AK1311" s="101"/>
      <c r="AL1311" s="101"/>
      <c r="AM1311" s="101"/>
      <c r="AN1311" s="101"/>
    </row>
    <row r="1312" spans="1:40" ht="16.5" customHeight="1" x14ac:dyDescent="0.3">
      <c r="A1312" s="59"/>
      <c r="B1312" s="68" t="str">
        <f>" Q1 = Q / "&amp;AB1312&amp;" hr/일 = "&amp;AD1312&amp;"  ㎡/Hr "</f>
        <v xml:space="preserve"> Q1 = Q / 8 hr/일 = 87.500  ㎡/Hr </v>
      </c>
      <c r="C1312" s="69"/>
      <c r="D1312" s="69"/>
      <c r="E1312" s="69"/>
      <c r="F1312" s="69"/>
      <c r="G1312" s="17" t="s">
        <v>1977</v>
      </c>
      <c r="Z1312" s="103" t="str">
        <f>AD1311</f>
        <v>700.000</v>
      </c>
      <c r="AA1312" s="35" t="s">
        <v>1413</v>
      </c>
      <c r="AB1312" s="102">
        <v>8</v>
      </c>
      <c r="AC1312" s="35" t="s">
        <v>1410</v>
      </c>
      <c r="AD1312" s="103" t="str">
        <f>TEXT(ROUND(AD1311/AB1312,3),"#,0.000")</f>
        <v>87.500</v>
      </c>
      <c r="AE1312" s="101"/>
      <c r="AF1312" s="101"/>
      <c r="AG1312" s="101"/>
      <c r="AH1312" s="101"/>
      <c r="AI1312" s="101"/>
      <c r="AJ1312" s="101"/>
      <c r="AK1312" s="101"/>
      <c r="AL1312" s="101"/>
      <c r="AM1312" s="101"/>
      <c r="AN1312" s="101"/>
    </row>
    <row r="1313" spans="1:40" ht="16.5" customHeight="1" x14ac:dyDescent="0.3">
      <c r="A1313" s="69"/>
      <c r="B1313" s="69"/>
      <c r="C1313" s="69"/>
      <c r="D1313" s="69"/>
      <c r="E1313" s="69"/>
      <c r="F1313" s="69"/>
      <c r="G1313" s="17" t="s">
        <v>1405</v>
      </c>
      <c r="Z1313" s="101"/>
      <c r="AA1313" s="101"/>
      <c r="AB1313" s="101"/>
      <c r="AC1313" s="101"/>
      <c r="AD1313" s="101"/>
      <c r="AE1313" s="101"/>
      <c r="AF1313" s="101"/>
      <c r="AG1313" s="101"/>
      <c r="AH1313" s="101"/>
      <c r="AI1313" s="101"/>
      <c r="AJ1313" s="101"/>
      <c r="AK1313" s="101"/>
      <c r="AL1313" s="101"/>
      <c r="AM1313" s="101"/>
      <c r="AN1313" s="101"/>
    </row>
    <row r="1314" spans="1:40" ht="16.5" customHeight="1" x14ac:dyDescent="0.3">
      <c r="A1314" s="59"/>
      <c r="B1314" s="68" t="s">
        <v>1979</v>
      </c>
      <c r="C1314" s="69"/>
      <c r="D1314" s="69"/>
      <c r="E1314" s="69"/>
      <c r="F1314" s="69"/>
      <c r="G1314" s="17" t="s">
        <v>1978</v>
      </c>
      <c r="Z1314" s="101"/>
      <c r="AA1314" s="101"/>
      <c r="AB1314" s="101"/>
      <c r="AC1314" s="101"/>
      <c r="AD1314" s="101"/>
      <c r="AE1314" s="101"/>
      <c r="AF1314" s="101"/>
      <c r="AG1314" s="101"/>
      <c r="AH1314" s="101"/>
      <c r="AI1314" s="101"/>
      <c r="AJ1314" s="101"/>
      <c r="AK1314" s="101"/>
      <c r="AL1314" s="101"/>
      <c r="AM1314" s="101"/>
      <c r="AN1314" s="101"/>
    </row>
    <row r="1315" spans="1:40" ht="16.5" customHeight="1" x14ac:dyDescent="0.3">
      <c r="A1315" s="69"/>
      <c r="B1315" s="69"/>
      <c r="C1315" s="69"/>
      <c r="D1315" s="69"/>
      <c r="E1315" s="69"/>
      <c r="F1315" s="69"/>
      <c r="G1315" s="17" t="s">
        <v>1405</v>
      </c>
      <c r="Z1315" s="101"/>
      <c r="AA1315" s="101"/>
      <c r="AB1315" s="101"/>
      <c r="AC1315" s="101"/>
      <c r="AD1315" s="101"/>
      <c r="AE1315" s="101"/>
      <c r="AF1315" s="101"/>
      <c r="AG1315" s="101"/>
      <c r="AH1315" s="101"/>
      <c r="AI1315" s="101"/>
      <c r="AJ1315" s="101"/>
      <c r="AK1315" s="101"/>
      <c r="AL1315" s="101"/>
      <c r="AM1315" s="101"/>
      <c r="AN1315" s="101"/>
    </row>
    <row r="1316" spans="1:40" ht="16.5" customHeight="1" x14ac:dyDescent="0.3">
      <c r="A1316" s="59" t="s">
        <v>1981</v>
      </c>
      <c r="B1316" s="89" t="str">
        <f>"   융착식도료(황색) : "&amp;TEXT(I1316,"#,##0"&amp;IF(I1316&lt;&gt;INT(I1316),".###",""))&amp;" * "&amp;AA1316&amp;" ㎏  = "&amp;TEXT(C1316,"#,##0.0")&amp;""</f>
        <v xml:space="preserve">   융착식도료(황색) : 3,140 * 4.53 ㎏  = 14,224.2</v>
      </c>
      <c r="C1316" s="91">
        <f>E1316+D1316+F1316</f>
        <v>14224.2</v>
      </c>
      <c r="D1316" s="91">
        <f>IF(H1316=0,0,ROUNDDOWN(J1316*H1316,1))</f>
        <v>0</v>
      </c>
      <c r="E1316" s="91">
        <f>IF(H1316=0,0,ROUNDDOWN(K1316*H1316,1))</f>
        <v>14224.2</v>
      </c>
      <c r="F1316" s="91">
        <f>IF(H1316=0,0,ROUNDDOWN(L1316*H1316,1))</f>
        <v>0</v>
      </c>
      <c r="G1316" s="17" t="s">
        <v>1980</v>
      </c>
      <c r="H1316" s="97">
        <f>ROUNDUP(AC1316,14-LEN(ABS(INT(AC1316))))</f>
        <v>4.53</v>
      </c>
      <c r="I1316" s="98">
        <f>K1316+J1316+L1316</f>
        <v>3140</v>
      </c>
      <c r="K1316" s="38">
        <f>재료비목록표!E22</f>
        <v>3140</v>
      </c>
      <c r="M1316" s="35" t="s">
        <v>1982</v>
      </c>
      <c r="N1316" s="35" t="s">
        <v>1253</v>
      </c>
      <c r="O1316" s="35" t="s">
        <v>1214</v>
      </c>
      <c r="X1316" s="100" t="str">
        <f>재료비목록표!B22&amp;" / "&amp;재료비목록표!C22</f>
        <v>도로표지용도료 / KSM-6080 백색(융착식R3)</v>
      </c>
      <c r="Y1316" s="3" t="str">
        <f ca="1">HYPERLINK("#"&amp;재료비목록표!G2&amp;"!A"&amp;ROW(재료비목록표!A22),"자재19 →")</f>
        <v>자재19 →</v>
      </c>
      <c r="Z1316" s="35" t="s">
        <v>1446</v>
      </c>
      <c r="AA1316" s="104">
        <v>4.53</v>
      </c>
      <c r="AB1316" s="35" t="s">
        <v>1410</v>
      </c>
      <c r="AC1316" s="103">
        <f>1*AA1316</f>
        <v>4.53</v>
      </c>
      <c r="AD1316" s="101"/>
      <c r="AE1316" s="101"/>
      <c r="AF1316" s="101"/>
      <c r="AG1316" s="101"/>
      <c r="AH1316" s="101"/>
      <c r="AI1316" s="101"/>
      <c r="AJ1316" s="101"/>
      <c r="AK1316" s="101"/>
      <c r="AL1316" s="101"/>
      <c r="AM1316" s="101"/>
      <c r="AN1316" s="101"/>
    </row>
    <row r="1317" spans="1:40" ht="16.5" customHeight="1" x14ac:dyDescent="0.3">
      <c r="A1317" s="59" t="s">
        <v>1984</v>
      </c>
      <c r="B1317" s="89" t="str">
        <f>"   유 리 알 : "&amp;TEXT(I1317,"#,##0"&amp;IF(I1317&lt;&gt;INT(I1317),".###",""))&amp;" * "&amp;AA1317&amp;" ㎏  = "&amp;TEXT(C1317,"#,##0.0")&amp;""</f>
        <v xml:space="preserve">   유 리 알 : 4,500 * 0.31 ㎏  = 1,395.0</v>
      </c>
      <c r="C1317" s="91">
        <f>E1317+D1317+F1317</f>
        <v>1395</v>
      </c>
      <c r="D1317" s="91">
        <f>IF(H1317=0,0,ROUNDDOWN(J1317*H1317,1))</f>
        <v>0</v>
      </c>
      <c r="E1317" s="91">
        <f>IF(H1317=0,0,ROUNDDOWN(K1317*H1317,1))</f>
        <v>1395</v>
      </c>
      <c r="F1317" s="91">
        <f>IF(H1317=0,0,ROUNDDOWN(L1317*H1317,1))</f>
        <v>0</v>
      </c>
      <c r="G1317" s="17" t="s">
        <v>1983</v>
      </c>
      <c r="H1317" s="97">
        <f>ROUNDUP(AC1317,14-LEN(ABS(INT(AC1317))))</f>
        <v>0.31</v>
      </c>
      <c r="I1317" s="98">
        <f>K1317+J1317+L1317</f>
        <v>4500</v>
      </c>
      <c r="K1317" s="38">
        <f>재료비목록표!E41</f>
        <v>4500</v>
      </c>
      <c r="M1317" s="35" t="s">
        <v>1985</v>
      </c>
      <c r="N1317" s="35" t="s">
        <v>1253</v>
      </c>
      <c r="O1317" s="35" t="s">
        <v>1214</v>
      </c>
      <c r="X1317" s="100" t="str">
        <f>재료비목록표!B41&amp;" / "&amp;재료비목록표!C41</f>
        <v>유리알 / 고휘도</v>
      </c>
      <c r="Y1317" s="3" t="str">
        <f ca="1">HYPERLINK("#"&amp;재료비목록표!G2&amp;"!A"&amp;ROW(재료비목록표!A41),"자재38 →")</f>
        <v>자재38 →</v>
      </c>
      <c r="Z1317" s="35" t="s">
        <v>1446</v>
      </c>
      <c r="AA1317" s="104">
        <v>0.31</v>
      </c>
      <c r="AB1317" s="35" t="s">
        <v>1410</v>
      </c>
      <c r="AC1317" s="103">
        <f>1*AA1317</f>
        <v>0.31</v>
      </c>
      <c r="AD1317" s="101"/>
      <c r="AE1317" s="101"/>
      <c r="AF1317" s="101"/>
      <c r="AG1317" s="101"/>
      <c r="AH1317" s="101"/>
      <c r="AI1317" s="101"/>
      <c r="AJ1317" s="101"/>
      <c r="AK1317" s="101"/>
      <c r="AL1317" s="101"/>
      <c r="AM1317" s="101"/>
      <c r="AN1317" s="101"/>
    </row>
    <row r="1318" spans="1:40" ht="16.5" customHeight="1" x14ac:dyDescent="0.3">
      <c r="A1318" s="59" t="s">
        <v>1987</v>
      </c>
      <c r="B1318" s="89" t="str">
        <f>"   프라이머 : "&amp;TEXT(I1318,"#,##0"&amp;IF(I1318&lt;&gt;INT(I1318),".###",""))&amp;" * "&amp;AA1318&amp;" kg  = "&amp;TEXT(C1318,"#,##0.0")&amp;""</f>
        <v xml:space="preserve">   프라이머 : 4,550 * 0.2 kg  = 910.0</v>
      </c>
      <c r="C1318" s="91">
        <f>E1318+D1318+F1318</f>
        <v>910</v>
      </c>
      <c r="D1318" s="91">
        <f>IF(H1318=0,0,ROUNDDOWN(J1318*H1318,1))</f>
        <v>0</v>
      </c>
      <c r="E1318" s="91">
        <f>IF(H1318=0,0,ROUNDDOWN(K1318*H1318,1))</f>
        <v>910</v>
      </c>
      <c r="F1318" s="91">
        <f>IF(H1318=0,0,ROUNDDOWN(L1318*H1318,1))</f>
        <v>0</v>
      </c>
      <c r="G1318" s="17" t="s">
        <v>1986</v>
      </c>
      <c r="H1318" s="97">
        <f>ROUNDUP(AC1318,14-LEN(ABS(INT(AC1318))))</f>
        <v>0.2</v>
      </c>
      <c r="I1318" s="98">
        <f>K1318+J1318+L1318</f>
        <v>4550</v>
      </c>
      <c r="K1318" s="38">
        <f>재료비목록표!E42</f>
        <v>4550</v>
      </c>
      <c r="M1318" s="35" t="s">
        <v>1988</v>
      </c>
      <c r="N1318" s="35" t="s">
        <v>1253</v>
      </c>
      <c r="O1318" s="35" t="s">
        <v>1214</v>
      </c>
      <c r="X1318" s="100" t="str">
        <f>재료비목록표!B42&amp;" / "&amp;재료비목록표!C42</f>
        <v xml:space="preserve">융착식 프라이머 / </v>
      </c>
      <c r="Y1318" s="3" t="str">
        <f ca="1">HYPERLINK("#"&amp;재료비목록표!G2&amp;"!A"&amp;ROW(재료비목록표!A42),"자재39 →")</f>
        <v>자재39 →</v>
      </c>
      <c r="Z1318" s="35" t="s">
        <v>1446</v>
      </c>
      <c r="AA1318" s="104">
        <v>0.2</v>
      </c>
      <c r="AB1318" s="35" t="s">
        <v>1410</v>
      </c>
      <c r="AC1318" s="103">
        <f>1*AA1318</f>
        <v>0.2</v>
      </c>
      <c r="AD1318" s="101"/>
      <c r="AE1318" s="101"/>
      <c r="AF1318" s="101"/>
      <c r="AG1318" s="101"/>
      <c r="AH1318" s="101"/>
      <c r="AI1318" s="101"/>
      <c r="AJ1318" s="101"/>
      <c r="AK1318" s="101"/>
      <c r="AL1318" s="101"/>
      <c r="AM1318" s="101"/>
      <c r="AN1318" s="101"/>
    </row>
    <row r="1319" spans="1:40" ht="16.5" customHeight="1" x14ac:dyDescent="0.3">
      <c r="A1319" s="59" t="s">
        <v>1990</v>
      </c>
      <c r="B1319" s="89" t="str">
        <f>"   프로판가스 : "&amp;TEXT(I1319,"#,##0"&amp;IF(I1319&lt;&gt;INT(I1319),".###",""))&amp;" * "&amp;AA1319&amp;" kg  = "&amp;TEXT(C1319,"#,##0.0")&amp;""</f>
        <v xml:space="preserve">   프로판가스 : 2,076 * 0.2 kg  = 415.2</v>
      </c>
      <c r="C1319" s="91">
        <f>E1319+D1319+F1319</f>
        <v>415.2</v>
      </c>
      <c r="D1319" s="91">
        <f>IF(H1319=0,0,ROUNDDOWN(J1319*H1319,1))</f>
        <v>0</v>
      </c>
      <c r="E1319" s="91">
        <f>IF(H1319=0,0,ROUNDDOWN(K1319*H1319,1))</f>
        <v>415.2</v>
      </c>
      <c r="F1319" s="91">
        <f>IF(H1319=0,0,ROUNDDOWN(L1319*H1319,1))</f>
        <v>0</v>
      </c>
      <c r="G1319" s="17" t="s">
        <v>1989</v>
      </c>
      <c r="H1319" s="97">
        <f>ROUNDUP(AC1319,14-LEN(ABS(INT(AC1319))))</f>
        <v>0.2</v>
      </c>
      <c r="I1319" s="98">
        <f>K1319+J1319+L1319</f>
        <v>2076</v>
      </c>
      <c r="K1319" s="38">
        <f>재료비목록표!E40</f>
        <v>2076</v>
      </c>
      <c r="M1319" s="35" t="s">
        <v>1991</v>
      </c>
      <c r="N1319" s="35" t="s">
        <v>1253</v>
      </c>
      <c r="O1319" s="35" t="s">
        <v>1214</v>
      </c>
      <c r="X1319" s="100" t="str">
        <f>재료비목록표!B40&amp;" / "&amp;재료비목록표!C40</f>
        <v>액화석유가스 / 액화석유가스, 건설용LPG</v>
      </c>
      <c r="Y1319" s="3" t="str">
        <f ca="1">HYPERLINK("#"&amp;재료비목록표!G2&amp;"!A"&amp;ROW(재료비목록표!A40),"자재37 →")</f>
        <v>자재37 →</v>
      </c>
      <c r="Z1319" s="35" t="s">
        <v>1446</v>
      </c>
      <c r="AA1319" s="104">
        <v>0.2</v>
      </c>
      <c r="AB1319" s="35" t="s">
        <v>1410</v>
      </c>
      <c r="AC1319" s="103">
        <f>1*AA1319</f>
        <v>0.2</v>
      </c>
      <c r="AD1319" s="101"/>
      <c r="AE1319" s="101"/>
      <c r="AF1319" s="101"/>
      <c r="AG1319" s="101"/>
      <c r="AH1319" s="101"/>
      <c r="AI1319" s="101"/>
      <c r="AJ1319" s="101"/>
      <c r="AK1319" s="101"/>
      <c r="AL1319" s="101"/>
      <c r="AM1319" s="101"/>
      <c r="AN1319" s="101"/>
    </row>
    <row r="1320" spans="1:40" ht="16.5" customHeight="1" x14ac:dyDescent="0.3">
      <c r="A1320" s="59"/>
      <c r="B1320" s="89" t="str">
        <f>"   잡재료비(인력품의 1%) : "&amp;TEXT(I1320,"#,##0.0")&amp;" * "&amp;AA1320&amp;" % = "&amp;TEXT(C1320,"#,##0.0")&amp;""</f>
        <v xml:space="preserve">   잡재료비(인력품의 1%) : 16,944.4 * 1 % = 169.4</v>
      </c>
      <c r="C1320" s="91">
        <f>E1320+D1320+F1320</f>
        <v>169.4</v>
      </c>
      <c r="D1320" s="91">
        <f>IF(H1320=0,0,ROUNDDOWN(J1320*H1320/100,1))</f>
        <v>0</v>
      </c>
      <c r="E1320" s="91">
        <f>IF(H1320=0,0,ROUNDDOWN(K1320*H1320/100,1))</f>
        <v>169.4</v>
      </c>
      <c r="F1320" s="91">
        <f>IF(H1320=0,0,ROUNDDOWN(L1320*H1320/100,1))</f>
        <v>0</v>
      </c>
      <c r="G1320" s="17" t="s">
        <v>1992</v>
      </c>
      <c r="H1320" s="97">
        <f>ROUNDUP(AC1320,14-LEN(ABS(INT(AC1320))))</f>
        <v>1</v>
      </c>
      <c r="I1320" s="98">
        <f>K1320+J1320+L1320</f>
        <v>16944.400000000001</v>
      </c>
      <c r="J1320" s="36">
        <v>0</v>
      </c>
      <c r="K1320" s="38">
        <f>C1316+C1317+C1318+C1319</f>
        <v>16944.400000000001</v>
      </c>
      <c r="L1320" s="36">
        <v>0</v>
      </c>
      <c r="M1320" s="35" t="s">
        <v>1059</v>
      </c>
      <c r="N1320" s="35" t="s">
        <v>1253</v>
      </c>
      <c r="O1320" s="35" t="s">
        <v>1214</v>
      </c>
      <c r="Z1320" s="35" t="s">
        <v>1446</v>
      </c>
      <c r="AA1320" s="102">
        <v>1</v>
      </c>
      <c r="AB1320" s="35" t="s">
        <v>1410</v>
      </c>
      <c r="AC1320" s="103">
        <f>1*AA1320</f>
        <v>1</v>
      </c>
      <c r="AD1320" s="101"/>
      <c r="AE1320" s="101"/>
      <c r="AF1320" s="101"/>
      <c r="AG1320" s="101"/>
      <c r="AH1320" s="101"/>
      <c r="AI1320" s="101"/>
      <c r="AJ1320" s="101"/>
      <c r="AK1320" s="101"/>
      <c r="AL1320" s="101"/>
      <c r="AM1320" s="101"/>
      <c r="AN1320" s="101"/>
    </row>
    <row r="1321" spans="1:40" ht="16.5" customHeight="1" x14ac:dyDescent="0.3">
      <c r="A1321" s="69"/>
      <c r="B1321" s="69"/>
      <c r="C1321" s="69"/>
      <c r="D1321" s="69"/>
      <c r="E1321" s="69"/>
      <c r="F1321" s="69"/>
      <c r="G1321" s="17" t="s">
        <v>1405</v>
      </c>
      <c r="Z1321" s="101"/>
      <c r="AA1321" s="101"/>
      <c r="AB1321" s="101"/>
      <c r="AC1321" s="101"/>
      <c r="AD1321" s="101"/>
      <c r="AE1321" s="101"/>
      <c r="AF1321" s="101"/>
      <c r="AG1321" s="101"/>
      <c r="AH1321" s="101"/>
      <c r="AI1321" s="101"/>
      <c r="AJ1321" s="101"/>
      <c r="AK1321" s="101"/>
      <c r="AL1321" s="101"/>
      <c r="AM1321" s="101"/>
      <c r="AN1321" s="101"/>
    </row>
    <row r="1322" spans="1:40" ht="16.5" customHeight="1" x14ac:dyDescent="0.3">
      <c r="A1322" s="69"/>
      <c r="B1322" s="69"/>
      <c r="C1322" s="69"/>
      <c r="D1322" s="69"/>
      <c r="E1322" s="69"/>
      <c r="F1322" s="69"/>
      <c r="G1322" s="17" t="s">
        <v>1405</v>
      </c>
      <c r="Z1322" s="101"/>
      <c r="AA1322" s="101"/>
      <c r="AB1322" s="101"/>
      <c r="AC1322" s="101"/>
      <c r="AD1322" s="101"/>
      <c r="AE1322" s="101"/>
      <c r="AF1322" s="101"/>
      <c r="AG1322" s="101"/>
      <c r="AH1322" s="101"/>
      <c r="AI1322" s="101"/>
      <c r="AJ1322" s="101"/>
      <c r="AK1322" s="101"/>
      <c r="AL1322" s="101"/>
      <c r="AM1322" s="101"/>
      <c r="AN1322" s="101"/>
    </row>
    <row r="1323" spans="1:40" ht="16.5" customHeight="1" x14ac:dyDescent="0.3">
      <c r="A1323" s="59"/>
      <c r="B1323" s="68" t="s">
        <v>1251</v>
      </c>
      <c r="C1323" s="92">
        <f>E1323+D1323+F1323</f>
        <v>17113.800000000003</v>
      </c>
      <c r="D1323" s="92">
        <f>SUMIF(N1307:N1322,M1323,D1307:D1322)</f>
        <v>0</v>
      </c>
      <c r="E1323" s="92">
        <f>SUMIF(N1307:N1322,M1323,E1307:E1322)</f>
        <v>17113.800000000003</v>
      </c>
      <c r="F1323" s="92">
        <f>SUMIF(N1307:N1322,M1323,F1307:F1322)</f>
        <v>0</v>
      </c>
      <c r="G1323" s="17" t="s">
        <v>1993</v>
      </c>
      <c r="M1323" s="35" t="s">
        <v>1253</v>
      </c>
      <c r="N1323" s="35" t="s">
        <v>1844</v>
      </c>
      <c r="Z1323" s="101"/>
      <c r="AA1323" s="101"/>
      <c r="AB1323" s="101"/>
      <c r="AC1323" s="101"/>
      <c r="AD1323" s="101"/>
      <c r="AE1323" s="101"/>
      <c r="AF1323" s="101"/>
      <c r="AG1323" s="101"/>
      <c r="AH1323" s="101"/>
      <c r="AI1323" s="101"/>
      <c r="AJ1323" s="101"/>
      <c r="AK1323" s="101"/>
      <c r="AL1323" s="101"/>
      <c r="AM1323" s="101"/>
      <c r="AN1323" s="101"/>
    </row>
    <row r="1324" spans="1:40" ht="16.5" customHeight="1" x14ac:dyDescent="0.3">
      <c r="A1324" s="69"/>
      <c r="B1324" s="69"/>
      <c r="C1324" s="90"/>
      <c r="D1324" s="90"/>
      <c r="E1324" s="90"/>
      <c r="F1324" s="90"/>
      <c r="G1324" s="17" t="s">
        <v>1405</v>
      </c>
      <c r="Z1324" s="101"/>
      <c r="AA1324" s="101"/>
      <c r="AB1324" s="101"/>
      <c r="AC1324" s="101"/>
      <c r="AD1324" s="101"/>
      <c r="AE1324" s="101"/>
      <c r="AF1324" s="101"/>
      <c r="AG1324" s="101"/>
      <c r="AH1324" s="101"/>
      <c r="AI1324" s="101"/>
      <c r="AJ1324" s="101"/>
      <c r="AK1324" s="101"/>
      <c r="AL1324" s="101"/>
      <c r="AM1324" s="101"/>
      <c r="AN1324" s="101"/>
    </row>
    <row r="1325" spans="1:40" ht="16.5" customHeight="1" x14ac:dyDescent="0.3">
      <c r="A1325" s="59"/>
      <c r="B1325" s="68" t="s">
        <v>1995</v>
      </c>
      <c r="C1325" s="69"/>
      <c r="D1325" s="69"/>
      <c r="E1325" s="69"/>
      <c r="F1325" s="69"/>
      <c r="G1325" s="17" t="s">
        <v>1994</v>
      </c>
      <c r="Z1325" s="101"/>
      <c r="AA1325" s="101"/>
      <c r="AB1325" s="101"/>
      <c r="AC1325" s="101"/>
      <c r="AD1325" s="101"/>
      <c r="AE1325" s="101"/>
      <c r="AF1325" s="101"/>
      <c r="AG1325" s="101"/>
      <c r="AH1325" s="101"/>
      <c r="AI1325" s="101"/>
      <c r="AJ1325" s="101"/>
      <c r="AK1325" s="101"/>
      <c r="AL1325" s="101"/>
      <c r="AM1325" s="101"/>
      <c r="AN1325" s="101"/>
    </row>
    <row r="1326" spans="1:40" ht="16.5" customHeight="1" x14ac:dyDescent="0.3">
      <c r="A1326" s="69"/>
      <c r="B1326" s="69"/>
      <c r="C1326" s="69"/>
      <c r="D1326" s="69"/>
      <c r="E1326" s="69"/>
      <c r="F1326" s="69"/>
      <c r="G1326" s="17" t="s">
        <v>1405</v>
      </c>
      <c r="Z1326" s="101"/>
      <c r="AA1326" s="101"/>
      <c r="AB1326" s="101"/>
      <c r="AC1326" s="101"/>
      <c r="AD1326" s="101"/>
      <c r="AE1326" s="101"/>
      <c r="AF1326" s="101"/>
      <c r="AG1326" s="101"/>
      <c r="AH1326" s="101"/>
      <c r="AI1326" s="101"/>
      <c r="AJ1326" s="101"/>
      <c r="AK1326" s="101"/>
      <c r="AL1326" s="101"/>
      <c r="AM1326" s="101"/>
      <c r="AN1326" s="101"/>
    </row>
    <row r="1327" spans="1:40" ht="16.5" customHeight="1" x14ac:dyDescent="0.3">
      <c r="A1327" s="59" t="s">
        <v>1419</v>
      </c>
      <c r="B1327" s="89" t="str">
        <f>"   보통인부 : "&amp;TEXT(I1327,"#,##0"&amp;IF(I1327&lt;&gt;INT(I1327),".###",""))&amp;" * "&amp;AA1327&amp;" 인 / Q = "&amp;TEXT(C1327,"#,##0.0")&amp;""</f>
        <v xml:space="preserve">   보통인부 : 172,068 * 2 인 / Q = 491.6</v>
      </c>
      <c r="C1327" s="91">
        <f>E1327+D1327+F1327</f>
        <v>491.6</v>
      </c>
      <c r="D1327" s="91">
        <f>IF(H1327=0,0,ROUNDDOWN(J1327*H1327,1))</f>
        <v>491.6</v>
      </c>
      <c r="E1327" s="91">
        <f>IF(H1327=0,0,ROUNDDOWN(K1327*H1327,1))</f>
        <v>0</v>
      </c>
      <c r="F1327" s="91">
        <f>IF(H1327=0,0,ROUNDDOWN(L1327*H1327,1))</f>
        <v>0</v>
      </c>
      <c r="G1327" s="17" t="s">
        <v>1996</v>
      </c>
      <c r="H1327" s="97">
        <f>ROUNDUP(AE1327,14-LEN(ABS(INT(AE1327))))</f>
        <v>2.8571428571999998E-3</v>
      </c>
      <c r="I1327" s="98">
        <f>K1327+J1327+L1327</f>
        <v>172068</v>
      </c>
      <c r="J1327" s="38">
        <f>노무비목록표!E8</f>
        <v>172068</v>
      </c>
      <c r="M1327" s="35" t="s">
        <v>1219</v>
      </c>
      <c r="N1327" s="35" t="s">
        <v>1253</v>
      </c>
      <c r="O1327" s="35" t="s">
        <v>1997</v>
      </c>
      <c r="X1327" s="100" t="str">
        <f>노무비목록표!B8&amp;" / "&amp;노무비목록표!C8</f>
        <v xml:space="preserve">보통인부 / </v>
      </c>
      <c r="Y1327" s="3" t="str">
        <f ca="1">HYPERLINK("#"&amp;노무비목록표!G2&amp;"!A"&amp;ROW(노무비목록표!A8),"노무5 →")</f>
        <v>노무5 →</v>
      </c>
      <c r="Z1327" s="35" t="s">
        <v>1446</v>
      </c>
      <c r="AA1327" s="102">
        <v>2</v>
      </c>
      <c r="AB1327" s="35" t="s">
        <v>1413</v>
      </c>
      <c r="AC1327" s="103" t="str">
        <f>AD1311</f>
        <v>700.000</v>
      </c>
      <c r="AD1327" s="35" t="s">
        <v>1410</v>
      </c>
      <c r="AE1327" s="103">
        <f>1*AA1327/AD1311</f>
        <v>2.8571428571428571E-3</v>
      </c>
      <c r="AF1327" s="101"/>
      <c r="AG1327" s="101"/>
      <c r="AH1327" s="101"/>
      <c r="AI1327" s="101"/>
      <c r="AJ1327" s="101"/>
      <c r="AK1327" s="101"/>
      <c r="AL1327" s="101"/>
      <c r="AM1327" s="101"/>
      <c r="AN1327" s="101"/>
    </row>
    <row r="1328" spans="1:40" ht="16.5" customHeight="1" x14ac:dyDescent="0.3">
      <c r="A1328" s="59" t="s">
        <v>1416</v>
      </c>
      <c r="B1328" s="89" t="str">
        <f>"   특별인부 : "&amp;TEXT(I1328,"#,##0"&amp;IF(I1328&lt;&gt;INT(I1328),".###",""))&amp;" * "&amp;AA1328&amp;" 인 / Q = "&amp;TEXT(C1328,"#,##0.0")&amp;""</f>
        <v xml:space="preserve">   특별인부 : 226,122 * 2 인 / Q = 646.0</v>
      </c>
      <c r="C1328" s="91">
        <f>E1328+D1328+F1328</f>
        <v>646</v>
      </c>
      <c r="D1328" s="91">
        <f>IF(H1328=0,0,ROUNDDOWN(J1328*H1328,1))</f>
        <v>646</v>
      </c>
      <c r="E1328" s="91">
        <f>IF(H1328=0,0,ROUNDDOWN(K1328*H1328,1))</f>
        <v>0</v>
      </c>
      <c r="F1328" s="91">
        <f>IF(H1328=0,0,ROUNDDOWN(L1328*H1328,1))</f>
        <v>0</v>
      </c>
      <c r="G1328" s="17" t="s">
        <v>1998</v>
      </c>
      <c r="H1328" s="97">
        <f>ROUNDUP(AE1328,14-LEN(ABS(INT(AE1328))))</f>
        <v>2.8571428571999998E-3</v>
      </c>
      <c r="I1328" s="98">
        <f>K1328+J1328+L1328</f>
        <v>226122</v>
      </c>
      <c r="J1328" s="38">
        <f>노무비목록표!E13</f>
        <v>226122</v>
      </c>
      <c r="M1328" s="35" t="s">
        <v>1215</v>
      </c>
      <c r="N1328" s="35" t="s">
        <v>1253</v>
      </c>
      <c r="O1328" s="35" t="s">
        <v>1997</v>
      </c>
      <c r="X1328" s="100" t="str">
        <f>노무비목록표!B13&amp;" / "&amp;노무비목록표!C13</f>
        <v xml:space="preserve">특별인부 / </v>
      </c>
      <c r="Y1328" s="3" t="str">
        <f ca="1">HYPERLINK("#"&amp;노무비목록표!G2&amp;"!A"&amp;ROW(노무비목록표!A13),"노무10 →")</f>
        <v>노무10 →</v>
      </c>
      <c r="Z1328" s="35" t="s">
        <v>1446</v>
      </c>
      <c r="AA1328" s="102">
        <v>2</v>
      </c>
      <c r="AB1328" s="35" t="s">
        <v>1413</v>
      </c>
      <c r="AC1328" s="103" t="str">
        <f>AD1311</f>
        <v>700.000</v>
      </c>
      <c r="AD1328" s="35" t="s">
        <v>1410</v>
      </c>
      <c r="AE1328" s="103">
        <f>1*AA1328/AD1311</f>
        <v>2.8571428571428571E-3</v>
      </c>
      <c r="AF1328" s="101"/>
      <c r="AG1328" s="101"/>
      <c r="AH1328" s="101"/>
      <c r="AI1328" s="101"/>
      <c r="AJ1328" s="101"/>
      <c r="AK1328" s="101"/>
      <c r="AL1328" s="101"/>
      <c r="AM1328" s="101"/>
      <c r="AN1328" s="101"/>
    </row>
    <row r="1329" spans="1:40" ht="16.5" customHeight="1" x14ac:dyDescent="0.3">
      <c r="A1329" s="59"/>
      <c r="B1329" s="89" t="str">
        <f>"    공구손료(인력품의 10%) : "&amp;TEXT(I1329,"#,##0.0")&amp;" * "&amp;AA1329&amp;" % = "&amp;TEXT(C1329,"#,##0.0")&amp;""</f>
        <v xml:space="preserve">    공구손료(인력품의 10%) : 1,137.6 * 10 % = 113.7</v>
      </c>
      <c r="C1329" s="91">
        <f>E1329+D1329+F1329</f>
        <v>113.7</v>
      </c>
      <c r="D1329" s="91">
        <f>IF(H1329=0,0,ROUNDDOWN(J1329*H1329/100,1))</f>
        <v>0</v>
      </c>
      <c r="E1329" s="91">
        <f>IF(H1329=0,0,ROUNDDOWN(K1329*H1329/100,1))</f>
        <v>0</v>
      </c>
      <c r="F1329" s="91">
        <f>IF(H1329=0,0,ROUNDDOWN(L1329*H1329/100,1))</f>
        <v>113.7</v>
      </c>
      <c r="G1329" s="17" t="s">
        <v>1999</v>
      </c>
      <c r="H1329" s="97">
        <f>ROUNDUP(AC1329,14-LEN(ABS(INT(AC1329))))</f>
        <v>10</v>
      </c>
      <c r="I1329" s="98">
        <f>K1329+J1329+L1329</f>
        <v>1137.5999999999999</v>
      </c>
      <c r="J1329" s="36">
        <v>0</v>
      </c>
      <c r="K1329" s="36">
        <v>0</v>
      </c>
      <c r="L1329" s="38">
        <f>C1327+C1328</f>
        <v>1137.5999999999999</v>
      </c>
      <c r="M1329" s="35" t="s">
        <v>1059</v>
      </c>
      <c r="N1329" s="35" t="s">
        <v>1253</v>
      </c>
      <c r="O1329" s="35" t="s">
        <v>1997</v>
      </c>
      <c r="Z1329" s="35" t="s">
        <v>1446</v>
      </c>
      <c r="AA1329" s="102">
        <v>10</v>
      </c>
      <c r="AB1329" s="35" t="s">
        <v>1410</v>
      </c>
      <c r="AC1329" s="103">
        <f>1*AA1329</f>
        <v>10</v>
      </c>
      <c r="AD1329" s="101"/>
      <c r="AE1329" s="101"/>
      <c r="AF1329" s="101"/>
      <c r="AG1329" s="101"/>
      <c r="AH1329" s="101"/>
      <c r="AI1329" s="101"/>
      <c r="AJ1329" s="101"/>
      <c r="AK1329" s="101"/>
      <c r="AL1329" s="101"/>
      <c r="AM1329" s="101"/>
      <c r="AN1329" s="101"/>
    </row>
    <row r="1330" spans="1:40" ht="16.5" customHeight="1" x14ac:dyDescent="0.3">
      <c r="A1330" s="69"/>
      <c r="B1330" s="69"/>
      <c r="C1330" s="69"/>
      <c r="D1330" s="69"/>
      <c r="E1330" s="69"/>
      <c r="F1330" s="69"/>
      <c r="G1330" s="17" t="s">
        <v>1405</v>
      </c>
      <c r="Z1330" s="101"/>
      <c r="AA1330" s="101"/>
      <c r="AB1330" s="101"/>
      <c r="AC1330" s="101"/>
      <c r="AD1330" s="101"/>
      <c r="AE1330" s="101"/>
      <c r="AF1330" s="101"/>
      <c r="AG1330" s="101"/>
      <c r="AH1330" s="101"/>
      <c r="AI1330" s="101"/>
      <c r="AJ1330" s="101"/>
      <c r="AK1330" s="101"/>
      <c r="AL1330" s="101"/>
      <c r="AM1330" s="101"/>
      <c r="AN1330" s="101"/>
    </row>
    <row r="1331" spans="1:40" ht="16.5" customHeight="1" x14ac:dyDescent="0.3">
      <c r="A1331" s="59"/>
      <c r="B1331" s="68" t="s">
        <v>1251</v>
      </c>
      <c r="C1331" s="92">
        <f>E1331+D1331+F1331</f>
        <v>1251.3</v>
      </c>
      <c r="D1331" s="92">
        <f>SUMIF(N1324:N1330,M1331,D1324:D1330)</f>
        <v>1137.5999999999999</v>
      </c>
      <c r="E1331" s="92">
        <f>SUMIF(N1324:N1330,M1331,E1324:E1330)</f>
        <v>0</v>
      </c>
      <c r="F1331" s="92">
        <f>SUMIF(N1324:N1330,M1331,F1324:F1330)</f>
        <v>113.7</v>
      </c>
      <c r="G1331" s="17" t="s">
        <v>1993</v>
      </c>
      <c r="M1331" s="35" t="s">
        <v>1253</v>
      </c>
      <c r="N1331" s="35" t="s">
        <v>1844</v>
      </c>
      <c r="Z1331" s="101"/>
      <c r="AA1331" s="101"/>
      <c r="AB1331" s="101"/>
      <c r="AC1331" s="101"/>
      <c r="AD1331" s="101"/>
      <c r="AE1331" s="101"/>
      <c r="AF1331" s="101"/>
      <c r="AG1331" s="101"/>
      <c r="AH1331" s="101"/>
      <c r="AI1331" s="101"/>
      <c r="AJ1331" s="101"/>
      <c r="AK1331" s="101"/>
      <c r="AL1331" s="101"/>
      <c r="AM1331" s="101"/>
      <c r="AN1331" s="101"/>
    </row>
    <row r="1332" spans="1:40" ht="16.5" customHeight="1" x14ac:dyDescent="0.3">
      <c r="A1332" s="69"/>
      <c r="B1332" s="69"/>
      <c r="C1332" s="90"/>
      <c r="D1332" s="90"/>
      <c r="E1332" s="90"/>
      <c r="F1332" s="90"/>
      <c r="G1332" s="17" t="s">
        <v>1525</v>
      </c>
      <c r="Z1332" s="101"/>
      <c r="AA1332" s="101"/>
      <c r="AB1332" s="101"/>
      <c r="AC1332" s="101"/>
      <c r="AD1332" s="101"/>
      <c r="AE1332" s="101"/>
      <c r="AF1332" s="101"/>
      <c r="AG1332" s="101"/>
      <c r="AH1332" s="101"/>
      <c r="AI1332" s="101"/>
      <c r="AJ1332" s="101"/>
      <c r="AK1332" s="101"/>
      <c r="AL1332" s="101"/>
      <c r="AM1332" s="101"/>
      <c r="AN1332" s="101"/>
    </row>
    <row r="1333" spans="1:40" ht="16.5" customHeight="1" x14ac:dyDescent="0.3">
      <c r="A1333" s="59"/>
      <c r="B1333" s="68" t="s">
        <v>2001</v>
      </c>
      <c r="C1333" s="69"/>
      <c r="D1333" s="69"/>
      <c r="E1333" s="69"/>
      <c r="F1333" s="69"/>
      <c r="G1333" s="17" t="s">
        <v>2000</v>
      </c>
      <c r="Z1333" s="101"/>
      <c r="AA1333" s="101"/>
      <c r="AB1333" s="101"/>
      <c r="AC1333" s="101"/>
      <c r="AD1333" s="101"/>
      <c r="AE1333" s="101"/>
      <c r="AF1333" s="101"/>
      <c r="AG1333" s="101"/>
      <c r="AH1333" s="101"/>
      <c r="AI1333" s="101"/>
      <c r="AJ1333" s="101"/>
      <c r="AK1333" s="101"/>
      <c r="AL1333" s="101"/>
      <c r="AM1333" s="101"/>
      <c r="AN1333" s="101"/>
    </row>
    <row r="1334" spans="1:40" ht="16.5" customHeight="1" x14ac:dyDescent="0.3">
      <c r="A1334" s="69"/>
      <c r="B1334" s="69"/>
      <c r="C1334" s="69"/>
      <c r="D1334" s="69"/>
      <c r="E1334" s="69"/>
      <c r="F1334" s="69"/>
      <c r="G1334" s="17" t="s">
        <v>1405</v>
      </c>
      <c r="Z1334" s="101"/>
      <c r="AA1334" s="101"/>
      <c r="AB1334" s="101"/>
      <c r="AC1334" s="101"/>
      <c r="AD1334" s="101"/>
      <c r="AE1334" s="101"/>
      <c r="AF1334" s="101"/>
      <c r="AG1334" s="101"/>
      <c r="AH1334" s="101"/>
      <c r="AI1334" s="101"/>
      <c r="AJ1334" s="101"/>
      <c r="AK1334" s="101"/>
      <c r="AL1334" s="101"/>
      <c r="AM1334" s="101"/>
      <c r="AN1334" s="101"/>
    </row>
    <row r="1335" spans="1:40" ht="16.5" customHeight="1" x14ac:dyDescent="0.3">
      <c r="A1335" s="59"/>
      <c r="B1335" s="68" t="s">
        <v>2003</v>
      </c>
      <c r="C1335" s="69"/>
      <c r="D1335" s="69"/>
      <c r="E1335" s="69"/>
      <c r="F1335" s="69"/>
      <c r="G1335" s="17" t="s">
        <v>2002</v>
      </c>
      <c r="Z1335" s="101"/>
      <c r="AA1335" s="101"/>
      <c r="AB1335" s="101"/>
      <c r="AC1335" s="101"/>
      <c r="AD1335" s="101"/>
      <c r="AE1335" s="101"/>
      <c r="AF1335" s="101"/>
      <c r="AG1335" s="101"/>
      <c r="AH1335" s="101"/>
      <c r="AI1335" s="101"/>
      <c r="AJ1335" s="101"/>
      <c r="AK1335" s="101"/>
      <c r="AL1335" s="101"/>
      <c r="AM1335" s="101"/>
      <c r="AN1335" s="101"/>
    </row>
    <row r="1336" spans="1:40" ht="16.5" customHeight="1" x14ac:dyDescent="0.3">
      <c r="A1336" s="69"/>
      <c r="B1336" s="69"/>
      <c r="C1336" s="69"/>
      <c r="D1336" s="69"/>
      <c r="E1336" s="69"/>
      <c r="F1336" s="69"/>
      <c r="G1336" s="17" t="s">
        <v>1405</v>
      </c>
      <c r="Z1336" s="101"/>
      <c r="AA1336" s="101"/>
      <c r="AB1336" s="101"/>
      <c r="AC1336" s="101"/>
      <c r="AD1336" s="101"/>
      <c r="AE1336" s="101"/>
      <c r="AF1336" s="101"/>
      <c r="AG1336" s="101"/>
      <c r="AH1336" s="101"/>
      <c r="AI1336" s="101"/>
      <c r="AJ1336" s="101"/>
      <c r="AK1336" s="101"/>
      <c r="AL1336" s="101"/>
      <c r="AM1336" s="101"/>
      <c r="AN1336" s="101"/>
    </row>
    <row r="1337" spans="1:40" ht="16.5" customHeight="1" x14ac:dyDescent="0.3">
      <c r="A1337" s="59" t="s">
        <v>2005</v>
      </c>
      <c r="B1337" s="89" t="str">
        <f>"    재료비: "&amp;TEXT(I1337,"#,##0"&amp;IF(I1337&lt;&gt;INT(I1337),".###",""))&amp;" / Q1 = "&amp;TEXT(C1337,"#,##0.0")&amp;""</f>
        <v xml:space="preserve">    재료비: 12,413 / Q1 = 141.8</v>
      </c>
      <c r="C1337" s="91">
        <f>E1337+D1337+F1337</f>
        <v>141.80000000000001</v>
      </c>
      <c r="D1337" s="91">
        <f>IF(H1337=0,0,ROUNDDOWN(J1337*H1337,1))</f>
        <v>0</v>
      </c>
      <c r="E1337" s="91">
        <f>IF(H1337=0,0,ROUNDDOWN(K1337*H1337,1))</f>
        <v>141.80000000000001</v>
      </c>
      <c r="F1337" s="91">
        <f>IF(H1337=0,0,ROUNDDOWN(L1337*H1337,1))</f>
        <v>0</v>
      </c>
      <c r="G1337" s="17" t="s">
        <v>2004</v>
      </c>
      <c r="H1337" s="97">
        <f>ROUNDUP(AC1337,14-LEN(ABS(INT(AC1337))))</f>
        <v>1.1428571428599999E-2</v>
      </c>
      <c r="I1337" s="98">
        <f>K1337+J1337+L1337</f>
        <v>12413</v>
      </c>
      <c r="K1337" s="38">
        <f>중기목록표!G15</f>
        <v>12413</v>
      </c>
      <c r="M1337" s="35" t="s">
        <v>2006</v>
      </c>
      <c r="N1337" s="35" t="s">
        <v>1262</v>
      </c>
      <c r="X1337" s="100" t="str">
        <f>중기목록표!B15&amp;" / "&amp;중기목록표!C15</f>
        <v>덤프트럭 / 4.5톤</v>
      </c>
      <c r="Y1337" s="3" t="str">
        <f ca="1">HYPERLINK("#"&amp;중기목록표!J2&amp;"!A"&amp;ROW(중기목록표!A15),"중기12 →")</f>
        <v>중기12 →</v>
      </c>
      <c r="Z1337" s="35" t="s">
        <v>1417</v>
      </c>
      <c r="AA1337" s="103" t="str">
        <f>AD1312</f>
        <v>87.500</v>
      </c>
      <c r="AB1337" s="35" t="s">
        <v>1410</v>
      </c>
      <c r="AC1337" s="103">
        <f>1/AD1312</f>
        <v>1.1428571428571429E-2</v>
      </c>
      <c r="AD1337" s="101"/>
      <c r="AE1337" s="101"/>
      <c r="AF1337" s="101"/>
      <c r="AG1337" s="101"/>
      <c r="AH1337" s="101"/>
      <c r="AI1337" s="101"/>
      <c r="AJ1337" s="101"/>
      <c r="AK1337" s="101"/>
      <c r="AL1337" s="101"/>
      <c r="AM1337" s="101"/>
      <c r="AN1337" s="101"/>
    </row>
    <row r="1338" spans="1:40" ht="16.5" customHeight="1" x14ac:dyDescent="0.3">
      <c r="A1338" s="59" t="s">
        <v>2008</v>
      </c>
      <c r="B1338" s="89" t="str">
        <f>"    노무비: "&amp;TEXT(I1338,"#,##0"&amp;IF(I1338&lt;&gt;INT(I1338),".###",""))&amp;" / Q1 = "&amp;TEXT(C1338,"#,##0.0")&amp;""</f>
        <v xml:space="preserve">    노무비: 49,778 / Q1 = 568.8</v>
      </c>
      <c r="C1338" s="91">
        <f>E1338+D1338+F1338</f>
        <v>568.79999999999995</v>
      </c>
      <c r="D1338" s="91">
        <f>IF(H1338=0,0,ROUNDDOWN(J1338*H1338,1))</f>
        <v>568.79999999999995</v>
      </c>
      <c r="E1338" s="91">
        <f>IF(H1338=0,0,ROUNDDOWN(K1338*H1338,1))</f>
        <v>0</v>
      </c>
      <c r="F1338" s="91">
        <f>IF(H1338=0,0,ROUNDDOWN(L1338*H1338,1))</f>
        <v>0</v>
      </c>
      <c r="G1338" s="17" t="s">
        <v>2007</v>
      </c>
      <c r="H1338" s="97">
        <f>ROUNDUP(AC1338,14-LEN(ABS(INT(AC1338))))</f>
        <v>1.1428571428599999E-2</v>
      </c>
      <c r="I1338" s="98">
        <f>K1338+J1338+L1338</f>
        <v>49778</v>
      </c>
      <c r="J1338" s="38">
        <f>중기목록표!F15</f>
        <v>49778</v>
      </c>
      <c r="M1338" s="35" t="s">
        <v>2006</v>
      </c>
      <c r="N1338" s="35" t="s">
        <v>1262</v>
      </c>
      <c r="X1338" s="100" t="str">
        <f>중기목록표!B15&amp;" / "&amp;중기목록표!C15</f>
        <v>덤프트럭 / 4.5톤</v>
      </c>
      <c r="Y1338" s="3" t="str">
        <f ca="1">HYPERLINK("#"&amp;중기목록표!J2&amp;"!A"&amp;ROW(중기목록표!A15),"중기12 →")</f>
        <v>중기12 →</v>
      </c>
      <c r="Z1338" s="35" t="s">
        <v>1417</v>
      </c>
      <c r="AA1338" s="103" t="str">
        <f>AD1312</f>
        <v>87.500</v>
      </c>
      <c r="AB1338" s="35" t="s">
        <v>1410</v>
      </c>
      <c r="AC1338" s="103">
        <f>1/AD1312</f>
        <v>1.1428571428571429E-2</v>
      </c>
      <c r="AD1338" s="101"/>
      <c r="AE1338" s="101"/>
      <c r="AF1338" s="101"/>
      <c r="AG1338" s="101"/>
      <c r="AH1338" s="101"/>
      <c r="AI1338" s="101"/>
      <c r="AJ1338" s="101"/>
      <c r="AK1338" s="101"/>
      <c r="AL1338" s="101"/>
      <c r="AM1338" s="101"/>
      <c r="AN1338" s="101"/>
    </row>
    <row r="1339" spans="1:40" ht="16.5" customHeight="1" x14ac:dyDescent="0.3">
      <c r="A1339" s="59" t="s">
        <v>2010</v>
      </c>
      <c r="B1339" s="89" t="str">
        <f>"    경  비: "&amp;TEXT(I1339,"#,##0"&amp;IF(I1339&lt;&gt;INT(I1339),".###",""))&amp;" / Q1 = "&amp;TEXT(C1339,"#,##0.0")&amp;""</f>
        <v xml:space="preserve">    경  비: 7,613 / Q1 = 87.0</v>
      </c>
      <c r="C1339" s="91">
        <f>E1339+D1339+F1339</f>
        <v>87</v>
      </c>
      <c r="D1339" s="91">
        <f>IF(H1339=0,0,ROUNDDOWN(J1339*H1339,1))</f>
        <v>0</v>
      </c>
      <c r="E1339" s="91">
        <f>IF(H1339=0,0,ROUNDDOWN(K1339*H1339,1))</f>
        <v>0</v>
      </c>
      <c r="F1339" s="91">
        <f>IF(H1339=0,0,ROUNDDOWN(L1339*H1339,1))</f>
        <v>87</v>
      </c>
      <c r="G1339" s="17" t="s">
        <v>2009</v>
      </c>
      <c r="H1339" s="97">
        <f>ROUNDUP(AC1339,14-LEN(ABS(INT(AC1339))))</f>
        <v>1.1428571428599999E-2</v>
      </c>
      <c r="I1339" s="98">
        <f>K1339+J1339+L1339</f>
        <v>7613</v>
      </c>
      <c r="L1339" s="38">
        <f>중기목록표!H15</f>
        <v>7613</v>
      </c>
      <c r="M1339" s="35" t="s">
        <v>2006</v>
      </c>
      <c r="N1339" s="35" t="s">
        <v>1262</v>
      </c>
      <c r="X1339" s="100" t="str">
        <f>중기목록표!B15&amp;" / "&amp;중기목록표!C15</f>
        <v>덤프트럭 / 4.5톤</v>
      </c>
      <c r="Y1339" s="3" t="str">
        <f ca="1">HYPERLINK("#"&amp;중기목록표!J2&amp;"!A"&amp;ROW(중기목록표!A15),"중기12 →")</f>
        <v>중기12 →</v>
      </c>
      <c r="Z1339" s="35" t="s">
        <v>1417</v>
      </c>
      <c r="AA1339" s="103" t="str">
        <f>AD1312</f>
        <v>87.500</v>
      </c>
      <c r="AB1339" s="35" t="s">
        <v>1410</v>
      </c>
      <c r="AC1339" s="103">
        <f>1/AD1312</f>
        <v>1.1428571428571429E-2</v>
      </c>
      <c r="AD1339" s="101"/>
      <c r="AE1339" s="101"/>
      <c r="AF1339" s="101"/>
      <c r="AG1339" s="101"/>
      <c r="AH1339" s="101"/>
      <c r="AI1339" s="101"/>
      <c r="AJ1339" s="101"/>
      <c r="AK1339" s="101"/>
      <c r="AL1339" s="101"/>
      <c r="AM1339" s="101"/>
      <c r="AN1339" s="101"/>
    </row>
    <row r="1340" spans="1:40" ht="16.5" customHeight="1" x14ac:dyDescent="0.3">
      <c r="A1340" s="59"/>
      <c r="B1340" s="68" t="s">
        <v>1260</v>
      </c>
      <c r="C1340" s="92">
        <f>E1340+D1340+F1340</f>
        <v>797.59999999999991</v>
      </c>
      <c r="D1340" s="92">
        <f>SUMIF(N1332:N1339,M1340,D1332:D1339)</f>
        <v>568.79999999999995</v>
      </c>
      <c r="E1340" s="92">
        <f>SUMIF(N1332:N1339,M1340,E1332:E1339)</f>
        <v>141.80000000000001</v>
      </c>
      <c r="F1340" s="92">
        <f>SUMIF(N1332:N1339,M1340,F1332:F1339)</f>
        <v>87</v>
      </c>
      <c r="G1340" s="17" t="s">
        <v>2011</v>
      </c>
      <c r="M1340" s="35" t="s">
        <v>1262</v>
      </c>
      <c r="N1340" s="35" t="s">
        <v>1253</v>
      </c>
      <c r="Z1340" s="101"/>
      <c r="AA1340" s="101"/>
      <c r="AB1340" s="101"/>
      <c r="AC1340" s="101"/>
      <c r="AD1340" s="101"/>
      <c r="AE1340" s="101"/>
      <c r="AF1340" s="101"/>
      <c r="AG1340" s="101"/>
      <c r="AH1340" s="101"/>
      <c r="AI1340" s="101"/>
      <c r="AJ1340" s="101"/>
      <c r="AK1340" s="101"/>
      <c r="AL1340" s="101"/>
      <c r="AM1340" s="101"/>
      <c r="AN1340" s="101"/>
    </row>
    <row r="1341" spans="1:40" ht="16.5" customHeight="1" x14ac:dyDescent="0.3">
      <c r="A1341" s="69"/>
      <c r="B1341" s="69"/>
      <c r="C1341" s="90"/>
      <c r="D1341" s="90"/>
      <c r="E1341" s="90"/>
      <c r="F1341" s="90"/>
      <c r="G1341" s="17" t="s">
        <v>1405</v>
      </c>
      <c r="Z1341" s="101"/>
      <c r="AA1341" s="101"/>
      <c r="AB1341" s="101"/>
      <c r="AC1341" s="101"/>
      <c r="AD1341" s="101"/>
      <c r="AE1341" s="101"/>
      <c r="AF1341" s="101"/>
      <c r="AG1341" s="101"/>
      <c r="AH1341" s="101"/>
      <c r="AI1341" s="101"/>
      <c r="AJ1341" s="101"/>
      <c r="AK1341" s="101"/>
      <c r="AL1341" s="101"/>
      <c r="AM1341" s="101"/>
      <c r="AN1341" s="101"/>
    </row>
    <row r="1342" spans="1:40" ht="16.5" customHeight="1" x14ac:dyDescent="0.3">
      <c r="A1342" s="59"/>
      <c r="B1342" s="68" t="s">
        <v>2013</v>
      </c>
      <c r="C1342" s="69"/>
      <c r="D1342" s="69"/>
      <c r="E1342" s="69"/>
      <c r="F1342" s="69"/>
      <c r="G1342" s="17" t="s">
        <v>2012</v>
      </c>
      <c r="Z1342" s="101"/>
      <c r="AA1342" s="101"/>
      <c r="AB1342" s="101"/>
      <c r="AC1342" s="101"/>
      <c r="AD1342" s="101"/>
      <c r="AE1342" s="101"/>
      <c r="AF1342" s="101"/>
      <c r="AG1342" s="101"/>
      <c r="AH1342" s="101"/>
      <c r="AI1342" s="101"/>
      <c r="AJ1342" s="101"/>
      <c r="AK1342" s="101"/>
      <c r="AL1342" s="101"/>
      <c r="AM1342" s="101"/>
      <c r="AN1342" s="101"/>
    </row>
    <row r="1343" spans="1:40" ht="16.5" customHeight="1" x14ac:dyDescent="0.3">
      <c r="A1343" s="69"/>
      <c r="B1343" s="69"/>
      <c r="C1343" s="69"/>
      <c r="D1343" s="69"/>
      <c r="E1343" s="69"/>
      <c r="F1343" s="69"/>
      <c r="G1343" s="17" t="s">
        <v>1405</v>
      </c>
      <c r="Z1343" s="101"/>
      <c r="AA1343" s="101"/>
      <c r="AB1343" s="101"/>
      <c r="AC1343" s="101"/>
      <c r="AD1343" s="101"/>
      <c r="AE1343" s="101"/>
      <c r="AF1343" s="101"/>
      <c r="AG1343" s="101"/>
      <c r="AH1343" s="101"/>
      <c r="AI1343" s="101"/>
      <c r="AJ1343" s="101"/>
      <c r="AK1343" s="101"/>
      <c r="AL1343" s="101"/>
      <c r="AM1343" s="101"/>
      <c r="AN1343" s="101"/>
    </row>
    <row r="1344" spans="1:40" ht="16.5" customHeight="1" x14ac:dyDescent="0.3">
      <c r="A1344" s="59" t="s">
        <v>2015</v>
      </c>
      <c r="B1344" s="89" t="str">
        <f>"    재료비: "&amp;TEXT(I1344,"#,##0"&amp;IF(I1344&lt;&gt;INT(I1344),".###",""))&amp;" / Q1 = "&amp;TEXT(C1344,"#,##0.0")&amp;""</f>
        <v xml:space="preserve">    재료비: 7,199 / Q1 = 82.2</v>
      </c>
      <c r="C1344" s="91">
        <f>E1344+D1344+F1344</f>
        <v>82.2</v>
      </c>
      <c r="D1344" s="91">
        <f>IF(H1344=0,0,ROUNDDOWN(J1344*H1344,1))</f>
        <v>0</v>
      </c>
      <c r="E1344" s="91">
        <f>IF(H1344=0,0,ROUNDDOWN(K1344*H1344,1))</f>
        <v>82.2</v>
      </c>
      <c r="F1344" s="91">
        <f>IF(H1344=0,0,ROUNDDOWN(L1344*H1344,1))</f>
        <v>0</v>
      </c>
      <c r="G1344" s="17" t="s">
        <v>2014</v>
      </c>
      <c r="H1344" s="97">
        <f>ROUNDUP(AC1344,14-LEN(ABS(INT(AC1344))))</f>
        <v>1.1428571428599999E-2</v>
      </c>
      <c r="I1344" s="98">
        <f>K1344+J1344+L1344</f>
        <v>7199</v>
      </c>
      <c r="K1344" s="38">
        <f>중기목록표!G14</f>
        <v>7199</v>
      </c>
      <c r="M1344" s="35" t="s">
        <v>1225</v>
      </c>
      <c r="N1344" s="35" t="s">
        <v>1262</v>
      </c>
      <c r="X1344" s="100" t="str">
        <f>중기목록표!B14&amp;" / "&amp;중기목록표!C14</f>
        <v>덤프트럭 / 2.5톤</v>
      </c>
      <c r="Y1344" s="3" t="str">
        <f ca="1">HYPERLINK("#"&amp;중기목록표!J2&amp;"!A"&amp;ROW(중기목록표!A14),"중기11 →")</f>
        <v>중기11 →</v>
      </c>
      <c r="Z1344" s="35" t="s">
        <v>1417</v>
      </c>
      <c r="AA1344" s="103" t="str">
        <f>AD1312</f>
        <v>87.500</v>
      </c>
      <c r="AB1344" s="35" t="s">
        <v>1410</v>
      </c>
      <c r="AC1344" s="103">
        <f>1/AD1312</f>
        <v>1.1428571428571429E-2</v>
      </c>
      <c r="AD1344" s="101"/>
      <c r="AE1344" s="101"/>
      <c r="AF1344" s="101"/>
      <c r="AG1344" s="101"/>
      <c r="AH1344" s="101"/>
      <c r="AI1344" s="101"/>
      <c r="AJ1344" s="101"/>
      <c r="AK1344" s="101"/>
      <c r="AL1344" s="101"/>
      <c r="AM1344" s="101"/>
      <c r="AN1344" s="101"/>
    </row>
    <row r="1345" spans="1:40" ht="16.5" customHeight="1" x14ac:dyDescent="0.3">
      <c r="A1345" s="59" t="s">
        <v>2017</v>
      </c>
      <c r="B1345" s="89" t="str">
        <f>"    노무비: "&amp;TEXT(I1345,"#,##0"&amp;IF(I1345&lt;&gt;INT(I1345),".###",""))&amp;" / Q1 = "&amp;TEXT(C1345,"#,##0.0")&amp;""</f>
        <v xml:space="preserve">    노무비: 49,778 / Q1 = 568.8</v>
      </c>
      <c r="C1345" s="91">
        <f>E1345+D1345+F1345</f>
        <v>568.79999999999995</v>
      </c>
      <c r="D1345" s="91">
        <f>IF(H1345=0,0,ROUNDDOWN(J1345*H1345,1))</f>
        <v>568.79999999999995</v>
      </c>
      <c r="E1345" s="91">
        <f>IF(H1345=0,0,ROUNDDOWN(K1345*H1345,1))</f>
        <v>0</v>
      </c>
      <c r="F1345" s="91">
        <f>IF(H1345=0,0,ROUNDDOWN(L1345*H1345,1))</f>
        <v>0</v>
      </c>
      <c r="G1345" s="17" t="s">
        <v>2016</v>
      </c>
      <c r="H1345" s="97">
        <f>ROUNDUP(AC1345,14-LEN(ABS(INT(AC1345))))</f>
        <v>1.1428571428599999E-2</v>
      </c>
      <c r="I1345" s="98">
        <f>K1345+J1345+L1345</f>
        <v>49778</v>
      </c>
      <c r="J1345" s="38">
        <f>중기목록표!F14</f>
        <v>49778</v>
      </c>
      <c r="M1345" s="35" t="s">
        <v>1225</v>
      </c>
      <c r="N1345" s="35" t="s">
        <v>1262</v>
      </c>
      <c r="X1345" s="100" t="str">
        <f>중기목록표!B14&amp;" / "&amp;중기목록표!C14</f>
        <v>덤프트럭 / 2.5톤</v>
      </c>
      <c r="Y1345" s="3" t="str">
        <f ca="1">HYPERLINK("#"&amp;중기목록표!J2&amp;"!A"&amp;ROW(중기목록표!A14),"중기11 →")</f>
        <v>중기11 →</v>
      </c>
      <c r="Z1345" s="35" t="s">
        <v>1417</v>
      </c>
      <c r="AA1345" s="103" t="str">
        <f>AD1312</f>
        <v>87.500</v>
      </c>
      <c r="AB1345" s="35" t="s">
        <v>1410</v>
      </c>
      <c r="AC1345" s="103">
        <f>1/AD1312</f>
        <v>1.1428571428571429E-2</v>
      </c>
      <c r="AD1345" s="101"/>
      <c r="AE1345" s="101"/>
      <c r="AF1345" s="101"/>
      <c r="AG1345" s="101"/>
      <c r="AH1345" s="101"/>
      <c r="AI1345" s="101"/>
      <c r="AJ1345" s="101"/>
      <c r="AK1345" s="101"/>
      <c r="AL1345" s="101"/>
      <c r="AM1345" s="101"/>
      <c r="AN1345" s="101"/>
    </row>
    <row r="1346" spans="1:40" ht="16.5" customHeight="1" x14ac:dyDescent="0.3">
      <c r="A1346" s="59" t="s">
        <v>2019</v>
      </c>
      <c r="B1346" s="89" t="str">
        <f>"    경  비: "&amp;TEXT(I1346,"#,##0"&amp;IF(I1346&lt;&gt;INT(I1346),".###",""))&amp;" / Q1 = "&amp;TEXT(C1346,"#,##0.0")&amp;""</f>
        <v xml:space="preserve">    경  비: 6,522 / Q1 = 74.5</v>
      </c>
      <c r="C1346" s="91">
        <f>E1346+D1346+F1346</f>
        <v>74.5</v>
      </c>
      <c r="D1346" s="91">
        <f>IF(H1346=0,0,ROUNDDOWN(J1346*H1346,1))</f>
        <v>0</v>
      </c>
      <c r="E1346" s="91">
        <f>IF(H1346=0,0,ROUNDDOWN(K1346*H1346,1))</f>
        <v>0</v>
      </c>
      <c r="F1346" s="91">
        <f>IF(H1346=0,0,ROUNDDOWN(L1346*H1346,1))</f>
        <v>74.5</v>
      </c>
      <c r="G1346" s="17" t="s">
        <v>2018</v>
      </c>
      <c r="H1346" s="97">
        <f>ROUNDUP(AC1346,14-LEN(ABS(INT(AC1346))))</f>
        <v>1.1428571428599999E-2</v>
      </c>
      <c r="I1346" s="98">
        <f>K1346+J1346+L1346</f>
        <v>6522</v>
      </c>
      <c r="L1346" s="38">
        <f>중기목록표!H14</f>
        <v>6522</v>
      </c>
      <c r="M1346" s="35" t="s">
        <v>1225</v>
      </c>
      <c r="N1346" s="35" t="s">
        <v>1262</v>
      </c>
      <c r="X1346" s="100" t="str">
        <f>중기목록표!B14&amp;" / "&amp;중기목록표!C14</f>
        <v>덤프트럭 / 2.5톤</v>
      </c>
      <c r="Y1346" s="3" t="str">
        <f ca="1">HYPERLINK("#"&amp;중기목록표!J2&amp;"!A"&amp;ROW(중기목록표!A14),"중기11 →")</f>
        <v>중기11 →</v>
      </c>
      <c r="Z1346" s="35" t="s">
        <v>1417</v>
      </c>
      <c r="AA1346" s="103" t="str">
        <f>AD1312</f>
        <v>87.500</v>
      </c>
      <c r="AB1346" s="35" t="s">
        <v>1410</v>
      </c>
      <c r="AC1346" s="103">
        <f>1/AD1312</f>
        <v>1.1428571428571429E-2</v>
      </c>
      <c r="AD1346" s="101"/>
      <c r="AE1346" s="101"/>
      <c r="AF1346" s="101"/>
      <c r="AG1346" s="101"/>
      <c r="AH1346" s="101"/>
      <c r="AI1346" s="101"/>
      <c r="AJ1346" s="101"/>
      <c r="AK1346" s="101"/>
      <c r="AL1346" s="101"/>
      <c r="AM1346" s="101"/>
      <c r="AN1346" s="101"/>
    </row>
    <row r="1347" spans="1:40" ht="16.5" customHeight="1" x14ac:dyDescent="0.3">
      <c r="A1347" s="59"/>
      <c r="B1347" s="68" t="s">
        <v>1260</v>
      </c>
      <c r="C1347" s="92">
        <f>E1347+D1347+F1347</f>
        <v>725.5</v>
      </c>
      <c r="D1347" s="92">
        <f>SUMIF(N1341:N1346,M1347,D1341:D1346)</f>
        <v>568.79999999999995</v>
      </c>
      <c r="E1347" s="92">
        <f>SUMIF(N1341:N1346,M1347,E1341:E1346)</f>
        <v>82.2</v>
      </c>
      <c r="F1347" s="92">
        <f>SUMIF(N1341:N1346,M1347,F1341:F1346)</f>
        <v>74.5</v>
      </c>
      <c r="G1347" s="17" t="s">
        <v>2011</v>
      </c>
      <c r="M1347" s="35" t="s">
        <v>1262</v>
      </c>
      <c r="N1347" s="35" t="s">
        <v>1253</v>
      </c>
      <c r="Z1347" s="101"/>
      <c r="AA1347" s="101"/>
      <c r="AB1347" s="101"/>
      <c r="AC1347" s="101"/>
      <c r="AD1347" s="101"/>
      <c r="AE1347" s="101"/>
      <c r="AF1347" s="101"/>
      <c r="AG1347" s="101"/>
      <c r="AH1347" s="101"/>
      <c r="AI1347" s="101"/>
      <c r="AJ1347" s="101"/>
      <c r="AK1347" s="101"/>
      <c r="AL1347" s="101"/>
      <c r="AM1347" s="101"/>
      <c r="AN1347" s="101"/>
    </row>
    <row r="1348" spans="1:40" ht="16.5" customHeight="1" x14ac:dyDescent="0.3">
      <c r="A1348" s="69"/>
      <c r="B1348" s="69"/>
      <c r="C1348" s="90"/>
      <c r="D1348" s="90"/>
      <c r="E1348" s="90"/>
      <c r="F1348" s="90"/>
      <c r="G1348" s="17" t="s">
        <v>1405</v>
      </c>
      <c r="Z1348" s="101"/>
      <c r="AA1348" s="101"/>
      <c r="AB1348" s="101"/>
      <c r="AC1348" s="101"/>
      <c r="AD1348" s="101"/>
      <c r="AE1348" s="101"/>
      <c r="AF1348" s="101"/>
      <c r="AG1348" s="101"/>
      <c r="AH1348" s="101"/>
      <c r="AI1348" s="101"/>
      <c r="AJ1348" s="101"/>
      <c r="AK1348" s="101"/>
      <c r="AL1348" s="101"/>
      <c r="AM1348" s="101"/>
      <c r="AN1348" s="101"/>
    </row>
    <row r="1349" spans="1:40" ht="16.5" customHeight="1" x14ac:dyDescent="0.3">
      <c r="A1349" s="59"/>
      <c r="B1349" s="68" t="s">
        <v>1251</v>
      </c>
      <c r="C1349" s="92">
        <f>E1349+D1349+F1349</f>
        <v>1523.1</v>
      </c>
      <c r="D1349" s="92">
        <f>SUMIF(N1332:N1348,M1349,D1332:D1348)</f>
        <v>1137.5999999999999</v>
      </c>
      <c r="E1349" s="92">
        <f>SUMIF(N1332:N1348,M1349,E1332:E1348)</f>
        <v>224</v>
      </c>
      <c r="F1349" s="92">
        <f>SUMIF(N1332:N1348,M1349,F1332:F1348)</f>
        <v>161.5</v>
      </c>
      <c r="G1349" s="17" t="s">
        <v>1476</v>
      </c>
      <c r="M1349" s="35" t="s">
        <v>1253</v>
      </c>
      <c r="N1349" s="35" t="s">
        <v>1844</v>
      </c>
      <c r="Z1349" s="101"/>
      <c r="AA1349" s="101"/>
      <c r="AB1349" s="101"/>
      <c r="AC1349" s="101"/>
      <c r="AD1349" s="101"/>
      <c r="AE1349" s="101"/>
      <c r="AF1349" s="101"/>
      <c r="AG1349" s="101"/>
      <c r="AH1349" s="101"/>
      <c r="AI1349" s="101"/>
      <c r="AJ1349" s="101"/>
      <c r="AK1349" s="101"/>
      <c r="AL1349" s="101"/>
      <c r="AM1349" s="101"/>
      <c r="AN1349" s="101"/>
    </row>
    <row r="1350" spans="1:40" ht="16.5" customHeight="1" x14ac:dyDescent="0.3">
      <c r="A1350" s="69"/>
      <c r="B1350" s="69"/>
      <c r="C1350" s="90"/>
      <c r="D1350" s="90"/>
      <c r="E1350" s="90"/>
      <c r="F1350" s="90"/>
      <c r="G1350" s="17" t="s">
        <v>1405</v>
      </c>
      <c r="Z1350" s="101"/>
      <c r="AA1350" s="101"/>
      <c r="AB1350" s="101"/>
      <c r="AC1350" s="101"/>
      <c r="AD1350" s="101"/>
      <c r="AE1350" s="101"/>
      <c r="AF1350" s="101"/>
      <c r="AG1350" s="101"/>
      <c r="AH1350" s="101"/>
      <c r="AI1350" s="101"/>
      <c r="AJ1350" s="101"/>
      <c r="AK1350" s="101"/>
      <c r="AL1350" s="101"/>
      <c r="AM1350" s="101"/>
      <c r="AN1350" s="101"/>
    </row>
    <row r="1351" spans="1:40" ht="16.5" customHeight="1" x14ac:dyDescent="0.3">
      <c r="A1351" s="69"/>
      <c r="B1351" s="69"/>
      <c r="C1351" s="69"/>
      <c r="D1351" s="69"/>
      <c r="E1351" s="69"/>
      <c r="F1351" s="69"/>
      <c r="G1351" s="17" t="s">
        <v>1405</v>
      </c>
      <c r="Z1351" s="101"/>
      <c r="AA1351" s="101"/>
      <c r="AB1351" s="101"/>
      <c r="AC1351" s="101"/>
      <c r="AD1351" s="101"/>
      <c r="AE1351" s="101"/>
      <c r="AF1351" s="101"/>
      <c r="AG1351" s="101"/>
      <c r="AH1351" s="101"/>
      <c r="AI1351" s="101"/>
      <c r="AJ1351" s="101"/>
      <c r="AK1351" s="101"/>
      <c r="AL1351" s="101"/>
      <c r="AM1351" s="101"/>
      <c r="AN1351" s="101"/>
    </row>
    <row r="1352" spans="1:40" ht="16.5" customHeight="1" x14ac:dyDescent="0.3">
      <c r="A1352" s="59"/>
      <c r="B1352" s="68" t="s">
        <v>1843</v>
      </c>
      <c r="C1352" s="92">
        <f>E1352+D1352+F1352</f>
        <v>19888.200000000004</v>
      </c>
      <c r="D1352" s="92">
        <f>SUMIF(N1307:N1351,M1352,D1307:D1351)</f>
        <v>2275.1999999999998</v>
      </c>
      <c r="E1352" s="92">
        <f>SUMIF(N1307:N1351,M1352,E1307:E1351)</f>
        <v>17337.800000000003</v>
      </c>
      <c r="F1352" s="92">
        <f>SUMIF(N1307:N1351,M1352,F1307:F1351)</f>
        <v>275.2</v>
      </c>
      <c r="G1352" s="17" t="s">
        <v>1842</v>
      </c>
      <c r="M1352" s="35" t="s">
        <v>1844</v>
      </c>
      <c r="N1352" s="35" t="s">
        <v>1209</v>
      </c>
      <c r="Z1352" s="101"/>
      <c r="AA1352" s="101"/>
      <c r="AB1352" s="101"/>
      <c r="AC1352" s="101"/>
      <c r="AD1352" s="101"/>
      <c r="AE1352" s="101"/>
      <c r="AF1352" s="101"/>
      <c r="AG1352" s="101"/>
      <c r="AH1352" s="101"/>
      <c r="AI1352" s="101"/>
      <c r="AJ1352" s="101"/>
      <c r="AK1352" s="101"/>
      <c r="AL1352" s="101"/>
      <c r="AM1352" s="101"/>
      <c r="AN1352" s="101"/>
    </row>
    <row r="1353" spans="1:40" ht="16.5" customHeight="1" x14ac:dyDescent="0.3">
      <c r="A1353" s="74"/>
      <c r="B1353" s="74"/>
      <c r="C1353" s="95"/>
      <c r="D1353" s="95"/>
      <c r="E1353" s="95"/>
      <c r="F1353" s="95"/>
      <c r="Z1353" s="101"/>
      <c r="AA1353" s="101"/>
      <c r="AB1353" s="101"/>
      <c r="AC1353" s="101"/>
      <c r="AD1353" s="101"/>
      <c r="AE1353" s="101"/>
      <c r="AF1353" s="101"/>
      <c r="AG1353" s="101"/>
      <c r="AH1353" s="101"/>
      <c r="AI1353" s="101"/>
      <c r="AJ1353" s="101"/>
      <c r="AK1353" s="101"/>
      <c r="AL1353" s="101"/>
      <c r="AM1353" s="101"/>
      <c r="AN1353" s="101"/>
    </row>
    <row r="1354" spans="1:40" ht="16.5" customHeight="1" x14ac:dyDescent="0.3">
      <c r="A1354" s="150" t="s">
        <v>1477</v>
      </c>
      <c r="B1354" s="143"/>
      <c r="C1354" s="47">
        <f>E1354+D1354+F1354</f>
        <v>19887</v>
      </c>
      <c r="D1354" s="46">
        <f>ROUNDDOWN(SUMIF(N1307:N1352,M1354,D1307:D1352),0)</f>
        <v>2275</v>
      </c>
      <c r="E1354" s="55">
        <f>ROUNDDOWN(SUMIF(N1307:N1352,M1354,E1307:E1352),0)</f>
        <v>17337</v>
      </c>
      <c r="F1354" s="47">
        <f>ROUNDDOWN(SUMIF(N1307:N1352,M1354,F1307:F1352),0)</f>
        <v>275</v>
      </c>
      <c r="M1354" s="35" t="s">
        <v>1209</v>
      </c>
      <c r="Z1354" s="101"/>
      <c r="AA1354" s="101"/>
      <c r="AB1354" s="101"/>
      <c r="AC1354" s="101"/>
      <c r="AD1354" s="101"/>
      <c r="AE1354" s="101"/>
      <c r="AF1354" s="101"/>
      <c r="AG1354" s="101"/>
      <c r="AH1354" s="101"/>
      <c r="AI1354" s="101"/>
      <c r="AJ1354" s="101"/>
      <c r="AK1354" s="101"/>
      <c r="AL1354" s="101"/>
      <c r="AM1354" s="101"/>
      <c r="AN1354" s="101"/>
    </row>
    <row r="1355" spans="1:40" ht="16.5" customHeight="1" x14ac:dyDescent="0.3">
      <c r="A1355" s="86" t="s">
        <v>90</v>
      </c>
      <c r="B1355" s="88" t="s">
        <v>90</v>
      </c>
      <c r="C1355" s="151">
        <f>C1454</f>
        <v>19887</v>
      </c>
      <c r="D1355" s="151">
        <f>D1454</f>
        <v>2275</v>
      </c>
      <c r="E1355" s="151">
        <f>E1454</f>
        <v>17337</v>
      </c>
      <c r="F1355" s="151">
        <f>F1454</f>
        <v>275</v>
      </c>
      <c r="G1355" s="84" t="str">
        <f>HYPERLINK("#G"&amp;ROW(G1403),"_x0005_`BDCOD|D02954_x0007_`POSS|"&amp;ROW(G1357)&amp;"_x0007_`POSE|"&amp;ROW(G1403)&amp;"_x0007_`")</f>
        <v>_x0005_`BDCOD|D02954_x0007_`POSS|1357_x0007_`POSE|1403_x0007_`</v>
      </c>
      <c r="Z1355" s="101"/>
      <c r="AA1355" s="101"/>
      <c r="AB1355" s="101"/>
      <c r="AC1355" s="101"/>
      <c r="AD1355" s="101"/>
      <c r="AE1355" s="101"/>
      <c r="AF1355" s="101"/>
      <c r="AG1355" s="101"/>
      <c r="AH1355" s="101"/>
      <c r="AI1355" s="101"/>
      <c r="AJ1355" s="101"/>
      <c r="AK1355" s="101"/>
      <c r="AL1355" s="101"/>
      <c r="AM1355" s="101"/>
      <c r="AN1355" s="101"/>
    </row>
    <row r="1356" spans="1:40" ht="16.5" customHeight="1" x14ac:dyDescent="0.3">
      <c r="A1356" s="87"/>
      <c r="B1356" s="88" t="s">
        <v>184</v>
      </c>
      <c r="C1356" s="136"/>
      <c r="D1356" s="136"/>
      <c r="E1356" s="136"/>
      <c r="F1356" s="136"/>
      <c r="M1356" s="35" t="s">
        <v>2020</v>
      </c>
      <c r="Z1356" s="101"/>
      <c r="AA1356" s="101"/>
      <c r="AB1356" s="101"/>
      <c r="AC1356" s="101"/>
      <c r="AD1356" s="101"/>
      <c r="AE1356" s="101"/>
      <c r="AF1356" s="101"/>
      <c r="AG1356" s="101"/>
      <c r="AH1356" s="101"/>
      <c r="AI1356" s="101"/>
      <c r="AJ1356" s="101"/>
      <c r="AK1356" s="101"/>
      <c r="AL1356" s="101"/>
      <c r="AM1356" s="101"/>
      <c r="AN1356" s="101"/>
    </row>
    <row r="1357" spans="1:40" ht="16.5" customHeight="1" x14ac:dyDescent="0.3">
      <c r="A1357" s="69"/>
      <c r="B1357" s="69"/>
      <c r="C1357" s="90"/>
      <c r="D1357" s="90"/>
      <c r="E1357" s="90"/>
      <c r="F1357" s="90"/>
      <c r="G1357" s="17" t="s">
        <v>1405</v>
      </c>
      <c r="Z1357" s="101"/>
      <c r="AA1357" s="101"/>
      <c r="AB1357" s="101"/>
      <c r="AC1357" s="101"/>
      <c r="AD1357" s="101"/>
      <c r="AE1357" s="101"/>
      <c r="AF1357" s="101"/>
      <c r="AG1357" s="101"/>
      <c r="AH1357" s="101"/>
      <c r="AI1357" s="101"/>
      <c r="AJ1357" s="101"/>
      <c r="AK1357" s="101"/>
      <c r="AL1357" s="101"/>
      <c r="AM1357" s="101"/>
      <c r="AN1357" s="101"/>
    </row>
    <row r="1358" spans="1:40" ht="16.5" customHeight="1" x14ac:dyDescent="0.3">
      <c r="A1358" s="59"/>
      <c r="B1358" s="68" t="s">
        <v>1973</v>
      </c>
      <c r="C1358" s="69"/>
      <c r="D1358" s="69"/>
      <c r="E1358" s="69"/>
      <c r="F1358" s="69"/>
      <c r="G1358" s="17" t="s">
        <v>1972</v>
      </c>
      <c r="Z1358" s="101"/>
      <c r="AA1358" s="101"/>
      <c r="AB1358" s="101"/>
      <c r="AC1358" s="101"/>
      <c r="AD1358" s="101"/>
      <c r="AE1358" s="101"/>
      <c r="AF1358" s="101"/>
      <c r="AG1358" s="101"/>
      <c r="AH1358" s="101"/>
      <c r="AI1358" s="101"/>
      <c r="AJ1358" s="101"/>
      <c r="AK1358" s="101"/>
      <c r="AL1358" s="101"/>
      <c r="AM1358" s="101"/>
      <c r="AN1358" s="101"/>
    </row>
    <row r="1359" spans="1:40" ht="16.5" customHeight="1" x14ac:dyDescent="0.3">
      <c r="A1359" s="69"/>
      <c r="B1359" s="69"/>
      <c r="C1359" s="69"/>
      <c r="D1359" s="69"/>
      <c r="E1359" s="69"/>
      <c r="F1359" s="69"/>
      <c r="G1359" s="17" t="s">
        <v>1405</v>
      </c>
      <c r="Z1359" s="101"/>
      <c r="AA1359" s="101"/>
      <c r="AB1359" s="101"/>
      <c r="AC1359" s="101"/>
      <c r="AD1359" s="101"/>
      <c r="AE1359" s="101"/>
      <c r="AF1359" s="101"/>
      <c r="AG1359" s="101"/>
      <c r="AH1359" s="101"/>
      <c r="AI1359" s="101"/>
      <c r="AJ1359" s="101"/>
      <c r="AK1359" s="101"/>
      <c r="AL1359" s="101"/>
      <c r="AM1359" s="101"/>
      <c r="AN1359" s="101"/>
    </row>
    <row r="1360" spans="1:40" ht="16.5" customHeight="1" x14ac:dyDescent="0.3">
      <c r="A1360" s="59"/>
      <c r="B1360" s="68" t="s">
        <v>2022</v>
      </c>
      <c r="C1360" s="69"/>
      <c r="D1360" s="69"/>
      <c r="E1360" s="69"/>
      <c r="F1360" s="69"/>
      <c r="G1360" s="17" t="s">
        <v>2021</v>
      </c>
      <c r="Z1360" s="101"/>
      <c r="AA1360" s="101"/>
      <c r="AB1360" s="101"/>
      <c r="AC1360" s="101"/>
      <c r="AD1360" s="101"/>
      <c r="AE1360" s="101"/>
      <c r="AF1360" s="101"/>
      <c r="AG1360" s="101"/>
      <c r="AH1360" s="101"/>
      <c r="AI1360" s="101"/>
      <c r="AJ1360" s="101"/>
      <c r="AK1360" s="101"/>
      <c r="AL1360" s="101"/>
      <c r="AM1360" s="101"/>
      <c r="AN1360" s="101"/>
    </row>
    <row r="1361" spans="1:40" ht="16.5" customHeight="1" x14ac:dyDescent="0.3">
      <c r="A1361" s="69"/>
      <c r="B1361" s="69"/>
      <c r="C1361" s="69"/>
      <c r="D1361" s="69"/>
      <c r="E1361" s="69"/>
      <c r="F1361" s="69"/>
      <c r="G1361" s="17" t="s">
        <v>1405</v>
      </c>
      <c r="Z1361" s="101"/>
      <c r="AA1361" s="101"/>
      <c r="AB1361" s="101"/>
      <c r="AC1361" s="101"/>
      <c r="AD1361" s="101"/>
      <c r="AE1361" s="101"/>
      <c r="AF1361" s="101"/>
      <c r="AG1361" s="101"/>
      <c r="AH1361" s="101"/>
      <c r="AI1361" s="101"/>
      <c r="AJ1361" s="101"/>
      <c r="AK1361" s="101"/>
      <c r="AL1361" s="101"/>
      <c r="AM1361" s="101"/>
      <c r="AN1361" s="101"/>
    </row>
    <row r="1362" spans="1:40" ht="16.5" customHeight="1" x14ac:dyDescent="0.3">
      <c r="A1362" s="59"/>
      <c r="B1362" s="68" t="str">
        <f>" Q  = "&amp;Z1362&amp;" * "&amp;AB1362&amp;" = "&amp;AD1362&amp;" ㎡/일 "</f>
        <v xml:space="preserve"> Q  = 700 * 1 = 700.000 ㎡/일 </v>
      </c>
      <c r="C1362" s="69"/>
      <c r="D1362" s="69"/>
      <c r="E1362" s="69"/>
      <c r="F1362" s="69"/>
      <c r="G1362" s="17" t="s">
        <v>2023</v>
      </c>
      <c r="Z1362" s="102">
        <v>700</v>
      </c>
      <c r="AA1362" s="35" t="s">
        <v>1436</v>
      </c>
      <c r="AB1362" s="102">
        <v>1</v>
      </c>
      <c r="AC1362" s="35" t="s">
        <v>1410</v>
      </c>
      <c r="AD1362" s="103" t="str">
        <f>TEXT(ROUND(Z1362*AB1362,3),"#,0.000")</f>
        <v>700.000</v>
      </c>
      <c r="AE1362" s="101"/>
      <c r="AF1362" s="101"/>
      <c r="AG1362" s="101"/>
      <c r="AH1362" s="101"/>
      <c r="AI1362" s="101"/>
      <c r="AJ1362" s="101"/>
      <c r="AK1362" s="101"/>
      <c r="AL1362" s="101"/>
      <c r="AM1362" s="101"/>
      <c r="AN1362" s="101"/>
    </row>
    <row r="1363" spans="1:40" ht="16.5" customHeight="1" x14ac:dyDescent="0.3">
      <c r="A1363" s="69"/>
      <c r="B1363" s="69"/>
      <c r="C1363" s="69"/>
      <c r="D1363" s="69"/>
      <c r="E1363" s="69"/>
      <c r="F1363" s="69"/>
      <c r="G1363" s="17" t="s">
        <v>1405</v>
      </c>
      <c r="Z1363" s="101"/>
      <c r="AA1363" s="101"/>
      <c r="AB1363" s="101"/>
      <c r="AC1363" s="101"/>
      <c r="AD1363" s="101"/>
      <c r="AE1363" s="101"/>
      <c r="AF1363" s="101"/>
      <c r="AG1363" s="101"/>
      <c r="AH1363" s="101"/>
      <c r="AI1363" s="101"/>
      <c r="AJ1363" s="101"/>
      <c r="AK1363" s="101"/>
      <c r="AL1363" s="101"/>
      <c r="AM1363" s="101"/>
      <c r="AN1363" s="101"/>
    </row>
    <row r="1364" spans="1:40" ht="16.5" customHeight="1" x14ac:dyDescent="0.3">
      <c r="A1364" s="59"/>
      <c r="B1364" s="68" t="str">
        <f>" Q1 = Q / "&amp;AB1364&amp;" hr/일 = "&amp;AD1364&amp;"  ㎡/Hr "</f>
        <v xml:space="preserve"> Q1 = Q / 8 hr/일 = 87.500  ㎡/Hr </v>
      </c>
      <c r="C1364" s="69"/>
      <c r="D1364" s="69"/>
      <c r="E1364" s="69"/>
      <c r="F1364" s="69"/>
      <c r="G1364" s="17" t="s">
        <v>1977</v>
      </c>
      <c r="Z1364" s="103" t="str">
        <f>AD1362</f>
        <v>700.000</v>
      </c>
      <c r="AA1364" s="35" t="s">
        <v>1413</v>
      </c>
      <c r="AB1364" s="102">
        <v>8</v>
      </c>
      <c r="AC1364" s="35" t="s">
        <v>1410</v>
      </c>
      <c r="AD1364" s="103" t="str">
        <f>TEXT(ROUND(AD1362/AB1364,3),"#,0.000")</f>
        <v>87.500</v>
      </c>
      <c r="AE1364" s="101"/>
      <c r="AF1364" s="101"/>
      <c r="AG1364" s="101"/>
      <c r="AH1364" s="101"/>
      <c r="AI1364" s="101"/>
      <c r="AJ1364" s="101"/>
      <c r="AK1364" s="101"/>
      <c r="AL1364" s="101"/>
      <c r="AM1364" s="101"/>
      <c r="AN1364" s="101"/>
    </row>
    <row r="1365" spans="1:40" ht="16.5" customHeight="1" x14ac:dyDescent="0.3">
      <c r="A1365" s="69"/>
      <c r="B1365" s="69"/>
      <c r="C1365" s="69"/>
      <c r="D1365" s="69"/>
      <c r="E1365" s="69"/>
      <c r="F1365" s="69"/>
      <c r="G1365" s="17" t="s">
        <v>1405</v>
      </c>
      <c r="Z1365" s="101"/>
      <c r="AA1365" s="101"/>
      <c r="AB1365" s="101"/>
      <c r="AC1365" s="101"/>
      <c r="AD1365" s="101"/>
      <c r="AE1365" s="101"/>
      <c r="AF1365" s="101"/>
      <c r="AG1365" s="101"/>
      <c r="AH1365" s="101"/>
      <c r="AI1365" s="101"/>
      <c r="AJ1365" s="101"/>
      <c r="AK1365" s="101"/>
      <c r="AL1365" s="101"/>
      <c r="AM1365" s="101"/>
      <c r="AN1365" s="101"/>
    </row>
    <row r="1366" spans="1:40" ht="16.5" customHeight="1" x14ac:dyDescent="0.3">
      <c r="A1366" s="59"/>
      <c r="B1366" s="68" t="s">
        <v>1979</v>
      </c>
      <c r="C1366" s="69"/>
      <c r="D1366" s="69"/>
      <c r="E1366" s="69"/>
      <c r="F1366" s="69"/>
      <c r="G1366" s="17" t="s">
        <v>1978</v>
      </c>
      <c r="Z1366" s="101"/>
      <c r="AA1366" s="101"/>
      <c r="AB1366" s="101"/>
      <c r="AC1366" s="101"/>
      <c r="AD1366" s="101"/>
      <c r="AE1366" s="101"/>
      <c r="AF1366" s="101"/>
      <c r="AG1366" s="101"/>
      <c r="AH1366" s="101"/>
      <c r="AI1366" s="101"/>
      <c r="AJ1366" s="101"/>
      <c r="AK1366" s="101"/>
      <c r="AL1366" s="101"/>
      <c r="AM1366" s="101"/>
      <c r="AN1366" s="101"/>
    </row>
    <row r="1367" spans="1:40" ht="16.5" customHeight="1" x14ac:dyDescent="0.3">
      <c r="A1367" s="69"/>
      <c r="B1367" s="69"/>
      <c r="C1367" s="69"/>
      <c r="D1367" s="69"/>
      <c r="E1367" s="69"/>
      <c r="F1367" s="69"/>
      <c r="G1367" s="17" t="s">
        <v>1405</v>
      </c>
      <c r="Z1367" s="101"/>
      <c r="AA1367" s="101"/>
      <c r="AB1367" s="101"/>
      <c r="AC1367" s="101"/>
      <c r="AD1367" s="101"/>
      <c r="AE1367" s="101"/>
      <c r="AF1367" s="101"/>
      <c r="AG1367" s="101"/>
      <c r="AH1367" s="101"/>
      <c r="AI1367" s="101"/>
      <c r="AJ1367" s="101"/>
      <c r="AK1367" s="101"/>
      <c r="AL1367" s="101"/>
      <c r="AM1367" s="101"/>
      <c r="AN1367" s="101"/>
    </row>
    <row r="1368" spans="1:40" ht="16.5" customHeight="1" x14ac:dyDescent="0.3">
      <c r="A1368" s="59" t="s">
        <v>1981</v>
      </c>
      <c r="B1368" s="89" t="str">
        <f>"   융착식도료(백색) : "&amp;TEXT(I1368,"#,##0"&amp;IF(I1368&lt;&gt;INT(I1368),".###",""))&amp;" * "&amp;AA1368&amp;" ㎏  = "&amp;TEXT(C1368,"#,##0.0")&amp;""</f>
        <v xml:space="preserve">   융착식도료(백색) : 3,140 * 4.53 ㎏  = 14,224.2</v>
      </c>
      <c r="C1368" s="91">
        <f>E1368+D1368+F1368</f>
        <v>14224.2</v>
      </c>
      <c r="D1368" s="91">
        <f>IF(H1368=0,0,ROUNDDOWN(J1368*H1368,1))</f>
        <v>0</v>
      </c>
      <c r="E1368" s="91">
        <f>IF(H1368=0,0,ROUNDDOWN(K1368*H1368,1))</f>
        <v>14224.2</v>
      </c>
      <c r="F1368" s="91">
        <f>IF(H1368=0,0,ROUNDDOWN(L1368*H1368,1))</f>
        <v>0</v>
      </c>
      <c r="G1368" s="17" t="s">
        <v>2024</v>
      </c>
      <c r="H1368" s="97">
        <f>ROUNDUP(AC1368,14-LEN(ABS(INT(AC1368))))</f>
        <v>4.53</v>
      </c>
      <c r="I1368" s="98">
        <f>K1368+J1368+L1368</f>
        <v>3140</v>
      </c>
      <c r="K1368" s="38">
        <f>재료비목록표!E22</f>
        <v>3140</v>
      </c>
      <c r="M1368" s="35" t="s">
        <v>1982</v>
      </c>
      <c r="N1368" s="35" t="s">
        <v>1253</v>
      </c>
      <c r="O1368" s="35" t="s">
        <v>1214</v>
      </c>
      <c r="X1368" s="100" t="str">
        <f>재료비목록표!B22&amp;" / "&amp;재료비목록표!C22</f>
        <v>도로표지용도료 / KSM-6080 백색(융착식R3)</v>
      </c>
      <c r="Y1368" s="3" t="str">
        <f ca="1">HYPERLINK("#"&amp;재료비목록표!G2&amp;"!A"&amp;ROW(재료비목록표!A22),"자재19 →")</f>
        <v>자재19 →</v>
      </c>
      <c r="Z1368" s="35" t="s">
        <v>1446</v>
      </c>
      <c r="AA1368" s="104">
        <v>4.53</v>
      </c>
      <c r="AB1368" s="35" t="s">
        <v>1410</v>
      </c>
      <c r="AC1368" s="103">
        <f>1*AA1368</f>
        <v>4.53</v>
      </c>
      <c r="AD1368" s="101"/>
      <c r="AE1368" s="101"/>
      <c r="AF1368" s="101"/>
      <c r="AG1368" s="101"/>
      <c r="AH1368" s="101"/>
      <c r="AI1368" s="101"/>
      <c r="AJ1368" s="101"/>
      <c r="AK1368" s="101"/>
      <c r="AL1368" s="101"/>
      <c r="AM1368" s="101"/>
      <c r="AN1368" s="101"/>
    </row>
    <row r="1369" spans="1:40" ht="16.5" customHeight="1" x14ac:dyDescent="0.3">
      <c r="A1369" s="59" t="s">
        <v>1984</v>
      </c>
      <c r="B1369" s="89" t="str">
        <f>"   유 리 알 : "&amp;TEXT(I1369,"#,##0"&amp;IF(I1369&lt;&gt;INT(I1369),".###",""))&amp;" * "&amp;AA1369&amp;" ㎏  = "&amp;TEXT(C1369,"#,##0.0")&amp;""</f>
        <v xml:space="preserve">   유 리 알 : 4,500 * 0.31 ㎏  = 1,395.0</v>
      </c>
      <c r="C1369" s="91">
        <f>E1369+D1369+F1369</f>
        <v>1395</v>
      </c>
      <c r="D1369" s="91">
        <f>IF(H1369=0,0,ROUNDDOWN(J1369*H1369,1))</f>
        <v>0</v>
      </c>
      <c r="E1369" s="91">
        <f>IF(H1369=0,0,ROUNDDOWN(K1369*H1369,1))</f>
        <v>1395</v>
      </c>
      <c r="F1369" s="91">
        <f>IF(H1369=0,0,ROUNDDOWN(L1369*H1369,1))</f>
        <v>0</v>
      </c>
      <c r="G1369" s="17" t="s">
        <v>1983</v>
      </c>
      <c r="H1369" s="97">
        <f>ROUNDUP(AC1369,14-LEN(ABS(INT(AC1369))))</f>
        <v>0.31</v>
      </c>
      <c r="I1369" s="98">
        <f>K1369+J1369+L1369</f>
        <v>4500</v>
      </c>
      <c r="K1369" s="38">
        <f>재료비목록표!E41</f>
        <v>4500</v>
      </c>
      <c r="M1369" s="35" t="s">
        <v>1985</v>
      </c>
      <c r="N1369" s="35" t="s">
        <v>1253</v>
      </c>
      <c r="O1369" s="35" t="s">
        <v>1214</v>
      </c>
      <c r="X1369" s="100" t="str">
        <f>재료비목록표!B41&amp;" / "&amp;재료비목록표!C41</f>
        <v>유리알 / 고휘도</v>
      </c>
      <c r="Y1369" s="3" t="str">
        <f ca="1">HYPERLINK("#"&amp;재료비목록표!G2&amp;"!A"&amp;ROW(재료비목록표!A41),"자재38 →")</f>
        <v>자재38 →</v>
      </c>
      <c r="Z1369" s="35" t="s">
        <v>1446</v>
      </c>
      <c r="AA1369" s="104">
        <v>0.31</v>
      </c>
      <c r="AB1369" s="35" t="s">
        <v>1410</v>
      </c>
      <c r="AC1369" s="103">
        <f>1*AA1369</f>
        <v>0.31</v>
      </c>
      <c r="AD1369" s="101"/>
      <c r="AE1369" s="101"/>
      <c r="AF1369" s="101"/>
      <c r="AG1369" s="101"/>
      <c r="AH1369" s="101"/>
      <c r="AI1369" s="101"/>
      <c r="AJ1369" s="101"/>
      <c r="AK1369" s="101"/>
      <c r="AL1369" s="101"/>
      <c r="AM1369" s="101"/>
      <c r="AN1369" s="101"/>
    </row>
    <row r="1370" spans="1:40" ht="16.5" customHeight="1" x14ac:dyDescent="0.3">
      <c r="A1370" s="59" t="s">
        <v>1987</v>
      </c>
      <c r="B1370" s="89" t="str">
        <f>"   프라이머 : "&amp;TEXT(I1370,"#,##0"&amp;IF(I1370&lt;&gt;INT(I1370),".###",""))&amp;" * "&amp;AA1370&amp;" kg  = "&amp;TEXT(C1370,"#,##0.0")&amp;""</f>
        <v xml:space="preserve">   프라이머 : 4,550 * 0.2 kg  = 910.0</v>
      </c>
      <c r="C1370" s="91">
        <f>E1370+D1370+F1370</f>
        <v>910</v>
      </c>
      <c r="D1370" s="91">
        <f>IF(H1370=0,0,ROUNDDOWN(J1370*H1370,1))</f>
        <v>0</v>
      </c>
      <c r="E1370" s="91">
        <f>IF(H1370=0,0,ROUNDDOWN(K1370*H1370,1))</f>
        <v>910</v>
      </c>
      <c r="F1370" s="91">
        <f>IF(H1370=0,0,ROUNDDOWN(L1370*H1370,1))</f>
        <v>0</v>
      </c>
      <c r="G1370" s="17" t="s">
        <v>1986</v>
      </c>
      <c r="H1370" s="97">
        <f>ROUNDUP(AC1370,14-LEN(ABS(INT(AC1370))))</f>
        <v>0.2</v>
      </c>
      <c r="I1370" s="98">
        <f>K1370+J1370+L1370</f>
        <v>4550</v>
      </c>
      <c r="K1370" s="38">
        <f>재료비목록표!E42</f>
        <v>4550</v>
      </c>
      <c r="M1370" s="35" t="s">
        <v>1988</v>
      </c>
      <c r="N1370" s="35" t="s">
        <v>1253</v>
      </c>
      <c r="O1370" s="35" t="s">
        <v>1214</v>
      </c>
      <c r="X1370" s="100" t="str">
        <f>재료비목록표!B42&amp;" / "&amp;재료비목록표!C42</f>
        <v xml:space="preserve">융착식 프라이머 / </v>
      </c>
      <c r="Y1370" s="3" t="str">
        <f ca="1">HYPERLINK("#"&amp;재료비목록표!G2&amp;"!A"&amp;ROW(재료비목록표!A42),"자재39 →")</f>
        <v>자재39 →</v>
      </c>
      <c r="Z1370" s="35" t="s">
        <v>1446</v>
      </c>
      <c r="AA1370" s="104">
        <v>0.2</v>
      </c>
      <c r="AB1370" s="35" t="s">
        <v>1410</v>
      </c>
      <c r="AC1370" s="103">
        <f>1*AA1370</f>
        <v>0.2</v>
      </c>
      <c r="AD1370" s="101"/>
      <c r="AE1370" s="101"/>
      <c r="AF1370" s="101"/>
      <c r="AG1370" s="101"/>
      <c r="AH1370" s="101"/>
      <c r="AI1370" s="101"/>
      <c r="AJ1370" s="101"/>
      <c r="AK1370" s="101"/>
      <c r="AL1370" s="101"/>
      <c r="AM1370" s="101"/>
      <c r="AN1370" s="101"/>
    </row>
    <row r="1371" spans="1:40" ht="16.5" customHeight="1" x14ac:dyDescent="0.3">
      <c r="A1371" s="59" t="s">
        <v>1990</v>
      </c>
      <c r="B1371" s="89" t="str">
        <f>"   프로판가스 : "&amp;TEXT(I1371,"#,##0"&amp;IF(I1371&lt;&gt;INT(I1371),".###",""))&amp;" * "&amp;AA1371&amp;" kg  = "&amp;TEXT(C1371,"#,##0.0")&amp;""</f>
        <v xml:space="preserve">   프로판가스 : 2,076 * 0.2 kg  = 415.2</v>
      </c>
      <c r="C1371" s="91">
        <f>E1371+D1371+F1371</f>
        <v>415.2</v>
      </c>
      <c r="D1371" s="91">
        <f>IF(H1371=0,0,ROUNDDOWN(J1371*H1371,1))</f>
        <v>0</v>
      </c>
      <c r="E1371" s="91">
        <f>IF(H1371=0,0,ROUNDDOWN(K1371*H1371,1))</f>
        <v>415.2</v>
      </c>
      <c r="F1371" s="91">
        <f>IF(H1371=0,0,ROUNDDOWN(L1371*H1371,1))</f>
        <v>0</v>
      </c>
      <c r="G1371" s="17" t="s">
        <v>1989</v>
      </c>
      <c r="H1371" s="97">
        <f>ROUNDUP(AC1371,14-LEN(ABS(INT(AC1371))))</f>
        <v>0.2</v>
      </c>
      <c r="I1371" s="98">
        <f>K1371+J1371+L1371</f>
        <v>2076</v>
      </c>
      <c r="K1371" s="38">
        <f>재료비목록표!E40</f>
        <v>2076</v>
      </c>
      <c r="M1371" s="35" t="s">
        <v>1991</v>
      </c>
      <c r="N1371" s="35" t="s">
        <v>1253</v>
      </c>
      <c r="O1371" s="35" t="s">
        <v>1214</v>
      </c>
      <c r="X1371" s="100" t="str">
        <f>재료비목록표!B40&amp;" / "&amp;재료비목록표!C40</f>
        <v>액화석유가스 / 액화석유가스, 건설용LPG</v>
      </c>
      <c r="Y1371" s="3" t="str">
        <f ca="1">HYPERLINK("#"&amp;재료비목록표!G2&amp;"!A"&amp;ROW(재료비목록표!A40),"자재37 →")</f>
        <v>자재37 →</v>
      </c>
      <c r="Z1371" s="35" t="s">
        <v>1446</v>
      </c>
      <c r="AA1371" s="104">
        <v>0.2</v>
      </c>
      <c r="AB1371" s="35" t="s">
        <v>1410</v>
      </c>
      <c r="AC1371" s="103">
        <f>1*AA1371</f>
        <v>0.2</v>
      </c>
      <c r="AD1371" s="101"/>
      <c r="AE1371" s="101"/>
      <c r="AF1371" s="101"/>
      <c r="AG1371" s="101"/>
      <c r="AH1371" s="101"/>
      <c r="AI1371" s="101"/>
      <c r="AJ1371" s="101"/>
      <c r="AK1371" s="101"/>
      <c r="AL1371" s="101"/>
      <c r="AM1371" s="101"/>
      <c r="AN1371" s="101"/>
    </row>
    <row r="1372" spans="1:40" ht="16.5" customHeight="1" x14ac:dyDescent="0.3">
      <c r="A1372" s="59"/>
      <c r="B1372" s="89" t="str">
        <f>"   잡재료비(인력품의 1%) : "&amp;TEXT(I1372,"#,##0.0")&amp;" * "&amp;AA1372&amp;" % = "&amp;TEXT(C1372,"#,##0.0")&amp;""</f>
        <v xml:space="preserve">   잡재료비(인력품의 1%) : 16,944.4 * 1 % = 169.4</v>
      </c>
      <c r="C1372" s="91">
        <f>E1372+D1372+F1372</f>
        <v>169.4</v>
      </c>
      <c r="D1372" s="91">
        <f>IF(H1372=0,0,ROUNDDOWN(J1372*H1372/100,1))</f>
        <v>0</v>
      </c>
      <c r="E1372" s="91">
        <f>IF(H1372=0,0,ROUNDDOWN(K1372*H1372/100,1))</f>
        <v>169.4</v>
      </c>
      <c r="F1372" s="91">
        <f>IF(H1372=0,0,ROUNDDOWN(L1372*H1372/100,1))</f>
        <v>0</v>
      </c>
      <c r="G1372" s="17" t="s">
        <v>1992</v>
      </c>
      <c r="H1372" s="97">
        <f>ROUNDUP(AC1372,14-LEN(ABS(INT(AC1372))))</f>
        <v>1</v>
      </c>
      <c r="I1372" s="98">
        <f>K1372+J1372+L1372</f>
        <v>16944.400000000001</v>
      </c>
      <c r="J1372" s="36">
        <v>0</v>
      </c>
      <c r="K1372" s="38">
        <f>C1368+C1369+C1370+C1371</f>
        <v>16944.400000000001</v>
      </c>
      <c r="L1372" s="36">
        <v>0</v>
      </c>
      <c r="M1372" s="35" t="s">
        <v>1059</v>
      </c>
      <c r="N1372" s="35" t="s">
        <v>1253</v>
      </c>
      <c r="O1372" s="35" t="s">
        <v>1214</v>
      </c>
      <c r="Z1372" s="35" t="s">
        <v>1446</v>
      </c>
      <c r="AA1372" s="102">
        <v>1</v>
      </c>
      <c r="AB1372" s="35" t="s">
        <v>1410</v>
      </c>
      <c r="AC1372" s="103">
        <f>1*AA1372</f>
        <v>1</v>
      </c>
      <c r="AD1372" s="101"/>
      <c r="AE1372" s="101"/>
      <c r="AF1372" s="101"/>
      <c r="AG1372" s="101"/>
      <c r="AH1372" s="101"/>
      <c r="AI1372" s="101"/>
      <c r="AJ1372" s="101"/>
      <c r="AK1372" s="101"/>
      <c r="AL1372" s="101"/>
      <c r="AM1372" s="101"/>
      <c r="AN1372" s="101"/>
    </row>
    <row r="1373" spans="1:40" ht="16.5" customHeight="1" x14ac:dyDescent="0.3">
      <c r="A1373" s="69"/>
      <c r="B1373" s="69"/>
      <c r="C1373" s="69"/>
      <c r="D1373" s="69"/>
      <c r="E1373" s="69"/>
      <c r="F1373" s="69"/>
      <c r="G1373" s="17" t="s">
        <v>1405</v>
      </c>
      <c r="Z1373" s="101"/>
      <c r="AA1373" s="101"/>
      <c r="AB1373" s="101"/>
      <c r="AC1373" s="101"/>
      <c r="AD1373" s="101"/>
      <c r="AE1373" s="101"/>
      <c r="AF1373" s="101"/>
      <c r="AG1373" s="101"/>
      <c r="AH1373" s="101"/>
      <c r="AI1373" s="101"/>
      <c r="AJ1373" s="101"/>
      <c r="AK1373" s="101"/>
      <c r="AL1373" s="101"/>
      <c r="AM1373" s="101"/>
      <c r="AN1373" s="101"/>
    </row>
    <row r="1374" spans="1:40" ht="16.5" customHeight="1" x14ac:dyDescent="0.3">
      <c r="A1374" s="59"/>
      <c r="B1374" s="68" t="s">
        <v>1251</v>
      </c>
      <c r="C1374" s="92">
        <f>E1374+D1374+F1374</f>
        <v>17113.800000000003</v>
      </c>
      <c r="D1374" s="92">
        <f>SUMIF(N1357:N1373,M1374,D1357:D1373)</f>
        <v>0</v>
      </c>
      <c r="E1374" s="92">
        <f>SUMIF(N1357:N1373,M1374,E1357:E1373)</f>
        <v>17113.800000000003</v>
      </c>
      <c r="F1374" s="92">
        <f>SUMIF(N1357:N1373,M1374,F1357:F1373)</f>
        <v>0</v>
      </c>
      <c r="G1374" s="17" t="s">
        <v>1993</v>
      </c>
      <c r="M1374" s="35" t="s">
        <v>1253</v>
      </c>
      <c r="N1374" s="35" t="s">
        <v>1844</v>
      </c>
      <c r="Z1374" s="101"/>
      <c r="AA1374" s="101"/>
      <c r="AB1374" s="101"/>
      <c r="AC1374" s="101"/>
      <c r="AD1374" s="101"/>
      <c r="AE1374" s="101"/>
      <c r="AF1374" s="101"/>
      <c r="AG1374" s="101"/>
      <c r="AH1374" s="101"/>
      <c r="AI1374" s="101"/>
      <c r="AJ1374" s="101"/>
      <c r="AK1374" s="101"/>
      <c r="AL1374" s="101"/>
      <c r="AM1374" s="101"/>
      <c r="AN1374" s="101"/>
    </row>
    <row r="1375" spans="1:40" ht="16.5" customHeight="1" x14ac:dyDescent="0.3">
      <c r="A1375" s="69"/>
      <c r="B1375" s="69"/>
      <c r="C1375" s="90"/>
      <c r="D1375" s="90"/>
      <c r="E1375" s="90"/>
      <c r="F1375" s="90"/>
      <c r="G1375" s="17" t="s">
        <v>1405</v>
      </c>
      <c r="Z1375" s="101"/>
      <c r="AA1375" s="101"/>
      <c r="AB1375" s="101"/>
      <c r="AC1375" s="101"/>
      <c r="AD1375" s="101"/>
      <c r="AE1375" s="101"/>
      <c r="AF1375" s="101"/>
      <c r="AG1375" s="101"/>
      <c r="AH1375" s="101"/>
      <c r="AI1375" s="101"/>
      <c r="AJ1375" s="101"/>
      <c r="AK1375" s="101"/>
      <c r="AL1375" s="101"/>
      <c r="AM1375" s="101"/>
      <c r="AN1375" s="101"/>
    </row>
    <row r="1376" spans="1:40" ht="16.5" customHeight="1" x14ac:dyDescent="0.3">
      <c r="A1376" s="59"/>
      <c r="B1376" s="68" t="s">
        <v>1995</v>
      </c>
      <c r="C1376" s="69"/>
      <c r="D1376" s="69"/>
      <c r="E1376" s="69"/>
      <c r="F1376" s="69"/>
      <c r="G1376" s="17" t="s">
        <v>1994</v>
      </c>
      <c r="Z1376" s="101"/>
      <c r="AA1376" s="101"/>
      <c r="AB1376" s="101"/>
      <c r="AC1376" s="101"/>
      <c r="AD1376" s="101"/>
      <c r="AE1376" s="101"/>
      <c r="AF1376" s="101"/>
      <c r="AG1376" s="101"/>
      <c r="AH1376" s="101"/>
      <c r="AI1376" s="101"/>
      <c r="AJ1376" s="101"/>
      <c r="AK1376" s="101"/>
      <c r="AL1376" s="101"/>
      <c r="AM1376" s="101"/>
      <c r="AN1376" s="101"/>
    </row>
    <row r="1377" spans="1:40" ht="16.5" customHeight="1" x14ac:dyDescent="0.3">
      <c r="A1377" s="69"/>
      <c r="B1377" s="69"/>
      <c r="C1377" s="69"/>
      <c r="D1377" s="69"/>
      <c r="E1377" s="69"/>
      <c r="F1377" s="69"/>
      <c r="G1377" s="17" t="s">
        <v>1405</v>
      </c>
      <c r="Z1377" s="101"/>
      <c r="AA1377" s="101"/>
      <c r="AB1377" s="101"/>
      <c r="AC1377" s="101"/>
      <c r="AD1377" s="101"/>
      <c r="AE1377" s="101"/>
      <c r="AF1377" s="101"/>
      <c r="AG1377" s="101"/>
      <c r="AH1377" s="101"/>
      <c r="AI1377" s="101"/>
      <c r="AJ1377" s="101"/>
      <c r="AK1377" s="101"/>
      <c r="AL1377" s="101"/>
      <c r="AM1377" s="101"/>
      <c r="AN1377" s="101"/>
    </row>
    <row r="1378" spans="1:40" ht="16.5" customHeight="1" x14ac:dyDescent="0.3">
      <c r="A1378" s="59" t="s">
        <v>1419</v>
      </c>
      <c r="B1378" s="89" t="str">
        <f>"   보통인부 : "&amp;TEXT(I1378,"#,##0"&amp;IF(I1378&lt;&gt;INT(I1378),".###",""))&amp;" * "&amp;AA1378&amp;" 인 / Q = "&amp;TEXT(C1378,"#,##0.0")&amp;""</f>
        <v xml:space="preserve">   보통인부 : 172,068 * 2 인 / Q = 491.6</v>
      </c>
      <c r="C1378" s="91">
        <f>E1378+D1378+F1378</f>
        <v>491.6</v>
      </c>
      <c r="D1378" s="91">
        <f>IF(H1378=0,0,ROUNDDOWN(J1378*H1378,1))</f>
        <v>491.6</v>
      </c>
      <c r="E1378" s="91">
        <f>IF(H1378=0,0,ROUNDDOWN(K1378*H1378,1))</f>
        <v>0</v>
      </c>
      <c r="F1378" s="91">
        <f>IF(H1378=0,0,ROUNDDOWN(L1378*H1378,1))</f>
        <v>0</v>
      </c>
      <c r="G1378" s="17" t="s">
        <v>1996</v>
      </c>
      <c r="H1378" s="97">
        <f>ROUNDUP(AE1378,14-LEN(ABS(INT(AE1378))))</f>
        <v>2.8571428571999998E-3</v>
      </c>
      <c r="I1378" s="98">
        <f>K1378+J1378+L1378</f>
        <v>172068</v>
      </c>
      <c r="J1378" s="38">
        <f>노무비목록표!E8</f>
        <v>172068</v>
      </c>
      <c r="M1378" s="35" t="s">
        <v>1219</v>
      </c>
      <c r="N1378" s="35" t="s">
        <v>1253</v>
      </c>
      <c r="O1378" s="35" t="s">
        <v>1997</v>
      </c>
      <c r="X1378" s="100" t="str">
        <f>노무비목록표!B8&amp;" / "&amp;노무비목록표!C8</f>
        <v xml:space="preserve">보통인부 / </v>
      </c>
      <c r="Y1378" s="3" t="str">
        <f ca="1">HYPERLINK("#"&amp;노무비목록표!G2&amp;"!A"&amp;ROW(노무비목록표!A8),"노무5 →")</f>
        <v>노무5 →</v>
      </c>
      <c r="Z1378" s="35" t="s">
        <v>1446</v>
      </c>
      <c r="AA1378" s="102">
        <v>2</v>
      </c>
      <c r="AB1378" s="35" t="s">
        <v>1413</v>
      </c>
      <c r="AC1378" s="103" t="str">
        <f>AD1362</f>
        <v>700.000</v>
      </c>
      <c r="AD1378" s="35" t="s">
        <v>1410</v>
      </c>
      <c r="AE1378" s="103">
        <f>1*AA1378/AD1362</f>
        <v>2.8571428571428571E-3</v>
      </c>
      <c r="AF1378" s="101"/>
      <c r="AG1378" s="101"/>
      <c r="AH1378" s="101"/>
      <c r="AI1378" s="101"/>
      <c r="AJ1378" s="101"/>
      <c r="AK1378" s="101"/>
      <c r="AL1378" s="101"/>
      <c r="AM1378" s="101"/>
      <c r="AN1378" s="101"/>
    </row>
    <row r="1379" spans="1:40" ht="16.5" customHeight="1" x14ac:dyDescent="0.3">
      <c r="A1379" s="59" t="s">
        <v>1416</v>
      </c>
      <c r="B1379" s="89" t="str">
        <f>"   특별인부 : "&amp;TEXT(I1379,"#,##0"&amp;IF(I1379&lt;&gt;INT(I1379),".###",""))&amp;" * "&amp;AA1379&amp;" 인 / Q = "&amp;TEXT(C1379,"#,##0.0")&amp;""</f>
        <v xml:space="preserve">   특별인부 : 226,122 * 2 인 / Q = 646.0</v>
      </c>
      <c r="C1379" s="91">
        <f>E1379+D1379+F1379</f>
        <v>646</v>
      </c>
      <c r="D1379" s="91">
        <f>IF(H1379=0,0,ROUNDDOWN(J1379*H1379,1))</f>
        <v>646</v>
      </c>
      <c r="E1379" s="91">
        <f>IF(H1379=0,0,ROUNDDOWN(K1379*H1379,1))</f>
        <v>0</v>
      </c>
      <c r="F1379" s="91">
        <f>IF(H1379=0,0,ROUNDDOWN(L1379*H1379,1))</f>
        <v>0</v>
      </c>
      <c r="G1379" s="17" t="s">
        <v>1998</v>
      </c>
      <c r="H1379" s="97">
        <f>ROUNDUP(AE1379,14-LEN(ABS(INT(AE1379))))</f>
        <v>2.8571428571999998E-3</v>
      </c>
      <c r="I1379" s="98">
        <f>K1379+J1379+L1379</f>
        <v>226122</v>
      </c>
      <c r="J1379" s="38">
        <f>노무비목록표!E13</f>
        <v>226122</v>
      </c>
      <c r="M1379" s="35" t="s">
        <v>1215</v>
      </c>
      <c r="N1379" s="35" t="s">
        <v>1253</v>
      </c>
      <c r="O1379" s="35" t="s">
        <v>1997</v>
      </c>
      <c r="X1379" s="100" t="str">
        <f>노무비목록표!B13&amp;" / "&amp;노무비목록표!C13</f>
        <v xml:space="preserve">특별인부 / </v>
      </c>
      <c r="Y1379" s="3" t="str">
        <f ca="1">HYPERLINK("#"&amp;노무비목록표!G2&amp;"!A"&amp;ROW(노무비목록표!A13),"노무10 →")</f>
        <v>노무10 →</v>
      </c>
      <c r="Z1379" s="35" t="s">
        <v>1446</v>
      </c>
      <c r="AA1379" s="102">
        <v>2</v>
      </c>
      <c r="AB1379" s="35" t="s">
        <v>1413</v>
      </c>
      <c r="AC1379" s="103" t="str">
        <f>AD1362</f>
        <v>700.000</v>
      </c>
      <c r="AD1379" s="35" t="s">
        <v>1410</v>
      </c>
      <c r="AE1379" s="103">
        <f>1*AA1379/AD1362</f>
        <v>2.8571428571428571E-3</v>
      </c>
      <c r="AF1379" s="101"/>
      <c r="AG1379" s="101"/>
      <c r="AH1379" s="101"/>
      <c r="AI1379" s="101"/>
      <c r="AJ1379" s="101"/>
      <c r="AK1379" s="101"/>
      <c r="AL1379" s="101"/>
      <c r="AM1379" s="101"/>
      <c r="AN1379" s="101"/>
    </row>
    <row r="1380" spans="1:40" ht="16.5" customHeight="1" x14ac:dyDescent="0.3">
      <c r="A1380" s="59"/>
      <c r="B1380" s="89" t="str">
        <f>"   공구손료(인력품의10%) : "&amp;TEXT(I1380,"#,##0.0")&amp;" * "&amp;AA1380&amp;" % = "&amp;TEXT(C1380,"#,##0.0")&amp;""</f>
        <v xml:space="preserve">   공구손료(인력품의10%) : 1,137.6 * 10 % = 113.7</v>
      </c>
      <c r="C1380" s="91">
        <f>E1380+D1380+F1380</f>
        <v>113.7</v>
      </c>
      <c r="D1380" s="91">
        <f>IF(H1380=0,0,ROUNDDOWN(J1380*H1380/100,1))</f>
        <v>0</v>
      </c>
      <c r="E1380" s="91">
        <f>IF(H1380=0,0,ROUNDDOWN(K1380*H1380/100,1))</f>
        <v>0</v>
      </c>
      <c r="F1380" s="91">
        <f>IF(H1380=0,0,ROUNDDOWN(L1380*H1380/100,1))</f>
        <v>113.7</v>
      </c>
      <c r="G1380" s="17" t="s">
        <v>2025</v>
      </c>
      <c r="H1380" s="97">
        <f>ROUNDUP(AC1380,14-LEN(ABS(INT(AC1380))))</f>
        <v>10</v>
      </c>
      <c r="I1380" s="98">
        <f>K1380+J1380+L1380</f>
        <v>1137.5999999999999</v>
      </c>
      <c r="J1380" s="36">
        <v>0</v>
      </c>
      <c r="K1380" s="36">
        <v>0</v>
      </c>
      <c r="L1380" s="38">
        <f>C1378+C1379</f>
        <v>1137.5999999999999</v>
      </c>
      <c r="M1380" s="35" t="s">
        <v>1059</v>
      </c>
      <c r="N1380" s="35" t="s">
        <v>1253</v>
      </c>
      <c r="O1380" s="35" t="s">
        <v>1997</v>
      </c>
      <c r="Z1380" s="35" t="s">
        <v>1446</v>
      </c>
      <c r="AA1380" s="102">
        <v>10</v>
      </c>
      <c r="AB1380" s="35" t="s">
        <v>1410</v>
      </c>
      <c r="AC1380" s="103">
        <f>1*AA1380</f>
        <v>10</v>
      </c>
      <c r="AD1380" s="101"/>
      <c r="AE1380" s="101"/>
      <c r="AF1380" s="101"/>
      <c r="AG1380" s="101"/>
      <c r="AH1380" s="101"/>
      <c r="AI1380" s="101"/>
      <c r="AJ1380" s="101"/>
      <c r="AK1380" s="101"/>
      <c r="AL1380" s="101"/>
      <c r="AM1380" s="101"/>
      <c r="AN1380" s="101"/>
    </row>
    <row r="1381" spans="1:40" ht="16.5" customHeight="1" x14ac:dyDescent="0.3">
      <c r="A1381" s="69"/>
      <c r="B1381" s="69"/>
      <c r="C1381" s="69"/>
      <c r="D1381" s="69"/>
      <c r="E1381" s="69"/>
      <c r="F1381" s="69"/>
      <c r="G1381" s="17" t="s">
        <v>1405</v>
      </c>
      <c r="Z1381" s="101"/>
      <c r="AA1381" s="101"/>
      <c r="AB1381" s="101"/>
      <c r="AC1381" s="101"/>
      <c r="AD1381" s="101"/>
      <c r="AE1381" s="101"/>
      <c r="AF1381" s="101"/>
      <c r="AG1381" s="101"/>
      <c r="AH1381" s="101"/>
      <c r="AI1381" s="101"/>
      <c r="AJ1381" s="101"/>
      <c r="AK1381" s="101"/>
      <c r="AL1381" s="101"/>
      <c r="AM1381" s="101"/>
      <c r="AN1381" s="101"/>
    </row>
    <row r="1382" spans="1:40" ht="16.5" customHeight="1" x14ac:dyDescent="0.3">
      <c r="A1382" s="69"/>
      <c r="B1382" s="69"/>
      <c r="C1382" s="69"/>
      <c r="D1382" s="69"/>
      <c r="E1382" s="69"/>
      <c r="F1382" s="69"/>
      <c r="G1382" s="17" t="s">
        <v>1405</v>
      </c>
      <c r="Z1382" s="101"/>
      <c r="AA1382" s="101"/>
      <c r="AB1382" s="101"/>
      <c r="AC1382" s="101"/>
      <c r="AD1382" s="101"/>
      <c r="AE1382" s="101"/>
      <c r="AF1382" s="101"/>
      <c r="AG1382" s="101"/>
      <c r="AH1382" s="101"/>
      <c r="AI1382" s="101"/>
      <c r="AJ1382" s="101"/>
      <c r="AK1382" s="101"/>
      <c r="AL1382" s="101"/>
      <c r="AM1382" s="101"/>
      <c r="AN1382" s="101"/>
    </row>
    <row r="1383" spans="1:40" ht="16.5" customHeight="1" x14ac:dyDescent="0.3">
      <c r="A1383" s="59"/>
      <c r="B1383" s="68" t="s">
        <v>1251</v>
      </c>
      <c r="C1383" s="92">
        <f>E1383+D1383+F1383</f>
        <v>1251.3</v>
      </c>
      <c r="D1383" s="92">
        <f>SUMIF(N1375:N1382,M1383,D1375:D1382)</f>
        <v>1137.5999999999999</v>
      </c>
      <c r="E1383" s="92">
        <f>SUMIF(N1375:N1382,M1383,E1375:E1382)</f>
        <v>0</v>
      </c>
      <c r="F1383" s="92">
        <f>SUMIF(N1375:N1382,M1383,F1375:F1382)</f>
        <v>113.7</v>
      </c>
      <c r="G1383" s="17" t="s">
        <v>1993</v>
      </c>
      <c r="M1383" s="35" t="s">
        <v>1253</v>
      </c>
      <c r="N1383" s="35" t="s">
        <v>1844</v>
      </c>
      <c r="Z1383" s="101"/>
      <c r="AA1383" s="101"/>
      <c r="AB1383" s="101"/>
      <c r="AC1383" s="101"/>
      <c r="AD1383" s="101"/>
      <c r="AE1383" s="101"/>
      <c r="AF1383" s="101"/>
      <c r="AG1383" s="101"/>
      <c r="AH1383" s="101"/>
      <c r="AI1383" s="101"/>
      <c r="AJ1383" s="101"/>
      <c r="AK1383" s="101"/>
      <c r="AL1383" s="101"/>
      <c r="AM1383" s="101"/>
      <c r="AN1383" s="101"/>
    </row>
    <row r="1384" spans="1:40" ht="16.5" customHeight="1" x14ac:dyDescent="0.3">
      <c r="A1384" s="69"/>
      <c r="B1384" s="69"/>
      <c r="C1384" s="90"/>
      <c r="D1384" s="90"/>
      <c r="E1384" s="90"/>
      <c r="F1384" s="90"/>
      <c r="G1384" s="17" t="s">
        <v>1525</v>
      </c>
      <c r="Z1384" s="101"/>
      <c r="AA1384" s="101"/>
      <c r="AB1384" s="101"/>
      <c r="AC1384" s="101"/>
      <c r="AD1384" s="101"/>
      <c r="AE1384" s="101"/>
      <c r="AF1384" s="101"/>
      <c r="AG1384" s="101"/>
      <c r="AH1384" s="101"/>
      <c r="AI1384" s="101"/>
      <c r="AJ1384" s="101"/>
      <c r="AK1384" s="101"/>
      <c r="AL1384" s="101"/>
      <c r="AM1384" s="101"/>
      <c r="AN1384" s="101"/>
    </row>
    <row r="1385" spans="1:40" ht="16.5" customHeight="1" x14ac:dyDescent="0.3">
      <c r="A1385" s="59"/>
      <c r="B1385" s="68" t="s">
        <v>2001</v>
      </c>
      <c r="C1385" s="69"/>
      <c r="D1385" s="69"/>
      <c r="E1385" s="69"/>
      <c r="F1385" s="69"/>
      <c r="G1385" s="17" t="s">
        <v>2000</v>
      </c>
      <c r="Z1385" s="101"/>
      <c r="AA1385" s="101"/>
      <c r="AB1385" s="101"/>
      <c r="AC1385" s="101"/>
      <c r="AD1385" s="101"/>
      <c r="AE1385" s="101"/>
      <c r="AF1385" s="101"/>
      <c r="AG1385" s="101"/>
      <c r="AH1385" s="101"/>
      <c r="AI1385" s="101"/>
      <c r="AJ1385" s="101"/>
      <c r="AK1385" s="101"/>
      <c r="AL1385" s="101"/>
      <c r="AM1385" s="101"/>
      <c r="AN1385" s="101"/>
    </row>
    <row r="1386" spans="1:40" ht="16.5" customHeight="1" x14ac:dyDescent="0.3">
      <c r="A1386" s="69"/>
      <c r="B1386" s="69"/>
      <c r="C1386" s="69"/>
      <c r="D1386" s="69"/>
      <c r="E1386" s="69"/>
      <c r="F1386" s="69"/>
      <c r="G1386" s="17" t="s">
        <v>1405</v>
      </c>
      <c r="Z1386" s="101"/>
      <c r="AA1386" s="101"/>
      <c r="AB1386" s="101"/>
      <c r="AC1386" s="101"/>
      <c r="AD1386" s="101"/>
      <c r="AE1386" s="101"/>
      <c r="AF1386" s="101"/>
      <c r="AG1386" s="101"/>
      <c r="AH1386" s="101"/>
      <c r="AI1386" s="101"/>
      <c r="AJ1386" s="101"/>
      <c r="AK1386" s="101"/>
      <c r="AL1386" s="101"/>
      <c r="AM1386" s="101"/>
      <c r="AN1386" s="101"/>
    </row>
    <row r="1387" spans="1:40" ht="16.5" customHeight="1" x14ac:dyDescent="0.3">
      <c r="A1387" s="59"/>
      <c r="B1387" s="68" t="s">
        <v>2003</v>
      </c>
      <c r="C1387" s="69"/>
      <c r="D1387" s="69"/>
      <c r="E1387" s="69"/>
      <c r="F1387" s="69"/>
      <c r="G1387" s="17" t="s">
        <v>2002</v>
      </c>
      <c r="Z1387" s="101"/>
      <c r="AA1387" s="101"/>
      <c r="AB1387" s="101"/>
      <c r="AC1387" s="101"/>
      <c r="AD1387" s="101"/>
      <c r="AE1387" s="101"/>
      <c r="AF1387" s="101"/>
      <c r="AG1387" s="101"/>
      <c r="AH1387" s="101"/>
      <c r="AI1387" s="101"/>
      <c r="AJ1387" s="101"/>
      <c r="AK1387" s="101"/>
      <c r="AL1387" s="101"/>
      <c r="AM1387" s="101"/>
      <c r="AN1387" s="101"/>
    </row>
    <row r="1388" spans="1:40" ht="16.5" customHeight="1" x14ac:dyDescent="0.3">
      <c r="A1388" s="69"/>
      <c r="B1388" s="69"/>
      <c r="C1388" s="69"/>
      <c r="D1388" s="69"/>
      <c r="E1388" s="69"/>
      <c r="F1388" s="69"/>
      <c r="G1388" s="17" t="s">
        <v>1405</v>
      </c>
      <c r="Z1388" s="101"/>
      <c r="AA1388" s="101"/>
      <c r="AB1388" s="101"/>
      <c r="AC1388" s="101"/>
      <c r="AD1388" s="101"/>
      <c r="AE1388" s="101"/>
      <c r="AF1388" s="101"/>
      <c r="AG1388" s="101"/>
      <c r="AH1388" s="101"/>
      <c r="AI1388" s="101"/>
      <c r="AJ1388" s="101"/>
      <c r="AK1388" s="101"/>
      <c r="AL1388" s="101"/>
      <c r="AM1388" s="101"/>
      <c r="AN1388" s="101"/>
    </row>
    <row r="1389" spans="1:40" ht="16.5" customHeight="1" x14ac:dyDescent="0.3">
      <c r="A1389" s="59" t="s">
        <v>2005</v>
      </c>
      <c r="B1389" s="89" t="str">
        <f>"    재료비: "&amp;TEXT(I1389,"#,##0"&amp;IF(I1389&lt;&gt;INT(I1389),".###",""))&amp;" / Q1 = "&amp;TEXT(C1389,"#,##0.0")&amp;""</f>
        <v xml:space="preserve">    재료비: 12,413 / Q1 = 141.8</v>
      </c>
      <c r="C1389" s="91">
        <f>E1389+D1389+F1389</f>
        <v>141.80000000000001</v>
      </c>
      <c r="D1389" s="91">
        <f>IF(H1389=0,0,ROUNDDOWN(J1389*H1389,1))</f>
        <v>0</v>
      </c>
      <c r="E1389" s="91">
        <f>IF(H1389=0,0,ROUNDDOWN(K1389*H1389,1))</f>
        <v>141.80000000000001</v>
      </c>
      <c r="F1389" s="91">
        <f>IF(H1389=0,0,ROUNDDOWN(L1389*H1389,1))</f>
        <v>0</v>
      </c>
      <c r="G1389" s="17" t="s">
        <v>2004</v>
      </c>
      <c r="H1389" s="97">
        <f>ROUNDUP(AC1389,14-LEN(ABS(INT(AC1389))))</f>
        <v>1.1428571428599999E-2</v>
      </c>
      <c r="I1389" s="98">
        <f>K1389+J1389+L1389</f>
        <v>12413</v>
      </c>
      <c r="K1389" s="38">
        <f>중기목록표!G15</f>
        <v>12413</v>
      </c>
      <c r="M1389" s="35" t="s">
        <v>2006</v>
      </c>
      <c r="N1389" s="35" t="s">
        <v>1262</v>
      </c>
      <c r="X1389" s="100" t="str">
        <f>중기목록표!B15&amp;" / "&amp;중기목록표!C15</f>
        <v>덤프트럭 / 4.5톤</v>
      </c>
      <c r="Y1389" s="3" t="str">
        <f ca="1">HYPERLINK("#"&amp;중기목록표!J2&amp;"!A"&amp;ROW(중기목록표!A15),"중기12 →")</f>
        <v>중기12 →</v>
      </c>
      <c r="Z1389" s="35" t="s">
        <v>1417</v>
      </c>
      <c r="AA1389" s="103" t="str">
        <f>AD1364</f>
        <v>87.500</v>
      </c>
      <c r="AB1389" s="35" t="s">
        <v>1410</v>
      </c>
      <c r="AC1389" s="103">
        <f>1/AD1364</f>
        <v>1.1428571428571429E-2</v>
      </c>
      <c r="AD1389" s="101"/>
      <c r="AE1389" s="101"/>
      <c r="AF1389" s="101"/>
      <c r="AG1389" s="101"/>
      <c r="AH1389" s="101"/>
      <c r="AI1389" s="101"/>
      <c r="AJ1389" s="101"/>
      <c r="AK1389" s="101"/>
      <c r="AL1389" s="101"/>
      <c r="AM1389" s="101"/>
      <c r="AN1389" s="101"/>
    </row>
    <row r="1390" spans="1:40" ht="16.5" customHeight="1" x14ac:dyDescent="0.3">
      <c r="A1390" s="59" t="s">
        <v>2008</v>
      </c>
      <c r="B1390" s="89" t="str">
        <f>"    노무비: "&amp;TEXT(I1390,"#,##0"&amp;IF(I1390&lt;&gt;INT(I1390),".###",""))&amp;" / Q1 = "&amp;TEXT(C1390,"#,##0.0")&amp;""</f>
        <v xml:space="preserve">    노무비: 49,778 / Q1 = 568.8</v>
      </c>
      <c r="C1390" s="91">
        <f>E1390+D1390+F1390</f>
        <v>568.79999999999995</v>
      </c>
      <c r="D1390" s="91">
        <f>IF(H1390=0,0,ROUNDDOWN(J1390*H1390,1))</f>
        <v>568.79999999999995</v>
      </c>
      <c r="E1390" s="91">
        <f>IF(H1390=0,0,ROUNDDOWN(K1390*H1390,1))</f>
        <v>0</v>
      </c>
      <c r="F1390" s="91">
        <f>IF(H1390=0,0,ROUNDDOWN(L1390*H1390,1))</f>
        <v>0</v>
      </c>
      <c r="G1390" s="17" t="s">
        <v>2007</v>
      </c>
      <c r="H1390" s="97">
        <f>ROUNDUP(AC1390,14-LEN(ABS(INT(AC1390))))</f>
        <v>1.1428571428599999E-2</v>
      </c>
      <c r="I1390" s="98">
        <f>K1390+J1390+L1390</f>
        <v>49778</v>
      </c>
      <c r="J1390" s="38">
        <f>중기목록표!F15</f>
        <v>49778</v>
      </c>
      <c r="M1390" s="35" t="s">
        <v>2006</v>
      </c>
      <c r="N1390" s="35" t="s">
        <v>1262</v>
      </c>
      <c r="X1390" s="100" t="str">
        <f>중기목록표!B15&amp;" / "&amp;중기목록표!C15</f>
        <v>덤프트럭 / 4.5톤</v>
      </c>
      <c r="Y1390" s="3" t="str">
        <f ca="1">HYPERLINK("#"&amp;중기목록표!J2&amp;"!A"&amp;ROW(중기목록표!A15),"중기12 →")</f>
        <v>중기12 →</v>
      </c>
      <c r="Z1390" s="35" t="s">
        <v>1417</v>
      </c>
      <c r="AA1390" s="103" t="str">
        <f>AD1364</f>
        <v>87.500</v>
      </c>
      <c r="AB1390" s="35" t="s">
        <v>1410</v>
      </c>
      <c r="AC1390" s="103">
        <f>1/AD1364</f>
        <v>1.1428571428571429E-2</v>
      </c>
      <c r="AD1390" s="101"/>
      <c r="AE1390" s="101"/>
      <c r="AF1390" s="101"/>
      <c r="AG1390" s="101"/>
      <c r="AH1390" s="101"/>
      <c r="AI1390" s="101"/>
      <c r="AJ1390" s="101"/>
      <c r="AK1390" s="101"/>
      <c r="AL1390" s="101"/>
      <c r="AM1390" s="101"/>
      <c r="AN1390" s="101"/>
    </row>
    <row r="1391" spans="1:40" ht="16.5" customHeight="1" x14ac:dyDescent="0.3">
      <c r="A1391" s="59" t="s">
        <v>2010</v>
      </c>
      <c r="B1391" s="89" t="str">
        <f>"    경  비: "&amp;TEXT(I1391,"#,##0"&amp;IF(I1391&lt;&gt;INT(I1391),".###",""))&amp;" / Q1 = "&amp;TEXT(C1391,"#,##0.0")&amp;""</f>
        <v xml:space="preserve">    경  비: 7,613 / Q1 = 87.0</v>
      </c>
      <c r="C1391" s="91">
        <f>E1391+D1391+F1391</f>
        <v>87</v>
      </c>
      <c r="D1391" s="91">
        <f>IF(H1391=0,0,ROUNDDOWN(J1391*H1391,1))</f>
        <v>0</v>
      </c>
      <c r="E1391" s="91">
        <f>IF(H1391=0,0,ROUNDDOWN(K1391*H1391,1))</f>
        <v>0</v>
      </c>
      <c r="F1391" s="91">
        <f>IF(H1391=0,0,ROUNDDOWN(L1391*H1391,1))</f>
        <v>87</v>
      </c>
      <c r="G1391" s="17" t="s">
        <v>2009</v>
      </c>
      <c r="H1391" s="97">
        <f>ROUNDUP(AC1391,14-LEN(ABS(INT(AC1391))))</f>
        <v>1.1428571428599999E-2</v>
      </c>
      <c r="I1391" s="98">
        <f>K1391+J1391+L1391</f>
        <v>7613</v>
      </c>
      <c r="L1391" s="38">
        <f>중기목록표!H15</f>
        <v>7613</v>
      </c>
      <c r="M1391" s="35" t="s">
        <v>2006</v>
      </c>
      <c r="N1391" s="35" t="s">
        <v>1262</v>
      </c>
      <c r="X1391" s="100" t="str">
        <f>중기목록표!B15&amp;" / "&amp;중기목록표!C15</f>
        <v>덤프트럭 / 4.5톤</v>
      </c>
      <c r="Y1391" s="3" t="str">
        <f ca="1">HYPERLINK("#"&amp;중기목록표!J2&amp;"!A"&amp;ROW(중기목록표!A15),"중기12 →")</f>
        <v>중기12 →</v>
      </c>
      <c r="Z1391" s="35" t="s">
        <v>1417</v>
      </c>
      <c r="AA1391" s="103" t="str">
        <f>AD1364</f>
        <v>87.500</v>
      </c>
      <c r="AB1391" s="35" t="s">
        <v>1410</v>
      </c>
      <c r="AC1391" s="103">
        <f>1/AD1364</f>
        <v>1.1428571428571429E-2</v>
      </c>
      <c r="AD1391" s="101"/>
      <c r="AE1391" s="101"/>
      <c r="AF1391" s="101"/>
      <c r="AG1391" s="101"/>
      <c r="AH1391" s="101"/>
      <c r="AI1391" s="101"/>
      <c r="AJ1391" s="101"/>
      <c r="AK1391" s="101"/>
      <c r="AL1391" s="101"/>
      <c r="AM1391" s="101"/>
      <c r="AN1391" s="101"/>
    </row>
    <row r="1392" spans="1:40" ht="16.5" customHeight="1" x14ac:dyDescent="0.3">
      <c r="A1392" s="59"/>
      <c r="B1392" s="68" t="s">
        <v>1260</v>
      </c>
      <c r="C1392" s="92">
        <f>E1392+D1392+F1392</f>
        <v>797.59999999999991</v>
      </c>
      <c r="D1392" s="92">
        <f>SUMIF(N1384:N1391,M1392,D1384:D1391)</f>
        <v>568.79999999999995</v>
      </c>
      <c r="E1392" s="92">
        <f>SUMIF(N1384:N1391,M1392,E1384:E1391)</f>
        <v>141.80000000000001</v>
      </c>
      <c r="F1392" s="92">
        <f>SUMIF(N1384:N1391,M1392,F1384:F1391)</f>
        <v>87</v>
      </c>
      <c r="G1392" s="17" t="s">
        <v>2011</v>
      </c>
      <c r="M1392" s="35" t="s">
        <v>1262</v>
      </c>
      <c r="N1392" s="35" t="s">
        <v>1253</v>
      </c>
      <c r="Z1392" s="101"/>
      <c r="AA1392" s="101"/>
      <c r="AB1392" s="101"/>
      <c r="AC1392" s="101"/>
      <c r="AD1392" s="101"/>
      <c r="AE1392" s="101"/>
      <c r="AF1392" s="101"/>
      <c r="AG1392" s="101"/>
      <c r="AH1392" s="101"/>
      <c r="AI1392" s="101"/>
      <c r="AJ1392" s="101"/>
      <c r="AK1392" s="101"/>
      <c r="AL1392" s="101"/>
      <c r="AM1392" s="101"/>
      <c r="AN1392" s="101"/>
    </row>
    <row r="1393" spans="1:40" ht="16.5" customHeight="1" x14ac:dyDescent="0.3">
      <c r="A1393" s="69"/>
      <c r="B1393" s="69"/>
      <c r="C1393" s="90"/>
      <c r="D1393" s="90"/>
      <c r="E1393" s="90"/>
      <c r="F1393" s="90"/>
      <c r="G1393" s="17" t="s">
        <v>1405</v>
      </c>
      <c r="Z1393" s="101"/>
      <c r="AA1393" s="101"/>
      <c r="AB1393" s="101"/>
      <c r="AC1393" s="101"/>
      <c r="AD1393" s="101"/>
      <c r="AE1393" s="101"/>
      <c r="AF1393" s="101"/>
      <c r="AG1393" s="101"/>
      <c r="AH1393" s="101"/>
      <c r="AI1393" s="101"/>
      <c r="AJ1393" s="101"/>
      <c r="AK1393" s="101"/>
      <c r="AL1393" s="101"/>
      <c r="AM1393" s="101"/>
      <c r="AN1393" s="101"/>
    </row>
    <row r="1394" spans="1:40" ht="16.5" customHeight="1" x14ac:dyDescent="0.3">
      <c r="A1394" s="59"/>
      <c r="B1394" s="68" t="s">
        <v>2027</v>
      </c>
      <c r="C1394" s="69"/>
      <c r="D1394" s="69"/>
      <c r="E1394" s="69"/>
      <c r="F1394" s="69"/>
      <c r="G1394" s="17" t="s">
        <v>2026</v>
      </c>
      <c r="Z1394" s="101"/>
      <c r="AA1394" s="101"/>
      <c r="AB1394" s="101"/>
      <c r="AC1394" s="101"/>
      <c r="AD1394" s="101"/>
      <c r="AE1394" s="101"/>
      <c r="AF1394" s="101"/>
      <c r="AG1394" s="101"/>
      <c r="AH1394" s="101"/>
      <c r="AI1394" s="101"/>
      <c r="AJ1394" s="101"/>
      <c r="AK1394" s="101"/>
      <c r="AL1394" s="101"/>
      <c r="AM1394" s="101"/>
      <c r="AN1394" s="101"/>
    </row>
    <row r="1395" spans="1:40" ht="16.5" customHeight="1" x14ac:dyDescent="0.3">
      <c r="A1395" s="69"/>
      <c r="B1395" s="69"/>
      <c r="C1395" s="69"/>
      <c r="D1395" s="69"/>
      <c r="E1395" s="69"/>
      <c r="F1395" s="69"/>
      <c r="G1395" s="17" t="s">
        <v>1405</v>
      </c>
      <c r="Z1395" s="101"/>
      <c r="AA1395" s="101"/>
      <c r="AB1395" s="101"/>
      <c r="AC1395" s="101"/>
      <c r="AD1395" s="101"/>
      <c r="AE1395" s="101"/>
      <c r="AF1395" s="101"/>
      <c r="AG1395" s="101"/>
      <c r="AH1395" s="101"/>
      <c r="AI1395" s="101"/>
      <c r="AJ1395" s="101"/>
      <c r="AK1395" s="101"/>
      <c r="AL1395" s="101"/>
      <c r="AM1395" s="101"/>
      <c r="AN1395" s="101"/>
    </row>
    <row r="1396" spans="1:40" ht="16.5" customHeight="1" x14ac:dyDescent="0.3">
      <c r="A1396" s="59" t="s">
        <v>2015</v>
      </c>
      <c r="B1396" s="89" t="str">
        <f>"    재료비: "&amp;TEXT(I1396,"#,##0"&amp;IF(I1396&lt;&gt;INT(I1396),".###",""))&amp;" / Q1 = "&amp;TEXT(C1396,"#,##0.0")&amp;""</f>
        <v xml:space="preserve">    재료비: 7,199 / Q1 = 82.2</v>
      </c>
      <c r="C1396" s="91">
        <f>E1396+D1396+F1396</f>
        <v>82.2</v>
      </c>
      <c r="D1396" s="91">
        <f>IF(H1396=0,0,ROUNDDOWN(J1396*H1396,1))</f>
        <v>0</v>
      </c>
      <c r="E1396" s="91">
        <f>IF(H1396=0,0,ROUNDDOWN(K1396*H1396,1))</f>
        <v>82.2</v>
      </c>
      <c r="F1396" s="91">
        <f>IF(H1396=0,0,ROUNDDOWN(L1396*H1396,1))</f>
        <v>0</v>
      </c>
      <c r="G1396" s="17" t="s">
        <v>2014</v>
      </c>
      <c r="H1396" s="97">
        <f>ROUNDUP(AC1396,14-LEN(ABS(INT(AC1396))))</f>
        <v>1.1428571428599999E-2</v>
      </c>
      <c r="I1396" s="98">
        <f>K1396+J1396+L1396</f>
        <v>7199</v>
      </c>
      <c r="K1396" s="38">
        <f>중기목록표!G14</f>
        <v>7199</v>
      </c>
      <c r="M1396" s="35" t="s">
        <v>1225</v>
      </c>
      <c r="N1396" s="35" t="s">
        <v>1262</v>
      </c>
      <c r="X1396" s="100" t="str">
        <f>중기목록표!B14&amp;" / "&amp;중기목록표!C14</f>
        <v>덤프트럭 / 2.5톤</v>
      </c>
      <c r="Y1396" s="3" t="str">
        <f ca="1">HYPERLINK("#"&amp;중기목록표!J2&amp;"!A"&amp;ROW(중기목록표!A14),"중기11 →")</f>
        <v>중기11 →</v>
      </c>
      <c r="Z1396" s="35" t="s">
        <v>1417</v>
      </c>
      <c r="AA1396" s="103" t="str">
        <f>AD1364</f>
        <v>87.500</v>
      </c>
      <c r="AB1396" s="35" t="s">
        <v>1410</v>
      </c>
      <c r="AC1396" s="103">
        <f>1/AD1364</f>
        <v>1.1428571428571429E-2</v>
      </c>
      <c r="AD1396" s="101"/>
      <c r="AE1396" s="101"/>
      <c r="AF1396" s="101"/>
      <c r="AG1396" s="101"/>
      <c r="AH1396" s="101"/>
      <c r="AI1396" s="101"/>
      <c r="AJ1396" s="101"/>
      <c r="AK1396" s="101"/>
      <c r="AL1396" s="101"/>
      <c r="AM1396" s="101"/>
      <c r="AN1396" s="101"/>
    </row>
    <row r="1397" spans="1:40" ht="16.5" customHeight="1" x14ac:dyDescent="0.3">
      <c r="A1397" s="59" t="s">
        <v>2017</v>
      </c>
      <c r="B1397" s="89" t="str">
        <f>"    노무비: "&amp;TEXT(I1397,"#,##0"&amp;IF(I1397&lt;&gt;INT(I1397),".###",""))&amp;" / Q1 = "&amp;TEXT(C1397,"#,##0.0")&amp;""</f>
        <v xml:space="preserve">    노무비: 49,778 / Q1 = 568.8</v>
      </c>
      <c r="C1397" s="91">
        <f>E1397+D1397+F1397</f>
        <v>568.79999999999995</v>
      </c>
      <c r="D1397" s="91">
        <f>IF(H1397=0,0,ROUNDDOWN(J1397*H1397,1))</f>
        <v>568.79999999999995</v>
      </c>
      <c r="E1397" s="91">
        <f>IF(H1397=0,0,ROUNDDOWN(K1397*H1397,1))</f>
        <v>0</v>
      </c>
      <c r="F1397" s="91">
        <f>IF(H1397=0,0,ROUNDDOWN(L1397*H1397,1))</f>
        <v>0</v>
      </c>
      <c r="G1397" s="17" t="s">
        <v>2016</v>
      </c>
      <c r="H1397" s="97">
        <f>ROUNDUP(AC1397,14-LEN(ABS(INT(AC1397))))</f>
        <v>1.1428571428599999E-2</v>
      </c>
      <c r="I1397" s="98">
        <f>K1397+J1397+L1397</f>
        <v>49778</v>
      </c>
      <c r="J1397" s="38">
        <f>중기목록표!F14</f>
        <v>49778</v>
      </c>
      <c r="M1397" s="35" t="s">
        <v>1225</v>
      </c>
      <c r="N1397" s="35" t="s">
        <v>1262</v>
      </c>
      <c r="X1397" s="100" t="str">
        <f>중기목록표!B14&amp;" / "&amp;중기목록표!C14</f>
        <v>덤프트럭 / 2.5톤</v>
      </c>
      <c r="Y1397" s="3" t="str">
        <f ca="1">HYPERLINK("#"&amp;중기목록표!J2&amp;"!A"&amp;ROW(중기목록표!A14),"중기11 →")</f>
        <v>중기11 →</v>
      </c>
      <c r="Z1397" s="35" t="s">
        <v>1417</v>
      </c>
      <c r="AA1397" s="103" t="str">
        <f>AD1364</f>
        <v>87.500</v>
      </c>
      <c r="AB1397" s="35" t="s">
        <v>1410</v>
      </c>
      <c r="AC1397" s="103">
        <f>1/AD1364</f>
        <v>1.1428571428571429E-2</v>
      </c>
      <c r="AD1397" s="101"/>
      <c r="AE1397" s="101"/>
      <c r="AF1397" s="101"/>
      <c r="AG1397" s="101"/>
      <c r="AH1397" s="101"/>
      <c r="AI1397" s="101"/>
      <c r="AJ1397" s="101"/>
      <c r="AK1397" s="101"/>
      <c r="AL1397" s="101"/>
      <c r="AM1397" s="101"/>
      <c r="AN1397" s="101"/>
    </row>
    <row r="1398" spans="1:40" ht="16.5" customHeight="1" x14ac:dyDescent="0.3">
      <c r="A1398" s="59" t="s">
        <v>2019</v>
      </c>
      <c r="B1398" s="89" t="str">
        <f>"    경  비: "&amp;TEXT(I1398,"#,##0"&amp;IF(I1398&lt;&gt;INT(I1398),".###",""))&amp;" / Q1 = "&amp;TEXT(C1398,"#,##0.0")&amp;""</f>
        <v xml:space="preserve">    경  비: 6,522 / Q1 = 74.5</v>
      </c>
      <c r="C1398" s="91">
        <f>E1398+D1398+F1398</f>
        <v>74.5</v>
      </c>
      <c r="D1398" s="91">
        <f>IF(H1398=0,0,ROUNDDOWN(J1398*H1398,1))</f>
        <v>0</v>
      </c>
      <c r="E1398" s="91">
        <f>IF(H1398=0,0,ROUNDDOWN(K1398*H1398,1))</f>
        <v>0</v>
      </c>
      <c r="F1398" s="91">
        <f>IF(H1398=0,0,ROUNDDOWN(L1398*H1398,1))</f>
        <v>74.5</v>
      </c>
      <c r="G1398" s="17" t="s">
        <v>2018</v>
      </c>
      <c r="H1398" s="97">
        <f>ROUNDUP(AC1398,14-LEN(ABS(INT(AC1398))))</f>
        <v>1.1428571428599999E-2</v>
      </c>
      <c r="I1398" s="98">
        <f>K1398+J1398+L1398</f>
        <v>6522</v>
      </c>
      <c r="L1398" s="38">
        <f>중기목록표!H14</f>
        <v>6522</v>
      </c>
      <c r="M1398" s="35" t="s">
        <v>1225</v>
      </c>
      <c r="N1398" s="35" t="s">
        <v>1262</v>
      </c>
      <c r="X1398" s="100" t="str">
        <f>중기목록표!B14&amp;" / "&amp;중기목록표!C14</f>
        <v>덤프트럭 / 2.5톤</v>
      </c>
      <c r="Y1398" s="3" t="str">
        <f ca="1">HYPERLINK("#"&amp;중기목록표!J2&amp;"!A"&amp;ROW(중기목록표!A14),"중기11 →")</f>
        <v>중기11 →</v>
      </c>
      <c r="Z1398" s="35" t="s">
        <v>1417</v>
      </c>
      <c r="AA1398" s="103" t="str">
        <f>AD1364</f>
        <v>87.500</v>
      </c>
      <c r="AB1398" s="35" t="s">
        <v>1410</v>
      </c>
      <c r="AC1398" s="103">
        <f>1/AD1364</f>
        <v>1.1428571428571429E-2</v>
      </c>
      <c r="AD1398" s="101"/>
      <c r="AE1398" s="101"/>
      <c r="AF1398" s="101"/>
      <c r="AG1398" s="101"/>
      <c r="AH1398" s="101"/>
      <c r="AI1398" s="101"/>
      <c r="AJ1398" s="101"/>
      <c r="AK1398" s="101"/>
      <c r="AL1398" s="101"/>
      <c r="AM1398" s="101"/>
      <c r="AN1398" s="101"/>
    </row>
    <row r="1399" spans="1:40" ht="16.5" customHeight="1" x14ac:dyDescent="0.3">
      <c r="A1399" s="59"/>
      <c r="B1399" s="68" t="s">
        <v>1260</v>
      </c>
      <c r="C1399" s="92">
        <f>E1399+D1399+F1399</f>
        <v>725.5</v>
      </c>
      <c r="D1399" s="92">
        <f>SUMIF(N1393:N1398,M1399,D1393:D1398)</f>
        <v>568.79999999999995</v>
      </c>
      <c r="E1399" s="92">
        <f>SUMIF(N1393:N1398,M1399,E1393:E1398)</f>
        <v>82.2</v>
      </c>
      <c r="F1399" s="92">
        <f>SUMIF(N1393:N1398,M1399,F1393:F1398)</f>
        <v>74.5</v>
      </c>
      <c r="G1399" s="17" t="s">
        <v>2011</v>
      </c>
      <c r="M1399" s="35" t="s">
        <v>1262</v>
      </c>
      <c r="N1399" s="35" t="s">
        <v>1253</v>
      </c>
      <c r="Z1399" s="101"/>
      <c r="AA1399" s="101"/>
      <c r="AB1399" s="101"/>
      <c r="AC1399" s="101"/>
      <c r="AD1399" s="101"/>
      <c r="AE1399" s="101"/>
      <c r="AF1399" s="101"/>
      <c r="AG1399" s="101"/>
      <c r="AH1399" s="101"/>
      <c r="AI1399" s="101"/>
      <c r="AJ1399" s="101"/>
      <c r="AK1399" s="101"/>
      <c r="AL1399" s="101"/>
      <c r="AM1399" s="101"/>
      <c r="AN1399" s="101"/>
    </row>
    <row r="1400" spans="1:40" ht="16.5" customHeight="1" x14ac:dyDescent="0.3">
      <c r="A1400" s="69"/>
      <c r="B1400" s="69"/>
      <c r="C1400" s="90"/>
      <c r="D1400" s="90"/>
      <c r="E1400" s="90"/>
      <c r="F1400" s="90"/>
      <c r="G1400" s="17" t="s">
        <v>1405</v>
      </c>
      <c r="Z1400" s="101"/>
      <c r="AA1400" s="101"/>
      <c r="AB1400" s="101"/>
      <c r="AC1400" s="101"/>
      <c r="AD1400" s="101"/>
      <c r="AE1400" s="101"/>
      <c r="AF1400" s="101"/>
      <c r="AG1400" s="101"/>
      <c r="AH1400" s="101"/>
      <c r="AI1400" s="101"/>
      <c r="AJ1400" s="101"/>
      <c r="AK1400" s="101"/>
      <c r="AL1400" s="101"/>
      <c r="AM1400" s="101"/>
      <c r="AN1400" s="101"/>
    </row>
    <row r="1401" spans="1:40" ht="16.5" customHeight="1" x14ac:dyDescent="0.3">
      <c r="A1401" s="59"/>
      <c r="B1401" s="68" t="s">
        <v>1251</v>
      </c>
      <c r="C1401" s="92">
        <f>E1401+D1401+F1401</f>
        <v>1523.1</v>
      </c>
      <c r="D1401" s="92">
        <f>SUMIF(N1384:N1400,M1401,D1384:D1400)</f>
        <v>1137.5999999999999</v>
      </c>
      <c r="E1401" s="92">
        <f>SUMIF(N1384:N1400,M1401,E1384:E1400)</f>
        <v>224</v>
      </c>
      <c r="F1401" s="92">
        <f>SUMIF(N1384:N1400,M1401,F1384:F1400)</f>
        <v>161.5</v>
      </c>
      <c r="G1401" s="17" t="s">
        <v>1476</v>
      </c>
      <c r="M1401" s="35" t="s">
        <v>1253</v>
      </c>
      <c r="N1401" s="35" t="s">
        <v>1844</v>
      </c>
      <c r="Z1401" s="101"/>
      <c r="AA1401" s="101"/>
      <c r="AB1401" s="101"/>
      <c r="AC1401" s="101"/>
      <c r="AD1401" s="101"/>
      <c r="AE1401" s="101"/>
      <c r="AF1401" s="101"/>
      <c r="AG1401" s="101"/>
      <c r="AH1401" s="101"/>
      <c r="AI1401" s="101"/>
      <c r="AJ1401" s="101"/>
      <c r="AK1401" s="101"/>
      <c r="AL1401" s="101"/>
      <c r="AM1401" s="101"/>
      <c r="AN1401" s="101"/>
    </row>
    <row r="1402" spans="1:40" ht="16.5" customHeight="1" x14ac:dyDescent="0.3">
      <c r="A1402" s="69"/>
      <c r="B1402" s="69"/>
      <c r="C1402" s="90"/>
      <c r="D1402" s="90"/>
      <c r="E1402" s="90"/>
      <c r="F1402" s="90"/>
      <c r="G1402" s="17" t="s">
        <v>1405</v>
      </c>
      <c r="Z1402" s="101"/>
      <c r="AA1402" s="101"/>
      <c r="AB1402" s="101"/>
      <c r="AC1402" s="101"/>
      <c r="AD1402" s="101"/>
      <c r="AE1402" s="101"/>
      <c r="AF1402" s="101"/>
      <c r="AG1402" s="101"/>
      <c r="AH1402" s="101"/>
      <c r="AI1402" s="101"/>
      <c r="AJ1402" s="101"/>
      <c r="AK1402" s="101"/>
      <c r="AL1402" s="101"/>
      <c r="AM1402" s="101"/>
      <c r="AN1402" s="101"/>
    </row>
    <row r="1403" spans="1:40" ht="16.5" customHeight="1" x14ac:dyDescent="0.3">
      <c r="A1403" s="59"/>
      <c r="B1403" s="68" t="s">
        <v>1843</v>
      </c>
      <c r="C1403" s="92">
        <f>E1403+D1403+F1403</f>
        <v>19888.200000000004</v>
      </c>
      <c r="D1403" s="92">
        <f>SUMIF(N1357:N1402,M1403,D1357:D1402)</f>
        <v>2275.1999999999998</v>
      </c>
      <c r="E1403" s="92">
        <f>SUMIF(N1357:N1402,M1403,E1357:E1402)</f>
        <v>17337.800000000003</v>
      </c>
      <c r="F1403" s="92">
        <f>SUMIF(N1357:N1402,M1403,F1357:F1402)</f>
        <v>275.2</v>
      </c>
      <c r="G1403" s="17" t="s">
        <v>1842</v>
      </c>
      <c r="M1403" s="35" t="s">
        <v>1844</v>
      </c>
      <c r="N1403" s="35" t="s">
        <v>1209</v>
      </c>
      <c r="Z1403" s="101"/>
      <c r="AA1403" s="101"/>
      <c r="AB1403" s="101"/>
      <c r="AC1403" s="101"/>
      <c r="AD1403" s="101"/>
      <c r="AE1403" s="101"/>
      <c r="AF1403" s="101"/>
      <c r="AG1403" s="101"/>
      <c r="AH1403" s="101"/>
      <c r="AI1403" s="101"/>
      <c r="AJ1403" s="101"/>
      <c r="AK1403" s="101"/>
      <c r="AL1403" s="101"/>
      <c r="AM1403" s="101"/>
      <c r="AN1403" s="101"/>
    </row>
    <row r="1404" spans="1:40" ht="16.5" customHeight="1" x14ac:dyDescent="0.3">
      <c r="A1404" s="69"/>
      <c r="B1404" s="69"/>
      <c r="C1404" s="90"/>
      <c r="D1404" s="90"/>
      <c r="E1404" s="90"/>
      <c r="F1404" s="90"/>
      <c r="Z1404" s="101"/>
      <c r="AA1404" s="101"/>
      <c r="AB1404" s="101"/>
      <c r="AC1404" s="101"/>
      <c r="AD1404" s="101"/>
      <c r="AE1404" s="101"/>
      <c r="AF1404" s="101"/>
      <c r="AG1404" s="101"/>
      <c r="AH1404" s="101"/>
      <c r="AI1404" s="101"/>
      <c r="AJ1404" s="101"/>
      <c r="AK1404" s="101"/>
      <c r="AL1404" s="101"/>
      <c r="AM1404" s="101"/>
      <c r="AN1404" s="101"/>
    </row>
    <row r="1405" spans="1:40" ht="16.5" customHeight="1" x14ac:dyDescent="0.3">
      <c r="A1405" s="69"/>
      <c r="B1405" s="69"/>
      <c r="C1405" s="69"/>
      <c r="D1405" s="69"/>
      <c r="E1405" s="69"/>
      <c r="F1405" s="69"/>
      <c r="Z1405" s="101"/>
      <c r="AA1405" s="101"/>
      <c r="AB1405" s="101"/>
      <c r="AC1405" s="101"/>
      <c r="AD1405" s="101"/>
      <c r="AE1405" s="101"/>
      <c r="AF1405" s="101"/>
      <c r="AG1405" s="101"/>
      <c r="AH1405" s="101"/>
      <c r="AI1405" s="101"/>
      <c r="AJ1405" s="101"/>
      <c r="AK1405" s="101"/>
      <c r="AL1405" s="101"/>
      <c r="AM1405" s="101"/>
      <c r="AN1405" s="101"/>
    </row>
    <row r="1406" spans="1:40" ht="16.5" customHeight="1" x14ac:dyDescent="0.3">
      <c r="A1406" s="69"/>
      <c r="B1406" s="69"/>
      <c r="C1406" s="69"/>
      <c r="D1406" s="69"/>
      <c r="E1406" s="69"/>
      <c r="F1406" s="69"/>
      <c r="Z1406" s="101"/>
      <c r="AA1406" s="101"/>
      <c r="AB1406" s="101"/>
      <c r="AC1406" s="101"/>
      <c r="AD1406" s="101"/>
      <c r="AE1406" s="101"/>
      <c r="AF1406" s="101"/>
      <c r="AG1406" s="101"/>
      <c r="AH1406" s="101"/>
      <c r="AI1406" s="101"/>
      <c r="AJ1406" s="101"/>
      <c r="AK1406" s="101"/>
      <c r="AL1406" s="101"/>
      <c r="AM1406" s="101"/>
      <c r="AN1406" s="101"/>
    </row>
    <row r="1407" spans="1:40" ht="16.5" customHeight="1" x14ac:dyDescent="0.3">
      <c r="A1407" s="69"/>
      <c r="B1407" s="69"/>
      <c r="C1407" s="69"/>
      <c r="D1407" s="69"/>
      <c r="E1407" s="69"/>
      <c r="F1407" s="69"/>
      <c r="Z1407" s="101"/>
      <c r="AA1407" s="101"/>
      <c r="AB1407" s="101"/>
      <c r="AC1407" s="101"/>
      <c r="AD1407" s="101"/>
      <c r="AE1407" s="101"/>
      <c r="AF1407" s="101"/>
      <c r="AG1407" s="101"/>
      <c r="AH1407" s="101"/>
      <c r="AI1407" s="101"/>
      <c r="AJ1407" s="101"/>
      <c r="AK1407" s="101"/>
      <c r="AL1407" s="101"/>
      <c r="AM1407" s="101"/>
      <c r="AN1407" s="101"/>
    </row>
    <row r="1408" spans="1:40" ht="16.5" customHeight="1" x14ac:dyDescent="0.3">
      <c r="A1408" s="69"/>
      <c r="B1408" s="69"/>
      <c r="C1408" s="69"/>
      <c r="D1408" s="69"/>
      <c r="E1408" s="69"/>
      <c r="F1408" s="69"/>
      <c r="Z1408" s="101"/>
      <c r="AA1408" s="101"/>
      <c r="AB1408" s="101"/>
      <c r="AC1408" s="101"/>
      <c r="AD1408" s="101"/>
      <c r="AE1408" s="101"/>
      <c r="AF1408" s="101"/>
      <c r="AG1408" s="101"/>
      <c r="AH1408" s="101"/>
      <c r="AI1408" s="101"/>
      <c r="AJ1408" s="101"/>
      <c r="AK1408" s="101"/>
      <c r="AL1408" s="101"/>
      <c r="AM1408" s="101"/>
      <c r="AN1408" s="101"/>
    </row>
    <row r="1409" spans="1:40" ht="16.5" customHeight="1" x14ac:dyDescent="0.3">
      <c r="A1409" s="69"/>
      <c r="B1409" s="69"/>
      <c r="C1409" s="69"/>
      <c r="D1409" s="69"/>
      <c r="E1409" s="69"/>
      <c r="F1409" s="69"/>
      <c r="Z1409" s="101"/>
      <c r="AA1409" s="101"/>
      <c r="AB1409" s="101"/>
      <c r="AC1409" s="101"/>
      <c r="AD1409" s="101"/>
      <c r="AE1409" s="101"/>
      <c r="AF1409" s="101"/>
      <c r="AG1409" s="101"/>
      <c r="AH1409" s="101"/>
      <c r="AI1409" s="101"/>
      <c r="AJ1409" s="101"/>
      <c r="AK1409" s="101"/>
      <c r="AL1409" s="101"/>
      <c r="AM1409" s="101"/>
      <c r="AN1409" s="101"/>
    </row>
    <row r="1410" spans="1:40" ht="16.5" customHeight="1" x14ac:dyDescent="0.3">
      <c r="A1410" s="69"/>
      <c r="B1410" s="69"/>
      <c r="C1410" s="69"/>
      <c r="D1410" s="69"/>
      <c r="E1410" s="69"/>
      <c r="F1410" s="69"/>
      <c r="Z1410" s="101"/>
      <c r="AA1410" s="101"/>
      <c r="AB1410" s="101"/>
      <c r="AC1410" s="101"/>
      <c r="AD1410" s="101"/>
      <c r="AE1410" s="101"/>
      <c r="AF1410" s="101"/>
      <c r="AG1410" s="101"/>
      <c r="AH1410" s="101"/>
      <c r="AI1410" s="101"/>
      <c r="AJ1410" s="101"/>
      <c r="AK1410" s="101"/>
      <c r="AL1410" s="101"/>
      <c r="AM1410" s="101"/>
      <c r="AN1410" s="101"/>
    </row>
    <row r="1411" spans="1:40" ht="16.5" customHeight="1" x14ac:dyDescent="0.3">
      <c r="A1411" s="69"/>
      <c r="B1411" s="69"/>
      <c r="C1411" s="69"/>
      <c r="D1411" s="69"/>
      <c r="E1411" s="69"/>
      <c r="F1411" s="69"/>
      <c r="Z1411" s="101"/>
      <c r="AA1411" s="101"/>
      <c r="AB1411" s="101"/>
      <c r="AC1411" s="101"/>
      <c r="AD1411" s="101"/>
      <c r="AE1411" s="101"/>
      <c r="AF1411" s="101"/>
      <c r="AG1411" s="101"/>
      <c r="AH1411" s="101"/>
      <c r="AI1411" s="101"/>
      <c r="AJ1411" s="101"/>
      <c r="AK1411" s="101"/>
      <c r="AL1411" s="101"/>
      <c r="AM1411" s="101"/>
      <c r="AN1411" s="101"/>
    </row>
    <row r="1412" spans="1:40" ht="16.5" customHeight="1" x14ac:dyDescent="0.3">
      <c r="A1412" s="69"/>
      <c r="B1412" s="69"/>
      <c r="C1412" s="69"/>
      <c r="D1412" s="69"/>
      <c r="E1412" s="69"/>
      <c r="F1412" s="69"/>
      <c r="Z1412" s="101"/>
      <c r="AA1412" s="101"/>
      <c r="AB1412" s="101"/>
      <c r="AC1412" s="101"/>
      <c r="AD1412" s="101"/>
      <c r="AE1412" s="101"/>
      <c r="AF1412" s="101"/>
      <c r="AG1412" s="101"/>
      <c r="AH1412" s="101"/>
      <c r="AI1412" s="101"/>
      <c r="AJ1412" s="101"/>
      <c r="AK1412" s="101"/>
      <c r="AL1412" s="101"/>
      <c r="AM1412" s="101"/>
      <c r="AN1412" s="101"/>
    </row>
    <row r="1413" spans="1:40" ht="16.5" customHeight="1" x14ac:dyDescent="0.3">
      <c r="A1413" s="69"/>
      <c r="B1413" s="69"/>
      <c r="C1413" s="69"/>
      <c r="D1413" s="69"/>
      <c r="E1413" s="69"/>
      <c r="F1413" s="69"/>
      <c r="Z1413" s="101"/>
      <c r="AA1413" s="101"/>
      <c r="AB1413" s="101"/>
      <c r="AC1413" s="101"/>
      <c r="AD1413" s="101"/>
      <c r="AE1413" s="101"/>
      <c r="AF1413" s="101"/>
      <c r="AG1413" s="101"/>
      <c r="AH1413" s="101"/>
      <c r="AI1413" s="101"/>
      <c r="AJ1413" s="101"/>
      <c r="AK1413" s="101"/>
      <c r="AL1413" s="101"/>
      <c r="AM1413" s="101"/>
      <c r="AN1413" s="101"/>
    </row>
    <row r="1414" spans="1:40" ht="16.5" customHeight="1" x14ac:dyDescent="0.3">
      <c r="A1414" s="69"/>
      <c r="B1414" s="69"/>
      <c r="C1414" s="69"/>
      <c r="D1414" s="69"/>
      <c r="E1414" s="69"/>
      <c r="F1414" s="69"/>
      <c r="Z1414" s="101"/>
      <c r="AA1414" s="101"/>
      <c r="AB1414" s="101"/>
      <c r="AC1414" s="101"/>
      <c r="AD1414" s="101"/>
      <c r="AE1414" s="101"/>
      <c r="AF1414" s="101"/>
      <c r="AG1414" s="101"/>
      <c r="AH1414" s="101"/>
      <c r="AI1414" s="101"/>
      <c r="AJ1414" s="101"/>
      <c r="AK1414" s="101"/>
      <c r="AL1414" s="101"/>
      <c r="AM1414" s="101"/>
      <c r="AN1414" s="101"/>
    </row>
    <row r="1415" spans="1:40" ht="16.5" customHeight="1" x14ac:dyDescent="0.3">
      <c r="A1415" s="69"/>
      <c r="B1415" s="69"/>
      <c r="C1415" s="69"/>
      <c r="D1415" s="69"/>
      <c r="E1415" s="69"/>
      <c r="F1415" s="69"/>
      <c r="Z1415" s="101"/>
      <c r="AA1415" s="101"/>
      <c r="AB1415" s="101"/>
      <c r="AC1415" s="101"/>
      <c r="AD1415" s="101"/>
      <c r="AE1415" s="101"/>
      <c r="AF1415" s="101"/>
      <c r="AG1415" s="101"/>
      <c r="AH1415" s="101"/>
      <c r="AI1415" s="101"/>
      <c r="AJ1415" s="101"/>
      <c r="AK1415" s="101"/>
      <c r="AL1415" s="101"/>
      <c r="AM1415" s="101"/>
      <c r="AN1415" s="101"/>
    </row>
    <row r="1416" spans="1:40" ht="16.5" customHeight="1" x14ac:dyDescent="0.3">
      <c r="A1416" s="69"/>
      <c r="B1416" s="69"/>
      <c r="C1416" s="69"/>
      <c r="D1416" s="69"/>
      <c r="E1416" s="69"/>
      <c r="F1416" s="69"/>
      <c r="Z1416" s="101"/>
      <c r="AA1416" s="101"/>
      <c r="AB1416" s="101"/>
      <c r="AC1416" s="101"/>
      <c r="AD1416" s="101"/>
      <c r="AE1416" s="101"/>
      <c r="AF1416" s="101"/>
      <c r="AG1416" s="101"/>
      <c r="AH1416" s="101"/>
      <c r="AI1416" s="101"/>
      <c r="AJ1416" s="101"/>
      <c r="AK1416" s="101"/>
      <c r="AL1416" s="101"/>
      <c r="AM1416" s="101"/>
      <c r="AN1416" s="101"/>
    </row>
    <row r="1417" spans="1:40" ht="16.5" customHeight="1" x14ac:dyDescent="0.3">
      <c r="A1417" s="69"/>
      <c r="B1417" s="69"/>
      <c r="C1417" s="69"/>
      <c r="D1417" s="69"/>
      <c r="E1417" s="69"/>
      <c r="F1417" s="69"/>
      <c r="Z1417" s="101"/>
      <c r="AA1417" s="101"/>
      <c r="AB1417" s="101"/>
      <c r="AC1417" s="101"/>
      <c r="AD1417" s="101"/>
      <c r="AE1417" s="101"/>
      <c r="AF1417" s="101"/>
      <c r="AG1417" s="101"/>
      <c r="AH1417" s="101"/>
      <c r="AI1417" s="101"/>
      <c r="AJ1417" s="101"/>
      <c r="AK1417" s="101"/>
      <c r="AL1417" s="101"/>
      <c r="AM1417" s="101"/>
      <c r="AN1417" s="101"/>
    </row>
    <row r="1418" spans="1:40" ht="16.5" customHeight="1" x14ac:dyDescent="0.3">
      <c r="A1418" s="69"/>
      <c r="B1418" s="69"/>
      <c r="C1418" s="69"/>
      <c r="D1418" s="69"/>
      <c r="E1418" s="69"/>
      <c r="F1418" s="69"/>
      <c r="Z1418" s="101"/>
      <c r="AA1418" s="101"/>
      <c r="AB1418" s="101"/>
      <c r="AC1418" s="101"/>
      <c r="AD1418" s="101"/>
      <c r="AE1418" s="101"/>
      <c r="AF1418" s="101"/>
      <c r="AG1418" s="101"/>
      <c r="AH1418" s="101"/>
      <c r="AI1418" s="101"/>
      <c r="AJ1418" s="101"/>
      <c r="AK1418" s="101"/>
      <c r="AL1418" s="101"/>
      <c r="AM1418" s="101"/>
      <c r="AN1418" s="101"/>
    </row>
    <row r="1419" spans="1:40" ht="16.5" customHeight="1" x14ac:dyDescent="0.3">
      <c r="A1419" s="69"/>
      <c r="B1419" s="69"/>
      <c r="C1419" s="69"/>
      <c r="D1419" s="69"/>
      <c r="E1419" s="69"/>
      <c r="F1419" s="69"/>
      <c r="Z1419" s="101"/>
      <c r="AA1419" s="101"/>
      <c r="AB1419" s="101"/>
      <c r="AC1419" s="101"/>
      <c r="AD1419" s="101"/>
      <c r="AE1419" s="101"/>
      <c r="AF1419" s="101"/>
      <c r="AG1419" s="101"/>
      <c r="AH1419" s="101"/>
      <c r="AI1419" s="101"/>
      <c r="AJ1419" s="101"/>
      <c r="AK1419" s="101"/>
      <c r="AL1419" s="101"/>
      <c r="AM1419" s="101"/>
      <c r="AN1419" s="101"/>
    </row>
    <row r="1420" spans="1:40" ht="16.5" customHeight="1" x14ac:dyDescent="0.3">
      <c r="A1420" s="69"/>
      <c r="B1420" s="69"/>
      <c r="C1420" s="69"/>
      <c r="D1420" s="69"/>
      <c r="E1420" s="69"/>
      <c r="F1420" s="69"/>
      <c r="Z1420" s="101"/>
      <c r="AA1420" s="101"/>
      <c r="AB1420" s="101"/>
      <c r="AC1420" s="101"/>
      <c r="AD1420" s="101"/>
      <c r="AE1420" s="101"/>
      <c r="AF1420" s="101"/>
      <c r="AG1420" s="101"/>
      <c r="AH1420" s="101"/>
      <c r="AI1420" s="101"/>
      <c r="AJ1420" s="101"/>
      <c r="AK1420" s="101"/>
      <c r="AL1420" s="101"/>
      <c r="AM1420" s="101"/>
      <c r="AN1420" s="101"/>
    </row>
    <row r="1421" spans="1:40" ht="16.5" customHeight="1" x14ac:dyDescent="0.3">
      <c r="A1421" s="69"/>
      <c r="B1421" s="69"/>
      <c r="C1421" s="69"/>
      <c r="D1421" s="69"/>
      <c r="E1421" s="69"/>
      <c r="F1421" s="69"/>
      <c r="Z1421" s="101"/>
      <c r="AA1421" s="101"/>
      <c r="AB1421" s="101"/>
      <c r="AC1421" s="101"/>
      <c r="AD1421" s="101"/>
      <c r="AE1421" s="101"/>
      <c r="AF1421" s="101"/>
      <c r="AG1421" s="101"/>
      <c r="AH1421" s="101"/>
      <c r="AI1421" s="101"/>
      <c r="AJ1421" s="101"/>
      <c r="AK1421" s="101"/>
      <c r="AL1421" s="101"/>
      <c r="AM1421" s="101"/>
      <c r="AN1421" s="101"/>
    </row>
    <row r="1422" spans="1:40" ht="16.5" customHeight="1" x14ac:dyDescent="0.3">
      <c r="A1422" s="69"/>
      <c r="B1422" s="69"/>
      <c r="C1422" s="69"/>
      <c r="D1422" s="69"/>
      <c r="E1422" s="69"/>
      <c r="F1422" s="69"/>
      <c r="Z1422" s="101"/>
      <c r="AA1422" s="101"/>
      <c r="AB1422" s="101"/>
      <c r="AC1422" s="101"/>
      <c r="AD1422" s="101"/>
      <c r="AE1422" s="101"/>
      <c r="AF1422" s="101"/>
      <c r="AG1422" s="101"/>
      <c r="AH1422" s="101"/>
      <c r="AI1422" s="101"/>
      <c r="AJ1422" s="101"/>
      <c r="AK1422" s="101"/>
      <c r="AL1422" s="101"/>
      <c r="AM1422" s="101"/>
      <c r="AN1422" s="101"/>
    </row>
    <row r="1423" spans="1:40" ht="16.5" customHeight="1" x14ac:dyDescent="0.3">
      <c r="A1423" s="69"/>
      <c r="B1423" s="69"/>
      <c r="C1423" s="69"/>
      <c r="D1423" s="69"/>
      <c r="E1423" s="69"/>
      <c r="F1423" s="69"/>
      <c r="Z1423" s="101"/>
      <c r="AA1423" s="101"/>
      <c r="AB1423" s="101"/>
      <c r="AC1423" s="101"/>
      <c r="AD1423" s="101"/>
      <c r="AE1423" s="101"/>
      <c r="AF1423" s="101"/>
      <c r="AG1423" s="101"/>
      <c r="AH1423" s="101"/>
      <c r="AI1423" s="101"/>
      <c r="AJ1423" s="101"/>
      <c r="AK1423" s="101"/>
      <c r="AL1423" s="101"/>
      <c r="AM1423" s="101"/>
      <c r="AN1423" s="101"/>
    </row>
    <row r="1424" spans="1:40" ht="16.5" customHeight="1" x14ac:dyDescent="0.3">
      <c r="A1424" s="69"/>
      <c r="B1424" s="69"/>
      <c r="C1424" s="69"/>
      <c r="D1424" s="69"/>
      <c r="E1424" s="69"/>
      <c r="F1424" s="69"/>
      <c r="Z1424" s="101"/>
      <c r="AA1424" s="101"/>
      <c r="AB1424" s="101"/>
      <c r="AC1424" s="101"/>
      <c r="AD1424" s="101"/>
      <c r="AE1424" s="101"/>
      <c r="AF1424" s="101"/>
      <c r="AG1424" s="101"/>
      <c r="AH1424" s="101"/>
      <c r="AI1424" s="101"/>
      <c r="AJ1424" s="101"/>
      <c r="AK1424" s="101"/>
      <c r="AL1424" s="101"/>
      <c r="AM1424" s="101"/>
      <c r="AN1424" s="101"/>
    </row>
    <row r="1425" spans="1:40" ht="16.5" customHeight="1" x14ac:dyDescent="0.3">
      <c r="A1425" s="69"/>
      <c r="B1425" s="69"/>
      <c r="C1425" s="69"/>
      <c r="D1425" s="69"/>
      <c r="E1425" s="69"/>
      <c r="F1425" s="69"/>
      <c r="Z1425" s="101"/>
      <c r="AA1425" s="101"/>
      <c r="AB1425" s="101"/>
      <c r="AC1425" s="101"/>
      <c r="AD1425" s="101"/>
      <c r="AE1425" s="101"/>
      <c r="AF1425" s="101"/>
      <c r="AG1425" s="101"/>
      <c r="AH1425" s="101"/>
      <c r="AI1425" s="101"/>
      <c r="AJ1425" s="101"/>
      <c r="AK1425" s="101"/>
      <c r="AL1425" s="101"/>
      <c r="AM1425" s="101"/>
      <c r="AN1425" s="101"/>
    </row>
    <row r="1426" spans="1:40" ht="16.5" customHeight="1" x14ac:dyDescent="0.3">
      <c r="A1426" s="69"/>
      <c r="B1426" s="69"/>
      <c r="C1426" s="69"/>
      <c r="D1426" s="69"/>
      <c r="E1426" s="69"/>
      <c r="F1426" s="69"/>
      <c r="Z1426" s="101"/>
      <c r="AA1426" s="101"/>
      <c r="AB1426" s="101"/>
      <c r="AC1426" s="101"/>
      <c r="AD1426" s="101"/>
      <c r="AE1426" s="101"/>
      <c r="AF1426" s="101"/>
      <c r="AG1426" s="101"/>
      <c r="AH1426" s="101"/>
      <c r="AI1426" s="101"/>
      <c r="AJ1426" s="101"/>
      <c r="AK1426" s="101"/>
      <c r="AL1426" s="101"/>
      <c r="AM1426" s="101"/>
      <c r="AN1426" s="101"/>
    </row>
    <row r="1427" spans="1:40" ht="16.5" customHeight="1" x14ac:dyDescent="0.3">
      <c r="A1427" s="69"/>
      <c r="B1427" s="69"/>
      <c r="C1427" s="69"/>
      <c r="D1427" s="69"/>
      <c r="E1427" s="69"/>
      <c r="F1427" s="69"/>
      <c r="Z1427" s="101"/>
      <c r="AA1427" s="101"/>
      <c r="AB1427" s="101"/>
      <c r="AC1427" s="101"/>
      <c r="AD1427" s="101"/>
      <c r="AE1427" s="101"/>
      <c r="AF1427" s="101"/>
      <c r="AG1427" s="101"/>
      <c r="AH1427" s="101"/>
      <c r="AI1427" s="101"/>
      <c r="AJ1427" s="101"/>
      <c r="AK1427" s="101"/>
      <c r="AL1427" s="101"/>
      <c r="AM1427" s="101"/>
      <c r="AN1427" s="101"/>
    </row>
    <row r="1428" spans="1:40" ht="16.5" customHeight="1" x14ac:dyDescent="0.3">
      <c r="A1428" s="69"/>
      <c r="B1428" s="69"/>
      <c r="C1428" s="69"/>
      <c r="D1428" s="69"/>
      <c r="E1428" s="69"/>
      <c r="F1428" s="69"/>
      <c r="Z1428" s="101"/>
      <c r="AA1428" s="101"/>
      <c r="AB1428" s="101"/>
      <c r="AC1428" s="101"/>
      <c r="AD1428" s="101"/>
      <c r="AE1428" s="101"/>
      <c r="AF1428" s="101"/>
      <c r="AG1428" s="101"/>
      <c r="AH1428" s="101"/>
      <c r="AI1428" s="101"/>
      <c r="AJ1428" s="101"/>
      <c r="AK1428" s="101"/>
      <c r="AL1428" s="101"/>
      <c r="AM1428" s="101"/>
      <c r="AN1428" s="101"/>
    </row>
    <row r="1429" spans="1:40" ht="16.5" customHeight="1" x14ac:dyDescent="0.3">
      <c r="A1429" s="69"/>
      <c r="B1429" s="69"/>
      <c r="C1429" s="69"/>
      <c r="D1429" s="69"/>
      <c r="E1429" s="69"/>
      <c r="F1429" s="69"/>
      <c r="Z1429" s="101"/>
      <c r="AA1429" s="101"/>
      <c r="AB1429" s="101"/>
      <c r="AC1429" s="101"/>
      <c r="AD1429" s="101"/>
      <c r="AE1429" s="101"/>
      <c r="AF1429" s="101"/>
      <c r="AG1429" s="101"/>
      <c r="AH1429" s="101"/>
      <c r="AI1429" s="101"/>
      <c r="AJ1429" s="101"/>
      <c r="AK1429" s="101"/>
      <c r="AL1429" s="101"/>
      <c r="AM1429" s="101"/>
      <c r="AN1429" s="101"/>
    </row>
    <row r="1430" spans="1:40" ht="16.5" customHeight="1" x14ac:dyDescent="0.3">
      <c r="A1430" s="69"/>
      <c r="B1430" s="69"/>
      <c r="C1430" s="69"/>
      <c r="D1430" s="69"/>
      <c r="E1430" s="69"/>
      <c r="F1430" s="69"/>
      <c r="Z1430" s="101"/>
      <c r="AA1430" s="101"/>
      <c r="AB1430" s="101"/>
      <c r="AC1430" s="101"/>
      <c r="AD1430" s="101"/>
      <c r="AE1430" s="101"/>
      <c r="AF1430" s="101"/>
      <c r="AG1430" s="101"/>
      <c r="AH1430" s="101"/>
      <c r="AI1430" s="101"/>
      <c r="AJ1430" s="101"/>
      <c r="AK1430" s="101"/>
      <c r="AL1430" s="101"/>
      <c r="AM1430" s="101"/>
      <c r="AN1430" s="101"/>
    </row>
    <row r="1431" spans="1:40" ht="16.5" customHeight="1" x14ac:dyDescent="0.3">
      <c r="A1431" s="69"/>
      <c r="B1431" s="69"/>
      <c r="C1431" s="69"/>
      <c r="D1431" s="69"/>
      <c r="E1431" s="69"/>
      <c r="F1431" s="69"/>
      <c r="Z1431" s="101"/>
      <c r="AA1431" s="101"/>
      <c r="AB1431" s="101"/>
      <c r="AC1431" s="101"/>
      <c r="AD1431" s="101"/>
      <c r="AE1431" s="101"/>
      <c r="AF1431" s="101"/>
      <c r="AG1431" s="101"/>
      <c r="AH1431" s="101"/>
      <c r="AI1431" s="101"/>
      <c r="AJ1431" s="101"/>
      <c r="AK1431" s="101"/>
      <c r="AL1431" s="101"/>
      <c r="AM1431" s="101"/>
      <c r="AN1431" s="101"/>
    </row>
    <row r="1432" spans="1:40" ht="16.5" customHeight="1" x14ac:dyDescent="0.3">
      <c r="A1432" s="69"/>
      <c r="B1432" s="69"/>
      <c r="C1432" s="69"/>
      <c r="D1432" s="69"/>
      <c r="E1432" s="69"/>
      <c r="F1432" s="69"/>
      <c r="Z1432" s="101"/>
      <c r="AA1432" s="101"/>
      <c r="AB1432" s="101"/>
      <c r="AC1432" s="101"/>
      <c r="AD1432" s="101"/>
      <c r="AE1432" s="101"/>
      <c r="AF1432" s="101"/>
      <c r="AG1432" s="101"/>
      <c r="AH1432" s="101"/>
      <c r="AI1432" s="101"/>
      <c r="AJ1432" s="101"/>
      <c r="AK1432" s="101"/>
      <c r="AL1432" s="101"/>
      <c r="AM1432" s="101"/>
      <c r="AN1432" s="101"/>
    </row>
    <row r="1433" spans="1:40" ht="16.5" customHeight="1" x14ac:dyDescent="0.3">
      <c r="A1433" s="69"/>
      <c r="B1433" s="69"/>
      <c r="C1433" s="69"/>
      <c r="D1433" s="69"/>
      <c r="E1433" s="69"/>
      <c r="F1433" s="69"/>
      <c r="Z1433" s="101"/>
      <c r="AA1433" s="101"/>
      <c r="AB1433" s="101"/>
      <c r="AC1433" s="101"/>
      <c r="AD1433" s="101"/>
      <c r="AE1433" s="101"/>
      <c r="AF1433" s="101"/>
      <c r="AG1433" s="101"/>
      <c r="AH1433" s="101"/>
      <c r="AI1433" s="101"/>
      <c r="AJ1433" s="101"/>
      <c r="AK1433" s="101"/>
      <c r="AL1433" s="101"/>
      <c r="AM1433" s="101"/>
      <c r="AN1433" s="101"/>
    </row>
    <row r="1434" spans="1:40" ht="16.5" customHeight="1" x14ac:dyDescent="0.3">
      <c r="A1434" s="69"/>
      <c r="B1434" s="69"/>
      <c r="C1434" s="69"/>
      <c r="D1434" s="69"/>
      <c r="E1434" s="69"/>
      <c r="F1434" s="69"/>
      <c r="Z1434" s="101"/>
      <c r="AA1434" s="101"/>
      <c r="AB1434" s="101"/>
      <c r="AC1434" s="101"/>
      <c r="AD1434" s="101"/>
      <c r="AE1434" s="101"/>
      <c r="AF1434" s="101"/>
      <c r="AG1434" s="101"/>
      <c r="AH1434" s="101"/>
      <c r="AI1434" s="101"/>
      <c r="AJ1434" s="101"/>
      <c r="AK1434" s="101"/>
      <c r="AL1434" s="101"/>
      <c r="AM1434" s="101"/>
      <c r="AN1434" s="101"/>
    </row>
    <row r="1435" spans="1:40" ht="16.5" customHeight="1" x14ac:dyDescent="0.3">
      <c r="A1435" s="69"/>
      <c r="B1435" s="69"/>
      <c r="C1435" s="69"/>
      <c r="D1435" s="69"/>
      <c r="E1435" s="69"/>
      <c r="F1435" s="69"/>
      <c r="Z1435" s="101"/>
      <c r="AA1435" s="101"/>
      <c r="AB1435" s="101"/>
      <c r="AC1435" s="101"/>
      <c r="AD1435" s="101"/>
      <c r="AE1435" s="101"/>
      <c r="AF1435" s="101"/>
      <c r="AG1435" s="101"/>
      <c r="AH1435" s="101"/>
      <c r="AI1435" s="101"/>
      <c r="AJ1435" s="101"/>
      <c r="AK1435" s="101"/>
      <c r="AL1435" s="101"/>
      <c r="AM1435" s="101"/>
      <c r="AN1435" s="101"/>
    </row>
    <row r="1436" spans="1:40" ht="16.5" customHeight="1" x14ac:dyDescent="0.3">
      <c r="A1436" s="69"/>
      <c r="B1436" s="69"/>
      <c r="C1436" s="69"/>
      <c r="D1436" s="69"/>
      <c r="E1436" s="69"/>
      <c r="F1436" s="69"/>
      <c r="Z1436" s="101"/>
      <c r="AA1436" s="101"/>
      <c r="AB1436" s="101"/>
      <c r="AC1436" s="101"/>
      <c r="AD1436" s="101"/>
      <c r="AE1436" s="101"/>
      <c r="AF1436" s="101"/>
      <c r="AG1436" s="101"/>
      <c r="AH1436" s="101"/>
      <c r="AI1436" s="101"/>
      <c r="AJ1436" s="101"/>
      <c r="AK1436" s="101"/>
      <c r="AL1436" s="101"/>
      <c r="AM1436" s="101"/>
      <c r="AN1436" s="101"/>
    </row>
    <row r="1437" spans="1:40" ht="16.5" customHeight="1" x14ac:dyDescent="0.3">
      <c r="A1437" s="69"/>
      <c r="B1437" s="69"/>
      <c r="C1437" s="69"/>
      <c r="D1437" s="69"/>
      <c r="E1437" s="69"/>
      <c r="F1437" s="69"/>
      <c r="Z1437" s="101"/>
      <c r="AA1437" s="101"/>
      <c r="AB1437" s="101"/>
      <c r="AC1437" s="101"/>
      <c r="AD1437" s="101"/>
      <c r="AE1437" s="101"/>
      <c r="AF1437" s="101"/>
      <c r="AG1437" s="101"/>
      <c r="AH1437" s="101"/>
      <c r="AI1437" s="101"/>
      <c r="AJ1437" s="101"/>
      <c r="AK1437" s="101"/>
      <c r="AL1437" s="101"/>
      <c r="AM1437" s="101"/>
      <c r="AN1437" s="101"/>
    </row>
    <row r="1438" spans="1:40" ht="16.5" customHeight="1" x14ac:dyDescent="0.3">
      <c r="A1438" s="69"/>
      <c r="B1438" s="69"/>
      <c r="C1438" s="69"/>
      <c r="D1438" s="69"/>
      <c r="E1438" s="69"/>
      <c r="F1438" s="69"/>
      <c r="Z1438" s="101"/>
      <c r="AA1438" s="101"/>
      <c r="AB1438" s="101"/>
      <c r="AC1438" s="101"/>
      <c r="AD1438" s="101"/>
      <c r="AE1438" s="101"/>
      <c r="AF1438" s="101"/>
      <c r="AG1438" s="101"/>
      <c r="AH1438" s="101"/>
      <c r="AI1438" s="101"/>
      <c r="AJ1438" s="101"/>
      <c r="AK1438" s="101"/>
      <c r="AL1438" s="101"/>
      <c r="AM1438" s="101"/>
      <c r="AN1438" s="101"/>
    </row>
    <row r="1439" spans="1:40" ht="16.5" customHeight="1" x14ac:dyDescent="0.3">
      <c r="A1439" s="69"/>
      <c r="B1439" s="69"/>
      <c r="C1439" s="69"/>
      <c r="D1439" s="69"/>
      <c r="E1439" s="69"/>
      <c r="F1439" s="69"/>
      <c r="Z1439" s="101"/>
      <c r="AA1439" s="101"/>
      <c r="AB1439" s="101"/>
      <c r="AC1439" s="101"/>
      <c r="AD1439" s="101"/>
      <c r="AE1439" s="101"/>
      <c r="AF1439" s="101"/>
      <c r="AG1439" s="101"/>
      <c r="AH1439" s="101"/>
      <c r="AI1439" s="101"/>
      <c r="AJ1439" s="101"/>
      <c r="AK1439" s="101"/>
      <c r="AL1439" s="101"/>
      <c r="AM1439" s="101"/>
      <c r="AN1439" s="101"/>
    </row>
    <row r="1440" spans="1:40" ht="16.5" customHeight="1" x14ac:dyDescent="0.3">
      <c r="A1440" s="69"/>
      <c r="B1440" s="69"/>
      <c r="C1440" s="69"/>
      <c r="D1440" s="69"/>
      <c r="E1440" s="69"/>
      <c r="F1440" s="69"/>
      <c r="Z1440" s="101"/>
      <c r="AA1440" s="101"/>
      <c r="AB1440" s="101"/>
      <c r="AC1440" s="101"/>
      <c r="AD1440" s="101"/>
      <c r="AE1440" s="101"/>
      <c r="AF1440" s="101"/>
      <c r="AG1440" s="101"/>
      <c r="AH1440" s="101"/>
      <c r="AI1440" s="101"/>
      <c r="AJ1440" s="101"/>
      <c r="AK1440" s="101"/>
      <c r="AL1440" s="101"/>
      <c r="AM1440" s="101"/>
      <c r="AN1440" s="101"/>
    </row>
    <row r="1441" spans="1:40" ht="16.5" customHeight="1" x14ac:dyDescent="0.3">
      <c r="A1441" s="69"/>
      <c r="B1441" s="69"/>
      <c r="C1441" s="69"/>
      <c r="D1441" s="69"/>
      <c r="E1441" s="69"/>
      <c r="F1441" s="69"/>
      <c r="Z1441" s="101"/>
      <c r="AA1441" s="101"/>
      <c r="AB1441" s="101"/>
      <c r="AC1441" s="101"/>
      <c r="AD1441" s="101"/>
      <c r="AE1441" s="101"/>
      <c r="AF1441" s="101"/>
      <c r="AG1441" s="101"/>
      <c r="AH1441" s="101"/>
      <c r="AI1441" s="101"/>
      <c r="AJ1441" s="101"/>
      <c r="AK1441" s="101"/>
      <c r="AL1441" s="101"/>
      <c r="AM1441" s="101"/>
      <c r="AN1441" s="101"/>
    </row>
    <row r="1442" spans="1:40" ht="16.5" customHeight="1" x14ac:dyDescent="0.3">
      <c r="A1442" s="69"/>
      <c r="B1442" s="69"/>
      <c r="C1442" s="69"/>
      <c r="D1442" s="69"/>
      <c r="E1442" s="69"/>
      <c r="F1442" s="69"/>
      <c r="Z1442" s="101"/>
      <c r="AA1442" s="101"/>
      <c r="AB1442" s="101"/>
      <c r="AC1442" s="101"/>
      <c r="AD1442" s="101"/>
      <c r="AE1442" s="101"/>
      <c r="AF1442" s="101"/>
      <c r="AG1442" s="101"/>
      <c r="AH1442" s="101"/>
      <c r="AI1442" s="101"/>
      <c r="AJ1442" s="101"/>
      <c r="AK1442" s="101"/>
      <c r="AL1442" s="101"/>
      <c r="AM1442" s="101"/>
      <c r="AN1442" s="101"/>
    </row>
    <row r="1443" spans="1:40" ht="16.5" customHeight="1" x14ac:dyDescent="0.3">
      <c r="A1443" s="69"/>
      <c r="B1443" s="69"/>
      <c r="C1443" s="69"/>
      <c r="D1443" s="69"/>
      <c r="E1443" s="69"/>
      <c r="F1443" s="69"/>
      <c r="Z1443" s="101"/>
      <c r="AA1443" s="101"/>
      <c r="AB1443" s="101"/>
      <c r="AC1443" s="101"/>
      <c r="AD1443" s="101"/>
      <c r="AE1443" s="101"/>
      <c r="AF1443" s="101"/>
      <c r="AG1443" s="101"/>
      <c r="AH1443" s="101"/>
      <c r="AI1443" s="101"/>
      <c r="AJ1443" s="101"/>
      <c r="AK1443" s="101"/>
      <c r="AL1443" s="101"/>
      <c r="AM1443" s="101"/>
      <c r="AN1443" s="101"/>
    </row>
    <row r="1444" spans="1:40" ht="16.5" customHeight="1" x14ac:dyDescent="0.3">
      <c r="A1444" s="69"/>
      <c r="B1444" s="69"/>
      <c r="C1444" s="69"/>
      <c r="D1444" s="69"/>
      <c r="E1444" s="69"/>
      <c r="F1444" s="69"/>
      <c r="Z1444" s="101"/>
      <c r="AA1444" s="101"/>
      <c r="AB1444" s="101"/>
      <c r="AC1444" s="101"/>
      <c r="AD1444" s="101"/>
      <c r="AE1444" s="101"/>
      <c r="AF1444" s="101"/>
      <c r="AG1444" s="101"/>
      <c r="AH1444" s="101"/>
      <c r="AI1444" s="101"/>
      <c r="AJ1444" s="101"/>
      <c r="AK1444" s="101"/>
      <c r="AL1444" s="101"/>
      <c r="AM1444" s="101"/>
      <c r="AN1444" s="101"/>
    </row>
    <row r="1445" spans="1:40" ht="16.5" customHeight="1" x14ac:dyDescent="0.3">
      <c r="A1445" s="69"/>
      <c r="B1445" s="69"/>
      <c r="C1445" s="69"/>
      <c r="D1445" s="69"/>
      <c r="E1445" s="69"/>
      <c r="F1445" s="69"/>
      <c r="Z1445" s="101"/>
      <c r="AA1445" s="101"/>
      <c r="AB1445" s="101"/>
      <c r="AC1445" s="101"/>
      <c r="AD1445" s="101"/>
      <c r="AE1445" s="101"/>
      <c r="AF1445" s="101"/>
      <c r="AG1445" s="101"/>
      <c r="AH1445" s="101"/>
      <c r="AI1445" s="101"/>
      <c r="AJ1445" s="101"/>
      <c r="AK1445" s="101"/>
      <c r="AL1445" s="101"/>
      <c r="AM1445" s="101"/>
      <c r="AN1445" s="101"/>
    </row>
    <row r="1446" spans="1:40" ht="16.5" customHeight="1" x14ac:dyDescent="0.3">
      <c r="A1446" s="69"/>
      <c r="B1446" s="69"/>
      <c r="C1446" s="69"/>
      <c r="D1446" s="69"/>
      <c r="E1446" s="69"/>
      <c r="F1446" s="69"/>
      <c r="Z1446" s="101"/>
      <c r="AA1446" s="101"/>
      <c r="AB1446" s="101"/>
      <c r="AC1446" s="101"/>
      <c r="AD1446" s="101"/>
      <c r="AE1446" s="101"/>
      <c r="AF1446" s="101"/>
      <c r="AG1446" s="101"/>
      <c r="AH1446" s="101"/>
      <c r="AI1446" s="101"/>
      <c r="AJ1446" s="101"/>
      <c r="AK1446" s="101"/>
      <c r="AL1446" s="101"/>
      <c r="AM1446" s="101"/>
      <c r="AN1446" s="101"/>
    </row>
    <row r="1447" spans="1:40" ht="16.5" customHeight="1" x14ac:dyDescent="0.3">
      <c r="A1447" s="69"/>
      <c r="B1447" s="69"/>
      <c r="C1447" s="69"/>
      <c r="D1447" s="69"/>
      <c r="E1447" s="69"/>
      <c r="F1447" s="69"/>
      <c r="Z1447" s="101"/>
      <c r="AA1447" s="101"/>
      <c r="AB1447" s="101"/>
      <c r="AC1447" s="101"/>
      <c r="AD1447" s="101"/>
      <c r="AE1447" s="101"/>
      <c r="AF1447" s="101"/>
      <c r="AG1447" s="101"/>
      <c r="AH1447" s="101"/>
      <c r="AI1447" s="101"/>
      <c r="AJ1447" s="101"/>
      <c r="AK1447" s="101"/>
      <c r="AL1447" s="101"/>
      <c r="AM1447" s="101"/>
      <c r="AN1447" s="101"/>
    </row>
    <row r="1448" spans="1:40" ht="16.5" customHeight="1" x14ac:dyDescent="0.3">
      <c r="A1448" s="69"/>
      <c r="B1448" s="69"/>
      <c r="C1448" s="69"/>
      <c r="D1448" s="69"/>
      <c r="E1448" s="69"/>
      <c r="F1448" s="69"/>
      <c r="Z1448" s="101"/>
      <c r="AA1448" s="101"/>
      <c r="AB1448" s="101"/>
      <c r="AC1448" s="101"/>
      <c r="AD1448" s="101"/>
      <c r="AE1448" s="101"/>
      <c r="AF1448" s="101"/>
      <c r="AG1448" s="101"/>
      <c r="AH1448" s="101"/>
      <c r="AI1448" s="101"/>
      <c r="AJ1448" s="101"/>
      <c r="AK1448" s="101"/>
      <c r="AL1448" s="101"/>
      <c r="AM1448" s="101"/>
      <c r="AN1448" s="101"/>
    </row>
    <row r="1449" spans="1:40" ht="16.5" customHeight="1" x14ac:dyDescent="0.3">
      <c r="A1449" s="69"/>
      <c r="B1449" s="69"/>
      <c r="C1449" s="69"/>
      <c r="D1449" s="69"/>
      <c r="E1449" s="69"/>
      <c r="F1449" s="69"/>
      <c r="Z1449" s="101"/>
      <c r="AA1449" s="101"/>
      <c r="AB1449" s="101"/>
      <c r="AC1449" s="101"/>
      <c r="AD1449" s="101"/>
      <c r="AE1449" s="101"/>
      <c r="AF1449" s="101"/>
      <c r="AG1449" s="101"/>
      <c r="AH1449" s="101"/>
      <c r="AI1449" s="101"/>
      <c r="AJ1449" s="101"/>
      <c r="AK1449" s="101"/>
      <c r="AL1449" s="101"/>
      <c r="AM1449" s="101"/>
      <c r="AN1449" s="101"/>
    </row>
    <row r="1450" spans="1:40" ht="16.5" customHeight="1" x14ac:dyDescent="0.3">
      <c r="A1450" s="69"/>
      <c r="B1450" s="69"/>
      <c r="C1450" s="69"/>
      <c r="D1450" s="69"/>
      <c r="E1450" s="69"/>
      <c r="F1450" s="69"/>
      <c r="Z1450" s="101"/>
      <c r="AA1450" s="101"/>
      <c r="AB1450" s="101"/>
      <c r="AC1450" s="101"/>
      <c r="AD1450" s="101"/>
      <c r="AE1450" s="101"/>
      <c r="AF1450" s="101"/>
      <c r="AG1450" s="101"/>
      <c r="AH1450" s="101"/>
      <c r="AI1450" s="101"/>
      <c r="AJ1450" s="101"/>
      <c r="AK1450" s="101"/>
      <c r="AL1450" s="101"/>
      <c r="AM1450" s="101"/>
      <c r="AN1450" s="101"/>
    </row>
    <row r="1451" spans="1:40" ht="16.5" customHeight="1" x14ac:dyDescent="0.3">
      <c r="A1451" s="69"/>
      <c r="B1451" s="69"/>
      <c r="C1451" s="69"/>
      <c r="D1451" s="69"/>
      <c r="E1451" s="69"/>
      <c r="F1451" s="69"/>
      <c r="Z1451" s="101"/>
      <c r="AA1451" s="101"/>
      <c r="AB1451" s="101"/>
      <c r="AC1451" s="101"/>
      <c r="AD1451" s="101"/>
      <c r="AE1451" s="101"/>
      <c r="AF1451" s="101"/>
      <c r="AG1451" s="101"/>
      <c r="AH1451" s="101"/>
      <c r="AI1451" s="101"/>
      <c r="AJ1451" s="101"/>
      <c r="AK1451" s="101"/>
      <c r="AL1451" s="101"/>
      <c r="AM1451" s="101"/>
      <c r="AN1451" s="101"/>
    </row>
    <row r="1452" spans="1:40" ht="16.5" customHeight="1" x14ac:dyDescent="0.3">
      <c r="A1452" s="69"/>
      <c r="B1452" s="69"/>
      <c r="C1452" s="69"/>
      <c r="D1452" s="69"/>
      <c r="E1452" s="69"/>
      <c r="F1452" s="69"/>
      <c r="Z1452" s="101"/>
      <c r="AA1452" s="101"/>
      <c r="AB1452" s="101"/>
      <c r="AC1452" s="101"/>
      <c r="AD1452" s="101"/>
      <c r="AE1452" s="101"/>
      <c r="AF1452" s="101"/>
      <c r="AG1452" s="101"/>
      <c r="AH1452" s="101"/>
      <c r="AI1452" s="101"/>
      <c r="AJ1452" s="101"/>
      <c r="AK1452" s="101"/>
      <c r="AL1452" s="101"/>
      <c r="AM1452" s="101"/>
      <c r="AN1452" s="101"/>
    </row>
    <row r="1453" spans="1:40" ht="16.5" customHeight="1" x14ac:dyDescent="0.3">
      <c r="A1453" s="74"/>
      <c r="B1453" s="74"/>
      <c r="C1453" s="74"/>
      <c r="D1453" s="74"/>
      <c r="E1453" s="74"/>
      <c r="F1453" s="74"/>
      <c r="Z1453" s="101"/>
      <c r="AA1453" s="101"/>
      <c r="AB1453" s="101"/>
      <c r="AC1453" s="101"/>
      <c r="AD1453" s="101"/>
      <c r="AE1453" s="101"/>
      <c r="AF1453" s="101"/>
      <c r="AG1453" s="101"/>
      <c r="AH1453" s="101"/>
      <c r="AI1453" s="101"/>
      <c r="AJ1453" s="101"/>
      <c r="AK1453" s="101"/>
      <c r="AL1453" s="101"/>
      <c r="AM1453" s="101"/>
      <c r="AN1453" s="101"/>
    </row>
    <row r="1454" spans="1:40" ht="16.5" customHeight="1" x14ac:dyDescent="0.3">
      <c r="A1454" s="150" t="s">
        <v>1477</v>
      </c>
      <c r="B1454" s="143"/>
      <c r="C1454" s="47">
        <f>E1454+D1454+F1454</f>
        <v>19887</v>
      </c>
      <c r="D1454" s="46">
        <f>ROUNDDOWN(SUMIF(N1357:N1403,M1454,D1357:D1403),0)</f>
        <v>2275</v>
      </c>
      <c r="E1454" s="55">
        <f>ROUNDDOWN(SUMIF(N1357:N1403,M1454,E1357:E1403),0)</f>
        <v>17337</v>
      </c>
      <c r="F1454" s="47">
        <f>ROUNDDOWN(SUMIF(N1357:N1403,M1454,F1357:F1403),0)</f>
        <v>275</v>
      </c>
      <c r="M1454" s="35" t="s">
        <v>1209</v>
      </c>
      <c r="Z1454" s="101"/>
      <c r="AA1454" s="101"/>
      <c r="AB1454" s="101"/>
      <c r="AC1454" s="101"/>
      <c r="AD1454" s="101"/>
      <c r="AE1454" s="101"/>
      <c r="AF1454" s="101"/>
      <c r="AG1454" s="101"/>
      <c r="AH1454" s="101"/>
      <c r="AI1454" s="101"/>
      <c r="AJ1454" s="101"/>
      <c r="AK1454" s="101"/>
      <c r="AL1454" s="101"/>
      <c r="AM1454" s="101"/>
      <c r="AN1454" s="101"/>
    </row>
    <row r="1455" spans="1:40" ht="16.5" customHeight="1" x14ac:dyDescent="0.3">
      <c r="A1455" s="86" t="s">
        <v>94</v>
      </c>
      <c r="B1455" s="88" t="s">
        <v>94</v>
      </c>
      <c r="C1455" s="151">
        <f>C1504</f>
        <v>24414</v>
      </c>
      <c r="D1455" s="151">
        <f>D1504</f>
        <v>5987</v>
      </c>
      <c r="E1455" s="151">
        <f>E1504</f>
        <v>17703</v>
      </c>
      <c r="F1455" s="151">
        <f>F1504</f>
        <v>724</v>
      </c>
      <c r="G1455" s="84" t="str">
        <f>HYPERLINK("#G"&amp;ROW(G1500),"_x0005_`BDCOD|D03552_x0007_`POSS|"&amp;ROW(G1457)&amp;"_x0007_`POSE|"&amp;ROW(G1500)&amp;"_x0007_`")</f>
        <v>_x0005_`BDCOD|D03552_x0007_`POSS|1457_x0007_`POSE|1500_x0007_`</v>
      </c>
      <c r="Z1455" s="101"/>
      <c r="AA1455" s="101"/>
      <c r="AB1455" s="101"/>
      <c r="AC1455" s="101"/>
      <c r="AD1455" s="101"/>
      <c r="AE1455" s="101"/>
      <c r="AF1455" s="101"/>
      <c r="AG1455" s="101"/>
      <c r="AH1455" s="101"/>
      <c r="AI1455" s="101"/>
      <c r="AJ1455" s="101"/>
      <c r="AK1455" s="101"/>
      <c r="AL1455" s="101"/>
      <c r="AM1455" s="101"/>
      <c r="AN1455" s="101"/>
    </row>
    <row r="1456" spans="1:40" ht="16.5" customHeight="1" x14ac:dyDescent="0.3">
      <c r="A1456" s="87"/>
      <c r="B1456" s="88" t="s">
        <v>186</v>
      </c>
      <c r="C1456" s="136"/>
      <c r="D1456" s="136"/>
      <c r="E1456" s="136"/>
      <c r="F1456" s="136"/>
      <c r="M1456" s="35" t="s">
        <v>2028</v>
      </c>
      <c r="Z1456" s="101"/>
      <c r="AA1456" s="101"/>
      <c r="AB1456" s="101"/>
      <c r="AC1456" s="101"/>
      <c r="AD1456" s="101"/>
      <c r="AE1456" s="101"/>
      <c r="AF1456" s="101"/>
      <c r="AG1456" s="101"/>
      <c r="AH1456" s="101"/>
      <c r="AI1456" s="101"/>
      <c r="AJ1456" s="101"/>
      <c r="AK1456" s="101"/>
      <c r="AL1456" s="101"/>
      <c r="AM1456" s="101"/>
      <c r="AN1456" s="101"/>
    </row>
    <row r="1457" spans="1:40" ht="16.5" customHeight="1" x14ac:dyDescent="0.3">
      <c r="A1457" s="69"/>
      <c r="B1457" s="69"/>
      <c r="C1457" s="90"/>
      <c r="D1457" s="90"/>
      <c r="E1457" s="90"/>
      <c r="F1457" s="90"/>
      <c r="G1457" s="17" t="s">
        <v>1405</v>
      </c>
      <c r="Z1457" s="101"/>
      <c r="AA1457" s="101"/>
      <c r="AB1457" s="101"/>
      <c r="AC1457" s="101"/>
      <c r="AD1457" s="101"/>
      <c r="AE1457" s="101"/>
      <c r="AF1457" s="101"/>
      <c r="AG1457" s="101"/>
      <c r="AH1457" s="101"/>
      <c r="AI1457" s="101"/>
      <c r="AJ1457" s="101"/>
      <c r="AK1457" s="101"/>
      <c r="AL1457" s="101"/>
      <c r="AM1457" s="101"/>
      <c r="AN1457" s="101"/>
    </row>
    <row r="1458" spans="1:40" ht="16.5" customHeight="1" x14ac:dyDescent="0.3">
      <c r="A1458" s="59"/>
      <c r="B1458" s="68" t="s">
        <v>1973</v>
      </c>
      <c r="C1458" s="69"/>
      <c r="D1458" s="69"/>
      <c r="E1458" s="69"/>
      <c r="F1458" s="69"/>
      <c r="G1458" s="17" t="s">
        <v>1972</v>
      </c>
      <c r="Z1458" s="101"/>
      <c r="AA1458" s="101"/>
      <c r="AB1458" s="101"/>
      <c r="AC1458" s="101"/>
      <c r="AD1458" s="101"/>
      <c r="AE1458" s="101"/>
      <c r="AF1458" s="101"/>
      <c r="AG1458" s="101"/>
      <c r="AH1458" s="101"/>
      <c r="AI1458" s="101"/>
      <c r="AJ1458" s="101"/>
      <c r="AK1458" s="101"/>
      <c r="AL1458" s="101"/>
      <c r="AM1458" s="101"/>
      <c r="AN1458" s="101"/>
    </row>
    <row r="1459" spans="1:40" ht="16.5" customHeight="1" x14ac:dyDescent="0.3">
      <c r="A1459" s="59"/>
      <c r="B1459" s="68" t="s">
        <v>2030</v>
      </c>
      <c r="C1459" s="69"/>
      <c r="D1459" s="69"/>
      <c r="E1459" s="69"/>
      <c r="F1459" s="69"/>
      <c r="G1459" s="17" t="s">
        <v>2029</v>
      </c>
      <c r="Z1459" s="101"/>
      <c r="AA1459" s="101"/>
      <c r="AB1459" s="101"/>
      <c r="AC1459" s="101"/>
      <c r="AD1459" s="101"/>
      <c r="AE1459" s="101"/>
      <c r="AF1459" s="101"/>
      <c r="AG1459" s="101"/>
      <c r="AH1459" s="101"/>
      <c r="AI1459" s="101"/>
      <c r="AJ1459" s="101"/>
      <c r="AK1459" s="101"/>
      <c r="AL1459" s="101"/>
      <c r="AM1459" s="101"/>
      <c r="AN1459" s="101"/>
    </row>
    <row r="1460" spans="1:40" ht="16.5" customHeight="1" x14ac:dyDescent="0.3">
      <c r="A1460" s="69"/>
      <c r="B1460" s="69"/>
      <c r="C1460" s="69"/>
      <c r="D1460" s="69"/>
      <c r="E1460" s="69"/>
      <c r="F1460" s="69"/>
      <c r="G1460" s="17" t="s">
        <v>1405</v>
      </c>
      <c r="Z1460" s="101"/>
      <c r="AA1460" s="101"/>
      <c r="AB1460" s="101"/>
      <c r="AC1460" s="101"/>
      <c r="AD1460" s="101"/>
      <c r="AE1460" s="101"/>
      <c r="AF1460" s="101"/>
      <c r="AG1460" s="101"/>
      <c r="AH1460" s="101"/>
      <c r="AI1460" s="101"/>
      <c r="AJ1460" s="101"/>
      <c r="AK1460" s="101"/>
      <c r="AL1460" s="101"/>
      <c r="AM1460" s="101"/>
      <c r="AN1460" s="101"/>
    </row>
    <row r="1461" spans="1:40" ht="16.5" customHeight="1" x14ac:dyDescent="0.3">
      <c r="A1461" s="59"/>
      <c r="B1461" s="68" t="str">
        <f>" Q  = "&amp;Z1461&amp;" * "&amp;AB1461&amp;" = "&amp;AD1461&amp;" ㎡/일 "</f>
        <v xml:space="preserve"> Q  = 266 * 1 = 266.000 ㎡/일 </v>
      </c>
      <c r="C1461" s="69"/>
      <c r="D1461" s="69"/>
      <c r="E1461" s="69"/>
      <c r="F1461" s="69"/>
      <c r="G1461" s="17" t="s">
        <v>2031</v>
      </c>
      <c r="Z1461" s="102">
        <v>266</v>
      </c>
      <c r="AA1461" s="35" t="s">
        <v>1436</v>
      </c>
      <c r="AB1461" s="102">
        <v>1</v>
      </c>
      <c r="AC1461" s="35" t="s">
        <v>1410</v>
      </c>
      <c r="AD1461" s="103" t="str">
        <f>TEXT(ROUND(Z1461*AB1461,3),"#,0.000")</f>
        <v>266.000</v>
      </c>
      <c r="AE1461" s="101"/>
      <c r="AF1461" s="101"/>
      <c r="AG1461" s="101"/>
      <c r="AH1461" s="101"/>
      <c r="AI1461" s="101"/>
      <c r="AJ1461" s="101"/>
      <c r="AK1461" s="101"/>
      <c r="AL1461" s="101"/>
      <c r="AM1461" s="101"/>
      <c r="AN1461" s="101"/>
    </row>
    <row r="1462" spans="1:40" ht="16.5" customHeight="1" x14ac:dyDescent="0.3">
      <c r="A1462" s="59"/>
      <c r="B1462" s="68" t="str">
        <f>" Q1 = Q / "&amp;AB1462&amp;" hr/일 = "&amp;AD1462&amp;"  ㎡/Hr "</f>
        <v xml:space="preserve"> Q1 = Q / 8 hr/일 = 33.250  ㎡/Hr </v>
      </c>
      <c r="C1462" s="69"/>
      <c r="D1462" s="69"/>
      <c r="E1462" s="69"/>
      <c r="F1462" s="69"/>
      <c r="G1462" s="17" t="s">
        <v>1977</v>
      </c>
      <c r="Z1462" s="103" t="str">
        <f>AD1461</f>
        <v>266.000</v>
      </c>
      <c r="AA1462" s="35" t="s">
        <v>1413</v>
      </c>
      <c r="AB1462" s="102">
        <v>8</v>
      </c>
      <c r="AC1462" s="35" t="s">
        <v>1410</v>
      </c>
      <c r="AD1462" s="103" t="str">
        <f>TEXT(ROUND(AD1461/AB1462,3),"#,0.000")</f>
        <v>33.250</v>
      </c>
      <c r="AE1462" s="101"/>
      <c r="AF1462" s="101"/>
      <c r="AG1462" s="101"/>
      <c r="AH1462" s="101"/>
      <c r="AI1462" s="101"/>
      <c r="AJ1462" s="101"/>
      <c r="AK1462" s="101"/>
      <c r="AL1462" s="101"/>
      <c r="AM1462" s="101"/>
      <c r="AN1462" s="101"/>
    </row>
    <row r="1463" spans="1:40" ht="16.5" customHeight="1" x14ac:dyDescent="0.3">
      <c r="A1463" s="69"/>
      <c r="B1463" s="69"/>
      <c r="C1463" s="69"/>
      <c r="D1463" s="69"/>
      <c r="E1463" s="69"/>
      <c r="F1463" s="69"/>
      <c r="G1463" s="17" t="s">
        <v>1405</v>
      </c>
      <c r="Z1463" s="101"/>
      <c r="AA1463" s="101"/>
      <c r="AB1463" s="101"/>
      <c r="AC1463" s="101"/>
      <c r="AD1463" s="101"/>
      <c r="AE1463" s="101"/>
      <c r="AF1463" s="101"/>
      <c r="AG1463" s="101"/>
      <c r="AH1463" s="101"/>
      <c r="AI1463" s="101"/>
      <c r="AJ1463" s="101"/>
      <c r="AK1463" s="101"/>
      <c r="AL1463" s="101"/>
      <c r="AM1463" s="101"/>
      <c r="AN1463" s="101"/>
    </row>
    <row r="1464" spans="1:40" ht="16.5" customHeight="1" x14ac:dyDescent="0.3">
      <c r="A1464" s="59"/>
      <c r="B1464" s="68" t="s">
        <v>1979</v>
      </c>
      <c r="C1464" s="69"/>
      <c r="D1464" s="69"/>
      <c r="E1464" s="69"/>
      <c r="F1464" s="69"/>
      <c r="G1464" s="17" t="s">
        <v>1978</v>
      </c>
      <c r="Z1464" s="101"/>
      <c r="AA1464" s="101"/>
      <c r="AB1464" s="101"/>
      <c r="AC1464" s="101"/>
      <c r="AD1464" s="101"/>
      <c r="AE1464" s="101"/>
      <c r="AF1464" s="101"/>
      <c r="AG1464" s="101"/>
      <c r="AH1464" s="101"/>
      <c r="AI1464" s="101"/>
      <c r="AJ1464" s="101"/>
      <c r="AK1464" s="101"/>
      <c r="AL1464" s="101"/>
      <c r="AM1464" s="101"/>
      <c r="AN1464" s="101"/>
    </row>
    <row r="1465" spans="1:40" ht="16.5" customHeight="1" x14ac:dyDescent="0.3">
      <c r="A1465" s="69"/>
      <c r="B1465" s="69"/>
      <c r="C1465" s="69"/>
      <c r="D1465" s="69"/>
      <c r="E1465" s="69"/>
      <c r="F1465" s="69"/>
      <c r="G1465" s="17" t="s">
        <v>1405</v>
      </c>
      <c r="Z1465" s="101"/>
      <c r="AA1465" s="101"/>
      <c r="AB1465" s="101"/>
      <c r="AC1465" s="101"/>
      <c r="AD1465" s="101"/>
      <c r="AE1465" s="101"/>
      <c r="AF1465" s="101"/>
      <c r="AG1465" s="101"/>
      <c r="AH1465" s="101"/>
      <c r="AI1465" s="101"/>
      <c r="AJ1465" s="101"/>
      <c r="AK1465" s="101"/>
      <c r="AL1465" s="101"/>
      <c r="AM1465" s="101"/>
      <c r="AN1465" s="101"/>
    </row>
    <row r="1466" spans="1:40" ht="16.5" customHeight="1" x14ac:dyDescent="0.3">
      <c r="A1466" s="59" t="s">
        <v>1981</v>
      </c>
      <c r="B1466" s="89" t="str">
        <f>"   융착식도료(백색) : "&amp;TEXT(I1466,"#,##0"&amp;IF(I1466&lt;&gt;INT(I1466),".###",""))&amp;" * "&amp;AA1466&amp;" ㎏  = "&amp;TEXT(C1466,"#,##0.0")&amp;""</f>
        <v xml:space="preserve">   융착식도료(백색) : 3,140 * 4.53 ㎏  = 14,224.2</v>
      </c>
      <c r="C1466" s="91">
        <f>E1466+D1466+F1466</f>
        <v>14224.2</v>
      </c>
      <c r="D1466" s="91">
        <f>IF(H1466=0,0,ROUNDDOWN(J1466*H1466,1))</f>
        <v>0</v>
      </c>
      <c r="E1466" s="91">
        <f>IF(H1466=0,0,ROUNDDOWN(K1466*H1466,1))</f>
        <v>14224.2</v>
      </c>
      <c r="F1466" s="91">
        <f>IF(H1466=0,0,ROUNDDOWN(L1466*H1466,1))</f>
        <v>0</v>
      </c>
      <c r="G1466" s="17" t="s">
        <v>2024</v>
      </c>
      <c r="H1466" s="97">
        <f>ROUNDUP(AC1466,14-LEN(ABS(INT(AC1466))))</f>
        <v>4.53</v>
      </c>
      <c r="I1466" s="98">
        <f>K1466+J1466+L1466</f>
        <v>3140</v>
      </c>
      <c r="K1466" s="38">
        <f>재료비목록표!E22</f>
        <v>3140</v>
      </c>
      <c r="M1466" s="35" t="s">
        <v>1982</v>
      </c>
      <c r="N1466" s="35" t="s">
        <v>1253</v>
      </c>
      <c r="O1466" s="35" t="s">
        <v>1214</v>
      </c>
      <c r="X1466" s="100" t="str">
        <f>재료비목록표!B22&amp;" / "&amp;재료비목록표!C22</f>
        <v>도로표지용도료 / KSM-6080 백색(융착식R3)</v>
      </c>
      <c r="Y1466" s="3" t="str">
        <f ca="1">HYPERLINK("#"&amp;재료비목록표!G2&amp;"!A"&amp;ROW(재료비목록표!A22),"자재19 →")</f>
        <v>자재19 →</v>
      </c>
      <c r="Z1466" s="35" t="s">
        <v>1446</v>
      </c>
      <c r="AA1466" s="104">
        <v>4.53</v>
      </c>
      <c r="AB1466" s="35" t="s">
        <v>1410</v>
      </c>
      <c r="AC1466" s="103">
        <f>1*AA1466</f>
        <v>4.53</v>
      </c>
      <c r="AD1466" s="101"/>
      <c r="AE1466" s="101"/>
      <c r="AF1466" s="101"/>
      <c r="AG1466" s="101"/>
      <c r="AH1466" s="101"/>
      <c r="AI1466" s="101"/>
      <c r="AJ1466" s="101"/>
      <c r="AK1466" s="101"/>
      <c r="AL1466" s="101"/>
      <c r="AM1466" s="101"/>
      <c r="AN1466" s="101"/>
    </row>
    <row r="1467" spans="1:40" ht="16.5" customHeight="1" x14ac:dyDescent="0.3">
      <c r="A1467" s="59" t="s">
        <v>1984</v>
      </c>
      <c r="B1467" s="89" t="str">
        <f>"   유 리 알 : "&amp;TEXT(I1467,"#,##0"&amp;IF(I1467&lt;&gt;INT(I1467),".###",""))&amp;" * "&amp;AA1467&amp;" ㎏  = "&amp;TEXT(C1467,"#,##0.0")&amp;""</f>
        <v xml:space="preserve">   유 리 알 : 4,500 * 0.31 ㎏  = 1,395.0</v>
      </c>
      <c r="C1467" s="91">
        <f>E1467+D1467+F1467</f>
        <v>1395</v>
      </c>
      <c r="D1467" s="91">
        <f>IF(H1467=0,0,ROUNDDOWN(J1467*H1467,1))</f>
        <v>0</v>
      </c>
      <c r="E1467" s="91">
        <f>IF(H1467=0,0,ROUNDDOWN(K1467*H1467,1))</f>
        <v>1395</v>
      </c>
      <c r="F1467" s="91">
        <f>IF(H1467=0,0,ROUNDDOWN(L1467*H1467,1))</f>
        <v>0</v>
      </c>
      <c r="G1467" s="17" t="s">
        <v>1983</v>
      </c>
      <c r="H1467" s="97">
        <f>ROUNDUP(AC1467,14-LEN(ABS(INT(AC1467))))</f>
        <v>0.31</v>
      </c>
      <c r="I1467" s="98">
        <f>K1467+J1467+L1467</f>
        <v>4500</v>
      </c>
      <c r="K1467" s="38">
        <f>재료비목록표!E41</f>
        <v>4500</v>
      </c>
      <c r="M1467" s="35" t="s">
        <v>1985</v>
      </c>
      <c r="N1467" s="35" t="s">
        <v>1253</v>
      </c>
      <c r="O1467" s="35" t="s">
        <v>1214</v>
      </c>
      <c r="X1467" s="100" t="str">
        <f>재료비목록표!B41&amp;" / "&amp;재료비목록표!C41</f>
        <v>유리알 / 고휘도</v>
      </c>
      <c r="Y1467" s="3" t="str">
        <f ca="1">HYPERLINK("#"&amp;재료비목록표!G2&amp;"!A"&amp;ROW(재료비목록표!A41),"자재38 →")</f>
        <v>자재38 →</v>
      </c>
      <c r="Z1467" s="35" t="s">
        <v>1446</v>
      </c>
      <c r="AA1467" s="104">
        <v>0.31</v>
      </c>
      <c r="AB1467" s="35" t="s">
        <v>1410</v>
      </c>
      <c r="AC1467" s="103">
        <f>1*AA1467</f>
        <v>0.31</v>
      </c>
      <c r="AD1467" s="101"/>
      <c r="AE1467" s="101"/>
      <c r="AF1467" s="101"/>
      <c r="AG1467" s="101"/>
      <c r="AH1467" s="101"/>
      <c r="AI1467" s="101"/>
      <c r="AJ1467" s="101"/>
      <c r="AK1467" s="101"/>
      <c r="AL1467" s="101"/>
      <c r="AM1467" s="101"/>
      <c r="AN1467" s="101"/>
    </row>
    <row r="1468" spans="1:40" ht="16.5" customHeight="1" x14ac:dyDescent="0.3">
      <c r="A1468" s="59" t="s">
        <v>1987</v>
      </c>
      <c r="B1468" s="89" t="str">
        <f>"   프라이머 : "&amp;TEXT(I1468,"#,##0"&amp;IF(I1468&lt;&gt;INT(I1468),".###",""))&amp;" * "&amp;AA1468&amp;" kg  = "&amp;TEXT(C1468,"#,##0.0")&amp;""</f>
        <v xml:space="preserve">   프라이머 : 4,550 * 0.2 kg  = 910.0</v>
      </c>
      <c r="C1468" s="91">
        <f>E1468+D1468+F1468</f>
        <v>910</v>
      </c>
      <c r="D1468" s="91">
        <f>IF(H1468=0,0,ROUNDDOWN(J1468*H1468,1))</f>
        <v>0</v>
      </c>
      <c r="E1468" s="91">
        <f>IF(H1468=0,0,ROUNDDOWN(K1468*H1468,1))</f>
        <v>910</v>
      </c>
      <c r="F1468" s="91">
        <f>IF(H1468=0,0,ROUNDDOWN(L1468*H1468,1))</f>
        <v>0</v>
      </c>
      <c r="G1468" s="17" t="s">
        <v>1986</v>
      </c>
      <c r="H1468" s="97">
        <f>ROUNDUP(AC1468,14-LEN(ABS(INT(AC1468))))</f>
        <v>0.2</v>
      </c>
      <c r="I1468" s="98">
        <f>K1468+J1468+L1468</f>
        <v>4550</v>
      </c>
      <c r="K1468" s="38">
        <f>재료비목록표!E42</f>
        <v>4550</v>
      </c>
      <c r="M1468" s="35" t="s">
        <v>1988</v>
      </c>
      <c r="N1468" s="35" t="s">
        <v>1253</v>
      </c>
      <c r="O1468" s="35" t="s">
        <v>1214</v>
      </c>
      <c r="X1468" s="100" t="str">
        <f>재료비목록표!B42&amp;" / "&amp;재료비목록표!C42</f>
        <v xml:space="preserve">융착식 프라이머 / </v>
      </c>
      <c r="Y1468" s="3" t="str">
        <f ca="1">HYPERLINK("#"&amp;재료비목록표!G2&amp;"!A"&amp;ROW(재료비목록표!A42),"자재39 →")</f>
        <v>자재39 →</v>
      </c>
      <c r="Z1468" s="35" t="s">
        <v>1446</v>
      </c>
      <c r="AA1468" s="104">
        <v>0.2</v>
      </c>
      <c r="AB1468" s="35" t="s">
        <v>1410</v>
      </c>
      <c r="AC1468" s="103">
        <f>1*AA1468</f>
        <v>0.2</v>
      </c>
      <c r="AD1468" s="101"/>
      <c r="AE1468" s="101"/>
      <c r="AF1468" s="101"/>
      <c r="AG1468" s="101"/>
      <c r="AH1468" s="101"/>
      <c r="AI1468" s="101"/>
      <c r="AJ1468" s="101"/>
      <c r="AK1468" s="101"/>
      <c r="AL1468" s="101"/>
      <c r="AM1468" s="101"/>
      <c r="AN1468" s="101"/>
    </row>
    <row r="1469" spans="1:40" ht="16.5" customHeight="1" x14ac:dyDescent="0.3">
      <c r="A1469" s="59" t="s">
        <v>1990</v>
      </c>
      <c r="B1469" s="89" t="str">
        <f>"   프로판가스 : "&amp;TEXT(I1469,"#,##0"&amp;IF(I1469&lt;&gt;INT(I1469),".###",""))&amp;" * "&amp;AA1469&amp;" kg  = "&amp;TEXT(C1469,"#,##0.0")&amp;""</f>
        <v xml:space="preserve">   프로판가스 : 2,076 * 0.2 kg  = 415.2</v>
      </c>
      <c r="C1469" s="91">
        <f>E1469+D1469+F1469</f>
        <v>415.2</v>
      </c>
      <c r="D1469" s="91">
        <f>IF(H1469=0,0,ROUNDDOWN(J1469*H1469,1))</f>
        <v>0</v>
      </c>
      <c r="E1469" s="91">
        <f>IF(H1469=0,0,ROUNDDOWN(K1469*H1469,1))</f>
        <v>415.2</v>
      </c>
      <c r="F1469" s="91">
        <f>IF(H1469=0,0,ROUNDDOWN(L1469*H1469,1))</f>
        <v>0</v>
      </c>
      <c r="G1469" s="17" t="s">
        <v>1989</v>
      </c>
      <c r="H1469" s="97">
        <f>ROUNDUP(AC1469,14-LEN(ABS(INT(AC1469))))</f>
        <v>0.2</v>
      </c>
      <c r="I1469" s="98">
        <f>K1469+J1469+L1469</f>
        <v>2076</v>
      </c>
      <c r="K1469" s="38">
        <f>재료비목록표!E40</f>
        <v>2076</v>
      </c>
      <c r="M1469" s="35" t="s">
        <v>1991</v>
      </c>
      <c r="N1469" s="35" t="s">
        <v>1253</v>
      </c>
      <c r="O1469" s="35" t="s">
        <v>1214</v>
      </c>
      <c r="X1469" s="100" t="str">
        <f>재료비목록표!B40&amp;" / "&amp;재료비목록표!C40</f>
        <v>액화석유가스 / 액화석유가스, 건설용LPG</v>
      </c>
      <c r="Y1469" s="3" t="str">
        <f ca="1">HYPERLINK("#"&amp;재료비목록표!G2&amp;"!A"&amp;ROW(재료비목록표!A40),"자재37 →")</f>
        <v>자재37 →</v>
      </c>
      <c r="Z1469" s="35" t="s">
        <v>1446</v>
      </c>
      <c r="AA1469" s="104">
        <v>0.2</v>
      </c>
      <c r="AB1469" s="35" t="s">
        <v>1410</v>
      </c>
      <c r="AC1469" s="103">
        <f>1*AA1469</f>
        <v>0.2</v>
      </c>
      <c r="AD1469" s="101"/>
      <c r="AE1469" s="101"/>
      <c r="AF1469" s="101"/>
      <c r="AG1469" s="101"/>
      <c r="AH1469" s="101"/>
      <c r="AI1469" s="101"/>
      <c r="AJ1469" s="101"/>
      <c r="AK1469" s="101"/>
      <c r="AL1469" s="101"/>
      <c r="AM1469" s="101"/>
      <c r="AN1469" s="101"/>
    </row>
    <row r="1470" spans="1:40" ht="16.5" customHeight="1" x14ac:dyDescent="0.3">
      <c r="A1470" s="59"/>
      <c r="B1470" s="89" t="str">
        <f>"   잡재료비(인력품의 1%) : "&amp;TEXT(I1470,"#,##0.0")&amp;" * "&amp;AA1470&amp;" % = "&amp;TEXT(C1470,"#,##0.0")&amp;""</f>
        <v xml:space="preserve">   잡재료비(인력품의 1%) : 16,944.4 * 1 % = 169.4</v>
      </c>
      <c r="C1470" s="91">
        <f>E1470+D1470+F1470</f>
        <v>169.4</v>
      </c>
      <c r="D1470" s="91">
        <f>IF(H1470=0,0,ROUNDDOWN(J1470*H1470/100,1))</f>
        <v>0</v>
      </c>
      <c r="E1470" s="91">
        <f>IF(H1470=0,0,ROUNDDOWN(K1470*H1470/100,1))</f>
        <v>169.4</v>
      </c>
      <c r="F1470" s="91">
        <f>IF(H1470=0,0,ROUNDDOWN(L1470*H1470/100,1))</f>
        <v>0</v>
      </c>
      <c r="G1470" s="17" t="s">
        <v>1992</v>
      </c>
      <c r="H1470" s="97">
        <f>ROUNDUP(AC1470,14-LEN(ABS(INT(AC1470))))</f>
        <v>1</v>
      </c>
      <c r="I1470" s="98">
        <f>K1470+J1470+L1470</f>
        <v>16944.400000000001</v>
      </c>
      <c r="J1470" s="36">
        <v>0</v>
      </c>
      <c r="K1470" s="38">
        <f>C1466+C1467+C1468+C1469</f>
        <v>16944.400000000001</v>
      </c>
      <c r="L1470" s="36">
        <v>0</v>
      </c>
      <c r="M1470" s="35" t="s">
        <v>1059</v>
      </c>
      <c r="N1470" s="35" t="s">
        <v>1253</v>
      </c>
      <c r="O1470" s="35" t="s">
        <v>1214</v>
      </c>
      <c r="Z1470" s="35" t="s">
        <v>1446</v>
      </c>
      <c r="AA1470" s="102">
        <v>1</v>
      </c>
      <c r="AB1470" s="35" t="s">
        <v>1410</v>
      </c>
      <c r="AC1470" s="103">
        <f>1*AA1470</f>
        <v>1</v>
      </c>
      <c r="AD1470" s="101"/>
      <c r="AE1470" s="101"/>
      <c r="AF1470" s="101"/>
      <c r="AG1470" s="101"/>
      <c r="AH1470" s="101"/>
      <c r="AI1470" s="101"/>
      <c r="AJ1470" s="101"/>
      <c r="AK1470" s="101"/>
      <c r="AL1470" s="101"/>
      <c r="AM1470" s="101"/>
      <c r="AN1470" s="101"/>
    </row>
    <row r="1471" spans="1:40" ht="16.5" customHeight="1" x14ac:dyDescent="0.3">
      <c r="A1471" s="69"/>
      <c r="B1471" s="69"/>
      <c r="C1471" s="69"/>
      <c r="D1471" s="69"/>
      <c r="E1471" s="69"/>
      <c r="F1471" s="69"/>
      <c r="G1471" s="17" t="s">
        <v>1405</v>
      </c>
      <c r="Z1471" s="101"/>
      <c r="AA1471" s="101"/>
      <c r="AB1471" s="101"/>
      <c r="AC1471" s="101"/>
      <c r="AD1471" s="101"/>
      <c r="AE1471" s="101"/>
      <c r="AF1471" s="101"/>
      <c r="AG1471" s="101"/>
      <c r="AH1471" s="101"/>
      <c r="AI1471" s="101"/>
      <c r="AJ1471" s="101"/>
      <c r="AK1471" s="101"/>
      <c r="AL1471" s="101"/>
      <c r="AM1471" s="101"/>
      <c r="AN1471" s="101"/>
    </row>
    <row r="1472" spans="1:40" ht="16.5" customHeight="1" x14ac:dyDescent="0.3">
      <c r="A1472" s="59"/>
      <c r="B1472" s="68" t="s">
        <v>1251</v>
      </c>
      <c r="C1472" s="92">
        <f>E1472+D1472+F1472</f>
        <v>17113.800000000003</v>
      </c>
      <c r="D1472" s="92">
        <f>SUMIF(N1457:N1471,M1472,D1457:D1471)</f>
        <v>0</v>
      </c>
      <c r="E1472" s="92">
        <f>SUMIF(N1457:N1471,M1472,E1457:E1471)</f>
        <v>17113.800000000003</v>
      </c>
      <c r="F1472" s="92">
        <f>SUMIF(N1457:N1471,M1472,F1457:F1471)</f>
        <v>0</v>
      </c>
      <c r="G1472" s="17" t="s">
        <v>1993</v>
      </c>
      <c r="M1472" s="35" t="s">
        <v>1253</v>
      </c>
      <c r="N1472" s="35" t="s">
        <v>1844</v>
      </c>
      <c r="Z1472" s="101"/>
      <c r="AA1472" s="101"/>
      <c r="AB1472" s="101"/>
      <c r="AC1472" s="101"/>
      <c r="AD1472" s="101"/>
      <c r="AE1472" s="101"/>
      <c r="AF1472" s="101"/>
      <c r="AG1472" s="101"/>
      <c r="AH1472" s="101"/>
      <c r="AI1472" s="101"/>
      <c r="AJ1472" s="101"/>
      <c r="AK1472" s="101"/>
      <c r="AL1472" s="101"/>
      <c r="AM1472" s="101"/>
      <c r="AN1472" s="101"/>
    </row>
    <row r="1473" spans="1:40" ht="16.5" customHeight="1" x14ac:dyDescent="0.3">
      <c r="A1473" s="69"/>
      <c r="B1473" s="69"/>
      <c r="C1473" s="90"/>
      <c r="D1473" s="90"/>
      <c r="E1473" s="90"/>
      <c r="F1473" s="90"/>
      <c r="G1473" s="17" t="s">
        <v>1405</v>
      </c>
      <c r="Z1473" s="101"/>
      <c r="AA1473" s="101"/>
      <c r="AB1473" s="101"/>
      <c r="AC1473" s="101"/>
      <c r="AD1473" s="101"/>
      <c r="AE1473" s="101"/>
      <c r="AF1473" s="101"/>
      <c r="AG1473" s="101"/>
      <c r="AH1473" s="101"/>
      <c r="AI1473" s="101"/>
      <c r="AJ1473" s="101"/>
      <c r="AK1473" s="101"/>
      <c r="AL1473" s="101"/>
      <c r="AM1473" s="101"/>
      <c r="AN1473" s="101"/>
    </row>
    <row r="1474" spans="1:40" ht="16.5" customHeight="1" x14ac:dyDescent="0.3">
      <c r="A1474" s="59"/>
      <c r="B1474" s="68" t="s">
        <v>1995</v>
      </c>
      <c r="C1474" s="69"/>
      <c r="D1474" s="69"/>
      <c r="E1474" s="69"/>
      <c r="F1474" s="69"/>
      <c r="G1474" s="17" t="s">
        <v>1994</v>
      </c>
      <c r="Z1474" s="101"/>
      <c r="AA1474" s="101"/>
      <c r="AB1474" s="101"/>
      <c r="AC1474" s="101"/>
      <c r="AD1474" s="101"/>
      <c r="AE1474" s="101"/>
      <c r="AF1474" s="101"/>
      <c r="AG1474" s="101"/>
      <c r="AH1474" s="101"/>
      <c r="AI1474" s="101"/>
      <c r="AJ1474" s="101"/>
      <c r="AK1474" s="101"/>
      <c r="AL1474" s="101"/>
      <c r="AM1474" s="101"/>
      <c r="AN1474" s="101"/>
    </row>
    <row r="1475" spans="1:40" ht="16.5" customHeight="1" x14ac:dyDescent="0.3">
      <c r="A1475" s="69"/>
      <c r="B1475" s="69"/>
      <c r="C1475" s="69"/>
      <c r="D1475" s="69"/>
      <c r="E1475" s="69"/>
      <c r="F1475" s="69"/>
      <c r="G1475" s="17" t="s">
        <v>1405</v>
      </c>
      <c r="Z1475" s="101"/>
      <c r="AA1475" s="101"/>
      <c r="AB1475" s="101"/>
      <c r="AC1475" s="101"/>
      <c r="AD1475" s="101"/>
      <c r="AE1475" s="101"/>
      <c r="AF1475" s="101"/>
      <c r="AG1475" s="101"/>
      <c r="AH1475" s="101"/>
      <c r="AI1475" s="101"/>
      <c r="AJ1475" s="101"/>
      <c r="AK1475" s="101"/>
      <c r="AL1475" s="101"/>
      <c r="AM1475" s="101"/>
      <c r="AN1475" s="101"/>
    </row>
    <row r="1476" spans="1:40" ht="16.5" customHeight="1" x14ac:dyDescent="0.3">
      <c r="A1476" s="59" t="s">
        <v>1419</v>
      </c>
      <c r="B1476" s="89" t="str">
        <f>"   보통인부 : "&amp;TEXT(I1476,"#,##0"&amp;IF(I1476&lt;&gt;INT(I1476),".###",""))&amp;" * "&amp;AA1476&amp;" 인 / Q = "&amp;TEXT(C1476,"#,##0.0")&amp;""</f>
        <v xml:space="preserve">   보통인부 : 172,068 * 2 인 / Q = 1,293.7</v>
      </c>
      <c r="C1476" s="91">
        <f>E1476+D1476+F1476</f>
        <v>1293.7</v>
      </c>
      <c r="D1476" s="91">
        <f>IF(H1476=0,0,ROUNDDOWN(J1476*H1476,1))</f>
        <v>1293.7</v>
      </c>
      <c r="E1476" s="91">
        <f>IF(H1476=0,0,ROUNDDOWN(K1476*H1476,1))</f>
        <v>0</v>
      </c>
      <c r="F1476" s="91">
        <f>IF(H1476=0,0,ROUNDDOWN(L1476*H1476,1))</f>
        <v>0</v>
      </c>
      <c r="G1476" s="17" t="s">
        <v>1996</v>
      </c>
      <c r="H1476" s="97">
        <f>ROUNDUP(AE1476,14-LEN(ABS(INT(AE1476))))</f>
        <v>7.5187969925000001E-3</v>
      </c>
      <c r="I1476" s="98">
        <f>K1476+J1476+L1476</f>
        <v>172068</v>
      </c>
      <c r="J1476" s="38">
        <f>노무비목록표!E8</f>
        <v>172068</v>
      </c>
      <c r="M1476" s="35" t="s">
        <v>1219</v>
      </c>
      <c r="N1476" s="35" t="s">
        <v>1253</v>
      </c>
      <c r="O1476" s="35" t="s">
        <v>1997</v>
      </c>
      <c r="X1476" s="100" t="str">
        <f>노무비목록표!B8&amp;" / "&amp;노무비목록표!C8</f>
        <v xml:space="preserve">보통인부 / </v>
      </c>
      <c r="Y1476" s="3" t="str">
        <f ca="1">HYPERLINK("#"&amp;노무비목록표!G2&amp;"!A"&amp;ROW(노무비목록표!A8),"노무5 →")</f>
        <v>노무5 →</v>
      </c>
      <c r="Z1476" s="35" t="s">
        <v>1446</v>
      </c>
      <c r="AA1476" s="102">
        <v>2</v>
      </c>
      <c r="AB1476" s="35" t="s">
        <v>1413</v>
      </c>
      <c r="AC1476" s="103" t="str">
        <f>AD1461</f>
        <v>266.000</v>
      </c>
      <c r="AD1476" s="35" t="s">
        <v>1410</v>
      </c>
      <c r="AE1476" s="103">
        <f>1*AA1476/AD1461</f>
        <v>7.5187969924812026E-3</v>
      </c>
      <c r="AF1476" s="101"/>
      <c r="AG1476" s="101"/>
      <c r="AH1476" s="101"/>
      <c r="AI1476" s="101"/>
      <c r="AJ1476" s="101"/>
      <c r="AK1476" s="101"/>
      <c r="AL1476" s="101"/>
      <c r="AM1476" s="101"/>
      <c r="AN1476" s="101"/>
    </row>
    <row r="1477" spans="1:40" ht="16.5" customHeight="1" x14ac:dyDescent="0.3">
      <c r="A1477" s="59" t="s">
        <v>1416</v>
      </c>
      <c r="B1477" s="89" t="str">
        <f>"   특별인부 : "&amp;TEXT(I1477,"#,##0"&amp;IF(I1477&lt;&gt;INT(I1477),".###",""))&amp;" * "&amp;AA1477&amp;" 인 / Q = "&amp;TEXT(C1477,"#,##0.0")&amp;""</f>
        <v xml:space="preserve">   특별인부 : 226,122 * 2 인 / Q = 1,700.1</v>
      </c>
      <c r="C1477" s="91">
        <f>E1477+D1477+F1477</f>
        <v>1700.1</v>
      </c>
      <c r="D1477" s="91">
        <f>IF(H1477=0,0,ROUNDDOWN(J1477*H1477,1))</f>
        <v>1700.1</v>
      </c>
      <c r="E1477" s="91">
        <f>IF(H1477=0,0,ROUNDDOWN(K1477*H1477,1))</f>
        <v>0</v>
      </c>
      <c r="F1477" s="91">
        <f>IF(H1477=0,0,ROUNDDOWN(L1477*H1477,1))</f>
        <v>0</v>
      </c>
      <c r="G1477" s="17" t="s">
        <v>1998</v>
      </c>
      <c r="H1477" s="97">
        <f>ROUNDUP(AE1477,14-LEN(ABS(INT(AE1477))))</f>
        <v>7.5187969925000001E-3</v>
      </c>
      <c r="I1477" s="98">
        <f>K1477+J1477+L1477</f>
        <v>226122</v>
      </c>
      <c r="J1477" s="38">
        <f>노무비목록표!E13</f>
        <v>226122</v>
      </c>
      <c r="M1477" s="35" t="s">
        <v>1215</v>
      </c>
      <c r="N1477" s="35" t="s">
        <v>1253</v>
      </c>
      <c r="O1477" s="35" t="s">
        <v>1997</v>
      </c>
      <c r="X1477" s="100" t="str">
        <f>노무비목록표!B13&amp;" / "&amp;노무비목록표!C13</f>
        <v xml:space="preserve">특별인부 / </v>
      </c>
      <c r="Y1477" s="3" t="str">
        <f ca="1">HYPERLINK("#"&amp;노무비목록표!G2&amp;"!A"&amp;ROW(노무비목록표!A13),"노무10 →")</f>
        <v>노무10 →</v>
      </c>
      <c r="Z1477" s="35" t="s">
        <v>1446</v>
      </c>
      <c r="AA1477" s="102">
        <v>2</v>
      </c>
      <c r="AB1477" s="35" t="s">
        <v>1413</v>
      </c>
      <c r="AC1477" s="103" t="str">
        <f>AD1461</f>
        <v>266.000</v>
      </c>
      <c r="AD1477" s="35" t="s">
        <v>1410</v>
      </c>
      <c r="AE1477" s="103">
        <f>1*AA1477/AD1461</f>
        <v>7.5187969924812026E-3</v>
      </c>
      <c r="AF1477" s="101"/>
      <c r="AG1477" s="101"/>
      <c r="AH1477" s="101"/>
      <c r="AI1477" s="101"/>
      <c r="AJ1477" s="101"/>
      <c r="AK1477" s="101"/>
      <c r="AL1477" s="101"/>
      <c r="AM1477" s="101"/>
      <c r="AN1477" s="101"/>
    </row>
    <row r="1478" spans="1:40" ht="16.5" customHeight="1" x14ac:dyDescent="0.3">
      <c r="A1478" s="59"/>
      <c r="B1478" s="89" t="str">
        <f>"   공구손료(인력품의 10%) : "&amp;TEXT(I1478,"#,##0.0")&amp;" * "&amp;AA1478&amp;" % = "&amp;TEXT(C1478,"#,##0.0")&amp;""</f>
        <v xml:space="preserve">   공구손료(인력품의 10%) : 2,993.8 * 10 % = 299.3</v>
      </c>
      <c r="C1478" s="91">
        <f>E1478+D1478+F1478</f>
        <v>299.3</v>
      </c>
      <c r="D1478" s="91">
        <f>IF(H1478=0,0,ROUNDDOWN(J1478*H1478/100,1))</f>
        <v>0</v>
      </c>
      <c r="E1478" s="91">
        <f>IF(H1478=0,0,ROUNDDOWN(K1478*H1478/100,1))</f>
        <v>0</v>
      </c>
      <c r="F1478" s="91">
        <f>IF(H1478=0,0,ROUNDDOWN(L1478*H1478/100,1))</f>
        <v>299.3</v>
      </c>
      <c r="G1478" s="17" t="s">
        <v>2032</v>
      </c>
      <c r="H1478" s="97">
        <f>ROUNDUP(AC1478,14-LEN(ABS(INT(AC1478))))</f>
        <v>10</v>
      </c>
      <c r="I1478" s="98">
        <f>K1478+J1478+L1478</f>
        <v>2993.8</v>
      </c>
      <c r="J1478" s="36">
        <v>0</v>
      </c>
      <c r="K1478" s="36">
        <v>0</v>
      </c>
      <c r="L1478" s="38">
        <f>C1476+C1477</f>
        <v>2993.8</v>
      </c>
      <c r="M1478" s="35" t="s">
        <v>1059</v>
      </c>
      <c r="N1478" s="35" t="s">
        <v>1253</v>
      </c>
      <c r="O1478" s="35" t="s">
        <v>1997</v>
      </c>
      <c r="Z1478" s="35" t="s">
        <v>1446</v>
      </c>
      <c r="AA1478" s="102">
        <v>10</v>
      </c>
      <c r="AB1478" s="35" t="s">
        <v>1410</v>
      </c>
      <c r="AC1478" s="103">
        <f>1*AA1478</f>
        <v>10</v>
      </c>
      <c r="AD1478" s="101"/>
      <c r="AE1478" s="101"/>
      <c r="AF1478" s="101"/>
      <c r="AG1478" s="101"/>
      <c r="AH1478" s="101"/>
      <c r="AI1478" s="101"/>
      <c r="AJ1478" s="101"/>
      <c r="AK1478" s="101"/>
      <c r="AL1478" s="101"/>
      <c r="AM1478" s="101"/>
      <c r="AN1478" s="101"/>
    </row>
    <row r="1479" spans="1:40" ht="16.5" customHeight="1" x14ac:dyDescent="0.3">
      <c r="A1479" s="69"/>
      <c r="B1479" s="69"/>
      <c r="C1479" s="69"/>
      <c r="D1479" s="69"/>
      <c r="E1479" s="69"/>
      <c r="F1479" s="69"/>
      <c r="G1479" s="17" t="s">
        <v>1405</v>
      </c>
      <c r="Z1479" s="101"/>
      <c r="AA1479" s="101"/>
      <c r="AB1479" s="101"/>
      <c r="AC1479" s="101"/>
      <c r="AD1479" s="101"/>
      <c r="AE1479" s="101"/>
      <c r="AF1479" s="101"/>
      <c r="AG1479" s="101"/>
      <c r="AH1479" s="101"/>
      <c r="AI1479" s="101"/>
      <c r="AJ1479" s="101"/>
      <c r="AK1479" s="101"/>
      <c r="AL1479" s="101"/>
      <c r="AM1479" s="101"/>
      <c r="AN1479" s="101"/>
    </row>
    <row r="1480" spans="1:40" ht="16.5" customHeight="1" x14ac:dyDescent="0.3">
      <c r="A1480" s="59"/>
      <c r="B1480" s="68" t="s">
        <v>1251</v>
      </c>
      <c r="C1480" s="92">
        <f>E1480+D1480+F1480</f>
        <v>3293.1000000000004</v>
      </c>
      <c r="D1480" s="92">
        <f>SUMIF(N1473:N1479,M1480,D1473:D1479)</f>
        <v>2993.8</v>
      </c>
      <c r="E1480" s="92">
        <f>SUMIF(N1473:N1479,M1480,E1473:E1479)</f>
        <v>0</v>
      </c>
      <c r="F1480" s="92">
        <f>SUMIF(N1473:N1479,M1480,F1473:F1479)</f>
        <v>299.3</v>
      </c>
      <c r="G1480" s="17" t="s">
        <v>1993</v>
      </c>
      <c r="M1480" s="35" t="s">
        <v>1253</v>
      </c>
      <c r="N1480" s="35" t="s">
        <v>1844</v>
      </c>
      <c r="Z1480" s="101"/>
      <c r="AA1480" s="101"/>
      <c r="AB1480" s="101"/>
      <c r="AC1480" s="101"/>
      <c r="AD1480" s="101"/>
      <c r="AE1480" s="101"/>
      <c r="AF1480" s="101"/>
      <c r="AG1480" s="101"/>
      <c r="AH1480" s="101"/>
      <c r="AI1480" s="101"/>
      <c r="AJ1480" s="101"/>
      <c r="AK1480" s="101"/>
      <c r="AL1480" s="101"/>
      <c r="AM1480" s="101"/>
      <c r="AN1480" s="101"/>
    </row>
    <row r="1481" spans="1:40" ht="16.5" customHeight="1" x14ac:dyDescent="0.3">
      <c r="A1481" s="69"/>
      <c r="B1481" s="69"/>
      <c r="C1481" s="90"/>
      <c r="D1481" s="90"/>
      <c r="E1481" s="90"/>
      <c r="F1481" s="90"/>
      <c r="G1481" s="17" t="s">
        <v>1525</v>
      </c>
      <c r="Z1481" s="101"/>
      <c r="AA1481" s="101"/>
      <c r="AB1481" s="101"/>
      <c r="AC1481" s="101"/>
      <c r="AD1481" s="101"/>
      <c r="AE1481" s="101"/>
      <c r="AF1481" s="101"/>
      <c r="AG1481" s="101"/>
      <c r="AH1481" s="101"/>
      <c r="AI1481" s="101"/>
      <c r="AJ1481" s="101"/>
      <c r="AK1481" s="101"/>
      <c r="AL1481" s="101"/>
      <c r="AM1481" s="101"/>
      <c r="AN1481" s="101"/>
    </row>
    <row r="1482" spans="1:40" ht="16.5" customHeight="1" x14ac:dyDescent="0.3">
      <c r="A1482" s="59"/>
      <c r="B1482" s="68" t="s">
        <v>2001</v>
      </c>
      <c r="C1482" s="69"/>
      <c r="D1482" s="69"/>
      <c r="E1482" s="69"/>
      <c r="F1482" s="69"/>
      <c r="G1482" s="17" t="s">
        <v>2000</v>
      </c>
      <c r="Z1482" s="101"/>
      <c r="AA1482" s="101"/>
      <c r="AB1482" s="101"/>
      <c r="AC1482" s="101"/>
      <c r="AD1482" s="101"/>
      <c r="AE1482" s="101"/>
      <c r="AF1482" s="101"/>
      <c r="AG1482" s="101"/>
      <c r="AH1482" s="101"/>
      <c r="AI1482" s="101"/>
      <c r="AJ1482" s="101"/>
      <c r="AK1482" s="101"/>
      <c r="AL1482" s="101"/>
      <c r="AM1482" s="101"/>
      <c r="AN1482" s="101"/>
    </row>
    <row r="1483" spans="1:40" ht="16.5" customHeight="1" x14ac:dyDescent="0.3">
      <c r="A1483" s="69"/>
      <c r="B1483" s="69"/>
      <c r="C1483" s="69"/>
      <c r="D1483" s="69"/>
      <c r="E1483" s="69"/>
      <c r="F1483" s="69"/>
      <c r="G1483" s="17" t="s">
        <v>1405</v>
      </c>
      <c r="Z1483" s="101"/>
      <c r="AA1483" s="101"/>
      <c r="AB1483" s="101"/>
      <c r="AC1483" s="101"/>
      <c r="AD1483" s="101"/>
      <c r="AE1483" s="101"/>
      <c r="AF1483" s="101"/>
      <c r="AG1483" s="101"/>
      <c r="AH1483" s="101"/>
      <c r="AI1483" s="101"/>
      <c r="AJ1483" s="101"/>
      <c r="AK1483" s="101"/>
      <c r="AL1483" s="101"/>
      <c r="AM1483" s="101"/>
      <c r="AN1483" s="101"/>
    </row>
    <row r="1484" spans="1:40" ht="16.5" customHeight="1" x14ac:dyDescent="0.3">
      <c r="A1484" s="59"/>
      <c r="B1484" s="68" t="s">
        <v>2003</v>
      </c>
      <c r="C1484" s="69"/>
      <c r="D1484" s="69"/>
      <c r="E1484" s="69"/>
      <c r="F1484" s="69"/>
      <c r="G1484" s="17" t="s">
        <v>2002</v>
      </c>
      <c r="Z1484" s="101"/>
      <c r="AA1484" s="101"/>
      <c r="AB1484" s="101"/>
      <c r="AC1484" s="101"/>
      <c r="AD1484" s="101"/>
      <c r="AE1484" s="101"/>
      <c r="AF1484" s="101"/>
      <c r="AG1484" s="101"/>
      <c r="AH1484" s="101"/>
      <c r="AI1484" s="101"/>
      <c r="AJ1484" s="101"/>
      <c r="AK1484" s="101"/>
      <c r="AL1484" s="101"/>
      <c r="AM1484" s="101"/>
      <c r="AN1484" s="101"/>
    </row>
    <row r="1485" spans="1:40" ht="16.5" customHeight="1" x14ac:dyDescent="0.3">
      <c r="A1485" s="69"/>
      <c r="B1485" s="69"/>
      <c r="C1485" s="69"/>
      <c r="D1485" s="69"/>
      <c r="E1485" s="69"/>
      <c r="F1485" s="69"/>
      <c r="G1485" s="17" t="s">
        <v>1405</v>
      </c>
      <c r="Z1485" s="101"/>
      <c r="AA1485" s="101"/>
      <c r="AB1485" s="101"/>
      <c r="AC1485" s="101"/>
      <c r="AD1485" s="101"/>
      <c r="AE1485" s="101"/>
      <c r="AF1485" s="101"/>
      <c r="AG1485" s="101"/>
      <c r="AH1485" s="101"/>
      <c r="AI1485" s="101"/>
      <c r="AJ1485" s="101"/>
      <c r="AK1485" s="101"/>
      <c r="AL1485" s="101"/>
      <c r="AM1485" s="101"/>
      <c r="AN1485" s="101"/>
    </row>
    <row r="1486" spans="1:40" ht="16.5" customHeight="1" x14ac:dyDescent="0.3">
      <c r="A1486" s="59" t="s">
        <v>2005</v>
      </c>
      <c r="B1486" s="89" t="str">
        <f>"    재료비: "&amp;TEXT(I1486,"#,##0"&amp;IF(I1486&lt;&gt;INT(I1486),".###",""))&amp;" / Q1 = "&amp;TEXT(C1486,"#,##0.0")&amp;""</f>
        <v xml:space="preserve">    재료비: 12,413 / Q1 = 373.3</v>
      </c>
      <c r="C1486" s="91">
        <f>E1486+D1486+F1486</f>
        <v>373.3</v>
      </c>
      <c r="D1486" s="91">
        <f>IF(H1486=0,0,ROUNDDOWN(J1486*H1486,1))</f>
        <v>0</v>
      </c>
      <c r="E1486" s="91">
        <f>IF(H1486=0,0,ROUNDDOWN(K1486*H1486,1))</f>
        <v>373.3</v>
      </c>
      <c r="F1486" s="91">
        <f>IF(H1486=0,0,ROUNDDOWN(L1486*H1486,1))</f>
        <v>0</v>
      </c>
      <c r="G1486" s="17" t="s">
        <v>2004</v>
      </c>
      <c r="H1486" s="97">
        <f>ROUNDUP(AC1486,14-LEN(ABS(INT(AC1486))))</f>
        <v>3.007518797E-2</v>
      </c>
      <c r="I1486" s="98">
        <f>K1486+J1486+L1486</f>
        <v>12413</v>
      </c>
      <c r="K1486" s="38">
        <f>중기목록표!G15</f>
        <v>12413</v>
      </c>
      <c r="M1486" s="35" t="s">
        <v>2006</v>
      </c>
      <c r="N1486" s="35" t="s">
        <v>1262</v>
      </c>
      <c r="X1486" s="100" t="str">
        <f>중기목록표!B15&amp;" / "&amp;중기목록표!C15</f>
        <v>덤프트럭 / 4.5톤</v>
      </c>
      <c r="Y1486" s="3" t="str">
        <f ca="1">HYPERLINK("#"&amp;중기목록표!J2&amp;"!A"&amp;ROW(중기목록표!A15),"중기12 →")</f>
        <v>중기12 →</v>
      </c>
      <c r="Z1486" s="35" t="s">
        <v>1417</v>
      </c>
      <c r="AA1486" s="103" t="str">
        <f>AD1462</f>
        <v>33.250</v>
      </c>
      <c r="AB1486" s="35" t="s">
        <v>1410</v>
      </c>
      <c r="AC1486" s="103">
        <f>1/AD1462</f>
        <v>3.007518796992481E-2</v>
      </c>
      <c r="AD1486" s="101"/>
      <c r="AE1486" s="101"/>
      <c r="AF1486" s="101"/>
      <c r="AG1486" s="101"/>
      <c r="AH1486" s="101"/>
      <c r="AI1486" s="101"/>
      <c r="AJ1486" s="101"/>
      <c r="AK1486" s="101"/>
      <c r="AL1486" s="101"/>
      <c r="AM1486" s="101"/>
      <c r="AN1486" s="101"/>
    </row>
    <row r="1487" spans="1:40" ht="16.5" customHeight="1" x14ac:dyDescent="0.3">
      <c r="A1487" s="59" t="s">
        <v>2008</v>
      </c>
      <c r="B1487" s="89" t="str">
        <f>"    노무비: "&amp;TEXT(I1487,"#,##0"&amp;IF(I1487&lt;&gt;INT(I1487),".###",""))&amp;" / Q1 = "&amp;TEXT(C1487,"#,##0.0")&amp;""</f>
        <v xml:space="preserve">    노무비: 49,778 / Q1 = 1,497.0</v>
      </c>
      <c r="C1487" s="91">
        <f>E1487+D1487+F1487</f>
        <v>1497</v>
      </c>
      <c r="D1487" s="91">
        <f>IF(H1487=0,0,ROUNDDOWN(J1487*H1487,1))</f>
        <v>1497</v>
      </c>
      <c r="E1487" s="91">
        <f>IF(H1487=0,0,ROUNDDOWN(K1487*H1487,1))</f>
        <v>0</v>
      </c>
      <c r="F1487" s="91">
        <f>IF(H1487=0,0,ROUNDDOWN(L1487*H1487,1))</f>
        <v>0</v>
      </c>
      <c r="G1487" s="17" t="s">
        <v>2007</v>
      </c>
      <c r="H1487" s="97">
        <f>ROUNDUP(AC1487,14-LEN(ABS(INT(AC1487))))</f>
        <v>3.007518797E-2</v>
      </c>
      <c r="I1487" s="98">
        <f>K1487+J1487+L1487</f>
        <v>49778</v>
      </c>
      <c r="J1487" s="38">
        <f>중기목록표!F15</f>
        <v>49778</v>
      </c>
      <c r="M1487" s="35" t="s">
        <v>2006</v>
      </c>
      <c r="N1487" s="35" t="s">
        <v>1262</v>
      </c>
      <c r="X1487" s="100" t="str">
        <f>중기목록표!B15&amp;" / "&amp;중기목록표!C15</f>
        <v>덤프트럭 / 4.5톤</v>
      </c>
      <c r="Y1487" s="3" t="str">
        <f ca="1">HYPERLINK("#"&amp;중기목록표!J2&amp;"!A"&amp;ROW(중기목록표!A15),"중기12 →")</f>
        <v>중기12 →</v>
      </c>
      <c r="Z1487" s="35" t="s">
        <v>1417</v>
      </c>
      <c r="AA1487" s="103" t="str">
        <f>AD1462</f>
        <v>33.250</v>
      </c>
      <c r="AB1487" s="35" t="s">
        <v>1410</v>
      </c>
      <c r="AC1487" s="103">
        <f>1/AD1462</f>
        <v>3.007518796992481E-2</v>
      </c>
      <c r="AD1487" s="101"/>
      <c r="AE1487" s="101"/>
      <c r="AF1487" s="101"/>
      <c r="AG1487" s="101"/>
      <c r="AH1487" s="101"/>
      <c r="AI1487" s="101"/>
      <c r="AJ1487" s="101"/>
      <c r="AK1487" s="101"/>
      <c r="AL1487" s="101"/>
      <c r="AM1487" s="101"/>
      <c r="AN1487" s="101"/>
    </row>
    <row r="1488" spans="1:40" ht="16.5" customHeight="1" x14ac:dyDescent="0.3">
      <c r="A1488" s="59" t="s">
        <v>2010</v>
      </c>
      <c r="B1488" s="89" t="str">
        <f>"    경  비: "&amp;TEXT(I1488,"#,##0"&amp;IF(I1488&lt;&gt;INT(I1488),".###",""))&amp;" / Q1 = "&amp;TEXT(C1488,"#,##0.0")&amp;""</f>
        <v xml:space="preserve">    경  비: 7,613 / Q1 = 228.9</v>
      </c>
      <c r="C1488" s="91">
        <f>E1488+D1488+F1488</f>
        <v>228.9</v>
      </c>
      <c r="D1488" s="91">
        <f>IF(H1488=0,0,ROUNDDOWN(J1488*H1488,1))</f>
        <v>0</v>
      </c>
      <c r="E1488" s="91">
        <f>IF(H1488=0,0,ROUNDDOWN(K1488*H1488,1))</f>
        <v>0</v>
      </c>
      <c r="F1488" s="91">
        <f>IF(H1488=0,0,ROUNDDOWN(L1488*H1488,1))</f>
        <v>228.9</v>
      </c>
      <c r="G1488" s="17" t="s">
        <v>2009</v>
      </c>
      <c r="H1488" s="97">
        <f>ROUNDUP(AC1488,14-LEN(ABS(INT(AC1488))))</f>
        <v>3.007518797E-2</v>
      </c>
      <c r="I1488" s="98">
        <f>K1488+J1488+L1488</f>
        <v>7613</v>
      </c>
      <c r="L1488" s="38">
        <f>중기목록표!H15</f>
        <v>7613</v>
      </c>
      <c r="M1488" s="35" t="s">
        <v>2006</v>
      </c>
      <c r="N1488" s="35" t="s">
        <v>1262</v>
      </c>
      <c r="X1488" s="100" t="str">
        <f>중기목록표!B15&amp;" / "&amp;중기목록표!C15</f>
        <v>덤프트럭 / 4.5톤</v>
      </c>
      <c r="Y1488" s="3" t="str">
        <f ca="1">HYPERLINK("#"&amp;중기목록표!J2&amp;"!A"&amp;ROW(중기목록표!A15),"중기12 →")</f>
        <v>중기12 →</v>
      </c>
      <c r="Z1488" s="35" t="s">
        <v>1417</v>
      </c>
      <c r="AA1488" s="103" t="str">
        <f>AD1462</f>
        <v>33.250</v>
      </c>
      <c r="AB1488" s="35" t="s">
        <v>1410</v>
      </c>
      <c r="AC1488" s="103">
        <f>1/AD1462</f>
        <v>3.007518796992481E-2</v>
      </c>
      <c r="AD1488" s="101"/>
      <c r="AE1488" s="101"/>
      <c r="AF1488" s="101"/>
      <c r="AG1488" s="101"/>
      <c r="AH1488" s="101"/>
      <c r="AI1488" s="101"/>
      <c r="AJ1488" s="101"/>
      <c r="AK1488" s="101"/>
      <c r="AL1488" s="101"/>
      <c r="AM1488" s="101"/>
      <c r="AN1488" s="101"/>
    </row>
    <row r="1489" spans="1:40" ht="16.5" customHeight="1" x14ac:dyDescent="0.3">
      <c r="A1489" s="59"/>
      <c r="B1489" s="68" t="s">
        <v>1260</v>
      </c>
      <c r="C1489" s="92">
        <f>E1489+D1489+F1489</f>
        <v>2099.1999999999998</v>
      </c>
      <c r="D1489" s="92">
        <f>SUMIF(N1481:N1488,M1489,D1481:D1488)</f>
        <v>1497</v>
      </c>
      <c r="E1489" s="92">
        <f>SUMIF(N1481:N1488,M1489,E1481:E1488)</f>
        <v>373.3</v>
      </c>
      <c r="F1489" s="92">
        <f>SUMIF(N1481:N1488,M1489,F1481:F1488)</f>
        <v>228.9</v>
      </c>
      <c r="G1489" s="17" t="s">
        <v>2011</v>
      </c>
      <c r="M1489" s="35" t="s">
        <v>1262</v>
      </c>
      <c r="N1489" s="35" t="s">
        <v>1253</v>
      </c>
      <c r="Z1489" s="101"/>
      <c r="AA1489" s="101"/>
      <c r="AB1489" s="101"/>
      <c r="AC1489" s="101"/>
      <c r="AD1489" s="101"/>
      <c r="AE1489" s="101"/>
      <c r="AF1489" s="101"/>
      <c r="AG1489" s="101"/>
      <c r="AH1489" s="101"/>
      <c r="AI1489" s="101"/>
      <c r="AJ1489" s="101"/>
      <c r="AK1489" s="101"/>
      <c r="AL1489" s="101"/>
      <c r="AM1489" s="101"/>
      <c r="AN1489" s="101"/>
    </row>
    <row r="1490" spans="1:40" ht="16.5" customHeight="1" x14ac:dyDescent="0.3">
      <c r="A1490" s="69"/>
      <c r="B1490" s="69"/>
      <c r="C1490" s="90"/>
      <c r="D1490" s="90"/>
      <c r="E1490" s="90"/>
      <c r="F1490" s="90"/>
      <c r="G1490" s="17" t="s">
        <v>1405</v>
      </c>
      <c r="Z1490" s="101"/>
      <c r="AA1490" s="101"/>
      <c r="AB1490" s="101"/>
      <c r="AC1490" s="101"/>
      <c r="AD1490" s="101"/>
      <c r="AE1490" s="101"/>
      <c r="AF1490" s="101"/>
      <c r="AG1490" s="101"/>
      <c r="AH1490" s="101"/>
      <c r="AI1490" s="101"/>
      <c r="AJ1490" s="101"/>
      <c r="AK1490" s="101"/>
      <c r="AL1490" s="101"/>
      <c r="AM1490" s="101"/>
      <c r="AN1490" s="101"/>
    </row>
    <row r="1491" spans="1:40" ht="16.5" customHeight="1" x14ac:dyDescent="0.3">
      <c r="A1491" s="59"/>
      <c r="B1491" s="68" t="s">
        <v>2013</v>
      </c>
      <c r="C1491" s="69"/>
      <c r="D1491" s="69"/>
      <c r="E1491" s="69"/>
      <c r="F1491" s="69"/>
      <c r="G1491" s="17" t="s">
        <v>2012</v>
      </c>
      <c r="Z1491" s="101"/>
      <c r="AA1491" s="101"/>
      <c r="AB1491" s="101"/>
      <c r="AC1491" s="101"/>
      <c r="AD1491" s="101"/>
      <c r="AE1491" s="101"/>
      <c r="AF1491" s="101"/>
      <c r="AG1491" s="101"/>
      <c r="AH1491" s="101"/>
      <c r="AI1491" s="101"/>
      <c r="AJ1491" s="101"/>
      <c r="AK1491" s="101"/>
      <c r="AL1491" s="101"/>
      <c r="AM1491" s="101"/>
      <c r="AN1491" s="101"/>
    </row>
    <row r="1492" spans="1:40" ht="16.5" customHeight="1" x14ac:dyDescent="0.3">
      <c r="A1492" s="69"/>
      <c r="B1492" s="69"/>
      <c r="C1492" s="69"/>
      <c r="D1492" s="69"/>
      <c r="E1492" s="69"/>
      <c r="F1492" s="69"/>
      <c r="G1492" s="17" t="s">
        <v>1405</v>
      </c>
      <c r="Z1492" s="101"/>
      <c r="AA1492" s="101"/>
      <c r="AB1492" s="101"/>
      <c r="AC1492" s="101"/>
      <c r="AD1492" s="101"/>
      <c r="AE1492" s="101"/>
      <c r="AF1492" s="101"/>
      <c r="AG1492" s="101"/>
      <c r="AH1492" s="101"/>
      <c r="AI1492" s="101"/>
      <c r="AJ1492" s="101"/>
      <c r="AK1492" s="101"/>
      <c r="AL1492" s="101"/>
      <c r="AM1492" s="101"/>
      <c r="AN1492" s="101"/>
    </row>
    <row r="1493" spans="1:40" ht="16.5" customHeight="1" x14ac:dyDescent="0.3">
      <c r="A1493" s="59" t="s">
        <v>2015</v>
      </c>
      <c r="B1493" s="89" t="str">
        <f>"    재료비: "&amp;TEXT(I1493,"#,##0"&amp;IF(I1493&lt;&gt;INT(I1493),".###",""))&amp;" / Q1 = "&amp;TEXT(C1493,"#,##0.0")&amp;""</f>
        <v xml:space="preserve">    재료비: 7,199 / Q1 = 216.5</v>
      </c>
      <c r="C1493" s="91">
        <f>E1493+D1493+F1493</f>
        <v>216.5</v>
      </c>
      <c r="D1493" s="91">
        <f>IF(H1493=0,0,ROUNDDOWN(J1493*H1493,1))</f>
        <v>0</v>
      </c>
      <c r="E1493" s="91">
        <f>IF(H1493=0,0,ROUNDDOWN(K1493*H1493,1))</f>
        <v>216.5</v>
      </c>
      <c r="F1493" s="91">
        <f>IF(H1493=0,0,ROUNDDOWN(L1493*H1493,1))</f>
        <v>0</v>
      </c>
      <c r="G1493" s="17" t="s">
        <v>2014</v>
      </c>
      <c r="H1493" s="97">
        <f>ROUNDUP(AC1493,14-LEN(ABS(INT(AC1493))))</f>
        <v>3.007518797E-2</v>
      </c>
      <c r="I1493" s="98">
        <f>K1493+J1493+L1493</f>
        <v>7199</v>
      </c>
      <c r="K1493" s="38">
        <f>중기목록표!G14</f>
        <v>7199</v>
      </c>
      <c r="M1493" s="35" t="s">
        <v>1225</v>
      </c>
      <c r="N1493" s="35" t="s">
        <v>1262</v>
      </c>
      <c r="X1493" s="100" t="str">
        <f>중기목록표!B14&amp;" / "&amp;중기목록표!C14</f>
        <v>덤프트럭 / 2.5톤</v>
      </c>
      <c r="Y1493" s="3" t="str">
        <f ca="1">HYPERLINK("#"&amp;중기목록표!J2&amp;"!A"&amp;ROW(중기목록표!A14),"중기11 →")</f>
        <v>중기11 →</v>
      </c>
      <c r="Z1493" s="35" t="s">
        <v>1417</v>
      </c>
      <c r="AA1493" s="103" t="str">
        <f>AD1462</f>
        <v>33.250</v>
      </c>
      <c r="AB1493" s="35" t="s">
        <v>1410</v>
      </c>
      <c r="AC1493" s="103">
        <f>1/AD1462</f>
        <v>3.007518796992481E-2</v>
      </c>
      <c r="AD1493" s="101"/>
      <c r="AE1493" s="101"/>
      <c r="AF1493" s="101"/>
      <c r="AG1493" s="101"/>
      <c r="AH1493" s="101"/>
      <c r="AI1493" s="101"/>
      <c r="AJ1493" s="101"/>
      <c r="AK1493" s="101"/>
      <c r="AL1493" s="101"/>
      <c r="AM1493" s="101"/>
      <c r="AN1493" s="101"/>
    </row>
    <row r="1494" spans="1:40" ht="16.5" customHeight="1" x14ac:dyDescent="0.3">
      <c r="A1494" s="59" t="s">
        <v>2017</v>
      </c>
      <c r="B1494" s="89" t="str">
        <f>"    노무비: "&amp;TEXT(I1494,"#,##0"&amp;IF(I1494&lt;&gt;INT(I1494),".###",""))&amp;" / Q1 = "&amp;TEXT(C1494,"#,##0.0")&amp;""</f>
        <v xml:space="preserve">    노무비: 49,778 / Q1 = 1,497.0</v>
      </c>
      <c r="C1494" s="91">
        <f>E1494+D1494+F1494</f>
        <v>1497</v>
      </c>
      <c r="D1494" s="91">
        <f>IF(H1494=0,0,ROUNDDOWN(J1494*H1494,1))</f>
        <v>1497</v>
      </c>
      <c r="E1494" s="91">
        <f>IF(H1494=0,0,ROUNDDOWN(K1494*H1494,1))</f>
        <v>0</v>
      </c>
      <c r="F1494" s="91">
        <f>IF(H1494=0,0,ROUNDDOWN(L1494*H1494,1))</f>
        <v>0</v>
      </c>
      <c r="G1494" s="17" t="s">
        <v>2016</v>
      </c>
      <c r="H1494" s="97">
        <f>ROUNDUP(AC1494,14-LEN(ABS(INT(AC1494))))</f>
        <v>3.007518797E-2</v>
      </c>
      <c r="I1494" s="98">
        <f>K1494+J1494+L1494</f>
        <v>49778</v>
      </c>
      <c r="J1494" s="38">
        <f>중기목록표!F14</f>
        <v>49778</v>
      </c>
      <c r="M1494" s="35" t="s">
        <v>1225</v>
      </c>
      <c r="N1494" s="35" t="s">
        <v>1262</v>
      </c>
      <c r="X1494" s="100" t="str">
        <f>중기목록표!B14&amp;" / "&amp;중기목록표!C14</f>
        <v>덤프트럭 / 2.5톤</v>
      </c>
      <c r="Y1494" s="3" t="str">
        <f ca="1">HYPERLINK("#"&amp;중기목록표!J2&amp;"!A"&amp;ROW(중기목록표!A14),"중기11 →")</f>
        <v>중기11 →</v>
      </c>
      <c r="Z1494" s="35" t="s">
        <v>1417</v>
      </c>
      <c r="AA1494" s="103" t="str">
        <f>AD1462</f>
        <v>33.250</v>
      </c>
      <c r="AB1494" s="35" t="s">
        <v>1410</v>
      </c>
      <c r="AC1494" s="103">
        <f>1/AD1462</f>
        <v>3.007518796992481E-2</v>
      </c>
      <c r="AD1494" s="101"/>
      <c r="AE1494" s="101"/>
      <c r="AF1494" s="101"/>
      <c r="AG1494" s="101"/>
      <c r="AH1494" s="101"/>
      <c r="AI1494" s="101"/>
      <c r="AJ1494" s="101"/>
      <c r="AK1494" s="101"/>
      <c r="AL1494" s="101"/>
      <c r="AM1494" s="101"/>
      <c r="AN1494" s="101"/>
    </row>
    <row r="1495" spans="1:40" ht="16.5" customHeight="1" x14ac:dyDescent="0.3">
      <c r="A1495" s="59" t="s">
        <v>2019</v>
      </c>
      <c r="B1495" s="89" t="str">
        <f>"    경  비: "&amp;TEXT(I1495,"#,##0"&amp;IF(I1495&lt;&gt;INT(I1495),".###",""))&amp;" / Q1 = "&amp;TEXT(C1495,"#,##0.0")&amp;""</f>
        <v xml:space="preserve">    경  비: 6,522 / Q1 = 196.1</v>
      </c>
      <c r="C1495" s="91">
        <f>E1495+D1495+F1495</f>
        <v>196.1</v>
      </c>
      <c r="D1495" s="91">
        <f>IF(H1495=0,0,ROUNDDOWN(J1495*H1495,1))</f>
        <v>0</v>
      </c>
      <c r="E1495" s="91">
        <f>IF(H1495=0,0,ROUNDDOWN(K1495*H1495,1))</f>
        <v>0</v>
      </c>
      <c r="F1495" s="91">
        <f>IF(H1495=0,0,ROUNDDOWN(L1495*H1495,1))</f>
        <v>196.1</v>
      </c>
      <c r="G1495" s="17" t="s">
        <v>2018</v>
      </c>
      <c r="H1495" s="97">
        <f>ROUNDUP(AC1495,14-LEN(ABS(INT(AC1495))))</f>
        <v>3.007518797E-2</v>
      </c>
      <c r="I1495" s="98">
        <f>K1495+J1495+L1495</f>
        <v>6522</v>
      </c>
      <c r="L1495" s="38">
        <f>중기목록표!H14</f>
        <v>6522</v>
      </c>
      <c r="M1495" s="35" t="s">
        <v>1225</v>
      </c>
      <c r="N1495" s="35" t="s">
        <v>1262</v>
      </c>
      <c r="X1495" s="100" t="str">
        <f>중기목록표!B14&amp;" / "&amp;중기목록표!C14</f>
        <v>덤프트럭 / 2.5톤</v>
      </c>
      <c r="Y1495" s="3" t="str">
        <f ca="1">HYPERLINK("#"&amp;중기목록표!J2&amp;"!A"&amp;ROW(중기목록표!A14),"중기11 →")</f>
        <v>중기11 →</v>
      </c>
      <c r="Z1495" s="35" t="s">
        <v>1417</v>
      </c>
      <c r="AA1495" s="103" t="str">
        <f>AD1462</f>
        <v>33.250</v>
      </c>
      <c r="AB1495" s="35" t="s">
        <v>1410</v>
      </c>
      <c r="AC1495" s="103">
        <f>1/AD1462</f>
        <v>3.007518796992481E-2</v>
      </c>
      <c r="AD1495" s="101"/>
      <c r="AE1495" s="101"/>
      <c r="AF1495" s="101"/>
      <c r="AG1495" s="101"/>
      <c r="AH1495" s="101"/>
      <c r="AI1495" s="101"/>
      <c r="AJ1495" s="101"/>
      <c r="AK1495" s="101"/>
      <c r="AL1495" s="101"/>
      <c r="AM1495" s="101"/>
      <c r="AN1495" s="101"/>
    </row>
    <row r="1496" spans="1:40" ht="16.5" customHeight="1" x14ac:dyDescent="0.3">
      <c r="A1496" s="59"/>
      <c r="B1496" s="68" t="s">
        <v>1260</v>
      </c>
      <c r="C1496" s="92">
        <f>E1496+D1496+F1496</f>
        <v>1909.6</v>
      </c>
      <c r="D1496" s="92">
        <f>SUMIF(N1490:N1495,M1496,D1490:D1495)</f>
        <v>1497</v>
      </c>
      <c r="E1496" s="92">
        <f>SUMIF(N1490:N1495,M1496,E1490:E1495)</f>
        <v>216.5</v>
      </c>
      <c r="F1496" s="92">
        <f>SUMIF(N1490:N1495,M1496,F1490:F1495)</f>
        <v>196.1</v>
      </c>
      <c r="G1496" s="17" t="s">
        <v>2011</v>
      </c>
      <c r="M1496" s="35" t="s">
        <v>1262</v>
      </c>
      <c r="N1496" s="35" t="s">
        <v>1253</v>
      </c>
      <c r="Z1496" s="101"/>
      <c r="AA1496" s="101"/>
      <c r="AB1496" s="101"/>
      <c r="AC1496" s="101"/>
      <c r="AD1496" s="101"/>
      <c r="AE1496" s="101"/>
      <c r="AF1496" s="101"/>
      <c r="AG1496" s="101"/>
      <c r="AH1496" s="101"/>
      <c r="AI1496" s="101"/>
      <c r="AJ1496" s="101"/>
      <c r="AK1496" s="101"/>
      <c r="AL1496" s="101"/>
      <c r="AM1496" s="101"/>
      <c r="AN1496" s="101"/>
    </row>
    <row r="1497" spans="1:40" ht="16.5" customHeight="1" x14ac:dyDescent="0.3">
      <c r="A1497" s="69"/>
      <c r="B1497" s="69"/>
      <c r="C1497" s="90"/>
      <c r="D1497" s="90"/>
      <c r="E1497" s="90"/>
      <c r="F1497" s="90"/>
      <c r="G1497" s="17" t="s">
        <v>1405</v>
      </c>
      <c r="Z1497" s="101"/>
      <c r="AA1497" s="101"/>
      <c r="AB1497" s="101"/>
      <c r="AC1497" s="101"/>
      <c r="AD1497" s="101"/>
      <c r="AE1497" s="101"/>
      <c r="AF1497" s="101"/>
      <c r="AG1497" s="101"/>
      <c r="AH1497" s="101"/>
      <c r="AI1497" s="101"/>
      <c r="AJ1497" s="101"/>
      <c r="AK1497" s="101"/>
      <c r="AL1497" s="101"/>
      <c r="AM1497" s="101"/>
      <c r="AN1497" s="101"/>
    </row>
    <row r="1498" spans="1:40" ht="16.5" customHeight="1" x14ac:dyDescent="0.3">
      <c r="A1498" s="59"/>
      <c r="B1498" s="68" t="s">
        <v>1251</v>
      </c>
      <c r="C1498" s="92">
        <f>E1498+D1498+F1498</f>
        <v>4008.8</v>
      </c>
      <c r="D1498" s="92">
        <f>SUMIF(N1481:N1497,M1498,D1481:D1497)</f>
        <v>2994</v>
      </c>
      <c r="E1498" s="92">
        <f>SUMIF(N1481:N1497,M1498,E1481:E1497)</f>
        <v>589.79999999999995</v>
      </c>
      <c r="F1498" s="92">
        <f>SUMIF(N1481:N1497,M1498,F1481:F1497)</f>
        <v>425</v>
      </c>
      <c r="G1498" s="17" t="s">
        <v>1476</v>
      </c>
      <c r="M1498" s="35" t="s">
        <v>1253</v>
      </c>
      <c r="N1498" s="35" t="s">
        <v>1844</v>
      </c>
      <c r="Z1498" s="101"/>
      <c r="AA1498" s="101"/>
      <c r="AB1498" s="101"/>
      <c r="AC1498" s="101"/>
      <c r="AD1498" s="101"/>
      <c r="AE1498" s="101"/>
      <c r="AF1498" s="101"/>
      <c r="AG1498" s="101"/>
      <c r="AH1498" s="101"/>
      <c r="AI1498" s="101"/>
      <c r="AJ1498" s="101"/>
      <c r="AK1498" s="101"/>
      <c r="AL1498" s="101"/>
      <c r="AM1498" s="101"/>
      <c r="AN1498" s="101"/>
    </row>
    <row r="1499" spans="1:40" ht="16.5" customHeight="1" x14ac:dyDescent="0.3">
      <c r="A1499" s="69"/>
      <c r="B1499" s="69"/>
      <c r="C1499" s="90"/>
      <c r="D1499" s="90"/>
      <c r="E1499" s="90"/>
      <c r="F1499" s="90"/>
      <c r="G1499" s="17" t="s">
        <v>1405</v>
      </c>
      <c r="Z1499" s="101"/>
      <c r="AA1499" s="101"/>
      <c r="AB1499" s="101"/>
      <c r="AC1499" s="101"/>
      <c r="AD1499" s="101"/>
      <c r="AE1499" s="101"/>
      <c r="AF1499" s="101"/>
      <c r="AG1499" s="101"/>
      <c r="AH1499" s="101"/>
      <c r="AI1499" s="101"/>
      <c r="AJ1499" s="101"/>
      <c r="AK1499" s="101"/>
      <c r="AL1499" s="101"/>
      <c r="AM1499" s="101"/>
      <c r="AN1499" s="101"/>
    </row>
    <row r="1500" spans="1:40" ht="16.5" customHeight="1" x14ac:dyDescent="0.3">
      <c r="A1500" s="59"/>
      <c r="B1500" s="68" t="s">
        <v>1843</v>
      </c>
      <c r="C1500" s="92">
        <f>E1500+D1500+F1500</f>
        <v>24415.7</v>
      </c>
      <c r="D1500" s="92">
        <f>SUMIF(N1457:N1499,M1500,D1457:D1499)</f>
        <v>5987.8</v>
      </c>
      <c r="E1500" s="92">
        <f>SUMIF(N1457:N1499,M1500,E1457:E1499)</f>
        <v>17703.600000000002</v>
      </c>
      <c r="F1500" s="92">
        <f>SUMIF(N1457:N1499,M1500,F1457:F1499)</f>
        <v>724.3</v>
      </c>
      <c r="G1500" s="17" t="s">
        <v>1842</v>
      </c>
      <c r="M1500" s="35" t="s">
        <v>1844</v>
      </c>
      <c r="N1500" s="35" t="s">
        <v>1209</v>
      </c>
      <c r="Z1500" s="101"/>
      <c r="AA1500" s="101"/>
      <c r="AB1500" s="101"/>
      <c r="AC1500" s="101"/>
      <c r="AD1500" s="101"/>
      <c r="AE1500" s="101"/>
      <c r="AF1500" s="101"/>
      <c r="AG1500" s="101"/>
      <c r="AH1500" s="101"/>
      <c r="AI1500" s="101"/>
      <c r="AJ1500" s="101"/>
      <c r="AK1500" s="101"/>
      <c r="AL1500" s="101"/>
      <c r="AM1500" s="101"/>
      <c r="AN1500" s="101"/>
    </row>
    <row r="1501" spans="1:40" ht="16.5" customHeight="1" x14ac:dyDescent="0.3">
      <c r="A1501" s="69"/>
      <c r="B1501" s="69"/>
      <c r="C1501" s="90"/>
      <c r="D1501" s="90"/>
      <c r="E1501" s="90"/>
      <c r="F1501" s="90"/>
      <c r="Z1501" s="101"/>
      <c r="AA1501" s="101"/>
      <c r="AB1501" s="101"/>
      <c r="AC1501" s="101"/>
      <c r="AD1501" s="101"/>
      <c r="AE1501" s="101"/>
      <c r="AF1501" s="101"/>
      <c r="AG1501" s="101"/>
      <c r="AH1501" s="101"/>
      <c r="AI1501" s="101"/>
      <c r="AJ1501" s="101"/>
      <c r="AK1501" s="101"/>
      <c r="AL1501" s="101"/>
      <c r="AM1501" s="101"/>
      <c r="AN1501" s="101"/>
    </row>
    <row r="1502" spans="1:40" ht="16.5" customHeight="1" x14ac:dyDescent="0.3">
      <c r="A1502" s="69"/>
      <c r="B1502" s="69"/>
      <c r="C1502" s="69"/>
      <c r="D1502" s="69"/>
      <c r="E1502" s="69"/>
      <c r="F1502" s="69"/>
      <c r="Z1502" s="101"/>
      <c r="AA1502" s="101"/>
      <c r="AB1502" s="101"/>
      <c r="AC1502" s="101"/>
      <c r="AD1502" s="101"/>
      <c r="AE1502" s="101"/>
      <c r="AF1502" s="101"/>
      <c r="AG1502" s="101"/>
      <c r="AH1502" s="101"/>
      <c r="AI1502" s="101"/>
      <c r="AJ1502" s="101"/>
      <c r="AK1502" s="101"/>
      <c r="AL1502" s="101"/>
      <c r="AM1502" s="101"/>
      <c r="AN1502" s="101"/>
    </row>
    <row r="1503" spans="1:40" ht="16.5" customHeight="1" x14ac:dyDescent="0.3">
      <c r="A1503" s="74"/>
      <c r="B1503" s="74"/>
      <c r="C1503" s="74"/>
      <c r="D1503" s="74"/>
      <c r="E1503" s="74"/>
      <c r="F1503" s="74"/>
      <c r="Z1503" s="101"/>
      <c r="AA1503" s="101"/>
      <c r="AB1503" s="101"/>
      <c r="AC1503" s="101"/>
      <c r="AD1503" s="101"/>
      <c r="AE1503" s="101"/>
      <c r="AF1503" s="101"/>
      <c r="AG1503" s="101"/>
      <c r="AH1503" s="101"/>
      <c r="AI1503" s="101"/>
      <c r="AJ1503" s="101"/>
      <c r="AK1503" s="101"/>
      <c r="AL1503" s="101"/>
      <c r="AM1503" s="101"/>
      <c r="AN1503" s="101"/>
    </row>
    <row r="1504" spans="1:40" ht="16.5" customHeight="1" x14ac:dyDescent="0.3">
      <c r="A1504" s="150" t="s">
        <v>1477</v>
      </c>
      <c r="B1504" s="143"/>
      <c r="C1504" s="47">
        <f>E1504+D1504+F1504</f>
        <v>24414</v>
      </c>
      <c r="D1504" s="46">
        <f>ROUNDDOWN(SUMIF(N1457:N1500,M1504,D1457:D1500),0)</f>
        <v>5987</v>
      </c>
      <c r="E1504" s="55">
        <f>ROUNDDOWN(SUMIF(N1457:N1500,M1504,E1457:E1500),0)</f>
        <v>17703</v>
      </c>
      <c r="F1504" s="47">
        <f>ROUNDDOWN(SUMIF(N1457:N1500,M1504,F1457:F1500),0)</f>
        <v>724</v>
      </c>
      <c r="M1504" s="35" t="s">
        <v>1209</v>
      </c>
      <c r="Z1504" s="101"/>
      <c r="AA1504" s="101"/>
      <c r="AB1504" s="101"/>
      <c r="AC1504" s="101"/>
      <c r="AD1504" s="101"/>
      <c r="AE1504" s="101"/>
      <c r="AF1504" s="101"/>
      <c r="AG1504" s="101"/>
      <c r="AH1504" s="101"/>
      <c r="AI1504" s="101"/>
      <c r="AJ1504" s="101"/>
      <c r="AK1504" s="101"/>
      <c r="AL1504" s="101"/>
      <c r="AM1504" s="101"/>
      <c r="AN1504" s="101"/>
    </row>
    <row r="1505" spans="1:40" ht="16.5" customHeight="1" x14ac:dyDescent="0.3">
      <c r="A1505" s="86" t="s">
        <v>98</v>
      </c>
      <c r="B1505" s="88" t="s">
        <v>98</v>
      </c>
      <c r="C1505" s="151">
        <f>C1554</f>
        <v>42141</v>
      </c>
      <c r="D1505" s="151">
        <f>D1554</f>
        <v>0</v>
      </c>
      <c r="E1505" s="151">
        <f>E1554</f>
        <v>0</v>
      </c>
      <c r="F1505" s="151">
        <f>F1554</f>
        <v>42141</v>
      </c>
      <c r="G1505" s="84" t="str">
        <f>HYPERLINK("#G"&amp;ROW(G1527),"_x0005_`BDCOD|D04342_x0007_`POSS|"&amp;ROW(G1507)&amp;"_x0007_`POSE|"&amp;ROW(G1527)&amp;"_x0007_`")</f>
        <v>_x0005_`BDCOD|D04342_x0007_`POSS|1507_x0007_`POSE|1527_x0007_`</v>
      </c>
      <c r="Z1505" s="101"/>
      <c r="AA1505" s="101"/>
      <c r="AB1505" s="101"/>
      <c r="AC1505" s="101"/>
      <c r="AD1505" s="101"/>
      <c r="AE1505" s="101"/>
      <c r="AF1505" s="101"/>
      <c r="AG1505" s="101"/>
      <c r="AH1505" s="101"/>
      <c r="AI1505" s="101"/>
      <c r="AJ1505" s="101"/>
      <c r="AK1505" s="101"/>
      <c r="AL1505" s="101"/>
      <c r="AM1505" s="101"/>
      <c r="AN1505" s="101"/>
    </row>
    <row r="1506" spans="1:40" ht="16.5" customHeight="1" x14ac:dyDescent="0.3">
      <c r="A1506" s="87"/>
      <c r="B1506" s="88" t="s">
        <v>189</v>
      </c>
      <c r="C1506" s="136"/>
      <c r="D1506" s="136"/>
      <c r="E1506" s="136"/>
      <c r="F1506" s="136"/>
      <c r="M1506" s="35" t="s">
        <v>2033</v>
      </c>
      <c r="Z1506" s="101"/>
      <c r="AA1506" s="101"/>
      <c r="AB1506" s="101"/>
      <c r="AC1506" s="101"/>
      <c r="AD1506" s="101"/>
      <c r="AE1506" s="101"/>
      <c r="AF1506" s="101"/>
      <c r="AG1506" s="101"/>
      <c r="AH1506" s="101"/>
      <c r="AI1506" s="101"/>
      <c r="AJ1506" s="101"/>
      <c r="AK1506" s="101"/>
      <c r="AL1506" s="101"/>
      <c r="AM1506" s="101"/>
      <c r="AN1506" s="101"/>
    </row>
    <row r="1507" spans="1:40" ht="16.5" customHeight="1" x14ac:dyDescent="0.3">
      <c r="A1507" s="69"/>
      <c r="B1507" s="69"/>
      <c r="C1507" s="90"/>
      <c r="D1507" s="90"/>
      <c r="E1507" s="90"/>
      <c r="F1507" s="90"/>
      <c r="G1507" s="17" t="s">
        <v>1405</v>
      </c>
      <c r="Z1507" s="101"/>
      <c r="AA1507" s="101"/>
      <c r="AB1507" s="101"/>
      <c r="AC1507" s="101"/>
      <c r="AD1507" s="101"/>
      <c r="AE1507" s="101"/>
      <c r="AF1507" s="101"/>
      <c r="AG1507" s="101"/>
      <c r="AH1507" s="101"/>
      <c r="AI1507" s="101"/>
      <c r="AJ1507" s="101"/>
      <c r="AK1507" s="101"/>
      <c r="AL1507" s="101"/>
      <c r="AM1507" s="101"/>
      <c r="AN1507" s="101"/>
    </row>
    <row r="1508" spans="1:40" ht="16.5" customHeight="1" x14ac:dyDescent="0.3">
      <c r="A1508" s="69"/>
      <c r="B1508" s="69"/>
      <c r="C1508" s="69"/>
      <c r="D1508" s="69"/>
      <c r="E1508" s="69"/>
      <c r="F1508" s="69"/>
      <c r="G1508" s="17" t="s">
        <v>1405</v>
      </c>
      <c r="Z1508" s="101"/>
      <c r="AA1508" s="101"/>
      <c r="AB1508" s="101"/>
      <c r="AC1508" s="101"/>
      <c r="AD1508" s="101"/>
      <c r="AE1508" s="101"/>
      <c r="AF1508" s="101"/>
      <c r="AG1508" s="101"/>
      <c r="AH1508" s="101"/>
      <c r="AI1508" s="101"/>
      <c r="AJ1508" s="101"/>
      <c r="AK1508" s="101"/>
      <c r="AL1508" s="101"/>
      <c r="AM1508" s="101"/>
      <c r="AN1508" s="101"/>
    </row>
    <row r="1509" spans="1:40" ht="16.5" customHeight="1" x14ac:dyDescent="0.3">
      <c r="A1509" s="59"/>
      <c r="B1509" s="68" t="s">
        <v>2035</v>
      </c>
      <c r="C1509" s="69"/>
      <c r="D1509" s="69"/>
      <c r="E1509" s="69"/>
      <c r="F1509" s="69"/>
      <c r="G1509" s="17" t="s">
        <v>2034</v>
      </c>
      <c r="Z1509" s="101"/>
      <c r="AA1509" s="101"/>
      <c r="AB1509" s="101"/>
      <c r="AC1509" s="101"/>
      <c r="AD1509" s="101"/>
      <c r="AE1509" s="101"/>
      <c r="AF1509" s="101"/>
      <c r="AG1509" s="101"/>
      <c r="AH1509" s="101"/>
      <c r="AI1509" s="101"/>
      <c r="AJ1509" s="101"/>
      <c r="AK1509" s="101"/>
      <c r="AL1509" s="101"/>
      <c r="AM1509" s="101"/>
      <c r="AN1509" s="101"/>
    </row>
    <row r="1510" spans="1:40" ht="16.5" customHeight="1" x14ac:dyDescent="0.3">
      <c r="A1510" s="69"/>
      <c r="B1510" s="69"/>
      <c r="C1510" s="69"/>
      <c r="D1510" s="69"/>
      <c r="E1510" s="69"/>
      <c r="F1510" s="69"/>
      <c r="G1510" s="17" t="s">
        <v>1405</v>
      </c>
      <c r="Z1510" s="101"/>
      <c r="AA1510" s="101"/>
      <c r="AB1510" s="101"/>
      <c r="AC1510" s="101"/>
      <c r="AD1510" s="101"/>
      <c r="AE1510" s="101"/>
      <c r="AF1510" s="101"/>
      <c r="AG1510" s="101"/>
      <c r="AH1510" s="101"/>
      <c r="AI1510" s="101"/>
      <c r="AJ1510" s="101"/>
      <c r="AK1510" s="101"/>
      <c r="AL1510" s="101"/>
      <c r="AM1510" s="101"/>
      <c r="AN1510" s="101"/>
    </row>
    <row r="1511" spans="1:40" ht="16.5" customHeight="1" x14ac:dyDescent="0.3">
      <c r="A1511" s="59"/>
      <c r="B1511" s="68" t="s">
        <v>2037</v>
      </c>
      <c r="C1511" s="69"/>
      <c r="D1511" s="69"/>
      <c r="E1511" s="69"/>
      <c r="F1511" s="69"/>
      <c r="G1511" s="17" t="s">
        <v>2036</v>
      </c>
      <c r="Z1511" s="101"/>
      <c r="AA1511" s="101"/>
      <c r="AB1511" s="101"/>
      <c r="AC1511" s="101"/>
      <c r="AD1511" s="101"/>
      <c r="AE1511" s="101"/>
      <c r="AF1511" s="101"/>
      <c r="AG1511" s="101"/>
      <c r="AH1511" s="101"/>
      <c r="AI1511" s="101"/>
      <c r="AJ1511" s="101"/>
      <c r="AK1511" s="101"/>
      <c r="AL1511" s="101"/>
      <c r="AM1511" s="101"/>
      <c r="AN1511" s="101"/>
    </row>
    <row r="1512" spans="1:40" ht="16.5" customHeight="1" x14ac:dyDescent="0.3">
      <c r="A1512" s="69"/>
      <c r="B1512" s="69"/>
      <c r="C1512" s="69"/>
      <c r="D1512" s="69"/>
      <c r="E1512" s="69"/>
      <c r="F1512" s="69"/>
      <c r="G1512" s="17" t="s">
        <v>1405</v>
      </c>
      <c r="Z1512" s="101"/>
      <c r="AA1512" s="101"/>
      <c r="AB1512" s="101"/>
      <c r="AC1512" s="101"/>
      <c r="AD1512" s="101"/>
      <c r="AE1512" s="101"/>
      <c r="AF1512" s="101"/>
      <c r="AG1512" s="101"/>
      <c r="AH1512" s="101"/>
      <c r="AI1512" s="101"/>
      <c r="AJ1512" s="101"/>
      <c r="AK1512" s="101"/>
      <c r="AL1512" s="101"/>
      <c r="AM1512" s="101"/>
      <c r="AN1512" s="101"/>
    </row>
    <row r="1513" spans="1:40" ht="16.5" customHeight="1" x14ac:dyDescent="0.3">
      <c r="A1513" s="59"/>
      <c r="B1513" s="68" t="s">
        <v>2039</v>
      </c>
      <c r="C1513" s="69"/>
      <c r="D1513" s="69"/>
      <c r="E1513" s="69"/>
      <c r="F1513" s="69"/>
      <c r="G1513" s="17" t="s">
        <v>2038</v>
      </c>
      <c r="Z1513" s="101"/>
      <c r="AA1513" s="101"/>
      <c r="AB1513" s="101"/>
      <c r="AC1513" s="101"/>
      <c r="AD1513" s="101"/>
      <c r="AE1513" s="101"/>
      <c r="AF1513" s="101"/>
      <c r="AG1513" s="101"/>
      <c r="AH1513" s="101"/>
      <c r="AI1513" s="101"/>
      <c r="AJ1513" s="101"/>
      <c r="AK1513" s="101"/>
      <c r="AL1513" s="101"/>
      <c r="AM1513" s="101"/>
      <c r="AN1513" s="101"/>
    </row>
    <row r="1514" spans="1:40" ht="16.5" customHeight="1" x14ac:dyDescent="0.3">
      <c r="A1514" s="69"/>
      <c r="B1514" s="69"/>
      <c r="C1514" s="69"/>
      <c r="D1514" s="69"/>
      <c r="E1514" s="69"/>
      <c r="F1514" s="69"/>
      <c r="G1514" s="17" t="s">
        <v>1405</v>
      </c>
      <c r="Z1514" s="101"/>
      <c r="AA1514" s="101"/>
      <c r="AB1514" s="101"/>
      <c r="AC1514" s="101"/>
      <c r="AD1514" s="101"/>
      <c r="AE1514" s="101"/>
      <c r="AF1514" s="101"/>
      <c r="AG1514" s="101"/>
      <c r="AH1514" s="101"/>
      <c r="AI1514" s="101"/>
      <c r="AJ1514" s="101"/>
      <c r="AK1514" s="101"/>
      <c r="AL1514" s="101"/>
      <c r="AM1514" s="101"/>
      <c r="AN1514" s="101"/>
    </row>
    <row r="1515" spans="1:40" ht="16.5" customHeight="1" x14ac:dyDescent="0.3">
      <c r="A1515" s="59"/>
      <c r="B1515" s="68" t="s">
        <v>2041</v>
      </c>
      <c r="C1515" s="69"/>
      <c r="D1515" s="69"/>
      <c r="E1515" s="69"/>
      <c r="F1515" s="69"/>
      <c r="G1515" s="17" t="s">
        <v>2040</v>
      </c>
      <c r="Z1515" s="101"/>
      <c r="AA1515" s="101"/>
      <c r="AB1515" s="101"/>
      <c r="AC1515" s="101"/>
      <c r="AD1515" s="101"/>
      <c r="AE1515" s="101"/>
      <c r="AF1515" s="101"/>
      <c r="AG1515" s="101"/>
      <c r="AH1515" s="101"/>
      <c r="AI1515" s="101"/>
      <c r="AJ1515" s="101"/>
      <c r="AK1515" s="101"/>
      <c r="AL1515" s="101"/>
      <c r="AM1515" s="101"/>
      <c r="AN1515" s="101"/>
    </row>
    <row r="1516" spans="1:40" ht="16.5" customHeight="1" x14ac:dyDescent="0.3">
      <c r="A1516" s="69"/>
      <c r="B1516" s="69"/>
      <c r="C1516" s="69"/>
      <c r="D1516" s="69"/>
      <c r="E1516" s="69"/>
      <c r="F1516" s="69"/>
      <c r="G1516" s="17" t="s">
        <v>1405</v>
      </c>
      <c r="Z1516" s="101"/>
      <c r="AA1516" s="101"/>
      <c r="AB1516" s="101"/>
      <c r="AC1516" s="101"/>
      <c r="AD1516" s="101"/>
      <c r="AE1516" s="101"/>
      <c r="AF1516" s="101"/>
      <c r="AG1516" s="101"/>
      <c r="AH1516" s="101"/>
      <c r="AI1516" s="101"/>
      <c r="AJ1516" s="101"/>
      <c r="AK1516" s="101"/>
      <c r="AL1516" s="101"/>
      <c r="AM1516" s="101"/>
      <c r="AN1516" s="101"/>
    </row>
    <row r="1517" spans="1:40" ht="16.5" customHeight="1" x14ac:dyDescent="0.3">
      <c r="A1517" s="59" t="s">
        <v>2043</v>
      </c>
      <c r="B1517" s="89" t="str">
        <f>"     공사안내 간판 : "&amp;TEXT(I1517,"#,##0"&amp;IF(I1517&lt;&gt;INT(I1517),".###",""))&amp;" * "&amp;AA1517&amp;" EA  * "&amp;AC1517&amp;" = "&amp;TEXT(C1517,"#,##0.0")&amp;""</f>
        <v xml:space="preserve">     공사안내 간판 : 127,700 * 1 EA  * 0.33 = 42,141.0</v>
      </c>
      <c r="C1517" s="91">
        <f>E1517+D1517+F1517</f>
        <v>42141</v>
      </c>
      <c r="D1517" s="91">
        <f>IF(H1517=0,0,ROUNDDOWN(J1517*H1517,1))</f>
        <v>0</v>
      </c>
      <c r="E1517" s="91">
        <f>IF(H1517=0,0,ROUNDDOWN(K1517*H1517,1))</f>
        <v>42141</v>
      </c>
      <c r="F1517" s="91">
        <f>IF(H1517=0,0,ROUNDDOWN(L1517*H1517,1))</f>
        <v>0</v>
      </c>
      <c r="G1517" s="17" t="s">
        <v>2042</v>
      </c>
      <c r="H1517" s="97">
        <f>ROUNDUP(AE1517,14-LEN(ABS(INT(AE1517))))</f>
        <v>0.33</v>
      </c>
      <c r="I1517" s="98">
        <f>K1517+J1517+L1517</f>
        <v>127700</v>
      </c>
      <c r="K1517" s="38">
        <f>재료비목록표!E16</f>
        <v>127700</v>
      </c>
      <c r="M1517" s="35" t="s">
        <v>2044</v>
      </c>
      <c r="N1517" s="35" t="s">
        <v>2045</v>
      </c>
      <c r="O1517" s="35" t="s">
        <v>1214</v>
      </c>
      <c r="X1517" s="100" t="str">
        <f>재료비목록표!B16&amp;" / "&amp;재료비목록표!C16</f>
        <v>공사안내 표지판(대형) / 900*1800</v>
      </c>
      <c r="Y1517" s="3" t="str">
        <f ca="1">HYPERLINK("#"&amp;재료비목록표!G2&amp;"!A"&amp;ROW(재료비목록표!A16),"자재13 →")</f>
        <v>자재13 →</v>
      </c>
      <c r="Z1517" s="35" t="s">
        <v>1446</v>
      </c>
      <c r="AA1517" s="102">
        <v>1</v>
      </c>
      <c r="AB1517" s="35" t="s">
        <v>1436</v>
      </c>
      <c r="AC1517" s="104">
        <v>0.33</v>
      </c>
      <c r="AD1517" s="35" t="s">
        <v>1410</v>
      </c>
      <c r="AE1517" s="103">
        <f>1*AA1517*AC1517</f>
        <v>0.33</v>
      </c>
      <c r="AF1517" s="101"/>
      <c r="AG1517" s="101"/>
      <c r="AH1517" s="101"/>
      <c r="AI1517" s="101"/>
      <c r="AJ1517" s="101"/>
      <c r="AK1517" s="101"/>
      <c r="AL1517" s="101"/>
      <c r="AM1517" s="101"/>
      <c r="AN1517" s="101"/>
    </row>
    <row r="1518" spans="1:40" ht="16.5" customHeight="1" x14ac:dyDescent="0.3">
      <c r="A1518" s="69"/>
      <c r="B1518" s="69"/>
      <c r="C1518" s="69"/>
      <c r="D1518" s="69"/>
      <c r="E1518" s="69"/>
      <c r="F1518" s="69"/>
      <c r="G1518" s="17" t="s">
        <v>1405</v>
      </c>
      <c r="Z1518" s="101"/>
      <c r="AA1518" s="101"/>
      <c r="AB1518" s="101"/>
      <c r="AC1518" s="101"/>
      <c r="AD1518" s="101"/>
      <c r="AE1518" s="101"/>
      <c r="AF1518" s="101"/>
      <c r="AG1518" s="101"/>
      <c r="AH1518" s="101"/>
      <c r="AI1518" s="101"/>
      <c r="AJ1518" s="101"/>
      <c r="AK1518" s="101"/>
      <c r="AL1518" s="101"/>
      <c r="AM1518" s="101"/>
      <c r="AN1518" s="101"/>
    </row>
    <row r="1519" spans="1:40" ht="16.5" customHeight="1" x14ac:dyDescent="0.3">
      <c r="A1519" s="69"/>
      <c r="B1519" s="69"/>
      <c r="C1519" s="69"/>
      <c r="D1519" s="69"/>
      <c r="E1519" s="69"/>
      <c r="F1519" s="69"/>
      <c r="G1519" s="17" t="s">
        <v>1405</v>
      </c>
      <c r="Z1519" s="101"/>
      <c r="AA1519" s="101"/>
      <c r="AB1519" s="101"/>
      <c r="AC1519" s="101"/>
      <c r="AD1519" s="101"/>
      <c r="AE1519" s="101"/>
      <c r="AF1519" s="101"/>
      <c r="AG1519" s="101"/>
      <c r="AH1519" s="101"/>
      <c r="AI1519" s="101"/>
      <c r="AJ1519" s="101"/>
      <c r="AK1519" s="101"/>
      <c r="AL1519" s="101"/>
      <c r="AM1519" s="101"/>
      <c r="AN1519" s="101"/>
    </row>
    <row r="1520" spans="1:40" ht="16.5" customHeight="1" x14ac:dyDescent="0.3">
      <c r="A1520" s="59"/>
      <c r="B1520" s="89" t="str">
        <f>"     공사안내 간판 : "&amp;TEXT(I1520,"#,##0.0")&amp;" * "&amp;AA1520&amp;" %  = "&amp;TEXT(C1520,"#,##0.0")&amp;""</f>
        <v xml:space="preserve">     공사안내 간판 : 42,141.0 * 100 %  = 42,141.0</v>
      </c>
      <c r="C1520" s="91">
        <f>E1520+D1520+F1520</f>
        <v>42141</v>
      </c>
      <c r="D1520" s="91">
        <f>IF(H1520=0,0,ROUNDDOWN(J1520*H1520/100,1))</f>
        <v>0</v>
      </c>
      <c r="E1520" s="91">
        <f>IF(H1520=0,0,ROUNDDOWN(K1520*H1520/100,1))</f>
        <v>0</v>
      </c>
      <c r="F1520" s="91">
        <f>IF(H1520=0,0,ROUNDDOWN(L1520*H1520/100,1))</f>
        <v>42141</v>
      </c>
      <c r="G1520" s="17" t="s">
        <v>2046</v>
      </c>
      <c r="H1520" s="97">
        <f>ROUNDUP(AC1520,14-LEN(ABS(INT(AC1520))))</f>
        <v>100</v>
      </c>
      <c r="I1520" s="98">
        <f>K1520+J1520+L1520</f>
        <v>42141</v>
      </c>
      <c r="J1520" s="36">
        <v>0</v>
      </c>
      <c r="K1520" s="36">
        <v>0</v>
      </c>
      <c r="L1520" s="38">
        <f>C1517</f>
        <v>42141</v>
      </c>
      <c r="M1520" s="35" t="s">
        <v>1059</v>
      </c>
      <c r="N1520" s="35" t="s">
        <v>1253</v>
      </c>
      <c r="Z1520" s="35" t="s">
        <v>1446</v>
      </c>
      <c r="AA1520" s="102">
        <v>100</v>
      </c>
      <c r="AB1520" s="35" t="s">
        <v>1410</v>
      </c>
      <c r="AC1520" s="103">
        <f>1*AA1520</f>
        <v>100</v>
      </c>
      <c r="AD1520" s="101"/>
      <c r="AE1520" s="101"/>
      <c r="AF1520" s="101"/>
      <c r="AG1520" s="101"/>
      <c r="AH1520" s="101"/>
      <c r="AI1520" s="101"/>
      <c r="AJ1520" s="101"/>
      <c r="AK1520" s="101"/>
      <c r="AL1520" s="101"/>
      <c r="AM1520" s="101"/>
      <c r="AN1520" s="101"/>
    </row>
    <row r="1521" spans="1:40" ht="16.5" customHeight="1" x14ac:dyDescent="0.3">
      <c r="A1521" s="69"/>
      <c r="B1521" s="69"/>
      <c r="C1521" s="69"/>
      <c r="D1521" s="69"/>
      <c r="E1521" s="69"/>
      <c r="F1521" s="69"/>
      <c r="G1521" s="17" t="s">
        <v>1405</v>
      </c>
      <c r="Z1521" s="101"/>
      <c r="AA1521" s="101"/>
      <c r="AB1521" s="101"/>
      <c r="AC1521" s="101"/>
      <c r="AD1521" s="101"/>
      <c r="AE1521" s="101"/>
      <c r="AF1521" s="101"/>
      <c r="AG1521" s="101"/>
      <c r="AH1521" s="101"/>
      <c r="AI1521" s="101"/>
      <c r="AJ1521" s="101"/>
      <c r="AK1521" s="101"/>
      <c r="AL1521" s="101"/>
      <c r="AM1521" s="101"/>
      <c r="AN1521" s="101"/>
    </row>
    <row r="1522" spans="1:40" ht="16.5" customHeight="1" x14ac:dyDescent="0.3">
      <c r="A1522" s="59"/>
      <c r="B1522" s="68" t="s">
        <v>1251</v>
      </c>
      <c r="C1522" s="92">
        <f>E1522+D1522+F1522</f>
        <v>42141</v>
      </c>
      <c r="D1522" s="92">
        <f>SUMIF(N1507:N1521,M1522,D1507:D1521)</f>
        <v>0</v>
      </c>
      <c r="E1522" s="92">
        <f>SUMIF(N1507:N1521,M1522,E1507:E1521)</f>
        <v>0</v>
      </c>
      <c r="F1522" s="92">
        <f>SUMIF(N1507:N1521,M1522,F1507:F1521)</f>
        <v>42141</v>
      </c>
      <c r="G1522" s="17" t="s">
        <v>1476</v>
      </c>
      <c r="M1522" s="35" t="s">
        <v>1253</v>
      </c>
      <c r="N1522" s="35" t="s">
        <v>1209</v>
      </c>
      <c r="Z1522" s="101"/>
      <c r="AA1522" s="101"/>
      <c r="AB1522" s="101"/>
      <c r="AC1522" s="101"/>
      <c r="AD1522" s="101"/>
      <c r="AE1522" s="101"/>
      <c r="AF1522" s="101"/>
      <c r="AG1522" s="101"/>
      <c r="AH1522" s="101"/>
      <c r="AI1522" s="101"/>
      <c r="AJ1522" s="101"/>
      <c r="AK1522" s="101"/>
      <c r="AL1522" s="101"/>
      <c r="AM1522" s="101"/>
      <c r="AN1522" s="101"/>
    </row>
    <row r="1523" spans="1:40" ht="16.5" customHeight="1" x14ac:dyDescent="0.3">
      <c r="A1523" s="69"/>
      <c r="B1523" s="69"/>
      <c r="C1523" s="90"/>
      <c r="D1523" s="90"/>
      <c r="E1523" s="90"/>
      <c r="F1523" s="90"/>
      <c r="G1523" s="17" t="s">
        <v>1405</v>
      </c>
      <c r="Z1523" s="101"/>
      <c r="AA1523" s="101"/>
      <c r="AB1523" s="101"/>
      <c r="AC1523" s="101"/>
      <c r="AD1523" s="101"/>
      <c r="AE1523" s="101"/>
      <c r="AF1523" s="101"/>
      <c r="AG1523" s="101"/>
      <c r="AH1523" s="101"/>
      <c r="AI1523" s="101"/>
      <c r="AJ1523" s="101"/>
      <c r="AK1523" s="101"/>
      <c r="AL1523" s="101"/>
      <c r="AM1523" s="101"/>
      <c r="AN1523" s="101"/>
    </row>
    <row r="1524" spans="1:40" ht="16.5" customHeight="1" x14ac:dyDescent="0.3">
      <c r="A1524" s="69"/>
      <c r="B1524" s="69"/>
      <c r="C1524" s="69"/>
      <c r="D1524" s="69"/>
      <c r="E1524" s="69"/>
      <c r="F1524" s="69"/>
      <c r="G1524" s="17" t="s">
        <v>1405</v>
      </c>
      <c r="Z1524" s="101"/>
      <c r="AA1524" s="101"/>
      <c r="AB1524" s="101"/>
      <c r="AC1524" s="101"/>
      <c r="AD1524" s="101"/>
      <c r="AE1524" s="101"/>
      <c r="AF1524" s="101"/>
      <c r="AG1524" s="101"/>
      <c r="AH1524" s="101"/>
      <c r="AI1524" s="101"/>
      <c r="AJ1524" s="101"/>
      <c r="AK1524" s="101"/>
      <c r="AL1524" s="101"/>
      <c r="AM1524" s="101"/>
      <c r="AN1524" s="101"/>
    </row>
    <row r="1525" spans="1:40" ht="16.5" customHeight="1" x14ac:dyDescent="0.3">
      <c r="A1525" s="69"/>
      <c r="B1525" s="69"/>
      <c r="C1525" s="69"/>
      <c r="D1525" s="69"/>
      <c r="E1525" s="69"/>
      <c r="F1525" s="69"/>
      <c r="G1525" s="17" t="s">
        <v>1525</v>
      </c>
      <c r="Z1525" s="101"/>
      <c r="AA1525" s="101"/>
      <c r="AB1525" s="101"/>
      <c r="AC1525" s="101"/>
      <c r="AD1525" s="101"/>
      <c r="AE1525" s="101"/>
      <c r="AF1525" s="101"/>
      <c r="AG1525" s="101"/>
      <c r="AH1525" s="101"/>
      <c r="AI1525" s="101"/>
      <c r="AJ1525" s="101"/>
      <c r="AK1525" s="101"/>
      <c r="AL1525" s="101"/>
      <c r="AM1525" s="101"/>
      <c r="AN1525" s="101"/>
    </row>
    <row r="1526" spans="1:40" ht="16.5" customHeight="1" x14ac:dyDescent="0.3">
      <c r="A1526" s="69"/>
      <c r="B1526" s="69"/>
      <c r="C1526" s="69"/>
      <c r="D1526" s="69"/>
      <c r="E1526" s="69"/>
      <c r="F1526" s="69"/>
      <c r="G1526" s="17" t="s">
        <v>1525</v>
      </c>
      <c r="Z1526" s="101"/>
      <c r="AA1526" s="101"/>
      <c r="AB1526" s="101"/>
      <c r="AC1526" s="101"/>
      <c r="AD1526" s="101"/>
      <c r="AE1526" s="101"/>
      <c r="AF1526" s="101"/>
      <c r="AG1526" s="101"/>
      <c r="AH1526" s="101"/>
      <c r="AI1526" s="101"/>
      <c r="AJ1526" s="101"/>
      <c r="AK1526" s="101"/>
      <c r="AL1526" s="101"/>
      <c r="AM1526" s="101"/>
      <c r="AN1526" s="101"/>
    </row>
    <row r="1527" spans="1:40" ht="16.5" customHeight="1" x14ac:dyDescent="0.3">
      <c r="A1527" s="69"/>
      <c r="B1527" s="69"/>
      <c r="C1527" s="69"/>
      <c r="D1527" s="69"/>
      <c r="E1527" s="69"/>
      <c r="F1527" s="69"/>
      <c r="G1527" s="17" t="s">
        <v>1525</v>
      </c>
      <c r="Z1527" s="101"/>
      <c r="AA1527" s="101"/>
      <c r="AB1527" s="101"/>
      <c r="AC1527" s="101"/>
      <c r="AD1527" s="101"/>
      <c r="AE1527" s="101"/>
      <c r="AF1527" s="101"/>
      <c r="AG1527" s="101"/>
      <c r="AH1527" s="101"/>
      <c r="AI1527" s="101"/>
      <c r="AJ1527" s="101"/>
      <c r="AK1527" s="101"/>
      <c r="AL1527" s="101"/>
      <c r="AM1527" s="101"/>
      <c r="AN1527" s="101"/>
    </row>
    <row r="1528" spans="1:40" ht="16.5" customHeight="1" x14ac:dyDescent="0.3">
      <c r="A1528" s="69"/>
      <c r="B1528" s="69"/>
      <c r="C1528" s="69"/>
      <c r="D1528" s="69"/>
      <c r="E1528" s="69"/>
      <c r="F1528" s="69"/>
      <c r="Z1528" s="101"/>
      <c r="AA1528" s="101"/>
      <c r="AB1528" s="101"/>
      <c r="AC1528" s="101"/>
      <c r="AD1528" s="101"/>
      <c r="AE1528" s="101"/>
      <c r="AF1528" s="101"/>
      <c r="AG1528" s="101"/>
      <c r="AH1528" s="101"/>
      <c r="AI1528" s="101"/>
      <c r="AJ1528" s="101"/>
      <c r="AK1528" s="101"/>
      <c r="AL1528" s="101"/>
      <c r="AM1528" s="101"/>
      <c r="AN1528" s="101"/>
    </row>
    <row r="1529" spans="1:40" ht="16.5" customHeight="1" x14ac:dyDescent="0.3">
      <c r="A1529" s="69"/>
      <c r="B1529" s="69"/>
      <c r="C1529" s="69"/>
      <c r="D1529" s="69"/>
      <c r="E1529" s="69"/>
      <c r="F1529" s="69"/>
      <c r="Z1529" s="101"/>
      <c r="AA1529" s="101"/>
      <c r="AB1529" s="101"/>
      <c r="AC1529" s="101"/>
      <c r="AD1529" s="101"/>
      <c r="AE1529" s="101"/>
      <c r="AF1529" s="101"/>
      <c r="AG1529" s="101"/>
      <c r="AH1529" s="101"/>
      <c r="AI1529" s="101"/>
      <c r="AJ1529" s="101"/>
      <c r="AK1529" s="101"/>
      <c r="AL1529" s="101"/>
      <c r="AM1529" s="101"/>
      <c r="AN1529" s="101"/>
    </row>
    <row r="1530" spans="1:40" ht="16.5" customHeight="1" x14ac:dyDescent="0.3">
      <c r="A1530" s="69"/>
      <c r="B1530" s="69"/>
      <c r="C1530" s="69"/>
      <c r="D1530" s="69"/>
      <c r="E1530" s="69"/>
      <c r="F1530" s="69"/>
      <c r="Z1530" s="101"/>
      <c r="AA1530" s="101"/>
      <c r="AB1530" s="101"/>
      <c r="AC1530" s="101"/>
      <c r="AD1530" s="101"/>
      <c r="AE1530" s="101"/>
      <c r="AF1530" s="101"/>
      <c r="AG1530" s="101"/>
      <c r="AH1530" s="101"/>
      <c r="AI1530" s="101"/>
      <c r="AJ1530" s="101"/>
      <c r="AK1530" s="101"/>
      <c r="AL1530" s="101"/>
      <c r="AM1530" s="101"/>
      <c r="AN1530" s="101"/>
    </row>
    <row r="1531" spans="1:40" ht="16.5" customHeight="1" x14ac:dyDescent="0.3">
      <c r="A1531" s="69"/>
      <c r="B1531" s="69"/>
      <c r="C1531" s="69"/>
      <c r="D1531" s="69"/>
      <c r="E1531" s="69"/>
      <c r="F1531" s="69"/>
      <c r="Z1531" s="101"/>
      <c r="AA1531" s="101"/>
      <c r="AB1531" s="101"/>
      <c r="AC1531" s="101"/>
      <c r="AD1531" s="101"/>
      <c r="AE1531" s="101"/>
      <c r="AF1531" s="101"/>
      <c r="AG1531" s="101"/>
      <c r="AH1531" s="101"/>
      <c r="AI1531" s="101"/>
      <c r="AJ1531" s="101"/>
      <c r="AK1531" s="101"/>
      <c r="AL1531" s="101"/>
      <c r="AM1531" s="101"/>
      <c r="AN1531" s="101"/>
    </row>
    <row r="1532" spans="1:40" ht="16.5" customHeight="1" x14ac:dyDescent="0.3">
      <c r="A1532" s="69"/>
      <c r="B1532" s="69"/>
      <c r="C1532" s="69"/>
      <c r="D1532" s="69"/>
      <c r="E1532" s="69"/>
      <c r="F1532" s="69"/>
      <c r="Z1532" s="101"/>
      <c r="AA1532" s="101"/>
      <c r="AB1532" s="101"/>
      <c r="AC1532" s="101"/>
      <c r="AD1532" s="101"/>
      <c r="AE1532" s="101"/>
      <c r="AF1532" s="101"/>
      <c r="AG1532" s="101"/>
      <c r="AH1532" s="101"/>
      <c r="AI1532" s="101"/>
      <c r="AJ1532" s="101"/>
      <c r="AK1532" s="101"/>
      <c r="AL1532" s="101"/>
      <c r="AM1532" s="101"/>
      <c r="AN1532" s="101"/>
    </row>
    <row r="1533" spans="1:40" ht="16.5" customHeight="1" x14ac:dyDescent="0.3">
      <c r="A1533" s="69"/>
      <c r="B1533" s="69"/>
      <c r="C1533" s="69"/>
      <c r="D1533" s="69"/>
      <c r="E1533" s="69"/>
      <c r="F1533" s="69"/>
      <c r="Z1533" s="101"/>
      <c r="AA1533" s="101"/>
      <c r="AB1533" s="101"/>
      <c r="AC1533" s="101"/>
      <c r="AD1533" s="101"/>
      <c r="AE1533" s="101"/>
      <c r="AF1533" s="101"/>
      <c r="AG1533" s="101"/>
      <c r="AH1533" s="101"/>
      <c r="AI1533" s="101"/>
      <c r="AJ1533" s="101"/>
      <c r="AK1533" s="101"/>
      <c r="AL1533" s="101"/>
      <c r="AM1533" s="101"/>
      <c r="AN1533" s="101"/>
    </row>
    <row r="1534" spans="1:40" ht="16.5" customHeight="1" x14ac:dyDescent="0.3">
      <c r="A1534" s="69"/>
      <c r="B1534" s="69"/>
      <c r="C1534" s="69"/>
      <c r="D1534" s="69"/>
      <c r="E1534" s="69"/>
      <c r="F1534" s="69"/>
      <c r="Z1534" s="101"/>
      <c r="AA1534" s="101"/>
      <c r="AB1534" s="101"/>
      <c r="AC1534" s="101"/>
      <c r="AD1534" s="101"/>
      <c r="AE1534" s="101"/>
      <c r="AF1534" s="101"/>
      <c r="AG1534" s="101"/>
      <c r="AH1534" s="101"/>
      <c r="AI1534" s="101"/>
      <c r="AJ1534" s="101"/>
      <c r="AK1534" s="101"/>
      <c r="AL1534" s="101"/>
      <c r="AM1534" s="101"/>
      <c r="AN1534" s="101"/>
    </row>
    <row r="1535" spans="1:40" ht="16.5" customHeight="1" x14ac:dyDescent="0.3">
      <c r="A1535" s="69"/>
      <c r="B1535" s="69"/>
      <c r="C1535" s="69"/>
      <c r="D1535" s="69"/>
      <c r="E1535" s="69"/>
      <c r="F1535" s="69"/>
      <c r="Z1535" s="101"/>
      <c r="AA1535" s="101"/>
      <c r="AB1535" s="101"/>
      <c r="AC1535" s="101"/>
      <c r="AD1535" s="101"/>
      <c r="AE1535" s="101"/>
      <c r="AF1535" s="101"/>
      <c r="AG1535" s="101"/>
      <c r="AH1535" s="101"/>
      <c r="AI1535" s="101"/>
      <c r="AJ1535" s="101"/>
      <c r="AK1535" s="101"/>
      <c r="AL1535" s="101"/>
      <c r="AM1535" s="101"/>
      <c r="AN1535" s="101"/>
    </row>
    <row r="1536" spans="1:40" ht="16.5" customHeight="1" x14ac:dyDescent="0.3">
      <c r="A1536" s="69"/>
      <c r="B1536" s="69"/>
      <c r="C1536" s="69"/>
      <c r="D1536" s="69"/>
      <c r="E1536" s="69"/>
      <c r="F1536" s="69"/>
      <c r="Z1536" s="101"/>
      <c r="AA1536" s="101"/>
      <c r="AB1536" s="101"/>
      <c r="AC1536" s="101"/>
      <c r="AD1536" s="101"/>
      <c r="AE1536" s="101"/>
      <c r="AF1536" s="101"/>
      <c r="AG1536" s="101"/>
      <c r="AH1536" s="101"/>
      <c r="AI1536" s="101"/>
      <c r="AJ1536" s="101"/>
      <c r="AK1536" s="101"/>
      <c r="AL1536" s="101"/>
      <c r="AM1536" s="101"/>
      <c r="AN1536" s="101"/>
    </row>
    <row r="1537" spans="1:40" ht="16.5" customHeight="1" x14ac:dyDescent="0.3">
      <c r="A1537" s="69"/>
      <c r="B1537" s="69"/>
      <c r="C1537" s="69"/>
      <c r="D1537" s="69"/>
      <c r="E1537" s="69"/>
      <c r="F1537" s="69"/>
      <c r="Z1537" s="101"/>
      <c r="AA1537" s="101"/>
      <c r="AB1537" s="101"/>
      <c r="AC1537" s="101"/>
      <c r="AD1537" s="101"/>
      <c r="AE1537" s="101"/>
      <c r="AF1537" s="101"/>
      <c r="AG1537" s="101"/>
      <c r="AH1537" s="101"/>
      <c r="AI1537" s="101"/>
      <c r="AJ1537" s="101"/>
      <c r="AK1537" s="101"/>
      <c r="AL1537" s="101"/>
      <c r="AM1537" s="101"/>
      <c r="AN1537" s="101"/>
    </row>
    <row r="1538" spans="1:40" ht="16.5" customHeight="1" x14ac:dyDescent="0.3">
      <c r="A1538" s="69"/>
      <c r="B1538" s="69"/>
      <c r="C1538" s="69"/>
      <c r="D1538" s="69"/>
      <c r="E1538" s="69"/>
      <c r="F1538" s="69"/>
      <c r="Z1538" s="101"/>
      <c r="AA1538" s="101"/>
      <c r="AB1538" s="101"/>
      <c r="AC1538" s="101"/>
      <c r="AD1538" s="101"/>
      <c r="AE1538" s="101"/>
      <c r="AF1538" s="101"/>
      <c r="AG1538" s="101"/>
      <c r="AH1538" s="101"/>
      <c r="AI1538" s="101"/>
      <c r="AJ1538" s="101"/>
      <c r="AK1538" s="101"/>
      <c r="AL1538" s="101"/>
      <c r="AM1538" s="101"/>
      <c r="AN1538" s="101"/>
    </row>
    <row r="1539" spans="1:40" ht="16.5" customHeight="1" x14ac:dyDescent="0.3">
      <c r="A1539" s="69"/>
      <c r="B1539" s="69"/>
      <c r="C1539" s="69"/>
      <c r="D1539" s="69"/>
      <c r="E1539" s="69"/>
      <c r="F1539" s="69"/>
      <c r="Z1539" s="101"/>
      <c r="AA1539" s="101"/>
      <c r="AB1539" s="101"/>
      <c r="AC1539" s="101"/>
      <c r="AD1539" s="101"/>
      <c r="AE1539" s="101"/>
      <c r="AF1539" s="101"/>
      <c r="AG1539" s="101"/>
      <c r="AH1539" s="101"/>
      <c r="AI1539" s="101"/>
      <c r="AJ1539" s="101"/>
      <c r="AK1539" s="101"/>
      <c r="AL1539" s="101"/>
      <c r="AM1539" s="101"/>
      <c r="AN1539" s="101"/>
    </row>
    <row r="1540" spans="1:40" ht="16.5" customHeight="1" x14ac:dyDescent="0.3">
      <c r="A1540" s="69"/>
      <c r="B1540" s="69"/>
      <c r="C1540" s="69"/>
      <c r="D1540" s="69"/>
      <c r="E1540" s="69"/>
      <c r="F1540" s="69"/>
      <c r="Z1540" s="101"/>
      <c r="AA1540" s="101"/>
      <c r="AB1540" s="101"/>
      <c r="AC1540" s="101"/>
      <c r="AD1540" s="101"/>
      <c r="AE1540" s="101"/>
      <c r="AF1540" s="101"/>
      <c r="AG1540" s="101"/>
      <c r="AH1540" s="101"/>
      <c r="AI1540" s="101"/>
      <c r="AJ1540" s="101"/>
      <c r="AK1540" s="101"/>
      <c r="AL1540" s="101"/>
      <c r="AM1540" s="101"/>
      <c r="AN1540" s="101"/>
    </row>
    <row r="1541" spans="1:40" ht="16.5" customHeight="1" x14ac:dyDescent="0.3">
      <c r="A1541" s="69"/>
      <c r="B1541" s="69"/>
      <c r="C1541" s="69"/>
      <c r="D1541" s="69"/>
      <c r="E1541" s="69"/>
      <c r="F1541" s="69"/>
      <c r="Z1541" s="101"/>
      <c r="AA1541" s="101"/>
      <c r="AB1541" s="101"/>
      <c r="AC1541" s="101"/>
      <c r="AD1541" s="101"/>
      <c r="AE1541" s="101"/>
      <c r="AF1541" s="101"/>
      <c r="AG1541" s="101"/>
      <c r="AH1541" s="101"/>
      <c r="AI1541" s="101"/>
      <c r="AJ1541" s="101"/>
      <c r="AK1541" s="101"/>
      <c r="AL1541" s="101"/>
      <c r="AM1541" s="101"/>
      <c r="AN1541" s="101"/>
    </row>
    <row r="1542" spans="1:40" ht="16.5" customHeight="1" x14ac:dyDescent="0.3">
      <c r="A1542" s="69"/>
      <c r="B1542" s="69"/>
      <c r="C1542" s="69"/>
      <c r="D1542" s="69"/>
      <c r="E1542" s="69"/>
      <c r="F1542" s="69"/>
      <c r="Z1542" s="101"/>
      <c r="AA1542" s="101"/>
      <c r="AB1542" s="101"/>
      <c r="AC1542" s="101"/>
      <c r="AD1542" s="101"/>
      <c r="AE1542" s="101"/>
      <c r="AF1542" s="101"/>
      <c r="AG1542" s="101"/>
      <c r="AH1542" s="101"/>
      <c r="AI1542" s="101"/>
      <c r="AJ1542" s="101"/>
      <c r="AK1542" s="101"/>
      <c r="AL1542" s="101"/>
      <c r="AM1542" s="101"/>
      <c r="AN1542" s="101"/>
    </row>
    <row r="1543" spans="1:40" ht="16.5" customHeight="1" x14ac:dyDescent="0.3">
      <c r="A1543" s="69"/>
      <c r="B1543" s="69"/>
      <c r="C1543" s="69"/>
      <c r="D1543" s="69"/>
      <c r="E1543" s="69"/>
      <c r="F1543" s="69"/>
      <c r="Z1543" s="101"/>
      <c r="AA1543" s="101"/>
      <c r="AB1543" s="101"/>
      <c r="AC1543" s="101"/>
      <c r="AD1543" s="101"/>
      <c r="AE1543" s="101"/>
      <c r="AF1543" s="101"/>
      <c r="AG1543" s="101"/>
      <c r="AH1543" s="101"/>
      <c r="AI1543" s="101"/>
      <c r="AJ1543" s="101"/>
      <c r="AK1543" s="101"/>
      <c r="AL1543" s="101"/>
      <c r="AM1543" s="101"/>
      <c r="AN1543" s="101"/>
    </row>
    <row r="1544" spans="1:40" ht="16.5" customHeight="1" x14ac:dyDescent="0.3">
      <c r="A1544" s="69"/>
      <c r="B1544" s="69"/>
      <c r="C1544" s="69"/>
      <c r="D1544" s="69"/>
      <c r="E1544" s="69"/>
      <c r="F1544" s="69"/>
      <c r="Z1544" s="101"/>
      <c r="AA1544" s="101"/>
      <c r="AB1544" s="101"/>
      <c r="AC1544" s="101"/>
      <c r="AD1544" s="101"/>
      <c r="AE1544" s="101"/>
      <c r="AF1544" s="101"/>
      <c r="AG1544" s="101"/>
      <c r="AH1544" s="101"/>
      <c r="AI1544" s="101"/>
      <c r="AJ1544" s="101"/>
      <c r="AK1544" s="101"/>
      <c r="AL1544" s="101"/>
      <c r="AM1544" s="101"/>
      <c r="AN1544" s="101"/>
    </row>
    <row r="1545" spans="1:40" ht="16.5" customHeight="1" x14ac:dyDescent="0.3">
      <c r="A1545" s="69"/>
      <c r="B1545" s="69"/>
      <c r="C1545" s="69"/>
      <c r="D1545" s="69"/>
      <c r="E1545" s="69"/>
      <c r="F1545" s="69"/>
      <c r="Z1545" s="101"/>
      <c r="AA1545" s="101"/>
      <c r="AB1545" s="101"/>
      <c r="AC1545" s="101"/>
      <c r="AD1545" s="101"/>
      <c r="AE1545" s="101"/>
      <c r="AF1545" s="101"/>
      <c r="AG1545" s="101"/>
      <c r="AH1545" s="101"/>
      <c r="AI1545" s="101"/>
      <c r="AJ1545" s="101"/>
      <c r="AK1545" s="101"/>
      <c r="AL1545" s="101"/>
      <c r="AM1545" s="101"/>
      <c r="AN1545" s="101"/>
    </row>
    <row r="1546" spans="1:40" ht="16.5" customHeight="1" x14ac:dyDescent="0.3">
      <c r="A1546" s="69"/>
      <c r="B1546" s="69"/>
      <c r="C1546" s="69"/>
      <c r="D1546" s="69"/>
      <c r="E1546" s="69"/>
      <c r="F1546" s="69"/>
      <c r="Z1546" s="101"/>
      <c r="AA1546" s="101"/>
      <c r="AB1546" s="101"/>
      <c r="AC1546" s="101"/>
      <c r="AD1546" s="101"/>
      <c r="AE1546" s="101"/>
      <c r="AF1546" s="101"/>
      <c r="AG1546" s="101"/>
      <c r="AH1546" s="101"/>
      <c r="AI1546" s="101"/>
      <c r="AJ1546" s="101"/>
      <c r="AK1546" s="101"/>
      <c r="AL1546" s="101"/>
      <c r="AM1546" s="101"/>
      <c r="AN1546" s="101"/>
    </row>
    <row r="1547" spans="1:40" ht="16.5" customHeight="1" x14ac:dyDescent="0.3">
      <c r="A1547" s="69"/>
      <c r="B1547" s="69"/>
      <c r="C1547" s="69"/>
      <c r="D1547" s="69"/>
      <c r="E1547" s="69"/>
      <c r="F1547" s="69"/>
      <c r="Z1547" s="101"/>
      <c r="AA1547" s="101"/>
      <c r="AB1547" s="101"/>
      <c r="AC1547" s="101"/>
      <c r="AD1547" s="101"/>
      <c r="AE1547" s="101"/>
      <c r="AF1547" s="101"/>
      <c r="AG1547" s="101"/>
      <c r="AH1547" s="101"/>
      <c r="AI1547" s="101"/>
      <c r="AJ1547" s="101"/>
      <c r="AK1547" s="101"/>
      <c r="AL1547" s="101"/>
      <c r="AM1547" s="101"/>
      <c r="AN1547" s="101"/>
    </row>
    <row r="1548" spans="1:40" ht="16.5" customHeight="1" x14ac:dyDescent="0.3">
      <c r="A1548" s="69"/>
      <c r="B1548" s="69"/>
      <c r="C1548" s="69"/>
      <c r="D1548" s="69"/>
      <c r="E1548" s="69"/>
      <c r="F1548" s="69"/>
      <c r="Z1548" s="101"/>
      <c r="AA1548" s="101"/>
      <c r="AB1548" s="101"/>
      <c r="AC1548" s="101"/>
      <c r="AD1548" s="101"/>
      <c r="AE1548" s="101"/>
      <c r="AF1548" s="101"/>
      <c r="AG1548" s="101"/>
      <c r="AH1548" s="101"/>
      <c r="AI1548" s="101"/>
      <c r="AJ1548" s="101"/>
      <c r="AK1548" s="101"/>
      <c r="AL1548" s="101"/>
      <c r="AM1548" s="101"/>
      <c r="AN1548" s="101"/>
    </row>
    <row r="1549" spans="1:40" ht="16.5" customHeight="1" x14ac:dyDescent="0.3">
      <c r="A1549" s="69"/>
      <c r="B1549" s="69"/>
      <c r="C1549" s="69"/>
      <c r="D1549" s="69"/>
      <c r="E1549" s="69"/>
      <c r="F1549" s="69"/>
      <c r="Z1549" s="101"/>
      <c r="AA1549" s="101"/>
      <c r="AB1549" s="101"/>
      <c r="AC1549" s="101"/>
      <c r="AD1549" s="101"/>
      <c r="AE1549" s="101"/>
      <c r="AF1549" s="101"/>
      <c r="AG1549" s="101"/>
      <c r="AH1549" s="101"/>
      <c r="AI1549" s="101"/>
      <c r="AJ1549" s="101"/>
      <c r="AK1549" s="101"/>
      <c r="AL1549" s="101"/>
      <c r="AM1549" s="101"/>
      <c r="AN1549" s="101"/>
    </row>
    <row r="1550" spans="1:40" ht="16.5" customHeight="1" x14ac:dyDescent="0.3">
      <c r="A1550" s="69"/>
      <c r="B1550" s="69"/>
      <c r="C1550" s="69"/>
      <c r="D1550" s="69"/>
      <c r="E1550" s="69"/>
      <c r="F1550" s="69"/>
      <c r="Z1550" s="101"/>
      <c r="AA1550" s="101"/>
      <c r="AB1550" s="101"/>
      <c r="AC1550" s="101"/>
      <c r="AD1550" s="101"/>
      <c r="AE1550" s="101"/>
      <c r="AF1550" s="101"/>
      <c r="AG1550" s="101"/>
      <c r="AH1550" s="101"/>
      <c r="AI1550" s="101"/>
      <c r="AJ1550" s="101"/>
      <c r="AK1550" s="101"/>
      <c r="AL1550" s="101"/>
      <c r="AM1550" s="101"/>
      <c r="AN1550" s="101"/>
    </row>
    <row r="1551" spans="1:40" ht="16.5" customHeight="1" x14ac:dyDescent="0.3">
      <c r="A1551" s="69"/>
      <c r="B1551" s="69"/>
      <c r="C1551" s="69"/>
      <c r="D1551" s="69"/>
      <c r="E1551" s="69"/>
      <c r="F1551" s="69"/>
      <c r="Z1551" s="101"/>
      <c r="AA1551" s="101"/>
      <c r="AB1551" s="101"/>
      <c r="AC1551" s="101"/>
      <c r="AD1551" s="101"/>
      <c r="AE1551" s="101"/>
      <c r="AF1551" s="101"/>
      <c r="AG1551" s="101"/>
      <c r="AH1551" s="101"/>
      <c r="AI1551" s="101"/>
      <c r="AJ1551" s="101"/>
      <c r="AK1551" s="101"/>
      <c r="AL1551" s="101"/>
      <c r="AM1551" s="101"/>
      <c r="AN1551" s="101"/>
    </row>
    <row r="1552" spans="1:40" ht="16.5" customHeight="1" x14ac:dyDescent="0.3">
      <c r="A1552" s="69"/>
      <c r="B1552" s="69"/>
      <c r="C1552" s="69"/>
      <c r="D1552" s="69"/>
      <c r="E1552" s="69"/>
      <c r="F1552" s="69"/>
      <c r="Z1552" s="101"/>
      <c r="AA1552" s="101"/>
      <c r="AB1552" s="101"/>
      <c r="AC1552" s="101"/>
      <c r="AD1552" s="101"/>
      <c r="AE1552" s="101"/>
      <c r="AF1552" s="101"/>
      <c r="AG1552" s="101"/>
      <c r="AH1552" s="101"/>
      <c r="AI1552" s="101"/>
      <c r="AJ1552" s="101"/>
      <c r="AK1552" s="101"/>
      <c r="AL1552" s="101"/>
      <c r="AM1552" s="101"/>
      <c r="AN1552" s="101"/>
    </row>
    <row r="1553" spans="1:40" ht="16.5" customHeight="1" x14ac:dyDescent="0.3">
      <c r="A1553" s="74"/>
      <c r="B1553" s="74"/>
      <c r="C1553" s="74"/>
      <c r="D1553" s="74"/>
      <c r="E1553" s="74"/>
      <c r="F1553" s="74"/>
      <c r="Z1553" s="101"/>
      <c r="AA1553" s="101"/>
      <c r="AB1553" s="101"/>
      <c r="AC1553" s="101"/>
      <c r="AD1553" s="101"/>
      <c r="AE1553" s="101"/>
      <c r="AF1553" s="101"/>
      <c r="AG1553" s="101"/>
      <c r="AH1553" s="101"/>
      <c r="AI1553" s="101"/>
      <c r="AJ1553" s="101"/>
      <c r="AK1553" s="101"/>
      <c r="AL1553" s="101"/>
      <c r="AM1553" s="101"/>
      <c r="AN1553" s="101"/>
    </row>
    <row r="1554" spans="1:40" ht="16.5" customHeight="1" x14ac:dyDescent="0.3">
      <c r="A1554" s="150" t="s">
        <v>1477</v>
      </c>
      <c r="B1554" s="143"/>
      <c r="C1554" s="47">
        <f>E1554+D1554+F1554</f>
        <v>42141</v>
      </c>
      <c r="D1554" s="46">
        <f>ROUNDDOWN(SUMIF(N1507:N1527,M1554,D1507:D1527),0)</f>
        <v>0</v>
      </c>
      <c r="E1554" s="55">
        <f>ROUNDDOWN(SUMIF(N1507:N1527,M1554,E1507:E1527),0)</f>
        <v>0</v>
      </c>
      <c r="F1554" s="47">
        <f>ROUNDDOWN(SUMIF(N1507:N1527,M1554,F1507:F1527),0)</f>
        <v>42141</v>
      </c>
      <c r="M1554" s="35" t="s">
        <v>1209</v>
      </c>
      <c r="Z1554" s="101"/>
      <c r="AA1554" s="101"/>
      <c r="AB1554" s="101"/>
      <c r="AC1554" s="101"/>
      <c r="AD1554" s="101"/>
      <c r="AE1554" s="101"/>
      <c r="AF1554" s="101"/>
      <c r="AG1554" s="101"/>
      <c r="AH1554" s="101"/>
      <c r="AI1554" s="101"/>
      <c r="AJ1554" s="101"/>
      <c r="AK1554" s="101"/>
      <c r="AL1554" s="101"/>
      <c r="AM1554" s="101"/>
      <c r="AN1554" s="101"/>
    </row>
    <row r="1555" spans="1:40" ht="16.5" customHeight="1" x14ac:dyDescent="0.3">
      <c r="A1555" s="86" t="s">
        <v>103</v>
      </c>
      <c r="B1555" s="88" t="s">
        <v>103</v>
      </c>
      <c r="C1555" s="151">
        <f>C1604</f>
        <v>17052</v>
      </c>
      <c r="D1555" s="151">
        <f>D1604</f>
        <v>0</v>
      </c>
      <c r="E1555" s="151">
        <f>E1604</f>
        <v>0</v>
      </c>
      <c r="F1555" s="151">
        <f>F1604</f>
        <v>17052</v>
      </c>
      <c r="G1555" s="84" t="str">
        <f>HYPERLINK("#G"&amp;ROW(G1576),"_x0005_`BDCOD|D04343_x0007_`POSS|"&amp;ROW(G1557)&amp;"_x0007_`POSE|"&amp;ROW(G1576)&amp;"_x0007_`")</f>
        <v>_x0005_`BDCOD|D04343_x0007_`POSS|1557_x0007_`POSE|1576_x0007_`</v>
      </c>
      <c r="Z1555" s="101"/>
      <c r="AA1555" s="101"/>
      <c r="AB1555" s="101"/>
      <c r="AC1555" s="101"/>
      <c r="AD1555" s="101"/>
      <c r="AE1555" s="101"/>
      <c r="AF1555" s="101"/>
      <c r="AG1555" s="101"/>
      <c r="AH1555" s="101"/>
      <c r="AI1555" s="101"/>
      <c r="AJ1555" s="101"/>
      <c r="AK1555" s="101"/>
      <c r="AL1555" s="101"/>
      <c r="AM1555" s="101"/>
      <c r="AN1555" s="101"/>
    </row>
    <row r="1556" spans="1:40" ht="16.5" customHeight="1" x14ac:dyDescent="0.3">
      <c r="A1556" s="87"/>
      <c r="B1556" s="88" t="s">
        <v>193</v>
      </c>
      <c r="C1556" s="136"/>
      <c r="D1556" s="136"/>
      <c r="E1556" s="136"/>
      <c r="F1556" s="136"/>
      <c r="M1556" s="35" t="s">
        <v>2047</v>
      </c>
      <c r="Z1556" s="101"/>
      <c r="AA1556" s="101"/>
      <c r="AB1556" s="101"/>
      <c r="AC1556" s="101"/>
      <c r="AD1556" s="101"/>
      <c r="AE1556" s="101"/>
      <c r="AF1556" s="101"/>
      <c r="AG1556" s="101"/>
      <c r="AH1556" s="101"/>
      <c r="AI1556" s="101"/>
      <c r="AJ1556" s="101"/>
      <c r="AK1556" s="101"/>
      <c r="AL1556" s="101"/>
      <c r="AM1556" s="101"/>
      <c r="AN1556" s="101"/>
    </row>
    <row r="1557" spans="1:40" ht="16.5" customHeight="1" x14ac:dyDescent="0.3">
      <c r="A1557" s="69"/>
      <c r="B1557" s="69"/>
      <c r="C1557" s="90"/>
      <c r="D1557" s="90"/>
      <c r="E1557" s="90"/>
      <c r="F1557" s="90"/>
      <c r="G1557" s="17" t="s">
        <v>1405</v>
      </c>
      <c r="Z1557" s="101"/>
      <c r="AA1557" s="101"/>
      <c r="AB1557" s="101"/>
      <c r="AC1557" s="101"/>
      <c r="AD1557" s="101"/>
      <c r="AE1557" s="101"/>
      <c r="AF1557" s="101"/>
      <c r="AG1557" s="101"/>
      <c r="AH1557" s="101"/>
      <c r="AI1557" s="101"/>
      <c r="AJ1557" s="101"/>
      <c r="AK1557" s="101"/>
      <c r="AL1557" s="101"/>
      <c r="AM1557" s="101"/>
      <c r="AN1557" s="101"/>
    </row>
    <row r="1558" spans="1:40" ht="16.5" customHeight="1" x14ac:dyDescent="0.3">
      <c r="A1558" s="69"/>
      <c r="B1558" s="69"/>
      <c r="C1558" s="69"/>
      <c r="D1558" s="69"/>
      <c r="E1558" s="69"/>
      <c r="F1558" s="69"/>
      <c r="G1558" s="17" t="s">
        <v>1405</v>
      </c>
      <c r="Z1558" s="101"/>
      <c r="AA1558" s="101"/>
      <c r="AB1558" s="101"/>
      <c r="AC1558" s="101"/>
      <c r="AD1558" s="101"/>
      <c r="AE1558" s="101"/>
      <c r="AF1558" s="101"/>
      <c r="AG1558" s="101"/>
      <c r="AH1558" s="101"/>
      <c r="AI1558" s="101"/>
      <c r="AJ1558" s="101"/>
      <c r="AK1558" s="101"/>
      <c r="AL1558" s="101"/>
      <c r="AM1558" s="101"/>
      <c r="AN1558" s="101"/>
    </row>
    <row r="1559" spans="1:40" ht="16.5" customHeight="1" x14ac:dyDescent="0.3">
      <c r="A1559" s="59"/>
      <c r="B1559" s="68" t="s">
        <v>2049</v>
      </c>
      <c r="C1559" s="69"/>
      <c r="D1559" s="69"/>
      <c r="E1559" s="69"/>
      <c r="F1559" s="69"/>
      <c r="G1559" s="17" t="s">
        <v>2048</v>
      </c>
      <c r="Z1559" s="101"/>
      <c r="AA1559" s="101"/>
      <c r="AB1559" s="101"/>
      <c r="AC1559" s="101"/>
      <c r="AD1559" s="101"/>
      <c r="AE1559" s="101"/>
      <c r="AF1559" s="101"/>
      <c r="AG1559" s="101"/>
      <c r="AH1559" s="101"/>
      <c r="AI1559" s="101"/>
      <c r="AJ1559" s="101"/>
      <c r="AK1559" s="101"/>
      <c r="AL1559" s="101"/>
      <c r="AM1559" s="101"/>
      <c r="AN1559" s="101"/>
    </row>
    <row r="1560" spans="1:40" ht="16.5" customHeight="1" x14ac:dyDescent="0.3">
      <c r="A1560" s="69"/>
      <c r="B1560" s="69"/>
      <c r="C1560" s="69"/>
      <c r="D1560" s="69"/>
      <c r="E1560" s="69"/>
      <c r="F1560" s="69"/>
      <c r="G1560" s="17" t="s">
        <v>1405</v>
      </c>
      <c r="Z1560" s="101"/>
      <c r="AA1560" s="101"/>
      <c r="AB1560" s="101"/>
      <c r="AC1560" s="101"/>
      <c r="AD1560" s="101"/>
      <c r="AE1560" s="101"/>
      <c r="AF1560" s="101"/>
      <c r="AG1560" s="101"/>
      <c r="AH1560" s="101"/>
      <c r="AI1560" s="101"/>
      <c r="AJ1560" s="101"/>
      <c r="AK1560" s="101"/>
      <c r="AL1560" s="101"/>
      <c r="AM1560" s="101"/>
      <c r="AN1560" s="101"/>
    </row>
    <row r="1561" spans="1:40" ht="16.5" customHeight="1" x14ac:dyDescent="0.3">
      <c r="A1561" s="59"/>
      <c r="B1561" s="68" t="s">
        <v>2051</v>
      </c>
      <c r="C1561" s="69"/>
      <c r="D1561" s="69"/>
      <c r="E1561" s="69"/>
      <c r="F1561" s="69"/>
      <c r="G1561" s="17" t="s">
        <v>2050</v>
      </c>
      <c r="Z1561" s="101"/>
      <c r="AA1561" s="101"/>
      <c r="AB1561" s="101"/>
      <c r="AC1561" s="101"/>
      <c r="AD1561" s="101"/>
      <c r="AE1561" s="101"/>
      <c r="AF1561" s="101"/>
      <c r="AG1561" s="101"/>
      <c r="AH1561" s="101"/>
      <c r="AI1561" s="101"/>
      <c r="AJ1561" s="101"/>
      <c r="AK1561" s="101"/>
      <c r="AL1561" s="101"/>
      <c r="AM1561" s="101"/>
      <c r="AN1561" s="101"/>
    </row>
    <row r="1562" spans="1:40" ht="16.5" customHeight="1" x14ac:dyDescent="0.3">
      <c r="A1562" s="69"/>
      <c r="B1562" s="69"/>
      <c r="C1562" s="69"/>
      <c r="D1562" s="69"/>
      <c r="E1562" s="69"/>
      <c r="F1562" s="69"/>
      <c r="G1562" s="17" t="s">
        <v>1405</v>
      </c>
      <c r="Z1562" s="101"/>
      <c r="AA1562" s="101"/>
      <c r="AB1562" s="101"/>
      <c r="AC1562" s="101"/>
      <c r="AD1562" s="101"/>
      <c r="AE1562" s="101"/>
      <c r="AF1562" s="101"/>
      <c r="AG1562" s="101"/>
      <c r="AH1562" s="101"/>
      <c r="AI1562" s="101"/>
      <c r="AJ1562" s="101"/>
      <c r="AK1562" s="101"/>
      <c r="AL1562" s="101"/>
      <c r="AM1562" s="101"/>
      <c r="AN1562" s="101"/>
    </row>
    <row r="1563" spans="1:40" ht="16.5" customHeight="1" x14ac:dyDescent="0.3">
      <c r="A1563" s="59"/>
      <c r="B1563" s="68" t="s">
        <v>2039</v>
      </c>
      <c r="C1563" s="69"/>
      <c r="D1563" s="69"/>
      <c r="E1563" s="69"/>
      <c r="F1563" s="69"/>
      <c r="G1563" s="17" t="s">
        <v>2038</v>
      </c>
      <c r="Z1563" s="101"/>
      <c r="AA1563" s="101"/>
      <c r="AB1563" s="101"/>
      <c r="AC1563" s="101"/>
      <c r="AD1563" s="101"/>
      <c r="AE1563" s="101"/>
      <c r="AF1563" s="101"/>
      <c r="AG1563" s="101"/>
      <c r="AH1563" s="101"/>
      <c r="AI1563" s="101"/>
      <c r="AJ1563" s="101"/>
      <c r="AK1563" s="101"/>
      <c r="AL1563" s="101"/>
      <c r="AM1563" s="101"/>
      <c r="AN1563" s="101"/>
    </row>
    <row r="1564" spans="1:40" ht="16.5" customHeight="1" x14ac:dyDescent="0.3">
      <c r="A1564" s="69"/>
      <c r="B1564" s="69"/>
      <c r="C1564" s="69"/>
      <c r="D1564" s="69"/>
      <c r="E1564" s="69"/>
      <c r="F1564" s="69"/>
      <c r="G1564" s="17" t="s">
        <v>1405</v>
      </c>
      <c r="Z1564" s="101"/>
      <c r="AA1564" s="101"/>
      <c r="AB1564" s="101"/>
      <c r="AC1564" s="101"/>
      <c r="AD1564" s="101"/>
      <c r="AE1564" s="101"/>
      <c r="AF1564" s="101"/>
      <c r="AG1564" s="101"/>
      <c r="AH1564" s="101"/>
      <c r="AI1564" s="101"/>
      <c r="AJ1564" s="101"/>
      <c r="AK1564" s="101"/>
      <c r="AL1564" s="101"/>
      <c r="AM1564" s="101"/>
      <c r="AN1564" s="101"/>
    </row>
    <row r="1565" spans="1:40" ht="16.5" customHeight="1" x14ac:dyDescent="0.3">
      <c r="A1565" s="59"/>
      <c r="B1565" s="68" t="s">
        <v>2041</v>
      </c>
      <c r="C1565" s="69"/>
      <c r="D1565" s="69"/>
      <c r="E1565" s="69"/>
      <c r="F1565" s="69"/>
      <c r="G1565" s="17" t="s">
        <v>2040</v>
      </c>
      <c r="Z1565" s="101"/>
      <c r="AA1565" s="101"/>
      <c r="AB1565" s="101"/>
      <c r="AC1565" s="101"/>
      <c r="AD1565" s="101"/>
      <c r="AE1565" s="101"/>
      <c r="AF1565" s="101"/>
      <c r="AG1565" s="101"/>
      <c r="AH1565" s="101"/>
      <c r="AI1565" s="101"/>
      <c r="AJ1565" s="101"/>
      <c r="AK1565" s="101"/>
      <c r="AL1565" s="101"/>
      <c r="AM1565" s="101"/>
      <c r="AN1565" s="101"/>
    </row>
    <row r="1566" spans="1:40" ht="16.5" customHeight="1" x14ac:dyDescent="0.3">
      <c r="A1566" s="69"/>
      <c r="B1566" s="69"/>
      <c r="C1566" s="69"/>
      <c r="D1566" s="69"/>
      <c r="E1566" s="69"/>
      <c r="F1566" s="69"/>
      <c r="G1566" s="17" t="s">
        <v>1405</v>
      </c>
      <c r="Z1566" s="101"/>
      <c r="AA1566" s="101"/>
      <c r="AB1566" s="101"/>
      <c r="AC1566" s="101"/>
      <c r="AD1566" s="101"/>
      <c r="AE1566" s="101"/>
      <c r="AF1566" s="101"/>
      <c r="AG1566" s="101"/>
      <c r="AH1566" s="101"/>
      <c r="AI1566" s="101"/>
      <c r="AJ1566" s="101"/>
      <c r="AK1566" s="101"/>
      <c r="AL1566" s="101"/>
      <c r="AM1566" s="101"/>
      <c r="AN1566" s="101"/>
    </row>
    <row r="1567" spans="1:40" ht="16.5" customHeight="1" x14ac:dyDescent="0.3">
      <c r="A1567" s="59" t="s">
        <v>2053</v>
      </c>
      <c r="B1567" s="89" t="str">
        <f>"     공사안내 간판 : "&amp;TEXT(I1567,"#,##0"&amp;IF(I1567&lt;&gt;INT(I1567),".###",""))&amp;" * "&amp;AA1567&amp;" EA  * "&amp;AC1567&amp;" = "&amp;TEXT(C1567,"#,##0.0")&amp;""</f>
        <v xml:space="preserve">     공사안내 간판 : 58,800 * 1 EA  * 0.29 = 17,052.0</v>
      </c>
      <c r="C1567" s="91">
        <f>E1567+D1567+F1567</f>
        <v>17052</v>
      </c>
      <c r="D1567" s="91">
        <f>IF(H1567=0,0,ROUNDDOWN(J1567*H1567,1))</f>
        <v>0</v>
      </c>
      <c r="E1567" s="91">
        <f>IF(H1567=0,0,ROUNDDOWN(K1567*H1567,1))</f>
        <v>17052</v>
      </c>
      <c r="F1567" s="91">
        <f>IF(H1567=0,0,ROUNDDOWN(L1567*H1567,1))</f>
        <v>0</v>
      </c>
      <c r="G1567" s="17" t="s">
        <v>2052</v>
      </c>
      <c r="H1567" s="97">
        <f>ROUNDUP(AE1567,14-LEN(ABS(INT(AE1567))))</f>
        <v>0.28999999999999998</v>
      </c>
      <c r="I1567" s="98">
        <f>K1567+J1567+L1567</f>
        <v>58800</v>
      </c>
      <c r="K1567" s="38">
        <f>재료비목록표!E15</f>
        <v>58800</v>
      </c>
      <c r="M1567" s="35" t="s">
        <v>2054</v>
      </c>
      <c r="N1567" s="35" t="s">
        <v>2045</v>
      </c>
      <c r="O1567" s="35" t="s">
        <v>1214</v>
      </c>
      <c r="X1567" s="100" t="str">
        <f>재료비목록표!B15&amp;" / "&amp;재료비목록표!C15</f>
        <v>공사안내 표지판(대형) / 600*900</v>
      </c>
      <c r="Y1567" s="3" t="str">
        <f ca="1">HYPERLINK("#"&amp;재료비목록표!G2&amp;"!A"&amp;ROW(재료비목록표!A15),"자재12 →")</f>
        <v>자재12 →</v>
      </c>
      <c r="Z1567" s="35" t="s">
        <v>1446</v>
      </c>
      <c r="AA1567" s="102">
        <v>1</v>
      </c>
      <c r="AB1567" s="35" t="s">
        <v>1436</v>
      </c>
      <c r="AC1567" s="104">
        <v>0.28999999999999998</v>
      </c>
      <c r="AD1567" s="35" t="s">
        <v>1410</v>
      </c>
      <c r="AE1567" s="103">
        <f>1*AA1567*AC1567</f>
        <v>0.28999999999999998</v>
      </c>
      <c r="AF1567" s="101"/>
      <c r="AG1567" s="101"/>
      <c r="AH1567" s="101"/>
      <c r="AI1567" s="101"/>
      <c r="AJ1567" s="101"/>
      <c r="AK1567" s="101"/>
      <c r="AL1567" s="101"/>
      <c r="AM1567" s="101"/>
      <c r="AN1567" s="101"/>
    </row>
    <row r="1568" spans="1:40" ht="16.5" customHeight="1" x14ac:dyDescent="0.3">
      <c r="A1568" s="69"/>
      <c r="B1568" s="69"/>
      <c r="C1568" s="69"/>
      <c r="D1568" s="69"/>
      <c r="E1568" s="69"/>
      <c r="F1568" s="69"/>
      <c r="G1568" s="17" t="s">
        <v>1405</v>
      </c>
      <c r="Z1568" s="101"/>
      <c r="AA1568" s="101"/>
      <c r="AB1568" s="101"/>
      <c r="AC1568" s="101"/>
      <c r="AD1568" s="101"/>
      <c r="AE1568" s="101"/>
      <c r="AF1568" s="101"/>
      <c r="AG1568" s="101"/>
      <c r="AH1568" s="101"/>
      <c r="AI1568" s="101"/>
      <c r="AJ1568" s="101"/>
      <c r="AK1568" s="101"/>
      <c r="AL1568" s="101"/>
      <c r="AM1568" s="101"/>
      <c r="AN1568" s="101"/>
    </row>
    <row r="1569" spans="1:40" ht="16.5" customHeight="1" x14ac:dyDescent="0.3">
      <c r="A1569" s="59"/>
      <c r="B1569" s="89" t="str">
        <f>"     공사안내판 간 : "&amp;TEXT(I1569,"#,##0.0")&amp;" * "&amp;AA1569&amp;" %  = "&amp;TEXT(C1569,"#,##0.0")&amp;""</f>
        <v xml:space="preserve">     공사안내판 간 : 17,052.0 * 100 %  = 17,052.0</v>
      </c>
      <c r="C1569" s="91">
        <f>E1569+D1569+F1569</f>
        <v>17052</v>
      </c>
      <c r="D1569" s="91">
        <f>IF(H1569=0,0,ROUNDDOWN(J1569*H1569/100,1))</f>
        <v>0</v>
      </c>
      <c r="E1569" s="91">
        <f>IF(H1569=0,0,ROUNDDOWN(K1569*H1569/100,1))</f>
        <v>0</v>
      </c>
      <c r="F1569" s="91">
        <f>IF(H1569=0,0,ROUNDDOWN(L1569*H1569/100,1))</f>
        <v>17052</v>
      </c>
      <c r="G1569" s="17" t="s">
        <v>2056</v>
      </c>
      <c r="H1569" s="97">
        <f>ROUNDUP(AC1569,14-LEN(ABS(INT(AC1569))))</f>
        <v>100</v>
      </c>
      <c r="I1569" s="98">
        <f>K1569+J1569+L1569</f>
        <v>17052</v>
      </c>
      <c r="J1569" s="36">
        <v>0</v>
      </c>
      <c r="K1569" s="36">
        <v>0</v>
      </c>
      <c r="L1569" s="38">
        <f>C1567</f>
        <v>17052</v>
      </c>
      <c r="M1569" s="35" t="s">
        <v>1059</v>
      </c>
      <c r="N1569" s="35" t="s">
        <v>1253</v>
      </c>
      <c r="Z1569" s="35" t="s">
        <v>1446</v>
      </c>
      <c r="AA1569" s="102">
        <v>100</v>
      </c>
      <c r="AB1569" s="35" t="s">
        <v>1410</v>
      </c>
      <c r="AC1569" s="103">
        <f>1*AA1569</f>
        <v>100</v>
      </c>
      <c r="AD1569" s="101"/>
      <c r="AE1569" s="101"/>
      <c r="AF1569" s="101"/>
      <c r="AG1569" s="101"/>
      <c r="AH1569" s="101"/>
      <c r="AI1569" s="101"/>
      <c r="AJ1569" s="101"/>
      <c r="AK1569" s="101"/>
      <c r="AL1569" s="101"/>
      <c r="AM1569" s="101"/>
      <c r="AN1569" s="101"/>
    </row>
    <row r="1570" spans="1:40" ht="16.5" customHeight="1" x14ac:dyDescent="0.3">
      <c r="A1570" s="69"/>
      <c r="B1570" s="69"/>
      <c r="C1570" s="69"/>
      <c r="D1570" s="69"/>
      <c r="E1570" s="69"/>
      <c r="F1570" s="69"/>
      <c r="G1570" s="17" t="s">
        <v>1405</v>
      </c>
      <c r="Z1570" s="101"/>
      <c r="AA1570" s="101"/>
      <c r="AB1570" s="101"/>
      <c r="AC1570" s="101"/>
      <c r="AD1570" s="101"/>
      <c r="AE1570" s="101"/>
      <c r="AF1570" s="101"/>
      <c r="AG1570" s="101"/>
      <c r="AH1570" s="101"/>
      <c r="AI1570" s="101"/>
      <c r="AJ1570" s="101"/>
      <c r="AK1570" s="101"/>
      <c r="AL1570" s="101"/>
      <c r="AM1570" s="101"/>
      <c r="AN1570" s="101"/>
    </row>
    <row r="1571" spans="1:40" ht="16.5" customHeight="1" x14ac:dyDescent="0.3">
      <c r="A1571" s="59"/>
      <c r="B1571" s="68" t="s">
        <v>1251</v>
      </c>
      <c r="C1571" s="92">
        <f>E1571+D1571+F1571</f>
        <v>17052</v>
      </c>
      <c r="D1571" s="92">
        <f>SUMIF(N1557:N1570,M1571,D1557:D1570)</f>
        <v>0</v>
      </c>
      <c r="E1571" s="92">
        <f>SUMIF(N1557:N1570,M1571,E1557:E1570)</f>
        <v>0</v>
      </c>
      <c r="F1571" s="92">
        <f>SUMIF(N1557:N1570,M1571,F1557:F1570)</f>
        <v>17052</v>
      </c>
      <c r="G1571" s="17" t="s">
        <v>1476</v>
      </c>
      <c r="M1571" s="35" t="s">
        <v>1253</v>
      </c>
      <c r="N1571" s="35" t="s">
        <v>1209</v>
      </c>
      <c r="Z1571" s="101"/>
      <c r="AA1571" s="101"/>
      <c r="AB1571" s="101"/>
      <c r="AC1571" s="101"/>
      <c r="AD1571" s="101"/>
      <c r="AE1571" s="101"/>
      <c r="AF1571" s="101"/>
      <c r="AG1571" s="101"/>
      <c r="AH1571" s="101"/>
      <c r="AI1571" s="101"/>
      <c r="AJ1571" s="101"/>
      <c r="AK1571" s="101"/>
      <c r="AL1571" s="101"/>
      <c r="AM1571" s="101"/>
      <c r="AN1571" s="101"/>
    </row>
    <row r="1572" spans="1:40" ht="16.5" customHeight="1" x14ac:dyDescent="0.3">
      <c r="A1572" s="69"/>
      <c r="B1572" s="69"/>
      <c r="C1572" s="90"/>
      <c r="D1572" s="90"/>
      <c r="E1572" s="90"/>
      <c r="F1572" s="90"/>
      <c r="G1572" s="17" t="s">
        <v>1405</v>
      </c>
      <c r="Z1572" s="101"/>
      <c r="AA1572" s="101"/>
      <c r="AB1572" s="101"/>
      <c r="AC1572" s="101"/>
      <c r="AD1572" s="101"/>
      <c r="AE1572" s="101"/>
      <c r="AF1572" s="101"/>
      <c r="AG1572" s="101"/>
      <c r="AH1572" s="101"/>
      <c r="AI1572" s="101"/>
      <c r="AJ1572" s="101"/>
      <c r="AK1572" s="101"/>
      <c r="AL1572" s="101"/>
      <c r="AM1572" s="101"/>
      <c r="AN1572" s="101"/>
    </row>
    <row r="1573" spans="1:40" ht="16.5" customHeight="1" x14ac:dyDescent="0.3">
      <c r="A1573" s="69"/>
      <c r="B1573" s="69"/>
      <c r="C1573" s="69"/>
      <c r="D1573" s="69"/>
      <c r="E1573" s="69"/>
      <c r="F1573" s="69"/>
      <c r="G1573" s="17" t="s">
        <v>1405</v>
      </c>
      <c r="Z1573" s="101"/>
      <c r="AA1573" s="101"/>
      <c r="AB1573" s="101"/>
      <c r="AC1573" s="101"/>
      <c r="AD1573" s="101"/>
      <c r="AE1573" s="101"/>
      <c r="AF1573" s="101"/>
      <c r="AG1573" s="101"/>
      <c r="AH1573" s="101"/>
      <c r="AI1573" s="101"/>
      <c r="AJ1573" s="101"/>
      <c r="AK1573" s="101"/>
      <c r="AL1573" s="101"/>
      <c r="AM1573" s="101"/>
      <c r="AN1573" s="101"/>
    </row>
    <row r="1574" spans="1:40" ht="16.5" customHeight="1" x14ac:dyDescent="0.3">
      <c r="A1574" s="69"/>
      <c r="B1574" s="69"/>
      <c r="C1574" s="69"/>
      <c r="D1574" s="69"/>
      <c r="E1574" s="69"/>
      <c r="F1574" s="69"/>
      <c r="G1574" s="17" t="s">
        <v>1525</v>
      </c>
      <c r="Z1574" s="101"/>
      <c r="AA1574" s="101"/>
      <c r="AB1574" s="101"/>
      <c r="AC1574" s="101"/>
      <c r="AD1574" s="101"/>
      <c r="AE1574" s="101"/>
      <c r="AF1574" s="101"/>
      <c r="AG1574" s="101"/>
      <c r="AH1574" s="101"/>
      <c r="AI1574" s="101"/>
      <c r="AJ1574" s="101"/>
      <c r="AK1574" s="101"/>
      <c r="AL1574" s="101"/>
      <c r="AM1574" s="101"/>
      <c r="AN1574" s="101"/>
    </row>
    <row r="1575" spans="1:40" ht="16.5" customHeight="1" x14ac:dyDescent="0.3">
      <c r="A1575" s="69"/>
      <c r="B1575" s="69"/>
      <c r="C1575" s="69"/>
      <c r="D1575" s="69"/>
      <c r="E1575" s="69"/>
      <c r="F1575" s="69"/>
      <c r="G1575" s="17" t="s">
        <v>1525</v>
      </c>
      <c r="Z1575" s="101"/>
      <c r="AA1575" s="101"/>
      <c r="AB1575" s="101"/>
      <c r="AC1575" s="101"/>
      <c r="AD1575" s="101"/>
      <c r="AE1575" s="101"/>
      <c r="AF1575" s="101"/>
      <c r="AG1575" s="101"/>
      <c r="AH1575" s="101"/>
      <c r="AI1575" s="101"/>
      <c r="AJ1575" s="101"/>
      <c r="AK1575" s="101"/>
      <c r="AL1575" s="101"/>
      <c r="AM1575" s="101"/>
      <c r="AN1575" s="101"/>
    </row>
    <row r="1576" spans="1:40" ht="16.5" customHeight="1" x14ac:dyDescent="0.3">
      <c r="A1576" s="69"/>
      <c r="B1576" s="69"/>
      <c r="C1576" s="69"/>
      <c r="D1576" s="69"/>
      <c r="E1576" s="69"/>
      <c r="F1576" s="69"/>
      <c r="G1576" s="17" t="s">
        <v>1525</v>
      </c>
      <c r="Z1576" s="101"/>
      <c r="AA1576" s="101"/>
      <c r="AB1576" s="101"/>
      <c r="AC1576" s="101"/>
      <c r="AD1576" s="101"/>
      <c r="AE1576" s="101"/>
      <c r="AF1576" s="101"/>
      <c r="AG1576" s="101"/>
      <c r="AH1576" s="101"/>
      <c r="AI1576" s="101"/>
      <c r="AJ1576" s="101"/>
      <c r="AK1576" s="101"/>
      <c r="AL1576" s="101"/>
      <c r="AM1576" s="101"/>
      <c r="AN1576" s="101"/>
    </row>
    <row r="1577" spans="1:40" ht="16.5" customHeight="1" x14ac:dyDescent="0.3">
      <c r="A1577" s="69"/>
      <c r="B1577" s="69"/>
      <c r="C1577" s="69"/>
      <c r="D1577" s="69"/>
      <c r="E1577" s="69"/>
      <c r="F1577" s="69"/>
      <c r="Z1577" s="101"/>
      <c r="AA1577" s="101"/>
      <c r="AB1577" s="101"/>
      <c r="AC1577" s="101"/>
      <c r="AD1577" s="101"/>
      <c r="AE1577" s="101"/>
      <c r="AF1577" s="101"/>
      <c r="AG1577" s="101"/>
      <c r="AH1577" s="101"/>
      <c r="AI1577" s="101"/>
      <c r="AJ1577" s="101"/>
      <c r="AK1577" s="101"/>
      <c r="AL1577" s="101"/>
      <c r="AM1577" s="101"/>
      <c r="AN1577" s="101"/>
    </row>
    <row r="1578" spans="1:40" ht="16.5" customHeight="1" x14ac:dyDescent="0.3">
      <c r="A1578" s="69"/>
      <c r="B1578" s="69"/>
      <c r="C1578" s="69"/>
      <c r="D1578" s="69"/>
      <c r="E1578" s="69"/>
      <c r="F1578" s="69"/>
      <c r="Z1578" s="101"/>
      <c r="AA1578" s="101"/>
      <c r="AB1578" s="101"/>
      <c r="AC1578" s="101"/>
      <c r="AD1578" s="101"/>
      <c r="AE1578" s="101"/>
      <c r="AF1578" s="101"/>
      <c r="AG1578" s="101"/>
      <c r="AH1578" s="101"/>
      <c r="AI1578" s="101"/>
      <c r="AJ1578" s="101"/>
      <c r="AK1578" s="101"/>
      <c r="AL1578" s="101"/>
      <c r="AM1578" s="101"/>
      <c r="AN1578" s="101"/>
    </row>
    <row r="1579" spans="1:40" ht="16.5" customHeight="1" x14ac:dyDescent="0.3">
      <c r="A1579" s="69"/>
      <c r="B1579" s="69"/>
      <c r="C1579" s="69"/>
      <c r="D1579" s="69"/>
      <c r="E1579" s="69"/>
      <c r="F1579" s="69"/>
      <c r="Z1579" s="101"/>
      <c r="AA1579" s="101"/>
      <c r="AB1579" s="101"/>
      <c r="AC1579" s="101"/>
      <c r="AD1579" s="101"/>
      <c r="AE1579" s="101"/>
      <c r="AF1579" s="101"/>
      <c r="AG1579" s="101"/>
      <c r="AH1579" s="101"/>
      <c r="AI1579" s="101"/>
      <c r="AJ1579" s="101"/>
      <c r="AK1579" s="101"/>
      <c r="AL1579" s="101"/>
      <c r="AM1579" s="101"/>
      <c r="AN1579" s="101"/>
    </row>
    <row r="1580" spans="1:40" ht="16.5" customHeight="1" x14ac:dyDescent="0.3">
      <c r="A1580" s="69"/>
      <c r="B1580" s="69"/>
      <c r="C1580" s="69"/>
      <c r="D1580" s="69"/>
      <c r="E1580" s="69"/>
      <c r="F1580" s="69"/>
      <c r="Z1580" s="101"/>
      <c r="AA1580" s="101"/>
      <c r="AB1580" s="101"/>
      <c r="AC1580" s="101"/>
      <c r="AD1580" s="101"/>
      <c r="AE1580" s="101"/>
      <c r="AF1580" s="101"/>
      <c r="AG1580" s="101"/>
      <c r="AH1580" s="101"/>
      <c r="AI1580" s="101"/>
      <c r="AJ1580" s="101"/>
      <c r="AK1580" s="101"/>
      <c r="AL1580" s="101"/>
      <c r="AM1580" s="101"/>
      <c r="AN1580" s="101"/>
    </row>
    <row r="1581" spans="1:40" ht="16.5" customHeight="1" x14ac:dyDescent="0.3">
      <c r="A1581" s="69"/>
      <c r="B1581" s="69"/>
      <c r="C1581" s="69"/>
      <c r="D1581" s="69"/>
      <c r="E1581" s="69"/>
      <c r="F1581" s="69"/>
      <c r="Z1581" s="101"/>
      <c r="AA1581" s="101"/>
      <c r="AB1581" s="101"/>
      <c r="AC1581" s="101"/>
      <c r="AD1581" s="101"/>
      <c r="AE1581" s="101"/>
      <c r="AF1581" s="101"/>
      <c r="AG1581" s="101"/>
      <c r="AH1581" s="101"/>
      <c r="AI1581" s="101"/>
      <c r="AJ1581" s="101"/>
      <c r="AK1581" s="101"/>
      <c r="AL1581" s="101"/>
      <c r="AM1581" s="101"/>
      <c r="AN1581" s="101"/>
    </row>
    <row r="1582" spans="1:40" ht="16.5" customHeight="1" x14ac:dyDescent="0.3">
      <c r="A1582" s="69"/>
      <c r="B1582" s="69"/>
      <c r="C1582" s="69"/>
      <c r="D1582" s="69"/>
      <c r="E1582" s="69"/>
      <c r="F1582" s="69"/>
      <c r="Z1582" s="101"/>
      <c r="AA1582" s="101"/>
      <c r="AB1582" s="101"/>
      <c r="AC1582" s="101"/>
      <c r="AD1582" s="101"/>
      <c r="AE1582" s="101"/>
      <c r="AF1582" s="101"/>
      <c r="AG1582" s="101"/>
      <c r="AH1582" s="101"/>
      <c r="AI1582" s="101"/>
      <c r="AJ1582" s="101"/>
      <c r="AK1582" s="101"/>
      <c r="AL1582" s="101"/>
      <c r="AM1582" s="101"/>
      <c r="AN1582" s="101"/>
    </row>
    <row r="1583" spans="1:40" ht="16.5" customHeight="1" x14ac:dyDescent="0.3">
      <c r="A1583" s="69"/>
      <c r="B1583" s="69"/>
      <c r="C1583" s="69"/>
      <c r="D1583" s="69"/>
      <c r="E1583" s="69"/>
      <c r="F1583" s="69"/>
      <c r="Z1583" s="101"/>
      <c r="AA1583" s="101"/>
      <c r="AB1583" s="101"/>
      <c r="AC1583" s="101"/>
      <c r="AD1583" s="101"/>
      <c r="AE1583" s="101"/>
      <c r="AF1583" s="101"/>
      <c r="AG1583" s="101"/>
      <c r="AH1583" s="101"/>
      <c r="AI1583" s="101"/>
      <c r="AJ1583" s="101"/>
      <c r="AK1583" s="101"/>
      <c r="AL1583" s="101"/>
      <c r="AM1583" s="101"/>
      <c r="AN1583" s="101"/>
    </row>
    <row r="1584" spans="1:40" ht="16.5" customHeight="1" x14ac:dyDescent="0.3">
      <c r="A1584" s="69"/>
      <c r="B1584" s="69"/>
      <c r="C1584" s="69"/>
      <c r="D1584" s="69"/>
      <c r="E1584" s="69"/>
      <c r="F1584" s="69"/>
      <c r="Z1584" s="101"/>
      <c r="AA1584" s="101"/>
      <c r="AB1584" s="101"/>
      <c r="AC1584" s="101"/>
      <c r="AD1584" s="101"/>
      <c r="AE1584" s="101"/>
      <c r="AF1584" s="101"/>
      <c r="AG1584" s="101"/>
      <c r="AH1584" s="101"/>
      <c r="AI1584" s="101"/>
      <c r="AJ1584" s="101"/>
      <c r="AK1584" s="101"/>
      <c r="AL1584" s="101"/>
      <c r="AM1584" s="101"/>
      <c r="AN1584" s="101"/>
    </row>
    <row r="1585" spans="1:40" ht="16.5" customHeight="1" x14ac:dyDescent="0.3">
      <c r="A1585" s="69"/>
      <c r="B1585" s="69"/>
      <c r="C1585" s="69"/>
      <c r="D1585" s="69"/>
      <c r="E1585" s="69"/>
      <c r="F1585" s="69"/>
      <c r="Z1585" s="101"/>
      <c r="AA1585" s="101"/>
      <c r="AB1585" s="101"/>
      <c r="AC1585" s="101"/>
      <c r="AD1585" s="101"/>
      <c r="AE1585" s="101"/>
      <c r="AF1585" s="101"/>
      <c r="AG1585" s="101"/>
      <c r="AH1585" s="101"/>
      <c r="AI1585" s="101"/>
      <c r="AJ1585" s="101"/>
      <c r="AK1585" s="101"/>
      <c r="AL1585" s="101"/>
      <c r="AM1585" s="101"/>
      <c r="AN1585" s="101"/>
    </row>
    <row r="1586" spans="1:40" ht="16.5" customHeight="1" x14ac:dyDescent="0.3">
      <c r="A1586" s="69"/>
      <c r="B1586" s="69"/>
      <c r="C1586" s="69"/>
      <c r="D1586" s="69"/>
      <c r="E1586" s="69"/>
      <c r="F1586" s="69"/>
      <c r="Z1586" s="101"/>
      <c r="AA1586" s="101"/>
      <c r="AB1586" s="101"/>
      <c r="AC1586" s="101"/>
      <c r="AD1586" s="101"/>
      <c r="AE1586" s="101"/>
      <c r="AF1586" s="101"/>
      <c r="AG1586" s="101"/>
      <c r="AH1586" s="101"/>
      <c r="AI1586" s="101"/>
      <c r="AJ1586" s="101"/>
      <c r="AK1586" s="101"/>
      <c r="AL1586" s="101"/>
      <c r="AM1586" s="101"/>
      <c r="AN1586" s="101"/>
    </row>
    <row r="1587" spans="1:40" ht="16.5" customHeight="1" x14ac:dyDescent="0.3">
      <c r="A1587" s="69"/>
      <c r="B1587" s="69"/>
      <c r="C1587" s="69"/>
      <c r="D1587" s="69"/>
      <c r="E1587" s="69"/>
      <c r="F1587" s="69"/>
      <c r="Z1587" s="101"/>
      <c r="AA1587" s="101"/>
      <c r="AB1587" s="101"/>
      <c r="AC1587" s="101"/>
      <c r="AD1587" s="101"/>
      <c r="AE1587" s="101"/>
      <c r="AF1587" s="101"/>
      <c r="AG1587" s="101"/>
      <c r="AH1587" s="101"/>
      <c r="AI1587" s="101"/>
      <c r="AJ1587" s="101"/>
      <c r="AK1587" s="101"/>
      <c r="AL1587" s="101"/>
      <c r="AM1587" s="101"/>
      <c r="AN1587" s="101"/>
    </row>
    <row r="1588" spans="1:40" ht="16.5" customHeight="1" x14ac:dyDescent="0.3">
      <c r="A1588" s="69"/>
      <c r="B1588" s="69"/>
      <c r="C1588" s="69"/>
      <c r="D1588" s="69"/>
      <c r="E1588" s="69"/>
      <c r="F1588" s="69"/>
      <c r="Z1588" s="101"/>
      <c r="AA1588" s="101"/>
      <c r="AB1588" s="101"/>
      <c r="AC1588" s="101"/>
      <c r="AD1588" s="101"/>
      <c r="AE1588" s="101"/>
      <c r="AF1588" s="101"/>
      <c r="AG1588" s="101"/>
      <c r="AH1588" s="101"/>
      <c r="AI1588" s="101"/>
      <c r="AJ1588" s="101"/>
      <c r="AK1588" s="101"/>
      <c r="AL1588" s="101"/>
      <c r="AM1588" s="101"/>
      <c r="AN1588" s="101"/>
    </row>
    <row r="1589" spans="1:40" ht="16.5" customHeight="1" x14ac:dyDescent="0.3">
      <c r="A1589" s="69"/>
      <c r="B1589" s="69"/>
      <c r="C1589" s="69"/>
      <c r="D1589" s="69"/>
      <c r="E1589" s="69"/>
      <c r="F1589" s="69"/>
      <c r="Z1589" s="101"/>
      <c r="AA1589" s="101"/>
      <c r="AB1589" s="101"/>
      <c r="AC1589" s="101"/>
      <c r="AD1589" s="101"/>
      <c r="AE1589" s="101"/>
      <c r="AF1589" s="101"/>
      <c r="AG1589" s="101"/>
      <c r="AH1589" s="101"/>
      <c r="AI1589" s="101"/>
      <c r="AJ1589" s="101"/>
      <c r="AK1589" s="101"/>
      <c r="AL1589" s="101"/>
      <c r="AM1589" s="101"/>
      <c r="AN1589" s="101"/>
    </row>
    <row r="1590" spans="1:40" ht="16.5" customHeight="1" x14ac:dyDescent="0.3">
      <c r="A1590" s="69"/>
      <c r="B1590" s="69"/>
      <c r="C1590" s="69"/>
      <c r="D1590" s="69"/>
      <c r="E1590" s="69"/>
      <c r="F1590" s="69"/>
      <c r="Z1590" s="101"/>
      <c r="AA1590" s="101"/>
      <c r="AB1590" s="101"/>
      <c r="AC1590" s="101"/>
      <c r="AD1590" s="101"/>
      <c r="AE1590" s="101"/>
      <c r="AF1590" s="101"/>
      <c r="AG1590" s="101"/>
      <c r="AH1590" s="101"/>
      <c r="AI1590" s="101"/>
      <c r="AJ1590" s="101"/>
      <c r="AK1590" s="101"/>
      <c r="AL1590" s="101"/>
      <c r="AM1590" s="101"/>
      <c r="AN1590" s="101"/>
    </row>
    <row r="1591" spans="1:40" ht="16.5" customHeight="1" x14ac:dyDescent="0.3">
      <c r="A1591" s="69"/>
      <c r="B1591" s="69"/>
      <c r="C1591" s="69"/>
      <c r="D1591" s="69"/>
      <c r="E1591" s="69"/>
      <c r="F1591" s="69"/>
      <c r="Z1591" s="101"/>
      <c r="AA1591" s="101"/>
      <c r="AB1591" s="101"/>
      <c r="AC1591" s="101"/>
      <c r="AD1591" s="101"/>
      <c r="AE1591" s="101"/>
      <c r="AF1591" s="101"/>
      <c r="AG1591" s="101"/>
      <c r="AH1591" s="101"/>
      <c r="AI1591" s="101"/>
      <c r="AJ1591" s="101"/>
      <c r="AK1591" s="101"/>
      <c r="AL1591" s="101"/>
      <c r="AM1591" s="101"/>
      <c r="AN1591" s="101"/>
    </row>
    <row r="1592" spans="1:40" ht="16.5" customHeight="1" x14ac:dyDescent="0.3">
      <c r="A1592" s="69"/>
      <c r="B1592" s="69"/>
      <c r="C1592" s="69"/>
      <c r="D1592" s="69"/>
      <c r="E1592" s="69"/>
      <c r="F1592" s="69"/>
      <c r="Z1592" s="101"/>
      <c r="AA1592" s="101"/>
      <c r="AB1592" s="101"/>
      <c r="AC1592" s="101"/>
      <c r="AD1592" s="101"/>
      <c r="AE1592" s="101"/>
      <c r="AF1592" s="101"/>
      <c r="AG1592" s="101"/>
      <c r="AH1592" s="101"/>
      <c r="AI1592" s="101"/>
      <c r="AJ1592" s="101"/>
      <c r="AK1592" s="101"/>
      <c r="AL1592" s="101"/>
      <c r="AM1592" s="101"/>
      <c r="AN1592" s="101"/>
    </row>
    <row r="1593" spans="1:40" ht="16.5" customHeight="1" x14ac:dyDescent="0.3">
      <c r="A1593" s="69"/>
      <c r="B1593" s="69"/>
      <c r="C1593" s="69"/>
      <c r="D1593" s="69"/>
      <c r="E1593" s="69"/>
      <c r="F1593" s="69"/>
      <c r="Z1593" s="101"/>
      <c r="AA1593" s="101"/>
      <c r="AB1593" s="101"/>
      <c r="AC1593" s="101"/>
      <c r="AD1593" s="101"/>
      <c r="AE1593" s="101"/>
      <c r="AF1593" s="101"/>
      <c r="AG1593" s="101"/>
      <c r="AH1593" s="101"/>
      <c r="AI1593" s="101"/>
      <c r="AJ1593" s="101"/>
      <c r="AK1593" s="101"/>
      <c r="AL1593" s="101"/>
      <c r="AM1593" s="101"/>
      <c r="AN1593" s="101"/>
    </row>
    <row r="1594" spans="1:40" ht="16.5" customHeight="1" x14ac:dyDescent="0.3">
      <c r="A1594" s="69"/>
      <c r="B1594" s="69"/>
      <c r="C1594" s="69"/>
      <c r="D1594" s="69"/>
      <c r="E1594" s="69"/>
      <c r="F1594" s="69"/>
      <c r="Z1594" s="101"/>
      <c r="AA1594" s="101"/>
      <c r="AB1594" s="101"/>
      <c r="AC1594" s="101"/>
      <c r="AD1594" s="101"/>
      <c r="AE1594" s="101"/>
      <c r="AF1594" s="101"/>
      <c r="AG1594" s="101"/>
      <c r="AH1594" s="101"/>
      <c r="AI1594" s="101"/>
      <c r="AJ1594" s="101"/>
      <c r="AK1594" s="101"/>
      <c r="AL1594" s="101"/>
      <c r="AM1594" s="101"/>
      <c r="AN1594" s="101"/>
    </row>
    <row r="1595" spans="1:40" ht="16.5" customHeight="1" x14ac:dyDescent="0.3">
      <c r="A1595" s="69"/>
      <c r="B1595" s="69"/>
      <c r="C1595" s="69"/>
      <c r="D1595" s="69"/>
      <c r="E1595" s="69"/>
      <c r="F1595" s="69"/>
      <c r="Z1595" s="101"/>
      <c r="AA1595" s="101"/>
      <c r="AB1595" s="101"/>
      <c r="AC1595" s="101"/>
      <c r="AD1595" s="101"/>
      <c r="AE1595" s="101"/>
      <c r="AF1595" s="101"/>
      <c r="AG1595" s="101"/>
      <c r="AH1595" s="101"/>
      <c r="AI1595" s="101"/>
      <c r="AJ1595" s="101"/>
      <c r="AK1595" s="101"/>
      <c r="AL1595" s="101"/>
      <c r="AM1595" s="101"/>
      <c r="AN1595" s="101"/>
    </row>
    <row r="1596" spans="1:40" ht="16.5" customHeight="1" x14ac:dyDescent="0.3">
      <c r="A1596" s="69"/>
      <c r="B1596" s="69"/>
      <c r="C1596" s="69"/>
      <c r="D1596" s="69"/>
      <c r="E1596" s="69"/>
      <c r="F1596" s="69"/>
      <c r="Z1596" s="101"/>
      <c r="AA1596" s="101"/>
      <c r="AB1596" s="101"/>
      <c r="AC1596" s="101"/>
      <c r="AD1596" s="101"/>
      <c r="AE1596" s="101"/>
      <c r="AF1596" s="101"/>
      <c r="AG1596" s="101"/>
      <c r="AH1596" s="101"/>
      <c r="AI1596" s="101"/>
      <c r="AJ1596" s="101"/>
      <c r="AK1596" s="101"/>
      <c r="AL1596" s="101"/>
      <c r="AM1596" s="101"/>
      <c r="AN1596" s="101"/>
    </row>
    <row r="1597" spans="1:40" ht="16.5" customHeight="1" x14ac:dyDescent="0.3">
      <c r="A1597" s="69"/>
      <c r="B1597" s="69"/>
      <c r="C1597" s="69"/>
      <c r="D1597" s="69"/>
      <c r="E1597" s="69"/>
      <c r="F1597" s="69"/>
      <c r="Z1597" s="101"/>
      <c r="AA1597" s="101"/>
      <c r="AB1597" s="101"/>
      <c r="AC1597" s="101"/>
      <c r="AD1597" s="101"/>
      <c r="AE1597" s="101"/>
      <c r="AF1597" s="101"/>
      <c r="AG1597" s="101"/>
      <c r="AH1597" s="101"/>
      <c r="AI1597" s="101"/>
      <c r="AJ1597" s="101"/>
      <c r="AK1597" s="101"/>
      <c r="AL1597" s="101"/>
      <c r="AM1597" s="101"/>
      <c r="AN1597" s="101"/>
    </row>
    <row r="1598" spans="1:40" ht="16.5" customHeight="1" x14ac:dyDescent="0.3">
      <c r="A1598" s="69"/>
      <c r="B1598" s="69"/>
      <c r="C1598" s="69"/>
      <c r="D1598" s="69"/>
      <c r="E1598" s="69"/>
      <c r="F1598" s="69"/>
      <c r="Z1598" s="101"/>
      <c r="AA1598" s="101"/>
      <c r="AB1598" s="101"/>
      <c r="AC1598" s="101"/>
      <c r="AD1598" s="101"/>
      <c r="AE1598" s="101"/>
      <c r="AF1598" s="101"/>
      <c r="AG1598" s="101"/>
      <c r="AH1598" s="101"/>
      <c r="AI1598" s="101"/>
      <c r="AJ1598" s="101"/>
      <c r="AK1598" s="101"/>
      <c r="AL1598" s="101"/>
      <c r="AM1598" s="101"/>
      <c r="AN1598" s="101"/>
    </row>
    <row r="1599" spans="1:40" ht="16.5" customHeight="1" x14ac:dyDescent="0.3">
      <c r="A1599" s="69"/>
      <c r="B1599" s="69"/>
      <c r="C1599" s="69"/>
      <c r="D1599" s="69"/>
      <c r="E1599" s="69"/>
      <c r="F1599" s="69"/>
      <c r="Z1599" s="101"/>
      <c r="AA1599" s="101"/>
      <c r="AB1599" s="101"/>
      <c r="AC1599" s="101"/>
      <c r="AD1599" s="101"/>
      <c r="AE1599" s="101"/>
      <c r="AF1599" s="101"/>
      <c r="AG1599" s="101"/>
      <c r="AH1599" s="101"/>
      <c r="AI1599" s="101"/>
      <c r="AJ1599" s="101"/>
      <c r="AK1599" s="101"/>
      <c r="AL1599" s="101"/>
      <c r="AM1599" s="101"/>
      <c r="AN1599" s="101"/>
    </row>
    <row r="1600" spans="1:40" ht="16.5" customHeight="1" x14ac:dyDescent="0.3">
      <c r="A1600" s="69"/>
      <c r="B1600" s="69"/>
      <c r="C1600" s="69"/>
      <c r="D1600" s="69"/>
      <c r="E1600" s="69"/>
      <c r="F1600" s="69"/>
      <c r="Z1600" s="101"/>
      <c r="AA1600" s="101"/>
      <c r="AB1600" s="101"/>
      <c r="AC1600" s="101"/>
      <c r="AD1600" s="101"/>
      <c r="AE1600" s="101"/>
      <c r="AF1600" s="101"/>
      <c r="AG1600" s="101"/>
      <c r="AH1600" s="101"/>
      <c r="AI1600" s="101"/>
      <c r="AJ1600" s="101"/>
      <c r="AK1600" s="101"/>
      <c r="AL1600" s="101"/>
      <c r="AM1600" s="101"/>
      <c r="AN1600" s="101"/>
    </row>
    <row r="1601" spans="1:40" ht="16.5" customHeight="1" x14ac:dyDescent="0.3">
      <c r="A1601" s="69"/>
      <c r="B1601" s="69"/>
      <c r="C1601" s="69"/>
      <c r="D1601" s="69"/>
      <c r="E1601" s="69"/>
      <c r="F1601" s="69"/>
      <c r="Z1601" s="101"/>
      <c r="AA1601" s="101"/>
      <c r="AB1601" s="101"/>
      <c r="AC1601" s="101"/>
      <c r="AD1601" s="101"/>
      <c r="AE1601" s="101"/>
      <c r="AF1601" s="101"/>
      <c r="AG1601" s="101"/>
      <c r="AH1601" s="101"/>
      <c r="AI1601" s="101"/>
      <c r="AJ1601" s="101"/>
      <c r="AK1601" s="101"/>
      <c r="AL1601" s="101"/>
      <c r="AM1601" s="101"/>
      <c r="AN1601" s="101"/>
    </row>
    <row r="1602" spans="1:40" ht="16.5" customHeight="1" x14ac:dyDescent="0.3">
      <c r="A1602" s="69"/>
      <c r="B1602" s="69"/>
      <c r="C1602" s="69"/>
      <c r="D1602" s="69"/>
      <c r="E1602" s="69"/>
      <c r="F1602" s="69"/>
      <c r="Z1602" s="101"/>
      <c r="AA1602" s="101"/>
      <c r="AB1602" s="101"/>
      <c r="AC1602" s="101"/>
      <c r="AD1602" s="101"/>
      <c r="AE1602" s="101"/>
      <c r="AF1602" s="101"/>
      <c r="AG1602" s="101"/>
      <c r="AH1602" s="101"/>
      <c r="AI1602" s="101"/>
      <c r="AJ1602" s="101"/>
      <c r="AK1602" s="101"/>
      <c r="AL1602" s="101"/>
      <c r="AM1602" s="101"/>
      <c r="AN1602" s="101"/>
    </row>
    <row r="1603" spans="1:40" ht="16.5" customHeight="1" x14ac:dyDescent="0.3">
      <c r="A1603" s="74"/>
      <c r="B1603" s="74"/>
      <c r="C1603" s="74"/>
      <c r="D1603" s="74"/>
      <c r="E1603" s="74"/>
      <c r="F1603" s="74"/>
      <c r="Z1603" s="101"/>
      <c r="AA1603" s="101"/>
      <c r="AB1603" s="101"/>
      <c r="AC1603" s="101"/>
      <c r="AD1603" s="101"/>
      <c r="AE1603" s="101"/>
      <c r="AF1603" s="101"/>
      <c r="AG1603" s="101"/>
      <c r="AH1603" s="101"/>
      <c r="AI1603" s="101"/>
      <c r="AJ1603" s="101"/>
      <c r="AK1603" s="101"/>
      <c r="AL1603" s="101"/>
      <c r="AM1603" s="101"/>
      <c r="AN1603" s="101"/>
    </row>
    <row r="1604" spans="1:40" ht="16.5" customHeight="1" x14ac:dyDescent="0.3">
      <c r="A1604" s="150" t="s">
        <v>1477</v>
      </c>
      <c r="B1604" s="143"/>
      <c r="C1604" s="47">
        <f>E1604+D1604+F1604</f>
        <v>17052</v>
      </c>
      <c r="D1604" s="46">
        <f>ROUNDDOWN(SUMIF(N1557:N1576,M1604,D1557:D1576),0)</f>
        <v>0</v>
      </c>
      <c r="E1604" s="55">
        <f>ROUNDDOWN(SUMIF(N1557:N1576,M1604,E1557:E1576),0)</f>
        <v>0</v>
      </c>
      <c r="F1604" s="47">
        <f>ROUNDDOWN(SUMIF(N1557:N1576,M1604,F1557:F1576),0)</f>
        <v>17052</v>
      </c>
      <c r="M1604" s="35" t="s">
        <v>1209</v>
      </c>
      <c r="Z1604" s="101"/>
      <c r="AA1604" s="101"/>
      <c r="AB1604" s="101"/>
      <c r="AC1604" s="101"/>
      <c r="AD1604" s="101"/>
      <c r="AE1604" s="101"/>
      <c r="AF1604" s="101"/>
      <c r="AG1604" s="101"/>
      <c r="AH1604" s="101"/>
      <c r="AI1604" s="101"/>
      <c r="AJ1604" s="101"/>
      <c r="AK1604" s="101"/>
      <c r="AL1604" s="101"/>
      <c r="AM1604" s="101"/>
      <c r="AN1604" s="101"/>
    </row>
    <row r="1605" spans="1:40" ht="16.5" customHeight="1" x14ac:dyDescent="0.3">
      <c r="A1605" s="86" t="s">
        <v>108</v>
      </c>
      <c r="B1605" s="88" t="s">
        <v>108</v>
      </c>
      <c r="C1605" s="151">
        <f>C1654</f>
        <v>8603</v>
      </c>
      <c r="D1605" s="151">
        <f>D1654</f>
        <v>0</v>
      </c>
      <c r="E1605" s="151">
        <f>E1654</f>
        <v>0</v>
      </c>
      <c r="F1605" s="151">
        <f>F1654</f>
        <v>8603</v>
      </c>
      <c r="G1605" s="84" t="str">
        <f>HYPERLINK("#G"&amp;ROW(G1625),"_x0005_`BDCOD|D04344_x0007_`POSS|"&amp;ROW(G1607)&amp;"_x0007_`POSE|"&amp;ROW(G1625)&amp;"_x0007_`")</f>
        <v>_x0005_`BDCOD|D04344_x0007_`POSS|1607_x0007_`POSE|1625_x0007_`</v>
      </c>
      <c r="Z1605" s="101"/>
      <c r="AA1605" s="101"/>
      <c r="AB1605" s="101"/>
      <c r="AC1605" s="101"/>
      <c r="AD1605" s="101"/>
      <c r="AE1605" s="101"/>
      <c r="AF1605" s="101"/>
      <c r="AG1605" s="101"/>
      <c r="AH1605" s="101"/>
      <c r="AI1605" s="101"/>
      <c r="AJ1605" s="101"/>
      <c r="AK1605" s="101"/>
      <c r="AL1605" s="101"/>
      <c r="AM1605" s="101"/>
      <c r="AN1605" s="101"/>
    </row>
    <row r="1606" spans="1:40" ht="16.5" customHeight="1" x14ac:dyDescent="0.3">
      <c r="A1606" s="87"/>
      <c r="B1606" s="88" t="s">
        <v>195</v>
      </c>
      <c r="C1606" s="136"/>
      <c r="D1606" s="136"/>
      <c r="E1606" s="136"/>
      <c r="F1606" s="136"/>
      <c r="M1606" s="35" t="s">
        <v>2055</v>
      </c>
      <c r="Z1606" s="101"/>
      <c r="AA1606" s="101"/>
      <c r="AB1606" s="101"/>
      <c r="AC1606" s="101"/>
      <c r="AD1606" s="101"/>
      <c r="AE1606" s="101"/>
      <c r="AF1606" s="101"/>
      <c r="AG1606" s="101"/>
      <c r="AH1606" s="101"/>
      <c r="AI1606" s="101"/>
      <c r="AJ1606" s="101"/>
      <c r="AK1606" s="101"/>
      <c r="AL1606" s="101"/>
      <c r="AM1606" s="101"/>
      <c r="AN1606" s="101"/>
    </row>
    <row r="1607" spans="1:40" ht="16.5" customHeight="1" x14ac:dyDescent="0.3">
      <c r="A1607" s="69"/>
      <c r="B1607" s="69"/>
      <c r="C1607" s="90"/>
      <c r="D1607" s="90"/>
      <c r="E1607" s="90"/>
      <c r="F1607" s="90"/>
      <c r="G1607" s="17" t="s">
        <v>1405</v>
      </c>
      <c r="Z1607" s="101"/>
      <c r="AA1607" s="101"/>
      <c r="AB1607" s="101"/>
      <c r="AC1607" s="101"/>
      <c r="AD1607" s="101"/>
      <c r="AE1607" s="101"/>
      <c r="AF1607" s="101"/>
      <c r="AG1607" s="101"/>
      <c r="AH1607" s="101"/>
      <c r="AI1607" s="101"/>
      <c r="AJ1607" s="101"/>
      <c r="AK1607" s="101"/>
      <c r="AL1607" s="101"/>
      <c r="AM1607" s="101"/>
      <c r="AN1607" s="101"/>
    </row>
    <row r="1608" spans="1:40" ht="16.5" customHeight="1" x14ac:dyDescent="0.3">
      <c r="A1608" s="59"/>
      <c r="B1608" s="68" t="s">
        <v>2058</v>
      </c>
      <c r="C1608" s="69"/>
      <c r="D1608" s="69"/>
      <c r="E1608" s="69"/>
      <c r="F1608" s="69"/>
      <c r="G1608" s="17" t="s">
        <v>2057</v>
      </c>
      <c r="Z1608" s="101"/>
      <c r="AA1608" s="101"/>
      <c r="AB1608" s="101"/>
      <c r="AC1608" s="101"/>
      <c r="AD1608" s="101"/>
      <c r="AE1608" s="101"/>
      <c r="AF1608" s="101"/>
      <c r="AG1608" s="101"/>
      <c r="AH1608" s="101"/>
      <c r="AI1608" s="101"/>
      <c r="AJ1608" s="101"/>
      <c r="AK1608" s="101"/>
      <c r="AL1608" s="101"/>
      <c r="AM1608" s="101"/>
      <c r="AN1608" s="101"/>
    </row>
    <row r="1609" spans="1:40" ht="16.5" customHeight="1" x14ac:dyDescent="0.3">
      <c r="A1609" s="69"/>
      <c r="B1609" s="69"/>
      <c r="C1609" s="69"/>
      <c r="D1609" s="69"/>
      <c r="E1609" s="69"/>
      <c r="F1609" s="69"/>
      <c r="G1609" s="17" t="s">
        <v>1405</v>
      </c>
      <c r="Z1609" s="101"/>
      <c r="AA1609" s="101"/>
      <c r="AB1609" s="101"/>
      <c r="AC1609" s="101"/>
      <c r="AD1609" s="101"/>
      <c r="AE1609" s="101"/>
      <c r="AF1609" s="101"/>
      <c r="AG1609" s="101"/>
      <c r="AH1609" s="101"/>
      <c r="AI1609" s="101"/>
      <c r="AJ1609" s="101"/>
      <c r="AK1609" s="101"/>
      <c r="AL1609" s="101"/>
      <c r="AM1609" s="101"/>
      <c r="AN1609" s="101"/>
    </row>
    <row r="1610" spans="1:40" ht="16.5" customHeight="1" x14ac:dyDescent="0.3">
      <c r="A1610" s="59"/>
      <c r="B1610" s="68" t="s">
        <v>2060</v>
      </c>
      <c r="C1610" s="69"/>
      <c r="D1610" s="69"/>
      <c r="E1610" s="69"/>
      <c r="F1610" s="69"/>
      <c r="G1610" s="17" t="s">
        <v>2059</v>
      </c>
      <c r="Z1610" s="101"/>
      <c r="AA1610" s="101"/>
      <c r="AB1610" s="101"/>
      <c r="AC1610" s="101"/>
      <c r="AD1610" s="101"/>
      <c r="AE1610" s="101"/>
      <c r="AF1610" s="101"/>
      <c r="AG1610" s="101"/>
      <c r="AH1610" s="101"/>
      <c r="AI1610" s="101"/>
      <c r="AJ1610" s="101"/>
      <c r="AK1610" s="101"/>
      <c r="AL1610" s="101"/>
      <c r="AM1610" s="101"/>
      <c r="AN1610" s="101"/>
    </row>
    <row r="1611" spans="1:40" ht="16.5" customHeight="1" x14ac:dyDescent="0.3">
      <c r="A1611" s="69"/>
      <c r="B1611" s="69"/>
      <c r="C1611" s="69"/>
      <c r="D1611" s="69"/>
      <c r="E1611" s="69"/>
      <c r="F1611" s="69"/>
      <c r="G1611" s="17" t="s">
        <v>1405</v>
      </c>
      <c r="Z1611" s="101"/>
      <c r="AA1611" s="101"/>
      <c r="AB1611" s="101"/>
      <c r="AC1611" s="101"/>
      <c r="AD1611" s="101"/>
      <c r="AE1611" s="101"/>
      <c r="AF1611" s="101"/>
      <c r="AG1611" s="101"/>
      <c r="AH1611" s="101"/>
      <c r="AI1611" s="101"/>
      <c r="AJ1611" s="101"/>
      <c r="AK1611" s="101"/>
      <c r="AL1611" s="101"/>
      <c r="AM1611" s="101"/>
      <c r="AN1611" s="101"/>
    </row>
    <row r="1612" spans="1:40" ht="16.5" customHeight="1" x14ac:dyDescent="0.3">
      <c r="A1612" s="69"/>
      <c r="B1612" s="69"/>
      <c r="C1612" s="69"/>
      <c r="D1612" s="69"/>
      <c r="E1612" s="69"/>
      <c r="F1612" s="69"/>
      <c r="G1612" s="17" t="s">
        <v>1405</v>
      </c>
      <c r="Z1612" s="101"/>
      <c r="AA1612" s="101"/>
      <c r="AB1612" s="101"/>
      <c r="AC1612" s="101"/>
      <c r="AD1612" s="101"/>
      <c r="AE1612" s="101"/>
      <c r="AF1612" s="101"/>
      <c r="AG1612" s="101"/>
      <c r="AH1612" s="101"/>
      <c r="AI1612" s="101"/>
      <c r="AJ1612" s="101"/>
      <c r="AK1612" s="101"/>
      <c r="AL1612" s="101"/>
      <c r="AM1612" s="101"/>
      <c r="AN1612" s="101"/>
    </row>
    <row r="1613" spans="1:40" ht="16.5" customHeight="1" x14ac:dyDescent="0.3">
      <c r="A1613" s="59"/>
      <c r="B1613" s="68" t="s">
        <v>2062</v>
      </c>
      <c r="C1613" s="69"/>
      <c r="D1613" s="69"/>
      <c r="E1613" s="69"/>
      <c r="F1613" s="69"/>
      <c r="G1613" s="17" t="s">
        <v>2061</v>
      </c>
      <c r="Z1613" s="101"/>
      <c r="AA1613" s="101"/>
      <c r="AB1613" s="101"/>
      <c r="AC1613" s="101"/>
      <c r="AD1613" s="101"/>
      <c r="AE1613" s="101"/>
      <c r="AF1613" s="101"/>
      <c r="AG1613" s="101"/>
      <c r="AH1613" s="101"/>
      <c r="AI1613" s="101"/>
      <c r="AJ1613" s="101"/>
      <c r="AK1613" s="101"/>
      <c r="AL1613" s="101"/>
      <c r="AM1613" s="101"/>
      <c r="AN1613" s="101"/>
    </row>
    <row r="1614" spans="1:40" ht="16.5" customHeight="1" x14ac:dyDescent="0.3">
      <c r="A1614" s="69"/>
      <c r="B1614" s="69"/>
      <c r="C1614" s="69"/>
      <c r="D1614" s="69"/>
      <c r="E1614" s="69"/>
      <c r="F1614" s="69"/>
      <c r="G1614" s="17" t="s">
        <v>1405</v>
      </c>
      <c r="Z1614" s="101"/>
      <c r="AA1614" s="101"/>
      <c r="AB1614" s="101"/>
      <c r="AC1614" s="101"/>
      <c r="AD1614" s="101"/>
      <c r="AE1614" s="101"/>
      <c r="AF1614" s="101"/>
      <c r="AG1614" s="101"/>
      <c r="AH1614" s="101"/>
      <c r="AI1614" s="101"/>
      <c r="AJ1614" s="101"/>
      <c r="AK1614" s="101"/>
      <c r="AL1614" s="101"/>
      <c r="AM1614" s="101"/>
      <c r="AN1614" s="101"/>
    </row>
    <row r="1615" spans="1:40" ht="16.5" customHeight="1" x14ac:dyDescent="0.3">
      <c r="A1615" s="69"/>
      <c r="B1615" s="69"/>
      <c r="C1615" s="69"/>
      <c r="D1615" s="69"/>
      <c r="E1615" s="69"/>
      <c r="F1615" s="69"/>
      <c r="G1615" s="17" t="s">
        <v>1405</v>
      </c>
      <c r="Z1615" s="101"/>
      <c r="AA1615" s="101"/>
      <c r="AB1615" s="101"/>
      <c r="AC1615" s="101"/>
      <c r="AD1615" s="101"/>
      <c r="AE1615" s="101"/>
      <c r="AF1615" s="101"/>
      <c r="AG1615" s="101"/>
      <c r="AH1615" s="101"/>
      <c r="AI1615" s="101"/>
      <c r="AJ1615" s="101"/>
      <c r="AK1615" s="101"/>
      <c r="AL1615" s="101"/>
      <c r="AM1615" s="101"/>
      <c r="AN1615" s="101"/>
    </row>
    <row r="1616" spans="1:40" ht="16.5" customHeight="1" x14ac:dyDescent="0.3">
      <c r="A1616" s="59" t="s">
        <v>2064</v>
      </c>
      <c r="B1616" s="89" t="str">
        <f>"     보통인부 : "&amp;TEXT(I1616,"#,##0"&amp;IF(I1616&lt;&gt;INT(I1616),".###",""))&amp;" * "&amp;AA1616&amp;" 인/EA  = "&amp;TEXT(C1616,"#,##0.0")&amp;""</f>
        <v xml:space="preserve">     보통인부 : 172,068 * 0.05 인/EA  = 8,603.4</v>
      </c>
      <c r="C1616" s="91">
        <f>E1616+D1616+F1616</f>
        <v>8603.4</v>
      </c>
      <c r="D1616" s="91">
        <f>IF(H1616=0,0,ROUNDDOWN(J1616*H1616,1))</f>
        <v>8603.4</v>
      </c>
      <c r="E1616" s="91">
        <f>IF(H1616=0,0,ROUNDDOWN(K1616*H1616,1))</f>
        <v>0</v>
      </c>
      <c r="F1616" s="91">
        <f>IF(H1616=0,0,ROUNDDOWN(L1616*H1616,1))</f>
        <v>0</v>
      </c>
      <c r="G1616" s="17" t="s">
        <v>2063</v>
      </c>
      <c r="H1616" s="97">
        <f>ROUNDUP(AC1616,14-LEN(ABS(INT(AC1616))))</f>
        <v>0.05</v>
      </c>
      <c r="I1616" s="98">
        <f>K1616+J1616+L1616</f>
        <v>172068</v>
      </c>
      <c r="J1616" s="38">
        <f>노무비목록표!E8</f>
        <v>172068</v>
      </c>
      <c r="M1616" s="35" t="s">
        <v>1219</v>
      </c>
      <c r="N1616" s="35" t="s">
        <v>2045</v>
      </c>
      <c r="O1616" s="35" t="s">
        <v>1214</v>
      </c>
      <c r="X1616" s="100" t="str">
        <f>노무비목록표!B8&amp;" / "&amp;노무비목록표!C8</f>
        <v xml:space="preserve">보통인부 / </v>
      </c>
      <c r="Y1616" s="3" t="str">
        <f ca="1">HYPERLINK("#"&amp;노무비목록표!G2&amp;"!A"&amp;ROW(노무비목록표!A8),"노무5 →")</f>
        <v>노무5 →</v>
      </c>
      <c r="Z1616" s="35" t="s">
        <v>1446</v>
      </c>
      <c r="AA1616" s="104">
        <v>0.05</v>
      </c>
      <c r="AB1616" s="35" t="s">
        <v>1410</v>
      </c>
      <c r="AC1616" s="103">
        <f>1*AA1616</f>
        <v>0.05</v>
      </c>
      <c r="AD1616" s="101"/>
      <c r="AE1616" s="101"/>
      <c r="AF1616" s="101"/>
      <c r="AG1616" s="101"/>
      <c r="AH1616" s="101"/>
      <c r="AI1616" s="101"/>
      <c r="AJ1616" s="101"/>
      <c r="AK1616" s="101"/>
      <c r="AL1616" s="101"/>
      <c r="AM1616" s="101"/>
      <c r="AN1616" s="101"/>
    </row>
    <row r="1617" spans="1:40" ht="16.5" customHeight="1" x14ac:dyDescent="0.3">
      <c r="A1617" s="69"/>
      <c r="B1617" s="69"/>
      <c r="C1617" s="69"/>
      <c r="D1617" s="69"/>
      <c r="E1617" s="69"/>
      <c r="F1617" s="69"/>
      <c r="G1617" s="17" t="s">
        <v>1405</v>
      </c>
      <c r="Z1617" s="101"/>
      <c r="AA1617" s="101"/>
      <c r="AB1617" s="101"/>
      <c r="AC1617" s="101"/>
      <c r="AD1617" s="101"/>
      <c r="AE1617" s="101"/>
      <c r="AF1617" s="101"/>
      <c r="AG1617" s="101"/>
      <c r="AH1617" s="101"/>
      <c r="AI1617" s="101"/>
      <c r="AJ1617" s="101"/>
      <c r="AK1617" s="101"/>
      <c r="AL1617" s="101"/>
      <c r="AM1617" s="101"/>
      <c r="AN1617" s="101"/>
    </row>
    <row r="1618" spans="1:40" ht="16.5" customHeight="1" x14ac:dyDescent="0.3">
      <c r="A1618" s="59"/>
      <c r="B1618" s="89" t="str">
        <f>"     설치 및 철거 : "&amp;TEXT(I1618,"#,##0.0")&amp;" * "&amp;AA1618&amp;" %  = "&amp;TEXT(C1618,"#,##0.0")&amp;""</f>
        <v xml:space="preserve">     설치 및 철거 : 8,603.4 * 100 %  = 8,603.4</v>
      </c>
      <c r="C1618" s="91">
        <f>E1618+D1618+F1618</f>
        <v>8603.4</v>
      </c>
      <c r="D1618" s="91">
        <f>IF(H1618=0,0,ROUNDDOWN(J1618*H1618/100,1))</f>
        <v>0</v>
      </c>
      <c r="E1618" s="91">
        <f>IF(H1618=0,0,ROUNDDOWN(K1618*H1618/100,1))</f>
        <v>0</v>
      </c>
      <c r="F1618" s="91">
        <f>IF(H1618=0,0,ROUNDDOWN(L1618*H1618/100,1))</f>
        <v>8603.4</v>
      </c>
      <c r="G1618" s="17" t="s">
        <v>2066</v>
      </c>
      <c r="H1618" s="97">
        <f>ROUNDUP(AC1618,14-LEN(ABS(INT(AC1618))))</f>
        <v>100</v>
      </c>
      <c r="I1618" s="98">
        <f>K1618+J1618+L1618</f>
        <v>8603.4</v>
      </c>
      <c r="J1618" s="36">
        <v>0</v>
      </c>
      <c r="K1618" s="36">
        <v>0</v>
      </c>
      <c r="L1618" s="38">
        <f>C1616</f>
        <v>8603.4</v>
      </c>
      <c r="M1618" s="35" t="s">
        <v>1059</v>
      </c>
      <c r="N1618" s="35" t="s">
        <v>1253</v>
      </c>
      <c r="Z1618" s="35" t="s">
        <v>1446</v>
      </c>
      <c r="AA1618" s="102">
        <v>100</v>
      </c>
      <c r="AB1618" s="35" t="s">
        <v>1410</v>
      </c>
      <c r="AC1618" s="103">
        <f>1*AA1618</f>
        <v>100</v>
      </c>
      <c r="AD1618" s="101"/>
      <c r="AE1618" s="101"/>
      <c r="AF1618" s="101"/>
      <c r="AG1618" s="101"/>
      <c r="AH1618" s="101"/>
      <c r="AI1618" s="101"/>
      <c r="AJ1618" s="101"/>
      <c r="AK1618" s="101"/>
      <c r="AL1618" s="101"/>
      <c r="AM1618" s="101"/>
      <c r="AN1618" s="101"/>
    </row>
    <row r="1619" spans="1:40" ht="16.5" customHeight="1" x14ac:dyDescent="0.3">
      <c r="A1619" s="69"/>
      <c r="B1619" s="69"/>
      <c r="C1619" s="69"/>
      <c r="D1619" s="69"/>
      <c r="E1619" s="69"/>
      <c r="F1619" s="69"/>
      <c r="G1619" s="17" t="s">
        <v>1405</v>
      </c>
      <c r="Z1619" s="101"/>
      <c r="AA1619" s="101"/>
      <c r="AB1619" s="101"/>
      <c r="AC1619" s="101"/>
      <c r="AD1619" s="101"/>
      <c r="AE1619" s="101"/>
      <c r="AF1619" s="101"/>
      <c r="AG1619" s="101"/>
      <c r="AH1619" s="101"/>
      <c r="AI1619" s="101"/>
      <c r="AJ1619" s="101"/>
      <c r="AK1619" s="101"/>
      <c r="AL1619" s="101"/>
      <c r="AM1619" s="101"/>
      <c r="AN1619" s="101"/>
    </row>
    <row r="1620" spans="1:40" ht="16.5" customHeight="1" x14ac:dyDescent="0.3">
      <c r="A1620" s="59"/>
      <c r="B1620" s="68" t="s">
        <v>1251</v>
      </c>
      <c r="C1620" s="92">
        <f>E1620+D1620+F1620</f>
        <v>8603.4</v>
      </c>
      <c r="D1620" s="92">
        <f>SUMIF(N1607:N1619,M1620,D1607:D1619)</f>
        <v>0</v>
      </c>
      <c r="E1620" s="92">
        <f>SUMIF(N1607:N1619,M1620,E1607:E1619)</f>
        <v>0</v>
      </c>
      <c r="F1620" s="92">
        <f>SUMIF(N1607:N1619,M1620,F1607:F1619)</f>
        <v>8603.4</v>
      </c>
      <c r="G1620" s="17" t="s">
        <v>1476</v>
      </c>
      <c r="M1620" s="35" t="s">
        <v>1253</v>
      </c>
      <c r="N1620" s="35" t="s">
        <v>1209</v>
      </c>
      <c r="Z1620" s="101"/>
      <c r="AA1620" s="101"/>
      <c r="AB1620" s="101"/>
      <c r="AC1620" s="101"/>
      <c r="AD1620" s="101"/>
      <c r="AE1620" s="101"/>
      <c r="AF1620" s="101"/>
      <c r="AG1620" s="101"/>
      <c r="AH1620" s="101"/>
      <c r="AI1620" s="101"/>
      <c r="AJ1620" s="101"/>
      <c r="AK1620" s="101"/>
      <c r="AL1620" s="101"/>
      <c r="AM1620" s="101"/>
      <c r="AN1620" s="101"/>
    </row>
    <row r="1621" spans="1:40" ht="16.5" customHeight="1" x14ac:dyDescent="0.3">
      <c r="A1621" s="69"/>
      <c r="B1621" s="69"/>
      <c r="C1621" s="90"/>
      <c r="D1621" s="90"/>
      <c r="E1621" s="90"/>
      <c r="F1621" s="90"/>
      <c r="G1621" s="17" t="s">
        <v>1405</v>
      </c>
      <c r="Z1621" s="101"/>
      <c r="AA1621" s="101"/>
      <c r="AB1621" s="101"/>
      <c r="AC1621" s="101"/>
      <c r="AD1621" s="101"/>
      <c r="AE1621" s="101"/>
      <c r="AF1621" s="101"/>
      <c r="AG1621" s="101"/>
      <c r="AH1621" s="101"/>
      <c r="AI1621" s="101"/>
      <c r="AJ1621" s="101"/>
      <c r="AK1621" s="101"/>
      <c r="AL1621" s="101"/>
      <c r="AM1621" s="101"/>
      <c r="AN1621" s="101"/>
    </row>
    <row r="1622" spans="1:40" ht="16.5" customHeight="1" x14ac:dyDescent="0.3">
      <c r="A1622" s="69"/>
      <c r="B1622" s="69"/>
      <c r="C1622" s="69"/>
      <c r="D1622" s="69"/>
      <c r="E1622" s="69"/>
      <c r="F1622" s="69"/>
      <c r="G1622" s="17" t="s">
        <v>1405</v>
      </c>
      <c r="Z1622" s="101"/>
      <c r="AA1622" s="101"/>
      <c r="AB1622" s="101"/>
      <c r="AC1622" s="101"/>
      <c r="AD1622" s="101"/>
      <c r="AE1622" s="101"/>
      <c r="AF1622" s="101"/>
      <c r="AG1622" s="101"/>
      <c r="AH1622" s="101"/>
      <c r="AI1622" s="101"/>
      <c r="AJ1622" s="101"/>
      <c r="AK1622" s="101"/>
      <c r="AL1622" s="101"/>
      <c r="AM1622" s="101"/>
      <c r="AN1622" s="101"/>
    </row>
    <row r="1623" spans="1:40" ht="16.5" customHeight="1" x14ac:dyDescent="0.3">
      <c r="A1623" s="69"/>
      <c r="B1623" s="69"/>
      <c r="C1623" s="69"/>
      <c r="D1623" s="69"/>
      <c r="E1623" s="69"/>
      <c r="F1623" s="69"/>
      <c r="G1623" s="17" t="s">
        <v>1525</v>
      </c>
      <c r="Z1623" s="101"/>
      <c r="AA1623" s="101"/>
      <c r="AB1623" s="101"/>
      <c r="AC1623" s="101"/>
      <c r="AD1623" s="101"/>
      <c r="AE1623" s="101"/>
      <c r="AF1623" s="101"/>
      <c r="AG1623" s="101"/>
      <c r="AH1623" s="101"/>
      <c r="AI1623" s="101"/>
      <c r="AJ1623" s="101"/>
      <c r="AK1623" s="101"/>
      <c r="AL1623" s="101"/>
      <c r="AM1623" s="101"/>
      <c r="AN1623" s="101"/>
    </row>
    <row r="1624" spans="1:40" ht="16.5" customHeight="1" x14ac:dyDescent="0.3">
      <c r="A1624" s="69"/>
      <c r="B1624" s="69"/>
      <c r="C1624" s="69"/>
      <c r="D1624" s="69"/>
      <c r="E1624" s="69"/>
      <c r="F1624" s="69"/>
      <c r="G1624" s="17" t="s">
        <v>1525</v>
      </c>
      <c r="Z1624" s="101"/>
      <c r="AA1624" s="101"/>
      <c r="AB1624" s="101"/>
      <c r="AC1624" s="101"/>
      <c r="AD1624" s="101"/>
      <c r="AE1624" s="101"/>
      <c r="AF1624" s="101"/>
      <c r="AG1624" s="101"/>
      <c r="AH1624" s="101"/>
      <c r="AI1624" s="101"/>
      <c r="AJ1624" s="101"/>
      <c r="AK1624" s="101"/>
      <c r="AL1624" s="101"/>
      <c r="AM1624" s="101"/>
      <c r="AN1624" s="101"/>
    </row>
    <row r="1625" spans="1:40" ht="16.5" customHeight="1" x14ac:dyDescent="0.3">
      <c r="A1625" s="69"/>
      <c r="B1625" s="69"/>
      <c r="C1625" s="69"/>
      <c r="D1625" s="69"/>
      <c r="E1625" s="69"/>
      <c r="F1625" s="69"/>
      <c r="G1625" s="17" t="s">
        <v>1525</v>
      </c>
      <c r="Z1625" s="101"/>
      <c r="AA1625" s="101"/>
      <c r="AB1625" s="101"/>
      <c r="AC1625" s="101"/>
      <c r="AD1625" s="101"/>
      <c r="AE1625" s="101"/>
      <c r="AF1625" s="101"/>
      <c r="AG1625" s="101"/>
      <c r="AH1625" s="101"/>
      <c r="AI1625" s="101"/>
      <c r="AJ1625" s="101"/>
      <c r="AK1625" s="101"/>
      <c r="AL1625" s="101"/>
      <c r="AM1625" s="101"/>
      <c r="AN1625" s="101"/>
    </row>
    <row r="1626" spans="1:40" ht="16.5" customHeight="1" x14ac:dyDescent="0.3">
      <c r="A1626" s="69"/>
      <c r="B1626" s="69"/>
      <c r="C1626" s="69"/>
      <c r="D1626" s="69"/>
      <c r="E1626" s="69"/>
      <c r="F1626" s="69"/>
      <c r="Z1626" s="101"/>
      <c r="AA1626" s="101"/>
      <c r="AB1626" s="101"/>
      <c r="AC1626" s="101"/>
      <c r="AD1626" s="101"/>
      <c r="AE1626" s="101"/>
      <c r="AF1626" s="101"/>
      <c r="AG1626" s="101"/>
      <c r="AH1626" s="101"/>
      <c r="AI1626" s="101"/>
      <c r="AJ1626" s="101"/>
      <c r="AK1626" s="101"/>
      <c r="AL1626" s="101"/>
      <c r="AM1626" s="101"/>
      <c r="AN1626" s="101"/>
    </row>
    <row r="1627" spans="1:40" ht="16.5" customHeight="1" x14ac:dyDescent="0.3">
      <c r="A1627" s="69"/>
      <c r="B1627" s="69"/>
      <c r="C1627" s="69"/>
      <c r="D1627" s="69"/>
      <c r="E1627" s="69"/>
      <c r="F1627" s="69"/>
      <c r="Z1627" s="101"/>
      <c r="AA1627" s="101"/>
      <c r="AB1627" s="101"/>
      <c r="AC1627" s="101"/>
      <c r="AD1627" s="101"/>
      <c r="AE1627" s="101"/>
      <c r="AF1627" s="101"/>
      <c r="AG1627" s="101"/>
      <c r="AH1627" s="101"/>
      <c r="AI1627" s="101"/>
      <c r="AJ1627" s="101"/>
      <c r="AK1627" s="101"/>
      <c r="AL1627" s="101"/>
      <c r="AM1627" s="101"/>
      <c r="AN1627" s="101"/>
    </row>
    <row r="1628" spans="1:40" ht="16.5" customHeight="1" x14ac:dyDescent="0.3">
      <c r="A1628" s="69"/>
      <c r="B1628" s="69"/>
      <c r="C1628" s="69"/>
      <c r="D1628" s="69"/>
      <c r="E1628" s="69"/>
      <c r="F1628" s="69"/>
      <c r="Z1628" s="101"/>
      <c r="AA1628" s="101"/>
      <c r="AB1628" s="101"/>
      <c r="AC1628" s="101"/>
      <c r="AD1628" s="101"/>
      <c r="AE1628" s="101"/>
      <c r="AF1628" s="101"/>
      <c r="AG1628" s="101"/>
      <c r="AH1628" s="101"/>
      <c r="AI1628" s="101"/>
      <c r="AJ1628" s="101"/>
      <c r="AK1628" s="101"/>
      <c r="AL1628" s="101"/>
      <c r="AM1628" s="101"/>
      <c r="AN1628" s="101"/>
    </row>
    <row r="1629" spans="1:40" ht="16.5" customHeight="1" x14ac:dyDescent="0.3">
      <c r="A1629" s="69"/>
      <c r="B1629" s="69"/>
      <c r="C1629" s="69"/>
      <c r="D1629" s="69"/>
      <c r="E1629" s="69"/>
      <c r="F1629" s="69"/>
      <c r="Z1629" s="101"/>
      <c r="AA1629" s="101"/>
      <c r="AB1629" s="101"/>
      <c r="AC1629" s="101"/>
      <c r="AD1629" s="101"/>
      <c r="AE1629" s="101"/>
      <c r="AF1629" s="101"/>
      <c r="AG1629" s="101"/>
      <c r="AH1629" s="101"/>
      <c r="AI1629" s="101"/>
      <c r="AJ1629" s="101"/>
      <c r="AK1629" s="101"/>
      <c r="AL1629" s="101"/>
      <c r="AM1629" s="101"/>
      <c r="AN1629" s="101"/>
    </row>
    <row r="1630" spans="1:40" ht="16.5" customHeight="1" x14ac:dyDescent="0.3">
      <c r="A1630" s="69"/>
      <c r="B1630" s="69"/>
      <c r="C1630" s="69"/>
      <c r="D1630" s="69"/>
      <c r="E1630" s="69"/>
      <c r="F1630" s="69"/>
      <c r="Z1630" s="101"/>
      <c r="AA1630" s="101"/>
      <c r="AB1630" s="101"/>
      <c r="AC1630" s="101"/>
      <c r="AD1630" s="101"/>
      <c r="AE1630" s="101"/>
      <c r="AF1630" s="101"/>
      <c r="AG1630" s="101"/>
      <c r="AH1630" s="101"/>
      <c r="AI1630" s="101"/>
      <c r="AJ1630" s="101"/>
      <c r="AK1630" s="101"/>
      <c r="AL1630" s="101"/>
      <c r="AM1630" s="101"/>
      <c r="AN1630" s="101"/>
    </row>
    <row r="1631" spans="1:40" ht="16.5" customHeight="1" x14ac:dyDescent="0.3">
      <c r="A1631" s="69"/>
      <c r="B1631" s="69"/>
      <c r="C1631" s="69"/>
      <c r="D1631" s="69"/>
      <c r="E1631" s="69"/>
      <c r="F1631" s="69"/>
      <c r="Z1631" s="101"/>
      <c r="AA1631" s="101"/>
      <c r="AB1631" s="101"/>
      <c r="AC1631" s="101"/>
      <c r="AD1631" s="101"/>
      <c r="AE1631" s="101"/>
      <c r="AF1631" s="101"/>
      <c r="AG1631" s="101"/>
      <c r="AH1631" s="101"/>
      <c r="AI1631" s="101"/>
      <c r="AJ1631" s="101"/>
      <c r="AK1631" s="101"/>
      <c r="AL1631" s="101"/>
      <c r="AM1631" s="101"/>
      <c r="AN1631" s="101"/>
    </row>
    <row r="1632" spans="1:40" ht="16.5" customHeight="1" x14ac:dyDescent="0.3">
      <c r="A1632" s="69"/>
      <c r="B1632" s="69"/>
      <c r="C1632" s="69"/>
      <c r="D1632" s="69"/>
      <c r="E1632" s="69"/>
      <c r="F1632" s="69"/>
      <c r="Z1632" s="101"/>
      <c r="AA1632" s="101"/>
      <c r="AB1632" s="101"/>
      <c r="AC1632" s="101"/>
      <c r="AD1632" s="101"/>
      <c r="AE1632" s="101"/>
      <c r="AF1632" s="101"/>
      <c r="AG1632" s="101"/>
      <c r="AH1632" s="101"/>
      <c r="AI1632" s="101"/>
      <c r="AJ1632" s="101"/>
      <c r="AK1632" s="101"/>
      <c r="AL1632" s="101"/>
      <c r="AM1632" s="101"/>
      <c r="AN1632" s="101"/>
    </row>
    <row r="1633" spans="1:40" ht="16.5" customHeight="1" x14ac:dyDescent="0.3">
      <c r="A1633" s="69"/>
      <c r="B1633" s="69"/>
      <c r="C1633" s="69"/>
      <c r="D1633" s="69"/>
      <c r="E1633" s="69"/>
      <c r="F1633" s="69"/>
      <c r="Z1633" s="101"/>
      <c r="AA1633" s="101"/>
      <c r="AB1633" s="101"/>
      <c r="AC1633" s="101"/>
      <c r="AD1633" s="101"/>
      <c r="AE1633" s="101"/>
      <c r="AF1633" s="101"/>
      <c r="AG1633" s="101"/>
      <c r="AH1633" s="101"/>
      <c r="AI1633" s="101"/>
      <c r="AJ1633" s="101"/>
      <c r="AK1633" s="101"/>
      <c r="AL1633" s="101"/>
      <c r="AM1633" s="101"/>
      <c r="AN1633" s="101"/>
    </row>
    <row r="1634" spans="1:40" ht="16.5" customHeight="1" x14ac:dyDescent="0.3">
      <c r="A1634" s="69"/>
      <c r="B1634" s="69"/>
      <c r="C1634" s="69"/>
      <c r="D1634" s="69"/>
      <c r="E1634" s="69"/>
      <c r="F1634" s="69"/>
      <c r="Z1634" s="101"/>
      <c r="AA1634" s="101"/>
      <c r="AB1634" s="101"/>
      <c r="AC1634" s="101"/>
      <c r="AD1634" s="101"/>
      <c r="AE1634" s="101"/>
      <c r="AF1634" s="101"/>
      <c r="AG1634" s="101"/>
      <c r="AH1634" s="101"/>
      <c r="AI1634" s="101"/>
      <c r="AJ1634" s="101"/>
      <c r="AK1634" s="101"/>
      <c r="AL1634" s="101"/>
      <c r="AM1634" s="101"/>
      <c r="AN1634" s="101"/>
    </row>
    <row r="1635" spans="1:40" ht="16.5" customHeight="1" x14ac:dyDescent="0.3">
      <c r="A1635" s="69"/>
      <c r="B1635" s="69"/>
      <c r="C1635" s="69"/>
      <c r="D1635" s="69"/>
      <c r="E1635" s="69"/>
      <c r="F1635" s="69"/>
      <c r="Z1635" s="101"/>
      <c r="AA1635" s="101"/>
      <c r="AB1635" s="101"/>
      <c r="AC1635" s="101"/>
      <c r="AD1635" s="101"/>
      <c r="AE1635" s="101"/>
      <c r="AF1635" s="101"/>
      <c r="AG1635" s="101"/>
      <c r="AH1635" s="101"/>
      <c r="AI1635" s="101"/>
      <c r="AJ1635" s="101"/>
      <c r="AK1635" s="101"/>
      <c r="AL1635" s="101"/>
      <c r="AM1635" s="101"/>
      <c r="AN1635" s="101"/>
    </row>
    <row r="1636" spans="1:40" ht="16.5" customHeight="1" x14ac:dyDescent="0.3">
      <c r="A1636" s="69"/>
      <c r="B1636" s="69"/>
      <c r="C1636" s="69"/>
      <c r="D1636" s="69"/>
      <c r="E1636" s="69"/>
      <c r="F1636" s="69"/>
      <c r="Z1636" s="101"/>
      <c r="AA1636" s="101"/>
      <c r="AB1636" s="101"/>
      <c r="AC1636" s="101"/>
      <c r="AD1636" s="101"/>
      <c r="AE1636" s="101"/>
      <c r="AF1636" s="101"/>
      <c r="AG1636" s="101"/>
      <c r="AH1636" s="101"/>
      <c r="AI1636" s="101"/>
      <c r="AJ1636" s="101"/>
      <c r="AK1636" s="101"/>
      <c r="AL1636" s="101"/>
      <c r="AM1636" s="101"/>
      <c r="AN1636" s="101"/>
    </row>
    <row r="1637" spans="1:40" ht="16.5" customHeight="1" x14ac:dyDescent="0.3">
      <c r="A1637" s="69"/>
      <c r="B1637" s="69"/>
      <c r="C1637" s="69"/>
      <c r="D1637" s="69"/>
      <c r="E1637" s="69"/>
      <c r="F1637" s="69"/>
      <c r="Z1637" s="101"/>
      <c r="AA1637" s="101"/>
      <c r="AB1637" s="101"/>
      <c r="AC1637" s="101"/>
      <c r="AD1637" s="101"/>
      <c r="AE1637" s="101"/>
      <c r="AF1637" s="101"/>
      <c r="AG1637" s="101"/>
      <c r="AH1637" s="101"/>
      <c r="AI1637" s="101"/>
      <c r="AJ1637" s="101"/>
      <c r="AK1637" s="101"/>
      <c r="AL1637" s="101"/>
      <c r="AM1637" s="101"/>
      <c r="AN1637" s="101"/>
    </row>
    <row r="1638" spans="1:40" ht="16.5" customHeight="1" x14ac:dyDescent="0.3">
      <c r="A1638" s="69"/>
      <c r="B1638" s="69"/>
      <c r="C1638" s="69"/>
      <c r="D1638" s="69"/>
      <c r="E1638" s="69"/>
      <c r="F1638" s="69"/>
      <c r="Z1638" s="101"/>
      <c r="AA1638" s="101"/>
      <c r="AB1638" s="101"/>
      <c r="AC1638" s="101"/>
      <c r="AD1638" s="101"/>
      <c r="AE1638" s="101"/>
      <c r="AF1638" s="101"/>
      <c r="AG1638" s="101"/>
      <c r="AH1638" s="101"/>
      <c r="AI1638" s="101"/>
      <c r="AJ1638" s="101"/>
      <c r="AK1638" s="101"/>
      <c r="AL1638" s="101"/>
      <c r="AM1638" s="101"/>
      <c r="AN1638" s="101"/>
    </row>
    <row r="1639" spans="1:40" ht="16.5" customHeight="1" x14ac:dyDescent="0.3">
      <c r="A1639" s="69"/>
      <c r="B1639" s="69"/>
      <c r="C1639" s="69"/>
      <c r="D1639" s="69"/>
      <c r="E1639" s="69"/>
      <c r="F1639" s="69"/>
      <c r="Z1639" s="101"/>
      <c r="AA1639" s="101"/>
      <c r="AB1639" s="101"/>
      <c r="AC1639" s="101"/>
      <c r="AD1639" s="101"/>
      <c r="AE1639" s="101"/>
      <c r="AF1639" s="101"/>
      <c r="AG1639" s="101"/>
      <c r="AH1639" s="101"/>
      <c r="AI1639" s="101"/>
      <c r="AJ1639" s="101"/>
      <c r="AK1639" s="101"/>
      <c r="AL1639" s="101"/>
      <c r="AM1639" s="101"/>
      <c r="AN1639" s="101"/>
    </row>
    <row r="1640" spans="1:40" ht="16.5" customHeight="1" x14ac:dyDescent="0.3">
      <c r="A1640" s="69"/>
      <c r="B1640" s="69"/>
      <c r="C1640" s="69"/>
      <c r="D1640" s="69"/>
      <c r="E1640" s="69"/>
      <c r="F1640" s="69"/>
      <c r="Z1640" s="101"/>
      <c r="AA1640" s="101"/>
      <c r="AB1640" s="101"/>
      <c r="AC1640" s="101"/>
      <c r="AD1640" s="101"/>
      <c r="AE1640" s="101"/>
      <c r="AF1640" s="101"/>
      <c r="AG1640" s="101"/>
      <c r="AH1640" s="101"/>
      <c r="AI1640" s="101"/>
      <c r="AJ1640" s="101"/>
      <c r="AK1640" s="101"/>
      <c r="AL1640" s="101"/>
      <c r="AM1640" s="101"/>
      <c r="AN1640" s="101"/>
    </row>
    <row r="1641" spans="1:40" ht="16.5" customHeight="1" x14ac:dyDescent="0.3">
      <c r="A1641" s="69"/>
      <c r="B1641" s="69"/>
      <c r="C1641" s="69"/>
      <c r="D1641" s="69"/>
      <c r="E1641" s="69"/>
      <c r="F1641" s="69"/>
      <c r="Z1641" s="101"/>
      <c r="AA1641" s="101"/>
      <c r="AB1641" s="101"/>
      <c r="AC1641" s="101"/>
      <c r="AD1641" s="101"/>
      <c r="AE1641" s="101"/>
      <c r="AF1641" s="101"/>
      <c r="AG1641" s="101"/>
      <c r="AH1641" s="101"/>
      <c r="AI1641" s="101"/>
      <c r="AJ1641" s="101"/>
      <c r="AK1641" s="101"/>
      <c r="AL1641" s="101"/>
      <c r="AM1641" s="101"/>
      <c r="AN1641" s="101"/>
    </row>
    <row r="1642" spans="1:40" ht="16.5" customHeight="1" x14ac:dyDescent="0.3">
      <c r="A1642" s="69"/>
      <c r="B1642" s="69"/>
      <c r="C1642" s="69"/>
      <c r="D1642" s="69"/>
      <c r="E1642" s="69"/>
      <c r="F1642" s="69"/>
      <c r="Z1642" s="101"/>
      <c r="AA1642" s="101"/>
      <c r="AB1642" s="101"/>
      <c r="AC1642" s="101"/>
      <c r="AD1642" s="101"/>
      <c r="AE1642" s="101"/>
      <c r="AF1642" s="101"/>
      <c r="AG1642" s="101"/>
      <c r="AH1642" s="101"/>
      <c r="AI1642" s="101"/>
      <c r="AJ1642" s="101"/>
      <c r="AK1642" s="101"/>
      <c r="AL1642" s="101"/>
      <c r="AM1642" s="101"/>
      <c r="AN1642" s="101"/>
    </row>
    <row r="1643" spans="1:40" ht="16.5" customHeight="1" x14ac:dyDescent="0.3">
      <c r="A1643" s="69"/>
      <c r="B1643" s="69"/>
      <c r="C1643" s="69"/>
      <c r="D1643" s="69"/>
      <c r="E1643" s="69"/>
      <c r="F1643" s="69"/>
      <c r="Z1643" s="101"/>
      <c r="AA1643" s="101"/>
      <c r="AB1643" s="101"/>
      <c r="AC1643" s="101"/>
      <c r="AD1643" s="101"/>
      <c r="AE1643" s="101"/>
      <c r="AF1643" s="101"/>
      <c r="AG1643" s="101"/>
      <c r="AH1643" s="101"/>
      <c r="AI1643" s="101"/>
      <c r="AJ1643" s="101"/>
      <c r="AK1643" s="101"/>
      <c r="AL1643" s="101"/>
      <c r="AM1643" s="101"/>
      <c r="AN1643" s="101"/>
    </row>
    <row r="1644" spans="1:40" ht="16.5" customHeight="1" x14ac:dyDescent="0.3">
      <c r="A1644" s="69"/>
      <c r="B1644" s="69"/>
      <c r="C1644" s="69"/>
      <c r="D1644" s="69"/>
      <c r="E1644" s="69"/>
      <c r="F1644" s="69"/>
      <c r="Z1644" s="101"/>
      <c r="AA1644" s="101"/>
      <c r="AB1644" s="101"/>
      <c r="AC1644" s="101"/>
      <c r="AD1644" s="101"/>
      <c r="AE1644" s="101"/>
      <c r="AF1644" s="101"/>
      <c r="AG1644" s="101"/>
      <c r="AH1644" s="101"/>
      <c r="AI1644" s="101"/>
      <c r="AJ1644" s="101"/>
      <c r="AK1644" s="101"/>
      <c r="AL1644" s="101"/>
      <c r="AM1644" s="101"/>
      <c r="AN1644" s="101"/>
    </row>
    <row r="1645" spans="1:40" ht="16.5" customHeight="1" x14ac:dyDescent="0.3">
      <c r="A1645" s="69"/>
      <c r="B1645" s="69"/>
      <c r="C1645" s="69"/>
      <c r="D1645" s="69"/>
      <c r="E1645" s="69"/>
      <c r="F1645" s="69"/>
      <c r="Z1645" s="101"/>
      <c r="AA1645" s="101"/>
      <c r="AB1645" s="101"/>
      <c r="AC1645" s="101"/>
      <c r="AD1645" s="101"/>
      <c r="AE1645" s="101"/>
      <c r="AF1645" s="101"/>
      <c r="AG1645" s="101"/>
      <c r="AH1645" s="101"/>
      <c r="AI1645" s="101"/>
      <c r="AJ1645" s="101"/>
      <c r="AK1645" s="101"/>
      <c r="AL1645" s="101"/>
      <c r="AM1645" s="101"/>
      <c r="AN1645" s="101"/>
    </row>
    <row r="1646" spans="1:40" ht="16.5" customHeight="1" x14ac:dyDescent="0.3">
      <c r="A1646" s="69"/>
      <c r="B1646" s="69"/>
      <c r="C1646" s="69"/>
      <c r="D1646" s="69"/>
      <c r="E1646" s="69"/>
      <c r="F1646" s="69"/>
      <c r="Z1646" s="101"/>
      <c r="AA1646" s="101"/>
      <c r="AB1646" s="101"/>
      <c r="AC1646" s="101"/>
      <c r="AD1646" s="101"/>
      <c r="AE1646" s="101"/>
      <c r="AF1646" s="101"/>
      <c r="AG1646" s="101"/>
      <c r="AH1646" s="101"/>
      <c r="AI1646" s="101"/>
      <c r="AJ1646" s="101"/>
      <c r="AK1646" s="101"/>
      <c r="AL1646" s="101"/>
      <c r="AM1646" s="101"/>
      <c r="AN1646" s="101"/>
    </row>
    <row r="1647" spans="1:40" ht="16.5" customHeight="1" x14ac:dyDescent="0.3">
      <c r="A1647" s="69"/>
      <c r="B1647" s="69"/>
      <c r="C1647" s="69"/>
      <c r="D1647" s="69"/>
      <c r="E1647" s="69"/>
      <c r="F1647" s="69"/>
      <c r="Z1647" s="101"/>
      <c r="AA1647" s="101"/>
      <c r="AB1647" s="101"/>
      <c r="AC1647" s="101"/>
      <c r="AD1647" s="101"/>
      <c r="AE1647" s="101"/>
      <c r="AF1647" s="101"/>
      <c r="AG1647" s="101"/>
      <c r="AH1647" s="101"/>
      <c r="AI1647" s="101"/>
      <c r="AJ1647" s="101"/>
      <c r="AK1647" s="101"/>
      <c r="AL1647" s="101"/>
      <c r="AM1647" s="101"/>
      <c r="AN1647" s="101"/>
    </row>
    <row r="1648" spans="1:40" ht="16.5" customHeight="1" x14ac:dyDescent="0.3">
      <c r="A1648" s="69"/>
      <c r="B1648" s="69"/>
      <c r="C1648" s="69"/>
      <c r="D1648" s="69"/>
      <c r="E1648" s="69"/>
      <c r="F1648" s="69"/>
      <c r="Z1648" s="101"/>
      <c r="AA1648" s="101"/>
      <c r="AB1648" s="101"/>
      <c r="AC1648" s="101"/>
      <c r="AD1648" s="101"/>
      <c r="AE1648" s="101"/>
      <c r="AF1648" s="101"/>
      <c r="AG1648" s="101"/>
      <c r="AH1648" s="101"/>
      <c r="AI1648" s="101"/>
      <c r="AJ1648" s="101"/>
      <c r="AK1648" s="101"/>
      <c r="AL1648" s="101"/>
      <c r="AM1648" s="101"/>
      <c r="AN1648" s="101"/>
    </row>
    <row r="1649" spans="1:40" ht="16.5" customHeight="1" x14ac:dyDescent="0.3">
      <c r="A1649" s="69"/>
      <c r="B1649" s="69"/>
      <c r="C1649" s="69"/>
      <c r="D1649" s="69"/>
      <c r="E1649" s="69"/>
      <c r="F1649" s="69"/>
      <c r="Z1649" s="101"/>
      <c r="AA1649" s="101"/>
      <c r="AB1649" s="101"/>
      <c r="AC1649" s="101"/>
      <c r="AD1649" s="101"/>
      <c r="AE1649" s="101"/>
      <c r="AF1649" s="101"/>
      <c r="AG1649" s="101"/>
      <c r="AH1649" s="101"/>
      <c r="AI1649" s="101"/>
      <c r="AJ1649" s="101"/>
      <c r="AK1649" s="101"/>
      <c r="AL1649" s="101"/>
      <c r="AM1649" s="101"/>
      <c r="AN1649" s="101"/>
    </row>
    <row r="1650" spans="1:40" ht="16.5" customHeight="1" x14ac:dyDescent="0.3">
      <c r="A1650" s="69"/>
      <c r="B1650" s="69"/>
      <c r="C1650" s="69"/>
      <c r="D1650" s="69"/>
      <c r="E1650" s="69"/>
      <c r="F1650" s="69"/>
      <c r="Z1650" s="101"/>
      <c r="AA1650" s="101"/>
      <c r="AB1650" s="101"/>
      <c r="AC1650" s="101"/>
      <c r="AD1650" s="101"/>
      <c r="AE1650" s="101"/>
      <c r="AF1650" s="101"/>
      <c r="AG1650" s="101"/>
      <c r="AH1650" s="101"/>
      <c r="AI1650" s="101"/>
      <c r="AJ1650" s="101"/>
      <c r="AK1650" s="101"/>
      <c r="AL1650" s="101"/>
      <c r="AM1650" s="101"/>
      <c r="AN1650" s="101"/>
    </row>
    <row r="1651" spans="1:40" ht="16.5" customHeight="1" x14ac:dyDescent="0.3">
      <c r="A1651" s="69"/>
      <c r="B1651" s="69"/>
      <c r="C1651" s="69"/>
      <c r="D1651" s="69"/>
      <c r="E1651" s="69"/>
      <c r="F1651" s="69"/>
      <c r="Z1651" s="101"/>
      <c r="AA1651" s="101"/>
      <c r="AB1651" s="101"/>
      <c r="AC1651" s="101"/>
      <c r="AD1651" s="101"/>
      <c r="AE1651" s="101"/>
      <c r="AF1651" s="101"/>
      <c r="AG1651" s="101"/>
      <c r="AH1651" s="101"/>
      <c r="AI1651" s="101"/>
      <c r="AJ1651" s="101"/>
      <c r="AK1651" s="101"/>
      <c r="AL1651" s="101"/>
      <c r="AM1651" s="101"/>
      <c r="AN1651" s="101"/>
    </row>
    <row r="1652" spans="1:40" ht="16.5" customHeight="1" x14ac:dyDescent="0.3">
      <c r="A1652" s="69"/>
      <c r="B1652" s="69"/>
      <c r="C1652" s="69"/>
      <c r="D1652" s="69"/>
      <c r="E1652" s="69"/>
      <c r="F1652" s="69"/>
      <c r="Z1652" s="101"/>
      <c r="AA1652" s="101"/>
      <c r="AB1652" s="101"/>
      <c r="AC1652" s="101"/>
      <c r="AD1652" s="101"/>
      <c r="AE1652" s="101"/>
      <c r="AF1652" s="101"/>
      <c r="AG1652" s="101"/>
      <c r="AH1652" s="101"/>
      <c r="AI1652" s="101"/>
      <c r="AJ1652" s="101"/>
      <c r="AK1652" s="101"/>
      <c r="AL1652" s="101"/>
      <c r="AM1652" s="101"/>
      <c r="AN1652" s="101"/>
    </row>
    <row r="1653" spans="1:40" ht="16.5" customHeight="1" x14ac:dyDescent="0.3">
      <c r="A1653" s="74"/>
      <c r="B1653" s="74"/>
      <c r="C1653" s="74"/>
      <c r="D1653" s="74"/>
      <c r="E1653" s="74"/>
      <c r="F1653" s="74"/>
      <c r="Z1653" s="101"/>
      <c r="AA1653" s="101"/>
      <c r="AB1653" s="101"/>
      <c r="AC1653" s="101"/>
      <c r="AD1653" s="101"/>
      <c r="AE1653" s="101"/>
      <c r="AF1653" s="101"/>
      <c r="AG1653" s="101"/>
      <c r="AH1653" s="101"/>
      <c r="AI1653" s="101"/>
      <c r="AJ1653" s="101"/>
      <c r="AK1653" s="101"/>
      <c r="AL1653" s="101"/>
      <c r="AM1653" s="101"/>
      <c r="AN1653" s="101"/>
    </row>
    <row r="1654" spans="1:40" ht="16.5" customHeight="1" x14ac:dyDescent="0.3">
      <c r="A1654" s="150" t="s">
        <v>1477</v>
      </c>
      <c r="B1654" s="143"/>
      <c r="C1654" s="47">
        <f>E1654+D1654+F1654</f>
        <v>8603</v>
      </c>
      <c r="D1654" s="46">
        <f>ROUNDDOWN(SUMIF(N1607:N1625,M1654,D1607:D1625),0)</f>
        <v>0</v>
      </c>
      <c r="E1654" s="55">
        <f>ROUNDDOWN(SUMIF(N1607:N1625,M1654,E1607:E1625),0)</f>
        <v>0</v>
      </c>
      <c r="F1654" s="47">
        <f>ROUNDDOWN(SUMIF(N1607:N1625,M1654,F1607:F1625),0)</f>
        <v>8603</v>
      </c>
      <c r="M1654" s="35" t="s">
        <v>1209</v>
      </c>
      <c r="Z1654" s="101"/>
      <c r="AA1654" s="101"/>
      <c r="AB1654" s="101"/>
      <c r="AC1654" s="101"/>
      <c r="AD1654" s="101"/>
      <c r="AE1654" s="101"/>
      <c r="AF1654" s="101"/>
      <c r="AG1654" s="101"/>
      <c r="AH1654" s="101"/>
      <c r="AI1654" s="101"/>
      <c r="AJ1654" s="101"/>
      <c r="AK1654" s="101"/>
      <c r="AL1654" s="101"/>
      <c r="AM1654" s="101"/>
      <c r="AN1654" s="101"/>
    </row>
    <row r="1655" spans="1:40" ht="16.5" customHeight="1" x14ac:dyDescent="0.3">
      <c r="A1655" s="86" t="s">
        <v>112</v>
      </c>
      <c r="B1655" s="88" t="s">
        <v>112</v>
      </c>
      <c r="C1655" s="151">
        <f>C1704</f>
        <v>8603</v>
      </c>
      <c r="D1655" s="151">
        <f>D1704</f>
        <v>0</v>
      </c>
      <c r="E1655" s="151">
        <f>E1704</f>
        <v>0</v>
      </c>
      <c r="F1655" s="151">
        <f>F1704</f>
        <v>8603</v>
      </c>
      <c r="G1655" s="84" t="str">
        <f>HYPERLINK("#G"&amp;ROW(G1677),"_x0005_`BDCOD|D04345_x0007_`POSS|"&amp;ROW(G1657)&amp;"_x0007_`POSE|"&amp;ROW(G1677)&amp;"_x0007_`")</f>
        <v>_x0005_`BDCOD|D04345_x0007_`POSS|1657_x0007_`POSE|1677_x0007_`</v>
      </c>
      <c r="Z1655" s="101"/>
      <c r="AA1655" s="101"/>
      <c r="AB1655" s="101"/>
      <c r="AC1655" s="101"/>
      <c r="AD1655" s="101"/>
      <c r="AE1655" s="101"/>
      <c r="AF1655" s="101"/>
      <c r="AG1655" s="101"/>
      <c r="AH1655" s="101"/>
      <c r="AI1655" s="101"/>
      <c r="AJ1655" s="101"/>
      <c r="AK1655" s="101"/>
      <c r="AL1655" s="101"/>
      <c r="AM1655" s="101"/>
      <c r="AN1655" s="101"/>
    </row>
    <row r="1656" spans="1:40" ht="16.5" customHeight="1" x14ac:dyDescent="0.3">
      <c r="A1656" s="87"/>
      <c r="B1656" s="88" t="s">
        <v>197</v>
      </c>
      <c r="C1656" s="136"/>
      <c r="D1656" s="136"/>
      <c r="E1656" s="136"/>
      <c r="F1656" s="136"/>
      <c r="M1656" s="35" t="s">
        <v>2065</v>
      </c>
      <c r="Z1656" s="101"/>
      <c r="AA1656" s="101"/>
      <c r="AB1656" s="101"/>
      <c r="AC1656" s="101"/>
      <c r="AD1656" s="101"/>
      <c r="AE1656" s="101"/>
      <c r="AF1656" s="101"/>
      <c r="AG1656" s="101"/>
      <c r="AH1656" s="101"/>
      <c r="AI1656" s="101"/>
      <c r="AJ1656" s="101"/>
      <c r="AK1656" s="101"/>
      <c r="AL1656" s="101"/>
      <c r="AM1656" s="101"/>
      <c r="AN1656" s="101"/>
    </row>
    <row r="1657" spans="1:40" ht="16.5" customHeight="1" x14ac:dyDescent="0.3">
      <c r="A1657" s="69"/>
      <c r="B1657" s="69"/>
      <c r="C1657" s="90"/>
      <c r="D1657" s="90"/>
      <c r="E1657" s="90"/>
      <c r="F1657" s="90"/>
      <c r="G1657" s="17" t="s">
        <v>1405</v>
      </c>
      <c r="Z1657" s="101"/>
      <c r="AA1657" s="101"/>
      <c r="AB1657" s="101"/>
      <c r="AC1657" s="101"/>
      <c r="AD1657" s="101"/>
      <c r="AE1657" s="101"/>
      <c r="AF1657" s="101"/>
      <c r="AG1657" s="101"/>
      <c r="AH1657" s="101"/>
      <c r="AI1657" s="101"/>
      <c r="AJ1657" s="101"/>
      <c r="AK1657" s="101"/>
      <c r="AL1657" s="101"/>
      <c r="AM1657" s="101"/>
      <c r="AN1657" s="101"/>
    </row>
    <row r="1658" spans="1:40" ht="16.5" customHeight="1" x14ac:dyDescent="0.3">
      <c r="A1658" s="59"/>
      <c r="B1658" s="68" t="s">
        <v>2058</v>
      </c>
      <c r="C1658" s="69"/>
      <c r="D1658" s="69"/>
      <c r="E1658" s="69"/>
      <c r="F1658" s="69"/>
      <c r="G1658" s="17" t="s">
        <v>2057</v>
      </c>
      <c r="Z1658" s="101"/>
      <c r="AA1658" s="101"/>
      <c r="AB1658" s="101"/>
      <c r="AC1658" s="101"/>
      <c r="AD1658" s="101"/>
      <c r="AE1658" s="101"/>
      <c r="AF1658" s="101"/>
      <c r="AG1658" s="101"/>
      <c r="AH1658" s="101"/>
      <c r="AI1658" s="101"/>
      <c r="AJ1658" s="101"/>
      <c r="AK1658" s="101"/>
      <c r="AL1658" s="101"/>
      <c r="AM1658" s="101"/>
      <c r="AN1658" s="101"/>
    </row>
    <row r="1659" spans="1:40" ht="16.5" customHeight="1" x14ac:dyDescent="0.3">
      <c r="A1659" s="69"/>
      <c r="B1659" s="69"/>
      <c r="C1659" s="69"/>
      <c r="D1659" s="69"/>
      <c r="E1659" s="69"/>
      <c r="F1659" s="69"/>
      <c r="G1659" s="17" t="s">
        <v>1405</v>
      </c>
      <c r="Z1659" s="101"/>
      <c r="AA1659" s="101"/>
      <c r="AB1659" s="101"/>
      <c r="AC1659" s="101"/>
      <c r="AD1659" s="101"/>
      <c r="AE1659" s="101"/>
      <c r="AF1659" s="101"/>
      <c r="AG1659" s="101"/>
      <c r="AH1659" s="101"/>
      <c r="AI1659" s="101"/>
      <c r="AJ1659" s="101"/>
      <c r="AK1659" s="101"/>
      <c r="AL1659" s="101"/>
      <c r="AM1659" s="101"/>
      <c r="AN1659" s="101"/>
    </row>
    <row r="1660" spans="1:40" ht="16.5" customHeight="1" x14ac:dyDescent="0.3">
      <c r="A1660" s="59"/>
      <c r="B1660" s="68" t="s">
        <v>2060</v>
      </c>
      <c r="C1660" s="69"/>
      <c r="D1660" s="69"/>
      <c r="E1660" s="69"/>
      <c r="F1660" s="69"/>
      <c r="G1660" s="17" t="s">
        <v>2059</v>
      </c>
      <c r="Z1660" s="101"/>
      <c r="AA1660" s="101"/>
      <c r="AB1660" s="101"/>
      <c r="AC1660" s="101"/>
      <c r="AD1660" s="101"/>
      <c r="AE1660" s="101"/>
      <c r="AF1660" s="101"/>
      <c r="AG1660" s="101"/>
      <c r="AH1660" s="101"/>
      <c r="AI1660" s="101"/>
      <c r="AJ1660" s="101"/>
      <c r="AK1660" s="101"/>
      <c r="AL1660" s="101"/>
      <c r="AM1660" s="101"/>
      <c r="AN1660" s="101"/>
    </row>
    <row r="1661" spans="1:40" ht="16.5" customHeight="1" x14ac:dyDescent="0.3">
      <c r="A1661" s="69"/>
      <c r="B1661" s="69"/>
      <c r="C1661" s="69"/>
      <c r="D1661" s="69"/>
      <c r="E1661" s="69"/>
      <c r="F1661" s="69"/>
      <c r="G1661" s="17" t="s">
        <v>1405</v>
      </c>
      <c r="Z1661" s="101"/>
      <c r="AA1661" s="101"/>
      <c r="AB1661" s="101"/>
      <c r="AC1661" s="101"/>
      <c r="AD1661" s="101"/>
      <c r="AE1661" s="101"/>
      <c r="AF1661" s="101"/>
      <c r="AG1661" s="101"/>
      <c r="AH1661" s="101"/>
      <c r="AI1661" s="101"/>
      <c r="AJ1661" s="101"/>
      <c r="AK1661" s="101"/>
      <c r="AL1661" s="101"/>
      <c r="AM1661" s="101"/>
      <c r="AN1661" s="101"/>
    </row>
    <row r="1662" spans="1:40" ht="16.5" customHeight="1" x14ac:dyDescent="0.3">
      <c r="A1662" s="69"/>
      <c r="B1662" s="69"/>
      <c r="C1662" s="69"/>
      <c r="D1662" s="69"/>
      <c r="E1662" s="69"/>
      <c r="F1662" s="69"/>
      <c r="G1662" s="17" t="s">
        <v>1405</v>
      </c>
      <c r="Z1662" s="101"/>
      <c r="AA1662" s="101"/>
      <c r="AB1662" s="101"/>
      <c r="AC1662" s="101"/>
      <c r="AD1662" s="101"/>
      <c r="AE1662" s="101"/>
      <c r="AF1662" s="101"/>
      <c r="AG1662" s="101"/>
      <c r="AH1662" s="101"/>
      <c r="AI1662" s="101"/>
      <c r="AJ1662" s="101"/>
      <c r="AK1662" s="101"/>
      <c r="AL1662" s="101"/>
      <c r="AM1662" s="101"/>
      <c r="AN1662" s="101"/>
    </row>
    <row r="1663" spans="1:40" ht="16.5" customHeight="1" x14ac:dyDescent="0.3">
      <c r="A1663" s="59"/>
      <c r="B1663" s="68" t="s">
        <v>2062</v>
      </c>
      <c r="C1663" s="69"/>
      <c r="D1663" s="69"/>
      <c r="E1663" s="69"/>
      <c r="F1663" s="69"/>
      <c r="G1663" s="17" t="s">
        <v>2061</v>
      </c>
      <c r="Z1663" s="101"/>
      <c r="AA1663" s="101"/>
      <c r="AB1663" s="101"/>
      <c r="AC1663" s="101"/>
      <c r="AD1663" s="101"/>
      <c r="AE1663" s="101"/>
      <c r="AF1663" s="101"/>
      <c r="AG1663" s="101"/>
      <c r="AH1663" s="101"/>
      <c r="AI1663" s="101"/>
      <c r="AJ1663" s="101"/>
      <c r="AK1663" s="101"/>
      <c r="AL1663" s="101"/>
      <c r="AM1663" s="101"/>
      <c r="AN1663" s="101"/>
    </row>
    <row r="1664" spans="1:40" ht="16.5" customHeight="1" x14ac:dyDescent="0.3">
      <c r="A1664" s="69"/>
      <c r="B1664" s="69"/>
      <c r="C1664" s="69"/>
      <c r="D1664" s="69"/>
      <c r="E1664" s="69"/>
      <c r="F1664" s="69"/>
      <c r="G1664" s="17" t="s">
        <v>1405</v>
      </c>
      <c r="Z1664" s="101"/>
      <c r="AA1664" s="101"/>
      <c r="AB1664" s="101"/>
      <c r="AC1664" s="101"/>
      <c r="AD1664" s="101"/>
      <c r="AE1664" s="101"/>
      <c r="AF1664" s="101"/>
      <c r="AG1664" s="101"/>
      <c r="AH1664" s="101"/>
      <c r="AI1664" s="101"/>
      <c r="AJ1664" s="101"/>
      <c r="AK1664" s="101"/>
      <c r="AL1664" s="101"/>
      <c r="AM1664" s="101"/>
      <c r="AN1664" s="101"/>
    </row>
    <row r="1665" spans="1:40" ht="16.5" customHeight="1" x14ac:dyDescent="0.3">
      <c r="A1665" s="69"/>
      <c r="B1665" s="69"/>
      <c r="C1665" s="69"/>
      <c r="D1665" s="69"/>
      <c r="E1665" s="69"/>
      <c r="F1665" s="69"/>
      <c r="G1665" s="17" t="s">
        <v>1405</v>
      </c>
      <c r="Z1665" s="101"/>
      <c r="AA1665" s="101"/>
      <c r="AB1665" s="101"/>
      <c r="AC1665" s="101"/>
      <c r="AD1665" s="101"/>
      <c r="AE1665" s="101"/>
      <c r="AF1665" s="101"/>
      <c r="AG1665" s="101"/>
      <c r="AH1665" s="101"/>
      <c r="AI1665" s="101"/>
      <c r="AJ1665" s="101"/>
      <c r="AK1665" s="101"/>
      <c r="AL1665" s="101"/>
      <c r="AM1665" s="101"/>
      <c r="AN1665" s="101"/>
    </row>
    <row r="1666" spans="1:40" ht="16.5" customHeight="1" x14ac:dyDescent="0.3">
      <c r="A1666" s="59" t="s">
        <v>2064</v>
      </c>
      <c r="B1666" s="89" t="str">
        <f>"     보통인부 : "&amp;TEXT(I1666,"#,##0"&amp;IF(I1666&lt;&gt;INT(I1666),".###",""))&amp;" * "&amp;AA1666&amp;" 인/EA  = "&amp;TEXT(C1666,"#,##0.0")&amp;""</f>
        <v xml:space="preserve">     보통인부 : 172,068 * 0.05 인/EA  = 8,603.4</v>
      </c>
      <c r="C1666" s="91">
        <f>E1666+D1666+F1666</f>
        <v>8603.4</v>
      </c>
      <c r="D1666" s="91">
        <f>IF(H1666=0,0,ROUNDDOWN(J1666*H1666,1))</f>
        <v>8603.4</v>
      </c>
      <c r="E1666" s="91">
        <f>IF(H1666=0,0,ROUNDDOWN(K1666*H1666,1))</f>
        <v>0</v>
      </c>
      <c r="F1666" s="91">
        <f>IF(H1666=0,0,ROUNDDOWN(L1666*H1666,1))</f>
        <v>0</v>
      </c>
      <c r="G1666" s="17" t="s">
        <v>2063</v>
      </c>
      <c r="H1666" s="97">
        <f>ROUNDUP(AC1666,14-LEN(ABS(INT(AC1666))))</f>
        <v>0.05</v>
      </c>
      <c r="I1666" s="98">
        <f>K1666+J1666+L1666</f>
        <v>172068</v>
      </c>
      <c r="J1666" s="38">
        <f>노무비목록표!E8</f>
        <v>172068</v>
      </c>
      <c r="M1666" s="35" t="s">
        <v>1219</v>
      </c>
      <c r="N1666" s="35" t="s">
        <v>2045</v>
      </c>
      <c r="O1666" s="35" t="s">
        <v>1214</v>
      </c>
      <c r="X1666" s="100" t="str">
        <f>노무비목록표!B8&amp;" / "&amp;노무비목록표!C8</f>
        <v xml:space="preserve">보통인부 / </v>
      </c>
      <c r="Y1666" s="3" t="str">
        <f ca="1">HYPERLINK("#"&amp;노무비목록표!G2&amp;"!A"&amp;ROW(노무비목록표!A8),"노무5 →")</f>
        <v>노무5 →</v>
      </c>
      <c r="Z1666" s="35" t="s">
        <v>1446</v>
      </c>
      <c r="AA1666" s="104">
        <v>0.05</v>
      </c>
      <c r="AB1666" s="35" t="s">
        <v>1410</v>
      </c>
      <c r="AC1666" s="103">
        <f>1*AA1666</f>
        <v>0.05</v>
      </c>
      <c r="AD1666" s="101"/>
      <c r="AE1666" s="101"/>
      <c r="AF1666" s="101"/>
      <c r="AG1666" s="101"/>
      <c r="AH1666" s="101"/>
      <c r="AI1666" s="101"/>
      <c r="AJ1666" s="101"/>
      <c r="AK1666" s="101"/>
      <c r="AL1666" s="101"/>
      <c r="AM1666" s="101"/>
      <c r="AN1666" s="101"/>
    </row>
    <row r="1667" spans="1:40" ht="16.5" customHeight="1" x14ac:dyDescent="0.3">
      <c r="A1667" s="69"/>
      <c r="B1667" s="69"/>
      <c r="C1667" s="69"/>
      <c r="D1667" s="69"/>
      <c r="E1667" s="69"/>
      <c r="F1667" s="69"/>
      <c r="G1667" s="17" t="s">
        <v>1405</v>
      </c>
      <c r="Z1667" s="101"/>
      <c r="AA1667" s="101"/>
      <c r="AB1667" s="101"/>
      <c r="AC1667" s="101"/>
      <c r="AD1667" s="101"/>
      <c r="AE1667" s="101"/>
      <c r="AF1667" s="101"/>
      <c r="AG1667" s="101"/>
      <c r="AH1667" s="101"/>
      <c r="AI1667" s="101"/>
      <c r="AJ1667" s="101"/>
      <c r="AK1667" s="101"/>
      <c r="AL1667" s="101"/>
      <c r="AM1667" s="101"/>
      <c r="AN1667" s="101"/>
    </row>
    <row r="1668" spans="1:40" ht="16.5" customHeight="1" x14ac:dyDescent="0.3">
      <c r="A1668" s="69"/>
      <c r="B1668" s="69"/>
      <c r="C1668" s="69"/>
      <c r="D1668" s="69"/>
      <c r="E1668" s="69"/>
      <c r="F1668" s="69"/>
      <c r="G1668" s="17" t="s">
        <v>1405</v>
      </c>
      <c r="Z1668" s="101"/>
      <c r="AA1668" s="101"/>
      <c r="AB1668" s="101"/>
      <c r="AC1668" s="101"/>
      <c r="AD1668" s="101"/>
      <c r="AE1668" s="101"/>
      <c r="AF1668" s="101"/>
      <c r="AG1668" s="101"/>
      <c r="AH1668" s="101"/>
      <c r="AI1668" s="101"/>
      <c r="AJ1668" s="101"/>
      <c r="AK1668" s="101"/>
      <c r="AL1668" s="101"/>
      <c r="AM1668" s="101"/>
      <c r="AN1668" s="101"/>
    </row>
    <row r="1669" spans="1:40" ht="16.5" customHeight="1" x14ac:dyDescent="0.3">
      <c r="A1669" s="59"/>
      <c r="B1669" s="89" t="str">
        <f>"     설치 및 철거 : "&amp;TEXT(I1669,"#,##0.0")&amp;" * "&amp;AA1669&amp;" %  = "&amp;TEXT(C1669,"#,##0.0")&amp;""</f>
        <v xml:space="preserve">     설치 및 철거 : 8,603.4 * 100 %  = 8,603.4</v>
      </c>
      <c r="C1669" s="91">
        <f>E1669+D1669+F1669</f>
        <v>8603.4</v>
      </c>
      <c r="D1669" s="91">
        <f>IF(H1669=0,0,ROUNDDOWN(J1669*H1669/100,1))</f>
        <v>0</v>
      </c>
      <c r="E1669" s="91">
        <f>IF(H1669=0,0,ROUNDDOWN(K1669*H1669/100,1))</f>
        <v>0</v>
      </c>
      <c r="F1669" s="91">
        <f>IF(H1669=0,0,ROUNDDOWN(L1669*H1669/100,1))</f>
        <v>8603.4</v>
      </c>
      <c r="G1669" s="17" t="s">
        <v>2066</v>
      </c>
      <c r="H1669" s="97">
        <f>ROUNDUP(AC1669,14-LEN(ABS(INT(AC1669))))</f>
        <v>100</v>
      </c>
      <c r="I1669" s="98">
        <f>K1669+J1669+L1669</f>
        <v>8603.4</v>
      </c>
      <c r="J1669" s="36">
        <v>0</v>
      </c>
      <c r="K1669" s="36">
        <v>0</v>
      </c>
      <c r="L1669" s="38">
        <f>C1666</f>
        <v>8603.4</v>
      </c>
      <c r="M1669" s="35" t="s">
        <v>1059</v>
      </c>
      <c r="N1669" s="35" t="s">
        <v>1253</v>
      </c>
      <c r="Z1669" s="35" t="s">
        <v>1446</v>
      </c>
      <c r="AA1669" s="102">
        <v>100</v>
      </c>
      <c r="AB1669" s="35" t="s">
        <v>1410</v>
      </c>
      <c r="AC1669" s="103">
        <f>1*AA1669</f>
        <v>100</v>
      </c>
      <c r="AD1669" s="101"/>
      <c r="AE1669" s="101"/>
      <c r="AF1669" s="101"/>
      <c r="AG1669" s="101"/>
      <c r="AH1669" s="101"/>
      <c r="AI1669" s="101"/>
      <c r="AJ1669" s="101"/>
      <c r="AK1669" s="101"/>
      <c r="AL1669" s="101"/>
      <c r="AM1669" s="101"/>
      <c r="AN1669" s="101"/>
    </row>
    <row r="1670" spans="1:40" ht="16.5" customHeight="1" x14ac:dyDescent="0.3">
      <c r="A1670" s="69"/>
      <c r="B1670" s="69"/>
      <c r="C1670" s="69"/>
      <c r="D1670" s="69"/>
      <c r="E1670" s="69"/>
      <c r="F1670" s="69"/>
      <c r="G1670" s="17" t="s">
        <v>1405</v>
      </c>
      <c r="Z1670" s="101"/>
      <c r="AA1670" s="101"/>
      <c r="AB1670" s="101"/>
      <c r="AC1670" s="101"/>
      <c r="AD1670" s="101"/>
      <c r="AE1670" s="101"/>
      <c r="AF1670" s="101"/>
      <c r="AG1670" s="101"/>
      <c r="AH1670" s="101"/>
      <c r="AI1670" s="101"/>
      <c r="AJ1670" s="101"/>
      <c r="AK1670" s="101"/>
      <c r="AL1670" s="101"/>
      <c r="AM1670" s="101"/>
      <c r="AN1670" s="101"/>
    </row>
    <row r="1671" spans="1:40" ht="16.5" customHeight="1" x14ac:dyDescent="0.3">
      <c r="A1671" s="69"/>
      <c r="B1671" s="69"/>
      <c r="C1671" s="69"/>
      <c r="D1671" s="69"/>
      <c r="E1671" s="69"/>
      <c r="F1671" s="69"/>
      <c r="G1671" s="17" t="s">
        <v>1405</v>
      </c>
      <c r="Z1671" s="101"/>
      <c r="AA1671" s="101"/>
      <c r="AB1671" s="101"/>
      <c r="AC1671" s="101"/>
      <c r="AD1671" s="101"/>
      <c r="AE1671" s="101"/>
      <c r="AF1671" s="101"/>
      <c r="AG1671" s="101"/>
      <c r="AH1671" s="101"/>
      <c r="AI1671" s="101"/>
      <c r="AJ1671" s="101"/>
      <c r="AK1671" s="101"/>
      <c r="AL1671" s="101"/>
      <c r="AM1671" s="101"/>
      <c r="AN1671" s="101"/>
    </row>
    <row r="1672" spans="1:40" ht="16.5" customHeight="1" x14ac:dyDescent="0.3">
      <c r="A1672" s="59"/>
      <c r="B1672" s="68" t="s">
        <v>1251</v>
      </c>
      <c r="C1672" s="92">
        <f>E1672+D1672+F1672</f>
        <v>8603.4</v>
      </c>
      <c r="D1672" s="92">
        <f>SUMIF(N1657:N1671,M1672,D1657:D1671)</f>
        <v>0</v>
      </c>
      <c r="E1672" s="92">
        <f>SUMIF(N1657:N1671,M1672,E1657:E1671)</f>
        <v>0</v>
      </c>
      <c r="F1672" s="92">
        <f>SUMIF(N1657:N1671,M1672,F1657:F1671)</f>
        <v>8603.4</v>
      </c>
      <c r="G1672" s="17" t="s">
        <v>1476</v>
      </c>
      <c r="M1672" s="35" t="s">
        <v>1253</v>
      </c>
      <c r="N1672" s="35" t="s">
        <v>1209</v>
      </c>
      <c r="Z1672" s="101"/>
      <c r="AA1672" s="101"/>
      <c r="AB1672" s="101"/>
      <c r="AC1672" s="101"/>
      <c r="AD1672" s="101"/>
      <c r="AE1672" s="101"/>
      <c r="AF1672" s="101"/>
      <c r="AG1672" s="101"/>
      <c r="AH1672" s="101"/>
      <c r="AI1672" s="101"/>
      <c r="AJ1672" s="101"/>
      <c r="AK1672" s="101"/>
      <c r="AL1672" s="101"/>
      <c r="AM1672" s="101"/>
      <c r="AN1672" s="101"/>
    </row>
    <row r="1673" spans="1:40" ht="16.5" customHeight="1" x14ac:dyDescent="0.3">
      <c r="A1673" s="69"/>
      <c r="B1673" s="69"/>
      <c r="C1673" s="90"/>
      <c r="D1673" s="90"/>
      <c r="E1673" s="90"/>
      <c r="F1673" s="90"/>
      <c r="G1673" s="17" t="s">
        <v>1405</v>
      </c>
      <c r="Z1673" s="101"/>
      <c r="AA1673" s="101"/>
      <c r="AB1673" s="101"/>
      <c r="AC1673" s="101"/>
      <c r="AD1673" s="101"/>
      <c r="AE1673" s="101"/>
      <c r="AF1673" s="101"/>
      <c r="AG1673" s="101"/>
      <c r="AH1673" s="101"/>
      <c r="AI1673" s="101"/>
      <c r="AJ1673" s="101"/>
      <c r="AK1673" s="101"/>
      <c r="AL1673" s="101"/>
      <c r="AM1673" s="101"/>
      <c r="AN1673" s="101"/>
    </row>
    <row r="1674" spans="1:40" ht="16.5" customHeight="1" x14ac:dyDescent="0.3">
      <c r="A1674" s="69"/>
      <c r="B1674" s="69"/>
      <c r="C1674" s="69"/>
      <c r="D1674" s="69"/>
      <c r="E1674" s="69"/>
      <c r="F1674" s="69"/>
      <c r="G1674" s="17" t="s">
        <v>1405</v>
      </c>
      <c r="Z1674" s="101"/>
      <c r="AA1674" s="101"/>
      <c r="AB1674" s="101"/>
      <c r="AC1674" s="101"/>
      <c r="AD1674" s="101"/>
      <c r="AE1674" s="101"/>
      <c r="AF1674" s="101"/>
      <c r="AG1674" s="101"/>
      <c r="AH1674" s="101"/>
      <c r="AI1674" s="101"/>
      <c r="AJ1674" s="101"/>
      <c r="AK1674" s="101"/>
      <c r="AL1674" s="101"/>
      <c r="AM1674" s="101"/>
      <c r="AN1674" s="101"/>
    </row>
    <row r="1675" spans="1:40" ht="16.5" customHeight="1" x14ac:dyDescent="0.3">
      <c r="A1675" s="69"/>
      <c r="B1675" s="69"/>
      <c r="C1675" s="69"/>
      <c r="D1675" s="69"/>
      <c r="E1675" s="69"/>
      <c r="F1675" s="69"/>
      <c r="G1675" s="17" t="s">
        <v>1525</v>
      </c>
      <c r="Z1675" s="101"/>
      <c r="AA1675" s="101"/>
      <c r="AB1675" s="101"/>
      <c r="AC1675" s="101"/>
      <c r="AD1675" s="101"/>
      <c r="AE1675" s="101"/>
      <c r="AF1675" s="101"/>
      <c r="AG1675" s="101"/>
      <c r="AH1675" s="101"/>
      <c r="AI1675" s="101"/>
      <c r="AJ1675" s="101"/>
      <c r="AK1675" s="101"/>
      <c r="AL1675" s="101"/>
      <c r="AM1675" s="101"/>
      <c r="AN1675" s="101"/>
    </row>
    <row r="1676" spans="1:40" ht="16.5" customHeight="1" x14ac:dyDescent="0.3">
      <c r="A1676" s="69"/>
      <c r="B1676" s="69"/>
      <c r="C1676" s="69"/>
      <c r="D1676" s="69"/>
      <c r="E1676" s="69"/>
      <c r="F1676" s="69"/>
      <c r="G1676" s="17" t="s">
        <v>1525</v>
      </c>
      <c r="Z1676" s="101"/>
      <c r="AA1676" s="101"/>
      <c r="AB1676" s="101"/>
      <c r="AC1676" s="101"/>
      <c r="AD1676" s="101"/>
      <c r="AE1676" s="101"/>
      <c r="AF1676" s="101"/>
      <c r="AG1676" s="101"/>
      <c r="AH1676" s="101"/>
      <c r="AI1676" s="101"/>
      <c r="AJ1676" s="101"/>
      <c r="AK1676" s="101"/>
      <c r="AL1676" s="101"/>
      <c r="AM1676" s="101"/>
      <c r="AN1676" s="101"/>
    </row>
    <row r="1677" spans="1:40" ht="16.5" customHeight="1" x14ac:dyDescent="0.3">
      <c r="A1677" s="69"/>
      <c r="B1677" s="69"/>
      <c r="C1677" s="69"/>
      <c r="D1677" s="69"/>
      <c r="E1677" s="69"/>
      <c r="F1677" s="69"/>
      <c r="G1677" s="17" t="s">
        <v>1525</v>
      </c>
      <c r="Z1677" s="101"/>
      <c r="AA1677" s="101"/>
      <c r="AB1677" s="101"/>
      <c r="AC1677" s="101"/>
      <c r="AD1677" s="101"/>
      <c r="AE1677" s="101"/>
      <c r="AF1677" s="101"/>
      <c r="AG1677" s="101"/>
      <c r="AH1677" s="101"/>
      <c r="AI1677" s="101"/>
      <c r="AJ1677" s="101"/>
      <c r="AK1677" s="101"/>
      <c r="AL1677" s="101"/>
      <c r="AM1677" s="101"/>
      <c r="AN1677" s="101"/>
    </row>
    <row r="1678" spans="1:40" ht="16.5" customHeight="1" x14ac:dyDescent="0.3">
      <c r="A1678" s="69"/>
      <c r="B1678" s="69"/>
      <c r="C1678" s="69"/>
      <c r="D1678" s="69"/>
      <c r="E1678" s="69"/>
      <c r="F1678" s="69"/>
      <c r="Z1678" s="101"/>
      <c r="AA1678" s="101"/>
      <c r="AB1678" s="101"/>
      <c r="AC1678" s="101"/>
      <c r="AD1678" s="101"/>
      <c r="AE1678" s="101"/>
      <c r="AF1678" s="101"/>
      <c r="AG1678" s="101"/>
      <c r="AH1678" s="101"/>
      <c r="AI1678" s="101"/>
      <c r="AJ1678" s="101"/>
      <c r="AK1678" s="101"/>
      <c r="AL1678" s="101"/>
      <c r="AM1678" s="101"/>
      <c r="AN1678" s="101"/>
    </row>
    <row r="1679" spans="1:40" ht="16.5" customHeight="1" x14ac:dyDescent="0.3">
      <c r="A1679" s="69"/>
      <c r="B1679" s="69"/>
      <c r="C1679" s="69"/>
      <c r="D1679" s="69"/>
      <c r="E1679" s="69"/>
      <c r="F1679" s="69"/>
      <c r="Z1679" s="101"/>
      <c r="AA1679" s="101"/>
      <c r="AB1679" s="101"/>
      <c r="AC1679" s="101"/>
      <c r="AD1679" s="101"/>
      <c r="AE1679" s="101"/>
      <c r="AF1679" s="101"/>
      <c r="AG1679" s="101"/>
      <c r="AH1679" s="101"/>
      <c r="AI1679" s="101"/>
      <c r="AJ1679" s="101"/>
      <c r="AK1679" s="101"/>
      <c r="AL1679" s="101"/>
      <c r="AM1679" s="101"/>
      <c r="AN1679" s="101"/>
    </row>
    <row r="1680" spans="1:40" ht="16.5" customHeight="1" x14ac:dyDescent="0.3">
      <c r="A1680" s="69"/>
      <c r="B1680" s="69"/>
      <c r="C1680" s="69"/>
      <c r="D1680" s="69"/>
      <c r="E1680" s="69"/>
      <c r="F1680" s="69"/>
      <c r="Z1680" s="101"/>
      <c r="AA1680" s="101"/>
      <c r="AB1680" s="101"/>
      <c r="AC1680" s="101"/>
      <c r="AD1680" s="101"/>
      <c r="AE1680" s="101"/>
      <c r="AF1680" s="101"/>
      <c r="AG1680" s="101"/>
      <c r="AH1680" s="101"/>
      <c r="AI1680" s="101"/>
      <c r="AJ1680" s="101"/>
      <c r="AK1680" s="101"/>
      <c r="AL1680" s="101"/>
      <c r="AM1680" s="101"/>
      <c r="AN1680" s="101"/>
    </row>
    <row r="1681" spans="1:40" ht="16.5" customHeight="1" x14ac:dyDescent="0.3">
      <c r="A1681" s="69"/>
      <c r="B1681" s="69"/>
      <c r="C1681" s="69"/>
      <c r="D1681" s="69"/>
      <c r="E1681" s="69"/>
      <c r="F1681" s="69"/>
      <c r="Z1681" s="101"/>
      <c r="AA1681" s="101"/>
      <c r="AB1681" s="101"/>
      <c r="AC1681" s="101"/>
      <c r="AD1681" s="101"/>
      <c r="AE1681" s="101"/>
      <c r="AF1681" s="101"/>
      <c r="AG1681" s="101"/>
      <c r="AH1681" s="101"/>
      <c r="AI1681" s="101"/>
      <c r="AJ1681" s="101"/>
      <c r="AK1681" s="101"/>
      <c r="AL1681" s="101"/>
      <c r="AM1681" s="101"/>
      <c r="AN1681" s="101"/>
    </row>
    <row r="1682" spans="1:40" ht="16.5" customHeight="1" x14ac:dyDescent="0.3">
      <c r="A1682" s="69"/>
      <c r="B1682" s="69"/>
      <c r="C1682" s="69"/>
      <c r="D1682" s="69"/>
      <c r="E1682" s="69"/>
      <c r="F1682" s="69"/>
      <c r="Z1682" s="101"/>
      <c r="AA1682" s="101"/>
      <c r="AB1682" s="101"/>
      <c r="AC1682" s="101"/>
      <c r="AD1682" s="101"/>
      <c r="AE1682" s="101"/>
      <c r="AF1682" s="101"/>
      <c r="AG1682" s="101"/>
      <c r="AH1682" s="101"/>
      <c r="AI1682" s="101"/>
      <c r="AJ1682" s="101"/>
      <c r="AK1682" s="101"/>
      <c r="AL1682" s="101"/>
      <c r="AM1682" s="101"/>
      <c r="AN1682" s="101"/>
    </row>
    <row r="1683" spans="1:40" ht="16.5" customHeight="1" x14ac:dyDescent="0.3">
      <c r="A1683" s="69"/>
      <c r="B1683" s="69"/>
      <c r="C1683" s="69"/>
      <c r="D1683" s="69"/>
      <c r="E1683" s="69"/>
      <c r="F1683" s="69"/>
      <c r="Z1683" s="101"/>
      <c r="AA1683" s="101"/>
      <c r="AB1683" s="101"/>
      <c r="AC1683" s="101"/>
      <c r="AD1683" s="101"/>
      <c r="AE1683" s="101"/>
      <c r="AF1683" s="101"/>
      <c r="AG1683" s="101"/>
      <c r="AH1683" s="101"/>
      <c r="AI1683" s="101"/>
      <c r="AJ1683" s="101"/>
      <c r="AK1683" s="101"/>
      <c r="AL1683" s="101"/>
      <c r="AM1683" s="101"/>
      <c r="AN1683" s="101"/>
    </row>
    <row r="1684" spans="1:40" ht="16.5" customHeight="1" x14ac:dyDescent="0.3">
      <c r="A1684" s="69"/>
      <c r="B1684" s="69"/>
      <c r="C1684" s="69"/>
      <c r="D1684" s="69"/>
      <c r="E1684" s="69"/>
      <c r="F1684" s="69"/>
      <c r="Z1684" s="101"/>
      <c r="AA1684" s="101"/>
      <c r="AB1684" s="101"/>
      <c r="AC1684" s="101"/>
      <c r="AD1684" s="101"/>
      <c r="AE1684" s="101"/>
      <c r="AF1684" s="101"/>
      <c r="AG1684" s="101"/>
      <c r="AH1684" s="101"/>
      <c r="AI1684" s="101"/>
      <c r="AJ1684" s="101"/>
      <c r="AK1684" s="101"/>
      <c r="AL1684" s="101"/>
      <c r="AM1684" s="101"/>
      <c r="AN1684" s="101"/>
    </row>
    <row r="1685" spans="1:40" ht="16.5" customHeight="1" x14ac:dyDescent="0.3">
      <c r="A1685" s="69"/>
      <c r="B1685" s="69"/>
      <c r="C1685" s="69"/>
      <c r="D1685" s="69"/>
      <c r="E1685" s="69"/>
      <c r="F1685" s="69"/>
      <c r="Z1685" s="101"/>
      <c r="AA1685" s="101"/>
      <c r="AB1685" s="101"/>
      <c r="AC1685" s="101"/>
      <c r="AD1685" s="101"/>
      <c r="AE1685" s="101"/>
      <c r="AF1685" s="101"/>
      <c r="AG1685" s="101"/>
      <c r="AH1685" s="101"/>
      <c r="AI1685" s="101"/>
      <c r="AJ1685" s="101"/>
      <c r="AK1685" s="101"/>
      <c r="AL1685" s="101"/>
      <c r="AM1685" s="101"/>
      <c r="AN1685" s="101"/>
    </row>
    <row r="1686" spans="1:40" ht="16.5" customHeight="1" x14ac:dyDescent="0.3">
      <c r="A1686" s="69"/>
      <c r="B1686" s="69"/>
      <c r="C1686" s="69"/>
      <c r="D1686" s="69"/>
      <c r="E1686" s="69"/>
      <c r="F1686" s="69"/>
      <c r="Z1686" s="101"/>
      <c r="AA1686" s="101"/>
      <c r="AB1686" s="101"/>
      <c r="AC1686" s="101"/>
      <c r="AD1686" s="101"/>
      <c r="AE1686" s="101"/>
      <c r="AF1686" s="101"/>
      <c r="AG1686" s="101"/>
      <c r="AH1686" s="101"/>
      <c r="AI1686" s="101"/>
      <c r="AJ1686" s="101"/>
      <c r="AK1686" s="101"/>
      <c r="AL1686" s="101"/>
      <c r="AM1686" s="101"/>
      <c r="AN1686" s="101"/>
    </row>
    <row r="1687" spans="1:40" ht="16.5" customHeight="1" x14ac:dyDescent="0.3">
      <c r="A1687" s="69"/>
      <c r="B1687" s="69"/>
      <c r="C1687" s="69"/>
      <c r="D1687" s="69"/>
      <c r="E1687" s="69"/>
      <c r="F1687" s="69"/>
      <c r="Z1687" s="101"/>
      <c r="AA1687" s="101"/>
      <c r="AB1687" s="101"/>
      <c r="AC1687" s="101"/>
      <c r="AD1687" s="101"/>
      <c r="AE1687" s="101"/>
      <c r="AF1687" s="101"/>
      <c r="AG1687" s="101"/>
      <c r="AH1687" s="101"/>
      <c r="AI1687" s="101"/>
      <c r="AJ1687" s="101"/>
      <c r="AK1687" s="101"/>
      <c r="AL1687" s="101"/>
      <c r="AM1687" s="101"/>
      <c r="AN1687" s="101"/>
    </row>
    <row r="1688" spans="1:40" ht="16.5" customHeight="1" x14ac:dyDescent="0.3">
      <c r="A1688" s="69"/>
      <c r="B1688" s="69"/>
      <c r="C1688" s="69"/>
      <c r="D1688" s="69"/>
      <c r="E1688" s="69"/>
      <c r="F1688" s="69"/>
      <c r="Z1688" s="101"/>
      <c r="AA1688" s="101"/>
      <c r="AB1688" s="101"/>
      <c r="AC1688" s="101"/>
      <c r="AD1688" s="101"/>
      <c r="AE1688" s="101"/>
      <c r="AF1688" s="101"/>
      <c r="AG1688" s="101"/>
      <c r="AH1688" s="101"/>
      <c r="AI1688" s="101"/>
      <c r="AJ1688" s="101"/>
      <c r="AK1688" s="101"/>
      <c r="AL1688" s="101"/>
      <c r="AM1688" s="101"/>
      <c r="AN1688" s="101"/>
    </row>
    <row r="1689" spans="1:40" ht="16.5" customHeight="1" x14ac:dyDescent="0.3">
      <c r="A1689" s="69"/>
      <c r="B1689" s="69"/>
      <c r="C1689" s="69"/>
      <c r="D1689" s="69"/>
      <c r="E1689" s="69"/>
      <c r="F1689" s="69"/>
      <c r="Z1689" s="101"/>
      <c r="AA1689" s="101"/>
      <c r="AB1689" s="101"/>
      <c r="AC1689" s="101"/>
      <c r="AD1689" s="101"/>
      <c r="AE1689" s="101"/>
      <c r="AF1689" s="101"/>
      <c r="AG1689" s="101"/>
      <c r="AH1689" s="101"/>
      <c r="AI1689" s="101"/>
      <c r="AJ1689" s="101"/>
      <c r="AK1689" s="101"/>
      <c r="AL1689" s="101"/>
      <c r="AM1689" s="101"/>
      <c r="AN1689" s="101"/>
    </row>
    <row r="1690" spans="1:40" ht="16.5" customHeight="1" x14ac:dyDescent="0.3">
      <c r="A1690" s="69"/>
      <c r="B1690" s="69"/>
      <c r="C1690" s="69"/>
      <c r="D1690" s="69"/>
      <c r="E1690" s="69"/>
      <c r="F1690" s="69"/>
      <c r="Z1690" s="101"/>
      <c r="AA1690" s="101"/>
      <c r="AB1690" s="101"/>
      <c r="AC1690" s="101"/>
      <c r="AD1690" s="101"/>
      <c r="AE1690" s="101"/>
      <c r="AF1690" s="101"/>
      <c r="AG1690" s="101"/>
      <c r="AH1690" s="101"/>
      <c r="AI1690" s="101"/>
      <c r="AJ1690" s="101"/>
      <c r="AK1690" s="101"/>
      <c r="AL1690" s="101"/>
      <c r="AM1690" s="101"/>
      <c r="AN1690" s="101"/>
    </row>
    <row r="1691" spans="1:40" ht="16.5" customHeight="1" x14ac:dyDescent="0.3">
      <c r="A1691" s="69"/>
      <c r="B1691" s="69"/>
      <c r="C1691" s="69"/>
      <c r="D1691" s="69"/>
      <c r="E1691" s="69"/>
      <c r="F1691" s="69"/>
      <c r="Z1691" s="101"/>
      <c r="AA1691" s="101"/>
      <c r="AB1691" s="101"/>
      <c r="AC1691" s="101"/>
      <c r="AD1691" s="101"/>
      <c r="AE1691" s="101"/>
      <c r="AF1691" s="101"/>
      <c r="AG1691" s="101"/>
      <c r="AH1691" s="101"/>
      <c r="AI1691" s="101"/>
      <c r="AJ1691" s="101"/>
      <c r="AK1691" s="101"/>
      <c r="AL1691" s="101"/>
      <c r="AM1691" s="101"/>
      <c r="AN1691" s="101"/>
    </row>
    <row r="1692" spans="1:40" ht="16.5" customHeight="1" x14ac:dyDescent="0.3">
      <c r="A1692" s="69"/>
      <c r="B1692" s="69"/>
      <c r="C1692" s="69"/>
      <c r="D1692" s="69"/>
      <c r="E1692" s="69"/>
      <c r="F1692" s="69"/>
      <c r="Z1692" s="101"/>
      <c r="AA1692" s="101"/>
      <c r="AB1692" s="101"/>
      <c r="AC1692" s="101"/>
      <c r="AD1692" s="101"/>
      <c r="AE1692" s="101"/>
      <c r="AF1692" s="101"/>
      <c r="AG1692" s="101"/>
      <c r="AH1692" s="101"/>
      <c r="AI1692" s="101"/>
      <c r="AJ1692" s="101"/>
      <c r="AK1692" s="101"/>
      <c r="AL1692" s="101"/>
      <c r="AM1692" s="101"/>
      <c r="AN1692" s="101"/>
    </row>
    <row r="1693" spans="1:40" ht="16.5" customHeight="1" x14ac:dyDescent="0.3">
      <c r="A1693" s="69"/>
      <c r="B1693" s="69"/>
      <c r="C1693" s="69"/>
      <c r="D1693" s="69"/>
      <c r="E1693" s="69"/>
      <c r="F1693" s="69"/>
      <c r="Z1693" s="101"/>
      <c r="AA1693" s="101"/>
      <c r="AB1693" s="101"/>
      <c r="AC1693" s="101"/>
      <c r="AD1693" s="101"/>
      <c r="AE1693" s="101"/>
      <c r="AF1693" s="101"/>
      <c r="AG1693" s="101"/>
      <c r="AH1693" s="101"/>
      <c r="AI1693" s="101"/>
      <c r="AJ1693" s="101"/>
      <c r="AK1693" s="101"/>
      <c r="AL1693" s="101"/>
      <c r="AM1693" s="101"/>
      <c r="AN1693" s="101"/>
    </row>
    <row r="1694" spans="1:40" ht="16.5" customHeight="1" x14ac:dyDescent="0.3">
      <c r="A1694" s="69"/>
      <c r="B1694" s="69"/>
      <c r="C1694" s="69"/>
      <c r="D1694" s="69"/>
      <c r="E1694" s="69"/>
      <c r="F1694" s="69"/>
      <c r="Z1694" s="101"/>
      <c r="AA1694" s="101"/>
      <c r="AB1694" s="101"/>
      <c r="AC1694" s="101"/>
      <c r="AD1694" s="101"/>
      <c r="AE1694" s="101"/>
      <c r="AF1694" s="101"/>
      <c r="AG1694" s="101"/>
      <c r="AH1694" s="101"/>
      <c r="AI1694" s="101"/>
      <c r="AJ1694" s="101"/>
      <c r="AK1694" s="101"/>
      <c r="AL1694" s="101"/>
      <c r="AM1694" s="101"/>
      <c r="AN1694" s="101"/>
    </row>
    <row r="1695" spans="1:40" ht="16.5" customHeight="1" x14ac:dyDescent="0.3">
      <c r="A1695" s="69"/>
      <c r="B1695" s="69"/>
      <c r="C1695" s="69"/>
      <c r="D1695" s="69"/>
      <c r="E1695" s="69"/>
      <c r="F1695" s="69"/>
      <c r="Z1695" s="101"/>
      <c r="AA1695" s="101"/>
      <c r="AB1695" s="101"/>
      <c r="AC1695" s="101"/>
      <c r="AD1695" s="101"/>
      <c r="AE1695" s="101"/>
      <c r="AF1695" s="101"/>
      <c r="AG1695" s="101"/>
      <c r="AH1695" s="101"/>
      <c r="AI1695" s="101"/>
      <c r="AJ1695" s="101"/>
      <c r="AK1695" s="101"/>
      <c r="AL1695" s="101"/>
      <c r="AM1695" s="101"/>
      <c r="AN1695" s="101"/>
    </row>
    <row r="1696" spans="1:40" ht="16.5" customHeight="1" x14ac:dyDescent="0.3">
      <c r="A1696" s="69"/>
      <c r="B1696" s="69"/>
      <c r="C1696" s="69"/>
      <c r="D1696" s="69"/>
      <c r="E1696" s="69"/>
      <c r="F1696" s="69"/>
      <c r="Z1696" s="101"/>
      <c r="AA1696" s="101"/>
      <c r="AB1696" s="101"/>
      <c r="AC1696" s="101"/>
      <c r="AD1696" s="101"/>
      <c r="AE1696" s="101"/>
      <c r="AF1696" s="101"/>
      <c r="AG1696" s="101"/>
      <c r="AH1696" s="101"/>
      <c r="AI1696" s="101"/>
      <c r="AJ1696" s="101"/>
      <c r="AK1696" s="101"/>
      <c r="AL1696" s="101"/>
      <c r="AM1696" s="101"/>
      <c r="AN1696" s="101"/>
    </row>
    <row r="1697" spans="1:40" ht="16.5" customHeight="1" x14ac:dyDescent="0.3">
      <c r="A1697" s="69"/>
      <c r="B1697" s="69"/>
      <c r="C1697" s="69"/>
      <c r="D1697" s="69"/>
      <c r="E1697" s="69"/>
      <c r="F1697" s="69"/>
      <c r="Z1697" s="101"/>
      <c r="AA1697" s="101"/>
      <c r="AB1697" s="101"/>
      <c r="AC1697" s="101"/>
      <c r="AD1697" s="101"/>
      <c r="AE1697" s="101"/>
      <c r="AF1697" s="101"/>
      <c r="AG1697" s="101"/>
      <c r="AH1697" s="101"/>
      <c r="AI1697" s="101"/>
      <c r="AJ1697" s="101"/>
      <c r="AK1697" s="101"/>
      <c r="AL1697" s="101"/>
      <c r="AM1697" s="101"/>
      <c r="AN1697" s="101"/>
    </row>
    <row r="1698" spans="1:40" ht="16.5" customHeight="1" x14ac:dyDescent="0.3">
      <c r="A1698" s="69"/>
      <c r="B1698" s="69"/>
      <c r="C1698" s="69"/>
      <c r="D1698" s="69"/>
      <c r="E1698" s="69"/>
      <c r="F1698" s="69"/>
      <c r="Z1698" s="101"/>
      <c r="AA1698" s="101"/>
      <c r="AB1698" s="101"/>
      <c r="AC1698" s="101"/>
      <c r="AD1698" s="101"/>
      <c r="AE1698" s="101"/>
      <c r="AF1698" s="101"/>
      <c r="AG1698" s="101"/>
      <c r="AH1698" s="101"/>
      <c r="AI1698" s="101"/>
      <c r="AJ1698" s="101"/>
      <c r="AK1698" s="101"/>
      <c r="AL1698" s="101"/>
      <c r="AM1698" s="101"/>
      <c r="AN1698" s="101"/>
    </row>
    <row r="1699" spans="1:40" ht="16.5" customHeight="1" x14ac:dyDescent="0.3">
      <c r="A1699" s="69"/>
      <c r="B1699" s="69"/>
      <c r="C1699" s="69"/>
      <c r="D1699" s="69"/>
      <c r="E1699" s="69"/>
      <c r="F1699" s="69"/>
      <c r="Z1699" s="101"/>
      <c r="AA1699" s="101"/>
      <c r="AB1699" s="101"/>
      <c r="AC1699" s="101"/>
      <c r="AD1699" s="101"/>
      <c r="AE1699" s="101"/>
      <c r="AF1699" s="101"/>
      <c r="AG1699" s="101"/>
      <c r="AH1699" s="101"/>
      <c r="AI1699" s="101"/>
      <c r="AJ1699" s="101"/>
      <c r="AK1699" s="101"/>
      <c r="AL1699" s="101"/>
      <c r="AM1699" s="101"/>
      <c r="AN1699" s="101"/>
    </row>
    <row r="1700" spans="1:40" ht="16.5" customHeight="1" x14ac:dyDescent="0.3">
      <c r="A1700" s="69"/>
      <c r="B1700" s="69"/>
      <c r="C1700" s="69"/>
      <c r="D1700" s="69"/>
      <c r="E1700" s="69"/>
      <c r="F1700" s="69"/>
      <c r="Z1700" s="101"/>
      <c r="AA1700" s="101"/>
      <c r="AB1700" s="101"/>
      <c r="AC1700" s="101"/>
      <c r="AD1700" s="101"/>
      <c r="AE1700" s="101"/>
      <c r="AF1700" s="101"/>
      <c r="AG1700" s="101"/>
      <c r="AH1700" s="101"/>
      <c r="AI1700" s="101"/>
      <c r="AJ1700" s="101"/>
      <c r="AK1700" s="101"/>
      <c r="AL1700" s="101"/>
      <c r="AM1700" s="101"/>
      <c r="AN1700" s="101"/>
    </row>
    <row r="1701" spans="1:40" ht="16.5" customHeight="1" x14ac:dyDescent="0.3">
      <c r="A1701" s="69"/>
      <c r="B1701" s="69"/>
      <c r="C1701" s="69"/>
      <c r="D1701" s="69"/>
      <c r="E1701" s="69"/>
      <c r="F1701" s="69"/>
      <c r="Z1701" s="101"/>
      <c r="AA1701" s="101"/>
      <c r="AB1701" s="101"/>
      <c r="AC1701" s="101"/>
      <c r="AD1701" s="101"/>
      <c r="AE1701" s="101"/>
      <c r="AF1701" s="101"/>
      <c r="AG1701" s="101"/>
      <c r="AH1701" s="101"/>
      <c r="AI1701" s="101"/>
      <c r="AJ1701" s="101"/>
      <c r="AK1701" s="101"/>
      <c r="AL1701" s="101"/>
      <c r="AM1701" s="101"/>
      <c r="AN1701" s="101"/>
    </row>
    <row r="1702" spans="1:40" ht="16.5" customHeight="1" x14ac:dyDescent="0.3">
      <c r="A1702" s="69"/>
      <c r="B1702" s="69"/>
      <c r="C1702" s="69"/>
      <c r="D1702" s="69"/>
      <c r="E1702" s="69"/>
      <c r="F1702" s="69"/>
      <c r="Z1702" s="101"/>
      <c r="AA1702" s="101"/>
      <c r="AB1702" s="101"/>
      <c r="AC1702" s="101"/>
      <c r="AD1702" s="101"/>
      <c r="AE1702" s="101"/>
      <c r="AF1702" s="101"/>
      <c r="AG1702" s="101"/>
      <c r="AH1702" s="101"/>
      <c r="AI1702" s="101"/>
      <c r="AJ1702" s="101"/>
      <c r="AK1702" s="101"/>
      <c r="AL1702" s="101"/>
      <c r="AM1702" s="101"/>
      <c r="AN1702" s="101"/>
    </row>
    <row r="1703" spans="1:40" ht="16.5" customHeight="1" x14ac:dyDescent="0.3">
      <c r="A1703" s="74"/>
      <c r="B1703" s="74"/>
      <c r="C1703" s="74"/>
      <c r="D1703" s="74"/>
      <c r="E1703" s="74"/>
      <c r="F1703" s="74"/>
      <c r="Z1703" s="101"/>
      <c r="AA1703" s="101"/>
      <c r="AB1703" s="101"/>
      <c r="AC1703" s="101"/>
      <c r="AD1703" s="101"/>
      <c r="AE1703" s="101"/>
      <c r="AF1703" s="101"/>
      <c r="AG1703" s="101"/>
      <c r="AH1703" s="101"/>
      <c r="AI1703" s="101"/>
      <c r="AJ1703" s="101"/>
      <c r="AK1703" s="101"/>
      <c r="AL1703" s="101"/>
      <c r="AM1703" s="101"/>
      <c r="AN1703" s="101"/>
    </row>
    <row r="1704" spans="1:40" ht="16.5" customHeight="1" x14ac:dyDescent="0.3">
      <c r="A1704" s="150" t="s">
        <v>1477</v>
      </c>
      <c r="B1704" s="143"/>
      <c r="C1704" s="47">
        <f>E1704+D1704+F1704</f>
        <v>8603</v>
      </c>
      <c r="D1704" s="46">
        <f>ROUNDDOWN(SUMIF(N1657:N1677,M1704,D1657:D1677),0)</f>
        <v>0</v>
      </c>
      <c r="E1704" s="55">
        <f>ROUNDDOWN(SUMIF(N1657:N1677,M1704,E1657:E1677),0)</f>
        <v>0</v>
      </c>
      <c r="F1704" s="47">
        <f>ROUNDDOWN(SUMIF(N1657:N1677,M1704,F1657:F1677),0)</f>
        <v>8603</v>
      </c>
      <c r="M1704" s="35" t="s">
        <v>1209</v>
      </c>
      <c r="Z1704" s="101"/>
      <c r="AA1704" s="101"/>
      <c r="AB1704" s="101"/>
      <c r="AC1704" s="101"/>
      <c r="AD1704" s="101"/>
      <c r="AE1704" s="101"/>
      <c r="AF1704" s="101"/>
      <c r="AG1704" s="101"/>
      <c r="AH1704" s="101"/>
      <c r="AI1704" s="101"/>
      <c r="AJ1704" s="101"/>
      <c r="AK1704" s="101"/>
      <c r="AL1704" s="101"/>
      <c r="AM1704" s="101"/>
      <c r="AN1704" s="101"/>
    </row>
    <row r="1705" spans="1:40" ht="16.5" customHeight="1" x14ac:dyDescent="0.3">
      <c r="A1705" s="86" t="s">
        <v>117</v>
      </c>
      <c r="B1705" s="88" t="s">
        <v>117</v>
      </c>
      <c r="C1705" s="151">
        <f>C1754</f>
        <v>1026</v>
      </c>
      <c r="D1705" s="151">
        <f>D1754</f>
        <v>412</v>
      </c>
      <c r="E1705" s="151">
        <f>E1754</f>
        <v>364</v>
      </c>
      <c r="F1705" s="151">
        <f>F1754</f>
        <v>250</v>
      </c>
      <c r="G1705" s="84" t="str">
        <f>HYPERLINK("#G"&amp;ROW(G1726),"_x0005_`BDCOD|D00022_x0007_`POSS|"&amp;ROW(G1707)&amp;"_x0007_`POSE|"&amp;ROW(G1726)&amp;"_x0007_`")</f>
        <v>_x0005_`BDCOD|D00022_x0007_`POSS|1707_x0007_`POSE|1726_x0007_`</v>
      </c>
      <c r="Z1705" s="101"/>
      <c r="AA1705" s="101"/>
      <c r="AB1705" s="101"/>
      <c r="AC1705" s="101"/>
      <c r="AD1705" s="101"/>
      <c r="AE1705" s="101"/>
      <c r="AF1705" s="101"/>
      <c r="AG1705" s="101"/>
      <c r="AH1705" s="101"/>
      <c r="AI1705" s="101"/>
      <c r="AJ1705" s="101"/>
      <c r="AK1705" s="101"/>
      <c r="AL1705" s="101"/>
      <c r="AM1705" s="101"/>
      <c r="AN1705" s="101"/>
    </row>
    <row r="1706" spans="1:40" ht="16.5" customHeight="1" x14ac:dyDescent="0.3">
      <c r="A1706" s="87"/>
      <c r="B1706" s="88" t="s">
        <v>198</v>
      </c>
      <c r="C1706" s="136"/>
      <c r="D1706" s="136"/>
      <c r="E1706" s="136"/>
      <c r="F1706" s="136"/>
      <c r="M1706" s="35" t="s">
        <v>2067</v>
      </c>
      <c r="Z1706" s="101"/>
      <c r="AA1706" s="101"/>
      <c r="AB1706" s="101"/>
      <c r="AC1706" s="101"/>
      <c r="AD1706" s="101"/>
      <c r="AE1706" s="101"/>
      <c r="AF1706" s="101"/>
      <c r="AG1706" s="101"/>
      <c r="AH1706" s="101"/>
      <c r="AI1706" s="101"/>
      <c r="AJ1706" s="101"/>
      <c r="AK1706" s="101"/>
      <c r="AL1706" s="101"/>
      <c r="AM1706" s="101"/>
      <c r="AN1706" s="101"/>
    </row>
    <row r="1707" spans="1:40" ht="16.5" customHeight="1" x14ac:dyDescent="0.3">
      <c r="A1707" s="69"/>
      <c r="B1707" s="69"/>
      <c r="C1707" s="90"/>
      <c r="D1707" s="90"/>
      <c r="E1707" s="90"/>
      <c r="F1707" s="90"/>
      <c r="G1707" s="17" t="s">
        <v>1405</v>
      </c>
      <c r="Z1707" s="101"/>
      <c r="AA1707" s="101"/>
      <c r="AB1707" s="101"/>
      <c r="AC1707" s="101"/>
      <c r="AD1707" s="101"/>
      <c r="AE1707" s="101"/>
      <c r="AF1707" s="101"/>
      <c r="AG1707" s="101"/>
      <c r="AH1707" s="101"/>
      <c r="AI1707" s="101"/>
      <c r="AJ1707" s="101"/>
      <c r="AK1707" s="101"/>
      <c r="AL1707" s="101"/>
      <c r="AM1707" s="101"/>
      <c r="AN1707" s="101"/>
    </row>
    <row r="1708" spans="1:40" ht="16.5" customHeight="1" x14ac:dyDescent="0.3">
      <c r="A1708" s="69"/>
      <c r="B1708" s="69"/>
      <c r="C1708" s="69"/>
      <c r="D1708" s="69"/>
      <c r="E1708" s="69"/>
      <c r="F1708" s="69"/>
      <c r="G1708" s="17" t="s">
        <v>1405</v>
      </c>
      <c r="Z1708" s="101"/>
      <c r="AA1708" s="101"/>
      <c r="AB1708" s="101"/>
      <c r="AC1708" s="101"/>
      <c r="AD1708" s="101"/>
      <c r="AE1708" s="101"/>
      <c r="AF1708" s="101"/>
      <c r="AG1708" s="101"/>
      <c r="AH1708" s="101"/>
      <c r="AI1708" s="101"/>
      <c r="AJ1708" s="101"/>
      <c r="AK1708" s="101"/>
      <c r="AL1708" s="101"/>
      <c r="AM1708" s="101"/>
      <c r="AN1708" s="101"/>
    </row>
    <row r="1709" spans="1:40" ht="16.5" customHeight="1" x14ac:dyDescent="0.3">
      <c r="A1709" s="59"/>
      <c r="B1709" s="68" t="s">
        <v>2069</v>
      </c>
      <c r="C1709" s="69"/>
      <c r="D1709" s="69"/>
      <c r="E1709" s="69"/>
      <c r="F1709" s="69"/>
      <c r="G1709" s="17" t="s">
        <v>2068</v>
      </c>
      <c r="Z1709" s="101"/>
      <c r="AA1709" s="101"/>
      <c r="AB1709" s="101"/>
      <c r="AC1709" s="101"/>
      <c r="AD1709" s="101"/>
      <c r="AE1709" s="101"/>
      <c r="AF1709" s="101"/>
      <c r="AG1709" s="101"/>
      <c r="AH1709" s="101"/>
      <c r="AI1709" s="101"/>
      <c r="AJ1709" s="101"/>
      <c r="AK1709" s="101"/>
      <c r="AL1709" s="101"/>
      <c r="AM1709" s="101"/>
      <c r="AN1709" s="101"/>
    </row>
    <row r="1710" spans="1:40" ht="16.5" customHeight="1" x14ac:dyDescent="0.3">
      <c r="A1710" s="69"/>
      <c r="B1710" s="69"/>
      <c r="C1710" s="69"/>
      <c r="D1710" s="69"/>
      <c r="E1710" s="69"/>
      <c r="F1710" s="69"/>
      <c r="G1710" s="17" t="s">
        <v>1405</v>
      </c>
      <c r="Z1710" s="101"/>
      <c r="AA1710" s="101"/>
      <c r="AB1710" s="101"/>
      <c r="AC1710" s="101"/>
      <c r="AD1710" s="101"/>
      <c r="AE1710" s="101"/>
      <c r="AF1710" s="101"/>
      <c r="AG1710" s="101"/>
      <c r="AH1710" s="101"/>
      <c r="AI1710" s="101"/>
      <c r="AJ1710" s="101"/>
      <c r="AK1710" s="101"/>
      <c r="AL1710" s="101"/>
      <c r="AM1710" s="101"/>
      <c r="AN1710" s="101"/>
    </row>
    <row r="1711" spans="1:40" ht="16.5" customHeight="1" x14ac:dyDescent="0.3">
      <c r="A1711" s="69"/>
      <c r="B1711" s="69"/>
      <c r="C1711" s="69"/>
      <c r="D1711" s="69"/>
      <c r="E1711" s="69"/>
      <c r="F1711" s="69"/>
      <c r="G1711" s="17" t="s">
        <v>1405</v>
      </c>
      <c r="Z1711" s="101"/>
      <c r="AA1711" s="101"/>
      <c r="AB1711" s="101"/>
      <c r="AC1711" s="101"/>
      <c r="AD1711" s="101"/>
      <c r="AE1711" s="101"/>
      <c r="AF1711" s="101"/>
      <c r="AG1711" s="101"/>
      <c r="AH1711" s="101"/>
      <c r="AI1711" s="101"/>
      <c r="AJ1711" s="101"/>
      <c r="AK1711" s="101"/>
      <c r="AL1711" s="101"/>
      <c r="AM1711" s="101"/>
      <c r="AN1711" s="101"/>
    </row>
    <row r="1712" spans="1:40" ht="16.5" customHeight="1" x14ac:dyDescent="0.3">
      <c r="A1712" s="59"/>
      <c r="B1712" s="68" t="s">
        <v>2071</v>
      </c>
      <c r="C1712" s="69"/>
      <c r="D1712" s="69"/>
      <c r="E1712" s="69"/>
      <c r="F1712" s="69"/>
      <c r="G1712" s="17" t="s">
        <v>2070</v>
      </c>
      <c r="Z1712" s="101"/>
      <c r="AA1712" s="101"/>
      <c r="AB1712" s="101"/>
      <c r="AC1712" s="101"/>
      <c r="AD1712" s="101"/>
      <c r="AE1712" s="101"/>
      <c r="AF1712" s="101"/>
      <c r="AG1712" s="101"/>
      <c r="AH1712" s="101"/>
      <c r="AI1712" s="101"/>
      <c r="AJ1712" s="101"/>
      <c r="AK1712" s="101"/>
      <c r="AL1712" s="101"/>
      <c r="AM1712" s="101"/>
      <c r="AN1712" s="101"/>
    </row>
    <row r="1713" spans="1:40" ht="16.5" customHeight="1" x14ac:dyDescent="0.3">
      <c r="A1713" s="69"/>
      <c r="B1713" s="69"/>
      <c r="C1713" s="69"/>
      <c r="D1713" s="69"/>
      <c r="E1713" s="69"/>
      <c r="F1713" s="69"/>
      <c r="G1713" s="17" t="s">
        <v>1405</v>
      </c>
      <c r="Z1713" s="101"/>
      <c r="AA1713" s="101"/>
      <c r="AB1713" s="101"/>
      <c r="AC1713" s="101"/>
      <c r="AD1713" s="101"/>
      <c r="AE1713" s="101"/>
      <c r="AF1713" s="101"/>
      <c r="AG1713" s="101"/>
      <c r="AH1713" s="101"/>
      <c r="AI1713" s="101"/>
      <c r="AJ1713" s="101"/>
      <c r="AK1713" s="101"/>
      <c r="AL1713" s="101"/>
      <c r="AM1713" s="101"/>
      <c r="AN1713" s="101"/>
    </row>
    <row r="1714" spans="1:40" ht="16.5" customHeight="1" x14ac:dyDescent="0.3">
      <c r="A1714" s="59"/>
      <c r="B1714" s="68" t="str">
        <f>"  L = "&amp;Z1714&amp;" m , E = "&amp;AD1714&amp;", V1 = "&amp;AH1714&amp;", V2 = "&amp;AL1714&amp;""</f>
        <v xml:space="preserve">  L = 20 m , E = 0.7, V1 = 75, V2 = 98</v>
      </c>
      <c r="C1714" s="69"/>
      <c r="D1714" s="69"/>
      <c r="E1714" s="69"/>
      <c r="F1714" s="69"/>
      <c r="G1714" s="17" t="s">
        <v>2072</v>
      </c>
      <c r="Z1714" s="102">
        <v>20</v>
      </c>
      <c r="AA1714" s="35" t="s">
        <v>1410</v>
      </c>
      <c r="AB1714" s="103">
        <f>Z1714</f>
        <v>20</v>
      </c>
      <c r="AC1714" s="105" t="s">
        <v>1453</v>
      </c>
      <c r="AD1714" s="104">
        <v>0.7</v>
      </c>
      <c r="AE1714" s="35" t="s">
        <v>1410</v>
      </c>
      <c r="AF1714" s="103">
        <f>AD1714</f>
        <v>0.7</v>
      </c>
      <c r="AG1714" s="105" t="s">
        <v>1453</v>
      </c>
      <c r="AH1714" s="102">
        <v>75</v>
      </c>
      <c r="AI1714" s="35" t="s">
        <v>1410</v>
      </c>
      <c r="AJ1714" s="103">
        <f>AH1714</f>
        <v>75</v>
      </c>
      <c r="AK1714" s="105" t="s">
        <v>1453</v>
      </c>
      <c r="AL1714" s="102">
        <v>98</v>
      </c>
      <c r="AM1714" s="35" t="s">
        <v>1410</v>
      </c>
      <c r="AN1714" s="103">
        <f>AL1714</f>
        <v>98</v>
      </c>
    </row>
    <row r="1715" spans="1:40" ht="16.5" customHeight="1" x14ac:dyDescent="0.3">
      <c r="A1715" s="69"/>
      <c r="B1715" s="69"/>
      <c r="C1715" s="69"/>
      <c r="D1715" s="69"/>
      <c r="E1715" s="69"/>
      <c r="F1715" s="69"/>
      <c r="G1715" s="17" t="s">
        <v>1405</v>
      </c>
      <c r="Z1715" s="101"/>
      <c r="AA1715" s="101"/>
      <c r="AB1715" s="101"/>
      <c r="AC1715" s="101"/>
      <c r="AD1715" s="101"/>
      <c r="AE1715" s="101"/>
      <c r="AF1715" s="101"/>
      <c r="AG1715" s="101"/>
      <c r="AH1715" s="101"/>
      <c r="AI1715" s="101"/>
      <c r="AJ1715" s="101"/>
      <c r="AK1715" s="101"/>
      <c r="AL1715" s="101"/>
      <c r="AM1715" s="101"/>
      <c r="AN1715" s="101"/>
    </row>
    <row r="1716" spans="1:40" ht="16.5" customHeight="1" x14ac:dyDescent="0.3">
      <c r="A1716" s="59"/>
      <c r="B1716" s="68" t="str">
        <f>"  f = "&amp;Z1716&amp;"/"&amp;AB1716&amp;" = "&amp;AD1716&amp;", q = "&amp;AF1716&amp;"*"&amp;AH1716&amp;" = "&amp;AJ1716&amp;""</f>
        <v xml:space="preserve">  f = 1/1.25 = 0.800, q = 3.2*0.96 = 3.072</v>
      </c>
      <c r="C1716" s="69"/>
      <c r="D1716" s="69"/>
      <c r="E1716" s="69"/>
      <c r="F1716" s="69"/>
      <c r="G1716" s="17" t="s">
        <v>2073</v>
      </c>
      <c r="Z1716" s="102">
        <v>1</v>
      </c>
      <c r="AA1716" s="35" t="s">
        <v>1413</v>
      </c>
      <c r="AB1716" s="104">
        <v>1.25</v>
      </c>
      <c r="AC1716" s="35" t="s">
        <v>1410</v>
      </c>
      <c r="AD1716" s="103" t="str">
        <f>TEXT(ROUND(Z1716/AB1716,3),"#,0.000")</f>
        <v>0.800</v>
      </c>
      <c r="AE1716" s="105" t="s">
        <v>1453</v>
      </c>
      <c r="AF1716" s="104">
        <v>3.2</v>
      </c>
      <c r="AG1716" s="35" t="s">
        <v>1436</v>
      </c>
      <c r="AH1716" s="104">
        <v>0.96</v>
      </c>
      <c r="AI1716" s="35" t="s">
        <v>1410</v>
      </c>
      <c r="AJ1716" s="103" t="str">
        <f>TEXT(ROUND(AF1716*AH1716,3),"#,0.000")</f>
        <v>3.072</v>
      </c>
      <c r="AK1716" s="101"/>
      <c r="AL1716" s="101"/>
      <c r="AM1716" s="101"/>
      <c r="AN1716" s="101"/>
    </row>
    <row r="1717" spans="1:40" ht="16.5" customHeight="1" x14ac:dyDescent="0.3">
      <c r="A1717" s="69"/>
      <c r="B1717" s="69"/>
      <c r="C1717" s="69"/>
      <c r="D1717" s="69"/>
      <c r="E1717" s="69"/>
      <c r="F1717" s="69"/>
      <c r="G1717" s="17" t="s">
        <v>1405</v>
      </c>
      <c r="Z1717" s="101"/>
      <c r="AA1717" s="101"/>
      <c r="AB1717" s="101"/>
      <c r="AC1717" s="101"/>
      <c r="AD1717" s="101"/>
      <c r="AE1717" s="101"/>
      <c r="AF1717" s="101"/>
      <c r="AG1717" s="101"/>
      <c r="AH1717" s="101"/>
      <c r="AI1717" s="101"/>
      <c r="AJ1717" s="101"/>
      <c r="AK1717" s="101"/>
      <c r="AL1717" s="101"/>
      <c r="AM1717" s="101"/>
      <c r="AN1717" s="101"/>
    </row>
    <row r="1718" spans="1:40" ht="16.5" customHeight="1" x14ac:dyDescent="0.3">
      <c r="A1718" s="59"/>
      <c r="B1718" s="68" t="str">
        <f>"  Cm = L/V1+L/V2+"&amp;AH1718&amp;" = "&amp;AJ1718&amp;""</f>
        <v xml:space="preserve">  Cm = L/V1+L/V2+0.25 = 0.721</v>
      </c>
      <c r="C1718" s="69"/>
      <c r="D1718" s="69"/>
      <c r="E1718" s="69"/>
      <c r="F1718" s="69"/>
      <c r="G1718" s="17" t="s">
        <v>2074</v>
      </c>
      <c r="Z1718" s="103">
        <f>AB1714</f>
        <v>20</v>
      </c>
      <c r="AA1718" s="35" t="s">
        <v>1413</v>
      </c>
      <c r="AB1718" s="103">
        <f>AJ1714</f>
        <v>75</v>
      </c>
      <c r="AC1718" s="35" t="s">
        <v>1462</v>
      </c>
      <c r="AD1718" s="103">
        <f>AB1714</f>
        <v>20</v>
      </c>
      <c r="AE1718" s="35" t="s">
        <v>1413</v>
      </c>
      <c r="AF1718" s="103">
        <f>AN1714</f>
        <v>98</v>
      </c>
      <c r="AG1718" s="35" t="s">
        <v>1462</v>
      </c>
      <c r="AH1718" s="104">
        <v>0.25</v>
      </c>
      <c r="AI1718" s="35" t="s">
        <v>1410</v>
      </c>
      <c r="AJ1718" s="103" t="str">
        <f>TEXT(ROUND(AB1714/AJ1714+AB1714/AN1714+AH1718,3),"#,0.000")</f>
        <v>0.721</v>
      </c>
      <c r="AK1718" s="101"/>
      <c r="AL1718" s="101"/>
      <c r="AM1718" s="101"/>
      <c r="AN1718" s="101"/>
    </row>
    <row r="1719" spans="1:40" ht="16.5" customHeight="1" x14ac:dyDescent="0.3">
      <c r="A1719" s="69"/>
      <c r="B1719" s="69"/>
      <c r="C1719" s="69"/>
      <c r="D1719" s="69"/>
      <c r="E1719" s="69"/>
      <c r="F1719" s="69"/>
      <c r="G1719" s="17" t="s">
        <v>1405</v>
      </c>
      <c r="Z1719" s="101"/>
      <c r="AA1719" s="101"/>
      <c r="AB1719" s="101"/>
      <c r="AC1719" s="101"/>
      <c r="AD1719" s="101"/>
      <c r="AE1719" s="101"/>
      <c r="AF1719" s="101"/>
      <c r="AG1719" s="101"/>
      <c r="AH1719" s="101"/>
      <c r="AI1719" s="101"/>
      <c r="AJ1719" s="101"/>
      <c r="AK1719" s="101"/>
      <c r="AL1719" s="101"/>
      <c r="AM1719" s="101"/>
      <c r="AN1719" s="101"/>
    </row>
    <row r="1720" spans="1:40" ht="16.5" customHeight="1" x14ac:dyDescent="0.3">
      <c r="A1720" s="59"/>
      <c r="B1720" s="68" t="str">
        <f>"  Q = "&amp;Z1720&amp;"*q*f*E/Cm  = "&amp;AJ1720&amp;"  ㎥/hr "</f>
        <v xml:space="preserve">  Q = 60*q*f*E/Cm  = 143.161  ㎥/hr </v>
      </c>
      <c r="C1720" s="69"/>
      <c r="D1720" s="69"/>
      <c r="E1720" s="69"/>
      <c r="F1720" s="69"/>
      <c r="G1720" s="17" t="s">
        <v>2075</v>
      </c>
      <c r="Z1720" s="102">
        <v>60</v>
      </c>
      <c r="AA1720" s="35" t="s">
        <v>1436</v>
      </c>
      <c r="AB1720" s="103" t="str">
        <f>AJ1716</f>
        <v>3.072</v>
      </c>
      <c r="AC1720" s="35" t="s">
        <v>1436</v>
      </c>
      <c r="AD1720" s="103" t="str">
        <f>AD1716</f>
        <v>0.800</v>
      </c>
      <c r="AE1720" s="35" t="s">
        <v>1436</v>
      </c>
      <c r="AF1720" s="103">
        <f>AF1714</f>
        <v>0.7</v>
      </c>
      <c r="AG1720" s="35" t="s">
        <v>1413</v>
      </c>
      <c r="AH1720" s="103" t="str">
        <f>AJ1718</f>
        <v>0.721</v>
      </c>
      <c r="AI1720" s="35" t="s">
        <v>1410</v>
      </c>
      <c r="AJ1720" s="103" t="str">
        <f>TEXT(ROUND(Z1720*AJ1716*AD1716*AF1714/AJ1718,3),"#,0.000")</f>
        <v>143.161</v>
      </c>
      <c r="AK1720" s="101"/>
      <c r="AL1720" s="101"/>
      <c r="AM1720" s="101"/>
      <c r="AN1720" s="101"/>
    </row>
    <row r="1721" spans="1:40" ht="16.5" customHeight="1" x14ac:dyDescent="0.3">
      <c r="A1721" s="69"/>
      <c r="B1721" s="69"/>
      <c r="C1721" s="69"/>
      <c r="D1721" s="69"/>
      <c r="E1721" s="69"/>
      <c r="F1721" s="69"/>
      <c r="G1721" s="17" t="s">
        <v>1405</v>
      </c>
      <c r="Z1721" s="101"/>
      <c r="AA1721" s="101"/>
      <c r="AB1721" s="101"/>
      <c r="AC1721" s="101"/>
      <c r="AD1721" s="101"/>
      <c r="AE1721" s="101"/>
      <c r="AF1721" s="101"/>
      <c r="AG1721" s="101"/>
      <c r="AH1721" s="101"/>
      <c r="AI1721" s="101"/>
      <c r="AJ1721" s="101"/>
      <c r="AK1721" s="101"/>
      <c r="AL1721" s="101"/>
      <c r="AM1721" s="101"/>
      <c r="AN1721" s="101"/>
    </row>
    <row r="1722" spans="1:40" ht="16.5" customHeight="1" x14ac:dyDescent="0.3">
      <c r="A1722" s="59" t="s">
        <v>2077</v>
      </c>
      <c r="B1722" s="89" t="str">
        <f>"  재료비: "&amp;TEXT(I1722,"#,##0"&amp;IF(I1722&lt;&gt;INT(I1722),".###",""))&amp;" / Q = "&amp;TEXT(C1722,"#,##0.0")&amp;""</f>
        <v xml:space="preserve">  재료비: 52,171 / Q = 364.4</v>
      </c>
      <c r="C1722" s="91">
        <f>E1722+D1722+F1722</f>
        <v>364.4</v>
      </c>
      <c r="D1722" s="91">
        <f>IF(H1722=0,0,ROUNDDOWN(J1722*H1722,1))</f>
        <v>0</v>
      </c>
      <c r="E1722" s="91">
        <f>IF(H1722=0,0,ROUNDDOWN(K1722*H1722,1))</f>
        <v>364.4</v>
      </c>
      <c r="F1722" s="91">
        <f>IF(H1722=0,0,ROUNDDOWN(L1722*H1722,1))</f>
        <v>0</v>
      </c>
      <c r="G1722" s="17" t="s">
        <v>2076</v>
      </c>
      <c r="H1722" s="97">
        <f>ROUNDUP(AC1722,14-LEN(ABS(INT(AC1722))))</f>
        <v>6.9851426016999995E-3</v>
      </c>
      <c r="I1722" s="98">
        <f>K1722+J1722+L1722</f>
        <v>52171</v>
      </c>
      <c r="K1722" s="38">
        <f>중기목록표!G22</f>
        <v>52171</v>
      </c>
      <c r="M1722" s="35" t="s">
        <v>2078</v>
      </c>
      <c r="N1722" s="35" t="s">
        <v>1253</v>
      </c>
      <c r="X1722" s="100" t="str">
        <f>중기목록표!B22&amp;" / "&amp;중기목록표!C22</f>
        <v>불도저(무한궤도) / 19톤</v>
      </c>
      <c r="Y1722" s="3" t="str">
        <f ca="1">HYPERLINK("#"&amp;중기목록표!J2&amp;"!A"&amp;ROW(중기목록표!A22),"중기19 →")</f>
        <v>중기19 →</v>
      </c>
      <c r="Z1722" s="35" t="s">
        <v>1417</v>
      </c>
      <c r="AA1722" s="103" t="str">
        <f>AJ1720</f>
        <v>143.161</v>
      </c>
      <c r="AB1722" s="35" t="s">
        <v>1410</v>
      </c>
      <c r="AC1722" s="103">
        <f>1/AJ1720</f>
        <v>6.9851426016862136E-3</v>
      </c>
      <c r="AD1722" s="101"/>
      <c r="AE1722" s="101"/>
      <c r="AF1722" s="101"/>
      <c r="AG1722" s="101"/>
      <c r="AH1722" s="101"/>
      <c r="AI1722" s="101"/>
      <c r="AJ1722" s="101"/>
      <c r="AK1722" s="101"/>
      <c r="AL1722" s="101"/>
      <c r="AM1722" s="101"/>
      <c r="AN1722" s="101"/>
    </row>
    <row r="1723" spans="1:40" ht="16.5" customHeight="1" x14ac:dyDescent="0.3">
      <c r="A1723" s="59" t="s">
        <v>2080</v>
      </c>
      <c r="B1723" s="89" t="str">
        <f>"  노무비: "&amp;TEXT(I1723,"#,##0"&amp;IF(I1723&lt;&gt;INT(I1723),".###",""))&amp;" / Q = "&amp;TEXT(C1723,"#,##0.0")&amp;""</f>
        <v xml:space="preserve">  노무비: 59,020 / Q = 412.2</v>
      </c>
      <c r="C1723" s="91">
        <f>E1723+D1723+F1723</f>
        <v>412.2</v>
      </c>
      <c r="D1723" s="91">
        <f>IF(H1723=0,0,ROUNDDOWN(J1723*H1723,1))</f>
        <v>412.2</v>
      </c>
      <c r="E1723" s="91">
        <f>IF(H1723=0,0,ROUNDDOWN(K1723*H1723,1))</f>
        <v>0</v>
      </c>
      <c r="F1723" s="91">
        <f>IF(H1723=0,0,ROUNDDOWN(L1723*H1723,1))</f>
        <v>0</v>
      </c>
      <c r="G1723" s="17" t="s">
        <v>2079</v>
      </c>
      <c r="H1723" s="97">
        <f>ROUNDUP(AC1723,14-LEN(ABS(INT(AC1723))))</f>
        <v>6.9851426016999995E-3</v>
      </c>
      <c r="I1723" s="98">
        <f>K1723+J1723+L1723</f>
        <v>59020</v>
      </c>
      <c r="J1723" s="38">
        <f>중기목록표!F22</f>
        <v>59020</v>
      </c>
      <c r="M1723" s="35" t="s">
        <v>2078</v>
      </c>
      <c r="N1723" s="35" t="s">
        <v>1253</v>
      </c>
      <c r="X1723" s="100" t="str">
        <f>중기목록표!B22&amp;" / "&amp;중기목록표!C22</f>
        <v>불도저(무한궤도) / 19톤</v>
      </c>
      <c r="Y1723" s="3" t="str">
        <f ca="1">HYPERLINK("#"&amp;중기목록표!J2&amp;"!A"&amp;ROW(중기목록표!A22),"중기19 →")</f>
        <v>중기19 →</v>
      </c>
      <c r="Z1723" s="35" t="s">
        <v>1417</v>
      </c>
      <c r="AA1723" s="103" t="str">
        <f>AJ1720</f>
        <v>143.161</v>
      </c>
      <c r="AB1723" s="35" t="s">
        <v>1410</v>
      </c>
      <c r="AC1723" s="103">
        <f>1/AJ1720</f>
        <v>6.9851426016862136E-3</v>
      </c>
      <c r="AD1723" s="101"/>
      <c r="AE1723" s="101"/>
      <c r="AF1723" s="101"/>
      <c r="AG1723" s="101"/>
      <c r="AH1723" s="101"/>
      <c r="AI1723" s="101"/>
      <c r="AJ1723" s="101"/>
      <c r="AK1723" s="101"/>
      <c r="AL1723" s="101"/>
      <c r="AM1723" s="101"/>
      <c r="AN1723" s="101"/>
    </row>
    <row r="1724" spans="1:40" ht="16.5" customHeight="1" x14ac:dyDescent="0.3">
      <c r="A1724" s="59" t="s">
        <v>2082</v>
      </c>
      <c r="B1724" s="89" t="str">
        <f>"  경  비: "&amp;TEXT(I1724,"#,##0"&amp;IF(I1724&lt;&gt;INT(I1724),".###",""))&amp;" / Q = "&amp;TEXT(C1724,"#,##0.0")&amp;""</f>
        <v xml:space="preserve">  경  비: 35,884 / Q = 250.6</v>
      </c>
      <c r="C1724" s="91">
        <f>E1724+D1724+F1724</f>
        <v>250.6</v>
      </c>
      <c r="D1724" s="91">
        <f>IF(H1724=0,0,ROUNDDOWN(J1724*H1724,1))</f>
        <v>0</v>
      </c>
      <c r="E1724" s="91">
        <f>IF(H1724=0,0,ROUNDDOWN(K1724*H1724,1))</f>
        <v>0</v>
      </c>
      <c r="F1724" s="91">
        <f>IF(H1724=0,0,ROUNDDOWN(L1724*H1724,1))</f>
        <v>250.6</v>
      </c>
      <c r="G1724" s="17" t="s">
        <v>2081</v>
      </c>
      <c r="H1724" s="97">
        <f>ROUNDUP(AC1724,14-LEN(ABS(INT(AC1724))))</f>
        <v>6.9851426016999995E-3</v>
      </c>
      <c r="I1724" s="98">
        <f>K1724+J1724+L1724</f>
        <v>35884</v>
      </c>
      <c r="L1724" s="38">
        <f>중기목록표!H22</f>
        <v>35884</v>
      </c>
      <c r="M1724" s="35" t="s">
        <v>2078</v>
      </c>
      <c r="N1724" s="35" t="s">
        <v>1253</v>
      </c>
      <c r="X1724" s="100" t="str">
        <f>중기목록표!B22&amp;" / "&amp;중기목록표!C22</f>
        <v>불도저(무한궤도) / 19톤</v>
      </c>
      <c r="Y1724" s="3" t="str">
        <f ca="1">HYPERLINK("#"&amp;중기목록표!J2&amp;"!A"&amp;ROW(중기목록표!A22),"중기19 →")</f>
        <v>중기19 →</v>
      </c>
      <c r="Z1724" s="35" t="s">
        <v>1417</v>
      </c>
      <c r="AA1724" s="103" t="str">
        <f>AJ1720</f>
        <v>143.161</v>
      </c>
      <c r="AB1724" s="35" t="s">
        <v>1410</v>
      </c>
      <c r="AC1724" s="103">
        <f>1/AJ1720</f>
        <v>6.9851426016862136E-3</v>
      </c>
      <c r="AD1724" s="101"/>
      <c r="AE1724" s="101"/>
      <c r="AF1724" s="101"/>
      <c r="AG1724" s="101"/>
      <c r="AH1724" s="101"/>
      <c r="AI1724" s="101"/>
      <c r="AJ1724" s="101"/>
      <c r="AK1724" s="101"/>
      <c r="AL1724" s="101"/>
      <c r="AM1724" s="101"/>
      <c r="AN1724" s="101"/>
    </row>
    <row r="1725" spans="1:40" ht="16.5" customHeight="1" x14ac:dyDescent="0.3">
      <c r="A1725" s="69"/>
      <c r="B1725" s="69"/>
      <c r="C1725" s="69"/>
      <c r="D1725" s="69"/>
      <c r="E1725" s="69"/>
      <c r="F1725" s="69"/>
      <c r="G1725" s="17" t="s">
        <v>1405</v>
      </c>
      <c r="Z1725" s="101"/>
      <c r="AA1725" s="101"/>
      <c r="AB1725" s="101"/>
      <c r="AC1725" s="101"/>
      <c r="AD1725" s="101"/>
      <c r="AE1725" s="101"/>
      <c r="AF1725" s="101"/>
      <c r="AG1725" s="101"/>
      <c r="AH1725" s="101"/>
      <c r="AI1725" s="101"/>
      <c r="AJ1725" s="101"/>
      <c r="AK1725" s="101"/>
      <c r="AL1725" s="101"/>
      <c r="AM1725" s="101"/>
      <c r="AN1725" s="101"/>
    </row>
    <row r="1726" spans="1:40" ht="16.5" customHeight="1" x14ac:dyDescent="0.3">
      <c r="A1726" s="59"/>
      <c r="B1726" s="68" t="s">
        <v>1251</v>
      </c>
      <c r="C1726" s="92">
        <f>E1726+D1726+F1726</f>
        <v>1027.1999999999998</v>
      </c>
      <c r="D1726" s="92">
        <f>SUMIF(N1707:N1725,M1726,D1707:D1725)</f>
        <v>412.2</v>
      </c>
      <c r="E1726" s="92">
        <f>SUMIF(N1707:N1725,M1726,E1707:E1725)</f>
        <v>364.4</v>
      </c>
      <c r="F1726" s="92">
        <f>SUMIF(N1707:N1725,M1726,F1707:F1725)</f>
        <v>250.6</v>
      </c>
      <c r="G1726" s="17" t="s">
        <v>1530</v>
      </c>
      <c r="M1726" s="35" t="s">
        <v>1253</v>
      </c>
      <c r="N1726" s="35" t="s">
        <v>1209</v>
      </c>
      <c r="Z1726" s="101"/>
      <c r="AA1726" s="101"/>
      <c r="AB1726" s="101"/>
      <c r="AC1726" s="101"/>
      <c r="AD1726" s="101"/>
      <c r="AE1726" s="101"/>
      <c r="AF1726" s="101"/>
      <c r="AG1726" s="101"/>
      <c r="AH1726" s="101"/>
      <c r="AI1726" s="101"/>
      <c r="AJ1726" s="101"/>
      <c r="AK1726" s="101"/>
      <c r="AL1726" s="101"/>
      <c r="AM1726" s="101"/>
      <c r="AN1726" s="101"/>
    </row>
    <row r="1727" spans="1:40" ht="16.5" customHeight="1" x14ac:dyDescent="0.3">
      <c r="A1727" s="69"/>
      <c r="B1727" s="69"/>
      <c r="C1727" s="90"/>
      <c r="D1727" s="90"/>
      <c r="E1727" s="90"/>
      <c r="F1727" s="90"/>
      <c r="Z1727" s="101"/>
      <c r="AA1727" s="101"/>
      <c r="AB1727" s="101"/>
      <c r="AC1727" s="101"/>
      <c r="AD1727" s="101"/>
      <c r="AE1727" s="101"/>
      <c r="AF1727" s="101"/>
      <c r="AG1727" s="101"/>
      <c r="AH1727" s="101"/>
      <c r="AI1727" s="101"/>
      <c r="AJ1727" s="101"/>
      <c r="AK1727" s="101"/>
      <c r="AL1727" s="101"/>
      <c r="AM1727" s="101"/>
      <c r="AN1727" s="101"/>
    </row>
    <row r="1728" spans="1:40" ht="16.5" customHeight="1" x14ac:dyDescent="0.3">
      <c r="A1728" s="69"/>
      <c r="B1728" s="69"/>
      <c r="C1728" s="69"/>
      <c r="D1728" s="69"/>
      <c r="E1728" s="69"/>
      <c r="F1728" s="69"/>
      <c r="Z1728" s="101"/>
      <c r="AA1728" s="101"/>
      <c r="AB1728" s="101"/>
      <c r="AC1728" s="101"/>
      <c r="AD1728" s="101"/>
      <c r="AE1728" s="101"/>
      <c r="AF1728" s="101"/>
      <c r="AG1728" s="101"/>
      <c r="AH1728" s="101"/>
      <c r="AI1728" s="101"/>
      <c r="AJ1728" s="101"/>
      <c r="AK1728" s="101"/>
      <c r="AL1728" s="101"/>
      <c r="AM1728" s="101"/>
      <c r="AN1728" s="101"/>
    </row>
    <row r="1729" spans="1:40" ht="16.5" customHeight="1" x14ac:dyDescent="0.3">
      <c r="A1729" s="69"/>
      <c r="B1729" s="69"/>
      <c r="C1729" s="69"/>
      <c r="D1729" s="69"/>
      <c r="E1729" s="69"/>
      <c r="F1729" s="69"/>
      <c r="Z1729" s="101"/>
      <c r="AA1729" s="101"/>
      <c r="AB1729" s="101"/>
      <c r="AC1729" s="101"/>
      <c r="AD1729" s="101"/>
      <c r="AE1729" s="101"/>
      <c r="AF1729" s="101"/>
      <c r="AG1729" s="101"/>
      <c r="AH1729" s="101"/>
      <c r="AI1729" s="101"/>
      <c r="AJ1729" s="101"/>
      <c r="AK1729" s="101"/>
      <c r="AL1729" s="101"/>
      <c r="AM1729" s="101"/>
      <c r="AN1729" s="101"/>
    </row>
    <row r="1730" spans="1:40" ht="16.5" customHeight="1" x14ac:dyDescent="0.3">
      <c r="A1730" s="69"/>
      <c r="B1730" s="69"/>
      <c r="C1730" s="69"/>
      <c r="D1730" s="69"/>
      <c r="E1730" s="69"/>
      <c r="F1730" s="69"/>
      <c r="Z1730" s="101"/>
      <c r="AA1730" s="101"/>
      <c r="AB1730" s="101"/>
      <c r="AC1730" s="101"/>
      <c r="AD1730" s="101"/>
      <c r="AE1730" s="101"/>
      <c r="AF1730" s="101"/>
      <c r="AG1730" s="101"/>
      <c r="AH1730" s="101"/>
      <c r="AI1730" s="101"/>
      <c r="AJ1730" s="101"/>
      <c r="AK1730" s="101"/>
      <c r="AL1730" s="101"/>
      <c r="AM1730" s="101"/>
      <c r="AN1730" s="101"/>
    </row>
    <row r="1731" spans="1:40" ht="16.5" customHeight="1" x14ac:dyDescent="0.3">
      <c r="A1731" s="69"/>
      <c r="B1731" s="69"/>
      <c r="C1731" s="69"/>
      <c r="D1731" s="69"/>
      <c r="E1731" s="69"/>
      <c r="F1731" s="69"/>
      <c r="Z1731" s="101"/>
      <c r="AA1731" s="101"/>
      <c r="AB1731" s="101"/>
      <c r="AC1731" s="101"/>
      <c r="AD1731" s="101"/>
      <c r="AE1731" s="101"/>
      <c r="AF1731" s="101"/>
      <c r="AG1731" s="101"/>
      <c r="AH1731" s="101"/>
      <c r="AI1731" s="101"/>
      <c r="AJ1731" s="101"/>
      <c r="AK1731" s="101"/>
      <c r="AL1731" s="101"/>
      <c r="AM1731" s="101"/>
      <c r="AN1731" s="101"/>
    </row>
    <row r="1732" spans="1:40" ht="16.5" customHeight="1" x14ac:dyDescent="0.3">
      <c r="A1732" s="69"/>
      <c r="B1732" s="69"/>
      <c r="C1732" s="69"/>
      <c r="D1732" s="69"/>
      <c r="E1732" s="69"/>
      <c r="F1732" s="69"/>
      <c r="Z1732" s="101"/>
      <c r="AA1732" s="101"/>
      <c r="AB1732" s="101"/>
      <c r="AC1732" s="101"/>
      <c r="AD1732" s="101"/>
      <c r="AE1732" s="101"/>
      <c r="AF1732" s="101"/>
      <c r="AG1732" s="101"/>
      <c r="AH1732" s="101"/>
      <c r="AI1732" s="101"/>
      <c r="AJ1732" s="101"/>
      <c r="AK1732" s="101"/>
      <c r="AL1732" s="101"/>
      <c r="AM1732" s="101"/>
      <c r="AN1732" s="101"/>
    </row>
    <row r="1733" spans="1:40" ht="16.5" customHeight="1" x14ac:dyDescent="0.3">
      <c r="A1733" s="69"/>
      <c r="B1733" s="69"/>
      <c r="C1733" s="69"/>
      <c r="D1733" s="69"/>
      <c r="E1733" s="69"/>
      <c r="F1733" s="69"/>
      <c r="Z1733" s="101"/>
      <c r="AA1733" s="101"/>
      <c r="AB1733" s="101"/>
      <c r="AC1733" s="101"/>
      <c r="AD1733" s="101"/>
      <c r="AE1733" s="101"/>
      <c r="AF1733" s="101"/>
      <c r="AG1733" s="101"/>
      <c r="AH1733" s="101"/>
      <c r="AI1733" s="101"/>
      <c r="AJ1733" s="101"/>
      <c r="AK1733" s="101"/>
      <c r="AL1733" s="101"/>
      <c r="AM1733" s="101"/>
      <c r="AN1733" s="101"/>
    </row>
    <row r="1734" spans="1:40" ht="16.5" customHeight="1" x14ac:dyDescent="0.3">
      <c r="A1734" s="69"/>
      <c r="B1734" s="69"/>
      <c r="C1734" s="69"/>
      <c r="D1734" s="69"/>
      <c r="E1734" s="69"/>
      <c r="F1734" s="69"/>
      <c r="Z1734" s="101"/>
      <c r="AA1734" s="101"/>
      <c r="AB1734" s="101"/>
      <c r="AC1734" s="101"/>
      <c r="AD1734" s="101"/>
      <c r="AE1734" s="101"/>
      <c r="AF1734" s="101"/>
      <c r="AG1734" s="101"/>
      <c r="AH1734" s="101"/>
      <c r="AI1734" s="101"/>
      <c r="AJ1734" s="101"/>
      <c r="AK1734" s="101"/>
      <c r="AL1734" s="101"/>
      <c r="AM1734" s="101"/>
      <c r="AN1734" s="101"/>
    </row>
    <row r="1735" spans="1:40" ht="16.5" customHeight="1" x14ac:dyDescent="0.3">
      <c r="A1735" s="69"/>
      <c r="B1735" s="69"/>
      <c r="C1735" s="69"/>
      <c r="D1735" s="69"/>
      <c r="E1735" s="69"/>
      <c r="F1735" s="69"/>
      <c r="Z1735" s="101"/>
      <c r="AA1735" s="101"/>
      <c r="AB1735" s="101"/>
      <c r="AC1735" s="101"/>
      <c r="AD1735" s="101"/>
      <c r="AE1735" s="101"/>
      <c r="AF1735" s="101"/>
      <c r="AG1735" s="101"/>
      <c r="AH1735" s="101"/>
      <c r="AI1735" s="101"/>
      <c r="AJ1735" s="101"/>
      <c r="AK1735" s="101"/>
      <c r="AL1735" s="101"/>
      <c r="AM1735" s="101"/>
      <c r="AN1735" s="101"/>
    </row>
    <row r="1736" spans="1:40" ht="16.5" customHeight="1" x14ac:dyDescent="0.3">
      <c r="A1736" s="69"/>
      <c r="B1736" s="69"/>
      <c r="C1736" s="69"/>
      <c r="D1736" s="69"/>
      <c r="E1736" s="69"/>
      <c r="F1736" s="69"/>
      <c r="Z1736" s="101"/>
      <c r="AA1736" s="101"/>
      <c r="AB1736" s="101"/>
      <c r="AC1736" s="101"/>
      <c r="AD1736" s="101"/>
      <c r="AE1736" s="101"/>
      <c r="AF1736" s="101"/>
      <c r="AG1736" s="101"/>
      <c r="AH1736" s="101"/>
      <c r="AI1736" s="101"/>
      <c r="AJ1736" s="101"/>
      <c r="AK1736" s="101"/>
      <c r="AL1736" s="101"/>
      <c r="AM1736" s="101"/>
      <c r="AN1736" s="101"/>
    </row>
    <row r="1737" spans="1:40" ht="16.5" customHeight="1" x14ac:dyDescent="0.3">
      <c r="A1737" s="69"/>
      <c r="B1737" s="69"/>
      <c r="C1737" s="69"/>
      <c r="D1737" s="69"/>
      <c r="E1737" s="69"/>
      <c r="F1737" s="69"/>
      <c r="Z1737" s="101"/>
      <c r="AA1737" s="101"/>
      <c r="AB1737" s="101"/>
      <c r="AC1737" s="101"/>
      <c r="AD1737" s="101"/>
      <c r="AE1737" s="101"/>
      <c r="AF1737" s="101"/>
      <c r="AG1737" s="101"/>
      <c r="AH1737" s="101"/>
      <c r="AI1737" s="101"/>
      <c r="AJ1737" s="101"/>
      <c r="AK1737" s="101"/>
      <c r="AL1737" s="101"/>
      <c r="AM1737" s="101"/>
      <c r="AN1737" s="101"/>
    </row>
    <row r="1738" spans="1:40" ht="16.5" customHeight="1" x14ac:dyDescent="0.3">
      <c r="A1738" s="69"/>
      <c r="B1738" s="69"/>
      <c r="C1738" s="69"/>
      <c r="D1738" s="69"/>
      <c r="E1738" s="69"/>
      <c r="F1738" s="69"/>
      <c r="Z1738" s="101"/>
      <c r="AA1738" s="101"/>
      <c r="AB1738" s="101"/>
      <c r="AC1738" s="101"/>
      <c r="AD1738" s="101"/>
      <c r="AE1738" s="101"/>
      <c r="AF1738" s="101"/>
      <c r="AG1738" s="101"/>
      <c r="AH1738" s="101"/>
      <c r="AI1738" s="101"/>
      <c r="AJ1738" s="101"/>
      <c r="AK1738" s="101"/>
      <c r="AL1738" s="101"/>
      <c r="AM1738" s="101"/>
      <c r="AN1738" s="101"/>
    </row>
    <row r="1739" spans="1:40" ht="16.5" customHeight="1" x14ac:dyDescent="0.3">
      <c r="A1739" s="69"/>
      <c r="B1739" s="69"/>
      <c r="C1739" s="69"/>
      <c r="D1739" s="69"/>
      <c r="E1739" s="69"/>
      <c r="F1739" s="69"/>
      <c r="Z1739" s="101"/>
      <c r="AA1739" s="101"/>
      <c r="AB1739" s="101"/>
      <c r="AC1739" s="101"/>
      <c r="AD1739" s="101"/>
      <c r="AE1739" s="101"/>
      <c r="AF1739" s="101"/>
      <c r="AG1739" s="101"/>
      <c r="AH1739" s="101"/>
      <c r="AI1739" s="101"/>
      <c r="AJ1739" s="101"/>
      <c r="AK1739" s="101"/>
      <c r="AL1739" s="101"/>
      <c r="AM1739" s="101"/>
      <c r="AN1739" s="101"/>
    </row>
    <row r="1740" spans="1:40" ht="16.5" customHeight="1" x14ac:dyDescent="0.3">
      <c r="A1740" s="69"/>
      <c r="B1740" s="69"/>
      <c r="C1740" s="69"/>
      <c r="D1740" s="69"/>
      <c r="E1740" s="69"/>
      <c r="F1740" s="69"/>
      <c r="Z1740" s="101"/>
      <c r="AA1740" s="101"/>
      <c r="AB1740" s="101"/>
      <c r="AC1740" s="101"/>
      <c r="AD1740" s="101"/>
      <c r="AE1740" s="101"/>
      <c r="AF1740" s="101"/>
      <c r="AG1740" s="101"/>
      <c r="AH1740" s="101"/>
      <c r="AI1740" s="101"/>
      <c r="AJ1740" s="101"/>
      <c r="AK1740" s="101"/>
      <c r="AL1740" s="101"/>
      <c r="AM1740" s="101"/>
      <c r="AN1740" s="101"/>
    </row>
    <row r="1741" spans="1:40" ht="16.5" customHeight="1" x14ac:dyDescent="0.3">
      <c r="A1741" s="69"/>
      <c r="B1741" s="69"/>
      <c r="C1741" s="69"/>
      <c r="D1741" s="69"/>
      <c r="E1741" s="69"/>
      <c r="F1741" s="69"/>
      <c r="Z1741" s="101"/>
      <c r="AA1741" s="101"/>
      <c r="AB1741" s="101"/>
      <c r="AC1741" s="101"/>
      <c r="AD1741" s="101"/>
      <c r="AE1741" s="101"/>
      <c r="AF1741" s="101"/>
      <c r="AG1741" s="101"/>
      <c r="AH1741" s="101"/>
      <c r="AI1741" s="101"/>
      <c r="AJ1741" s="101"/>
      <c r="AK1741" s="101"/>
      <c r="AL1741" s="101"/>
      <c r="AM1741" s="101"/>
      <c r="AN1741" s="101"/>
    </row>
    <row r="1742" spans="1:40" ht="16.5" customHeight="1" x14ac:dyDescent="0.3">
      <c r="A1742" s="69"/>
      <c r="B1742" s="69"/>
      <c r="C1742" s="69"/>
      <c r="D1742" s="69"/>
      <c r="E1742" s="69"/>
      <c r="F1742" s="69"/>
      <c r="Z1742" s="101"/>
      <c r="AA1742" s="101"/>
      <c r="AB1742" s="101"/>
      <c r="AC1742" s="101"/>
      <c r="AD1742" s="101"/>
      <c r="AE1742" s="101"/>
      <c r="AF1742" s="101"/>
      <c r="AG1742" s="101"/>
      <c r="AH1742" s="101"/>
      <c r="AI1742" s="101"/>
      <c r="AJ1742" s="101"/>
      <c r="AK1742" s="101"/>
      <c r="AL1742" s="101"/>
      <c r="AM1742" s="101"/>
      <c r="AN1742" s="101"/>
    </row>
    <row r="1743" spans="1:40" ht="16.5" customHeight="1" x14ac:dyDescent="0.3">
      <c r="A1743" s="69"/>
      <c r="B1743" s="69"/>
      <c r="C1743" s="69"/>
      <c r="D1743" s="69"/>
      <c r="E1743" s="69"/>
      <c r="F1743" s="69"/>
      <c r="Z1743" s="101"/>
      <c r="AA1743" s="101"/>
      <c r="AB1743" s="101"/>
      <c r="AC1743" s="101"/>
      <c r="AD1743" s="101"/>
      <c r="AE1743" s="101"/>
      <c r="AF1743" s="101"/>
      <c r="AG1743" s="101"/>
      <c r="AH1743" s="101"/>
      <c r="AI1743" s="101"/>
      <c r="AJ1743" s="101"/>
      <c r="AK1743" s="101"/>
      <c r="AL1743" s="101"/>
      <c r="AM1743" s="101"/>
      <c r="AN1743" s="101"/>
    </row>
    <row r="1744" spans="1:40" ht="16.5" customHeight="1" x14ac:dyDescent="0.3">
      <c r="A1744" s="69"/>
      <c r="B1744" s="69"/>
      <c r="C1744" s="69"/>
      <c r="D1744" s="69"/>
      <c r="E1744" s="69"/>
      <c r="F1744" s="69"/>
      <c r="Z1744" s="101"/>
      <c r="AA1744" s="101"/>
      <c r="AB1744" s="101"/>
      <c r="AC1744" s="101"/>
      <c r="AD1744" s="101"/>
      <c r="AE1744" s="101"/>
      <c r="AF1744" s="101"/>
      <c r="AG1744" s="101"/>
      <c r="AH1744" s="101"/>
      <c r="AI1744" s="101"/>
      <c r="AJ1744" s="101"/>
      <c r="AK1744" s="101"/>
      <c r="AL1744" s="101"/>
      <c r="AM1744" s="101"/>
      <c r="AN1744" s="101"/>
    </row>
    <row r="1745" spans="1:40" ht="16.5" customHeight="1" x14ac:dyDescent="0.3">
      <c r="A1745" s="69"/>
      <c r="B1745" s="69"/>
      <c r="C1745" s="69"/>
      <c r="D1745" s="69"/>
      <c r="E1745" s="69"/>
      <c r="F1745" s="69"/>
      <c r="Z1745" s="101"/>
      <c r="AA1745" s="101"/>
      <c r="AB1745" s="101"/>
      <c r="AC1745" s="101"/>
      <c r="AD1745" s="101"/>
      <c r="AE1745" s="101"/>
      <c r="AF1745" s="101"/>
      <c r="AG1745" s="101"/>
      <c r="AH1745" s="101"/>
      <c r="AI1745" s="101"/>
      <c r="AJ1745" s="101"/>
      <c r="AK1745" s="101"/>
      <c r="AL1745" s="101"/>
      <c r="AM1745" s="101"/>
      <c r="AN1745" s="101"/>
    </row>
    <row r="1746" spans="1:40" ht="16.5" customHeight="1" x14ac:dyDescent="0.3">
      <c r="A1746" s="69"/>
      <c r="B1746" s="69"/>
      <c r="C1746" s="69"/>
      <c r="D1746" s="69"/>
      <c r="E1746" s="69"/>
      <c r="F1746" s="69"/>
      <c r="Z1746" s="101"/>
      <c r="AA1746" s="101"/>
      <c r="AB1746" s="101"/>
      <c r="AC1746" s="101"/>
      <c r="AD1746" s="101"/>
      <c r="AE1746" s="101"/>
      <c r="AF1746" s="101"/>
      <c r="AG1746" s="101"/>
      <c r="AH1746" s="101"/>
      <c r="AI1746" s="101"/>
      <c r="AJ1746" s="101"/>
      <c r="AK1746" s="101"/>
      <c r="AL1746" s="101"/>
      <c r="AM1746" s="101"/>
      <c r="AN1746" s="101"/>
    </row>
    <row r="1747" spans="1:40" ht="16.5" customHeight="1" x14ac:dyDescent="0.3">
      <c r="A1747" s="69"/>
      <c r="B1747" s="69"/>
      <c r="C1747" s="69"/>
      <c r="D1747" s="69"/>
      <c r="E1747" s="69"/>
      <c r="F1747" s="69"/>
      <c r="Z1747" s="101"/>
      <c r="AA1747" s="101"/>
      <c r="AB1747" s="101"/>
      <c r="AC1747" s="101"/>
      <c r="AD1747" s="101"/>
      <c r="AE1747" s="101"/>
      <c r="AF1747" s="101"/>
      <c r="AG1747" s="101"/>
      <c r="AH1747" s="101"/>
      <c r="AI1747" s="101"/>
      <c r="AJ1747" s="101"/>
      <c r="AK1747" s="101"/>
      <c r="AL1747" s="101"/>
      <c r="AM1747" s="101"/>
      <c r="AN1747" s="101"/>
    </row>
    <row r="1748" spans="1:40" ht="16.5" customHeight="1" x14ac:dyDescent="0.3">
      <c r="A1748" s="69"/>
      <c r="B1748" s="69"/>
      <c r="C1748" s="69"/>
      <c r="D1748" s="69"/>
      <c r="E1748" s="69"/>
      <c r="F1748" s="69"/>
      <c r="Z1748" s="101"/>
      <c r="AA1748" s="101"/>
      <c r="AB1748" s="101"/>
      <c r="AC1748" s="101"/>
      <c r="AD1748" s="101"/>
      <c r="AE1748" s="101"/>
      <c r="AF1748" s="101"/>
      <c r="AG1748" s="101"/>
      <c r="AH1748" s="101"/>
      <c r="AI1748" s="101"/>
      <c r="AJ1748" s="101"/>
      <c r="AK1748" s="101"/>
      <c r="AL1748" s="101"/>
      <c r="AM1748" s="101"/>
      <c r="AN1748" s="101"/>
    </row>
    <row r="1749" spans="1:40" ht="16.5" customHeight="1" x14ac:dyDescent="0.3">
      <c r="A1749" s="69"/>
      <c r="B1749" s="69"/>
      <c r="C1749" s="69"/>
      <c r="D1749" s="69"/>
      <c r="E1749" s="69"/>
      <c r="F1749" s="69"/>
      <c r="Z1749" s="101"/>
      <c r="AA1749" s="101"/>
      <c r="AB1749" s="101"/>
      <c r="AC1749" s="101"/>
      <c r="AD1749" s="101"/>
      <c r="AE1749" s="101"/>
      <c r="AF1749" s="101"/>
      <c r="AG1749" s="101"/>
      <c r="AH1749" s="101"/>
      <c r="AI1749" s="101"/>
      <c r="AJ1749" s="101"/>
      <c r="AK1749" s="101"/>
      <c r="AL1749" s="101"/>
      <c r="AM1749" s="101"/>
      <c r="AN1749" s="101"/>
    </row>
    <row r="1750" spans="1:40" ht="16.5" customHeight="1" x14ac:dyDescent="0.3">
      <c r="A1750" s="69"/>
      <c r="B1750" s="69"/>
      <c r="C1750" s="69"/>
      <c r="D1750" s="69"/>
      <c r="E1750" s="69"/>
      <c r="F1750" s="69"/>
      <c r="Z1750" s="101"/>
      <c r="AA1750" s="101"/>
      <c r="AB1750" s="101"/>
      <c r="AC1750" s="101"/>
      <c r="AD1750" s="101"/>
      <c r="AE1750" s="101"/>
      <c r="AF1750" s="101"/>
      <c r="AG1750" s="101"/>
      <c r="AH1750" s="101"/>
      <c r="AI1750" s="101"/>
      <c r="AJ1750" s="101"/>
      <c r="AK1750" s="101"/>
      <c r="AL1750" s="101"/>
      <c r="AM1750" s="101"/>
      <c r="AN1750" s="101"/>
    </row>
    <row r="1751" spans="1:40" ht="16.5" customHeight="1" x14ac:dyDescent="0.3">
      <c r="A1751" s="69"/>
      <c r="B1751" s="69"/>
      <c r="C1751" s="69"/>
      <c r="D1751" s="69"/>
      <c r="E1751" s="69"/>
      <c r="F1751" s="69"/>
      <c r="Z1751" s="101"/>
      <c r="AA1751" s="101"/>
      <c r="AB1751" s="101"/>
      <c r="AC1751" s="101"/>
      <c r="AD1751" s="101"/>
      <c r="AE1751" s="101"/>
      <c r="AF1751" s="101"/>
      <c r="AG1751" s="101"/>
      <c r="AH1751" s="101"/>
      <c r="AI1751" s="101"/>
      <c r="AJ1751" s="101"/>
      <c r="AK1751" s="101"/>
      <c r="AL1751" s="101"/>
      <c r="AM1751" s="101"/>
      <c r="AN1751" s="101"/>
    </row>
    <row r="1752" spans="1:40" ht="16.5" customHeight="1" x14ac:dyDescent="0.3">
      <c r="A1752" s="69"/>
      <c r="B1752" s="69"/>
      <c r="C1752" s="69"/>
      <c r="D1752" s="69"/>
      <c r="E1752" s="69"/>
      <c r="F1752" s="69"/>
      <c r="Z1752" s="101"/>
      <c r="AA1752" s="101"/>
      <c r="AB1752" s="101"/>
      <c r="AC1752" s="101"/>
      <c r="AD1752" s="101"/>
      <c r="AE1752" s="101"/>
      <c r="AF1752" s="101"/>
      <c r="AG1752" s="101"/>
      <c r="AH1752" s="101"/>
      <c r="AI1752" s="101"/>
      <c r="AJ1752" s="101"/>
      <c r="AK1752" s="101"/>
      <c r="AL1752" s="101"/>
      <c r="AM1752" s="101"/>
      <c r="AN1752" s="101"/>
    </row>
    <row r="1753" spans="1:40" ht="16.5" customHeight="1" x14ac:dyDescent="0.3">
      <c r="A1753" s="74"/>
      <c r="B1753" s="74"/>
      <c r="C1753" s="74"/>
      <c r="D1753" s="74"/>
      <c r="E1753" s="74"/>
      <c r="F1753" s="74"/>
      <c r="Z1753" s="101"/>
      <c r="AA1753" s="101"/>
      <c r="AB1753" s="101"/>
      <c r="AC1753" s="101"/>
      <c r="AD1753" s="101"/>
      <c r="AE1753" s="101"/>
      <c r="AF1753" s="101"/>
      <c r="AG1753" s="101"/>
      <c r="AH1753" s="101"/>
      <c r="AI1753" s="101"/>
      <c r="AJ1753" s="101"/>
      <c r="AK1753" s="101"/>
      <c r="AL1753" s="101"/>
      <c r="AM1753" s="101"/>
      <c r="AN1753" s="101"/>
    </row>
    <row r="1754" spans="1:40" ht="16.5" customHeight="1" x14ac:dyDescent="0.3">
      <c r="A1754" s="150" t="s">
        <v>1477</v>
      </c>
      <c r="B1754" s="143"/>
      <c r="C1754" s="47">
        <f>E1754+D1754+F1754</f>
        <v>1026</v>
      </c>
      <c r="D1754" s="46">
        <f>ROUNDDOWN(SUMIF(N1707:N1726,M1754,D1707:D1726),0)</f>
        <v>412</v>
      </c>
      <c r="E1754" s="55">
        <f>ROUNDDOWN(SUMIF(N1707:N1726,M1754,E1707:E1726),0)</f>
        <v>364</v>
      </c>
      <c r="F1754" s="47">
        <f>ROUNDDOWN(SUMIF(N1707:N1726,M1754,F1707:F1726),0)</f>
        <v>250</v>
      </c>
      <c r="M1754" s="35" t="s">
        <v>1209</v>
      </c>
      <c r="Z1754" s="101"/>
      <c r="AA1754" s="101"/>
      <c r="AB1754" s="101"/>
      <c r="AC1754" s="101"/>
      <c r="AD1754" s="101"/>
      <c r="AE1754" s="101"/>
      <c r="AF1754" s="101"/>
      <c r="AG1754" s="101"/>
      <c r="AH1754" s="101"/>
      <c r="AI1754" s="101"/>
      <c r="AJ1754" s="101"/>
      <c r="AK1754" s="101"/>
      <c r="AL1754" s="101"/>
      <c r="AM1754" s="101"/>
      <c r="AN1754" s="101"/>
    </row>
    <row r="1755" spans="1:40" ht="16.5" customHeight="1" x14ac:dyDescent="0.3">
      <c r="A1755" s="86" t="s">
        <v>121</v>
      </c>
      <c r="B1755" s="88" t="s">
        <v>121</v>
      </c>
      <c r="C1755" s="151">
        <f>C1804</f>
        <v>73989</v>
      </c>
      <c r="D1755" s="151">
        <f>D1804</f>
        <v>73989</v>
      </c>
      <c r="E1755" s="151">
        <f>E1804</f>
        <v>0</v>
      </c>
      <c r="F1755" s="151">
        <f>F1804</f>
        <v>0</v>
      </c>
      <c r="G1755" s="84" t="str">
        <f>HYPERLINK("#G"&amp;ROW(G1779),"_x0005_`BDCOD|D00492_x0007_`POSS|"&amp;ROW(G1757)&amp;"_x0007_`POSE|"&amp;ROW(G1779)&amp;"_x0007_`")</f>
        <v>_x0005_`BDCOD|D00492_x0007_`POSS|1757_x0007_`POSE|1779_x0007_`</v>
      </c>
      <c r="Z1755" s="101"/>
      <c r="AA1755" s="101"/>
      <c r="AB1755" s="101"/>
      <c r="AC1755" s="101"/>
      <c r="AD1755" s="101"/>
      <c r="AE1755" s="101"/>
      <c r="AF1755" s="101"/>
      <c r="AG1755" s="101"/>
      <c r="AH1755" s="101"/>
      <c r="AI1755" s="101"/>
      <c r="AJ1755" s="101"/>
      <c r="AK1755" s="101"/>
      <c r="AL1755" s="101"/>
      <c r="AM1755" s="101"/>
      <c r="AN1755" s="101"/>
    </row>
    <row r="1756" spans="1:40" ht="16.5" customHeight="1" x14ac:dyDescent="0.3">
      <c r="A1756" s="87"/>
      <c r="B1756" s="88" t="s">
        <v>201</v>
      </c>
      <c r="C1756" s="136"/>
      <c r="D1756" s="136"/>
      <c r="E1756" s="136"/>
      <c r="F1756" s="136"/>
      <c r="M1756" s="35" t="s">
        <v>2083</v>
      </c>
      <c r="Z1756" s="101"/>
      <c r="AA1756" s="101"/>
      <c r="AB1756" s="101"/>
      <c r="AC1756" s="101"/>
      <c r="AD1756" s="101"/>
      <c r="AE1756" s="101"/>
      <c r="AF1756" s="101"/>
      <c r="AG1756" s="101"/>
      <c r="AH1756" s="101"/>
      <c r="AI1756" s="101"/>
      <c r="AJ1756" s="101"/>
      <c r="AK1756" s="101"/>
      <c r="AL1756" s="101"/>
      <c r="AM1756" s="101"/>
      <c r="AN1756" s="101"/>
    </row>
    <row r="1757" spans="1:40" ht="16.5" customHeight="1" x14ac:dyDescent="0.3">
      <c r="A1757" s="69"/>
      <c r="B1757" s="69"/>
      <c r="C1757" s="90"/>
      <c r="D1757" s="90"/>
      <c r="E1757" s="90"/>
      <c r="F1757" s="90"/>
      <c r="G1757" s="17" t="s">
        <v>1405</v>
      </c>
      <c r="Z1757" s="101"/>
      <c r="AA1757" s="101"/>
      <c r="AB1757" s="101"/>
      <c r="AC1757" s="101"/>
      <c r="AD1757" s="101"/>
      <c r="AE1757" s="101"/>
      <c r="AF1757" s="101"/>
      <c r="AG1757" s="101"/>
      <c r="AH1757" s="101"/>
      <c r="AI1757" s="101"/>
      <c r="AJ1757" s="101"/>
      <c r="AK1757" s="101"/>
      <c r="AL1757" s="101"/>
      <c r="AM1757" s="101"/>
      <c r="AN1757" s="101"/>
    </row>
    <row r="1758" spans="1:40" ht="16.5" customHeight="1" x14ac:dyDescent="0.3">
      <c r="A1758" s="69"/>
      <c r="B1758" s="69"/>
      <c r="C1758" s="69"/>
      <c r="D1758" s="69"/>
      <c r="E1758" s="69"/>
      <c r="F1758" s="69"/>
      <c r="G1758" s="17" t="s">
        <v>1405</v>
      </c>
      <c r="Z1758" s="101"/>
      <c r="AA1758" s="101"/>
      <c r="AB1758" s="101"/>
      <c r="AC1758" s="101"/>
      <c r="AD1758" s="101"/>
      <c r="AE1758" s="101"/>
      <c r="AF1758" s="101"/>
      <c r="AG1758" s="101"/>
      <c r="AH1758" s="101"/>
      <c r="AI1758" s="101"/>
      <c r="AJ1758" s="101"/>
      <c r="AK1758" s="101"/>
      <c r="AL1758" s="101"/>
      <c r="AM1758" s="101"/>
      <c r="AN1758" s="101"/>
    </row>
    <row r="1759" spans="1:40" ht="16.5" customHeight="1" x14ac:dyDescent="0.3">
      <c r="A1759" s="69"/>
      <c r="B1759" s="69"/>
      <c r="C1759" s="69"/>
      <c r="D1759" s="69"/>
      <c r="E1759" s="69"/>
      <c r="F1759" s="69"/>
      <c r="G1759" s="17" t="s">
        <v>1405</v>
      </c>
      <c r="Z1759" s="101"/>
      <c r="AA1759" s="101"/>
      <c r="AB1759" s="101"/>
      <c r="AC1759" s="101"/>
      <c r="AD1759" s="101"/>
      <c r="AE1759" s="101"/>
      <c r="AF1759" s="101"/>
      <c r="AG1759" s="101"/>
      <c r="AH1759" s="101"/>
      <c r="AI1759" s="101"/>
      <c r="AJ1759" s="101"/>
      <c r="AK1759" s="101"/>
      <c r="AL1759" s="101"/>
      <c r="AM1759" s="101"/>
      <c r="AN1759" s="101"/>
    </row>
    <row r="1760" spans="1:40" ht="16.5" customHeight="1" x14ac:dyDescent="0.3">
      <c r="A1760" s="59"/>
      <c r="B1760" s="68" t="s">
        <v>2085</v>
      </c>
      <c r="C1760" s="69"/>
      <c r="D1760" s="69"/>
      <c r="E1760" s="69"/>
      <c r="F1760" s="69"/>
      <c r="G1760" s="17" t="s">
        <v>2084</v>
      </c>
      <c r="Z1760" s="101"/>
      <c r="AA1760" s="101"/>
      <c r="AB1760" s="101"/>
      <c r="AC1760" s="101"/>
      <c r="AD1760" s="101"/>
      <c r="AE1760" s="101"/>
      <c r="AF1760" s="101"/>
      <c r="AG1760" s="101"/>
      <c r="AH1760" s="101"/>
      <c r="AI1760" s="101"/>
      <c r="AJ1760" s="101"/>
      <c r="AK1760" s="101"/>
      <c r="AL1760" s="101"/>
      <c r="AM1760" s="101"/>
      <c r="AN1760" s="101"/>
    </row>
    <row r="1761" spans="1:40" ht="16.5" customHeight="1" x14ac:dyDescent="0.3">
      <c r="A1761" s="69"/>
      <c r="B1761" s="69"/>
      <c r="C1761" s="69"/>
      <c r="D1761" s="69"/>
      <c r="E1761" s="69"/>
      <c r="F1761" s="69"/>
      <c r="G1761" s="17" t="s">
        <v>1405</v>
      </c>
      <c r="Z1761" s="101"/>
      <c r="AA1761" s="101"/>
      <c r="AB1761" s="101"/>
      <c r="AC1761" s="101"/>
      <c r="AD1761" s="101"/>
      <c r="AE1761" s="101"/>
      <c r="AF1761" s="101"/>
      <c r="AG1761" s="101"/>
      <c r="AH1761" s="101"/>
      <c r="AI1761" s="101"/>
      <c r="AJ1761" s="101"/>
      <c r="AK1761" s="101"/>
      <c r="AL1761" s="101"/>
      <c r="AM1761" s="101"/>
      <c r="AN1761" s="101"/>
    </row>
    <row r="1762" spans="1:40" ht="16.5" customHeight="1" x14ac:dyDescent="0.3">
      <c r="A1762" s="69"/>
      <c r="B1762" s="69"/>
      <c r="C1762" s="69"/>
      <c r="D1762" s="69"/>
      <c r="E1762" s="69"/>
      <c r="F1762" s="69"/>
      <c r="G1762" s="17" t="s">
        <v>1405</v>
      </c>
      <c r="Z1762" s="101"/>
      <c r="AA1762" s="101"/>
      <c r="AB1762" s="101"/>
      <c r="AC1762" s="101"/>
      <c r="AD1762" s="101"/>
      <c r="AE1762" s="101"/>
      <c r="AF1762" s="101"/>
      <c r="AG1762" s="101"/>
      <c r="AH1762" s="101"/>
      <c r="AI1762" s="101"/>
      <c r="AJ1762" s="101"/>
      <c r="AK1762" s="101"/>
      <c r="AL1762" s="101"/>
      <c r="AM1762" s="101"/>
      <c r="AN1762" s="101"/>
    </row>
    <row r="1763" spans="1:40" ht="16.5" customHeight="1" x14ac:dyDescent="0.3">
      <c r="A1763" s="59"/>
      <c r="B1763" s="68" t="s">
        <v>2087</v>
      </c>
      <c r="C1763" s="69"/>
      <c r="D1763" s="69"/>
      <c r="E1763" s="69"/>
      <c r="F1763" s="69"/>
      <c r="G1763" s="17" t="s">
        <v>2086</v>
      </c>
      <c r="Z1763" s="101"/>
      <c r="AA1763" s="101"/>
      <c r="AB1763" s="101"/>
      <c r="AC1763" s="101"/>
      <c r="AD1763" s="101"/>
      <c r="AE1763" s="101"/>
      <c r="AF1763" s="101"/>
      <c r="AG1763" s="101"/>
      <c r="AH1763" s="101"/>
      <c r="AI1763" s="101"/>
      <c r="AJ1763" s="101"/>
      <c r="AK1763" s="101"/>
      <c r="AL1763" s="101"/>
      <c r="AM1763" s="101"/>
      <c r="AN1763" s="101"/>
    </row>
    <row r="1764" spans="1:40" ht="16.5" customHeight="1" x14ac:dyDescent="0.3">
      <c r="A1764" s="69"/>
      <c r="B1764" s="69"/>
      <c r="C1764" s="69"/>
      <c r="D1764" s="69"/>
      <c r="E1764" s="69"/>
      <c r="F1764" s="69"/>
      <c r="G1764" s="17" t="s">
        <v>1405</v>
      </c>
      <c r="Z1764" s="101"/>
      <c r="AA1764" s="101"/>
      <c r="AB1764" s="101"/>
      <c r="AC1764" s="101"/>
      <c r="AD1764" s="101"/>
      <c r="AE1764" s="101"/>
      <c r="AF1764" s="101"/>
      <c r="AG1764" s="101"/>
      <c r="AH1764" s="101"/>
      <c r="AI1764" s="101"/>
      <c r="AJ1764" s="101"/>
      <c r="AK1764" s="101"/>
      <c r="AL1764" s="101"/>
      <c r="AM1764" s="101"/>
      <c r="AN1764" s="101"/>
    </row>
    <row r="1765" spans="1:40" ht="16.5" customHeight="1" x14ac:dyDescent="0.3">
      <c r="A1765" s="69"/>
      <c r="B1765" s="69"/>
      <c r="C1765" s="69"/>
      <c r="D1765" s="69"/>
      <c r="E1765" s="69"/>
      <c r="F1765" s="69"/>
      <c r="G1765" s="17" t="s">
        <v>1405</v>
      </c>
      <c r="Z1765" s="101"/>
      <c r="AA1765" s="101"/>
      <c r="AB1765" s="101"/>
      <c r="AC1765" s="101"/>
      <c r="AD1765" s="101"/>
      <c r="AE1765" s="101"/>
      <c r="AF1765" s="101"/>
      <c r="AG1765" s="101"/>
      <c r="AH1765" s="101"/>
      <c r="AI1765" s="101"/>
      <c r="AJ1765" s="101"/>
      <c r="AK1765" s="101"/>
      <c r="AL1765" s="101"/>
      <c r="AM1765" s="101"/>
      <c r="AN1765" s="101"/>
    </row>
    <row r="1766" spans="1:40" ht="16.5" customHeight="1" x14ac:dyDescent="0.3">
      <c r="A1766" s="59"/>
      <c r="B1766" s="68" t="s">
        <v>2089</v>
      </c>
      <c r="C1766" s="69"/>
      <c r="D1766" s="69"/>
      <c r="E1766" s="69"/>
      <c r="F1766" s="69"/>
      <c r="G1766" s="17" t="s">
        <v>2088</v>
      </c>
      <c r="Z1766" s="101"/>
      <c r="AA1766" s="101"/>
      <c r="AB1766" s="101"/>
      <c r="AC1766" s="101"/>
      <c r="AD1766" s="101"/>
      <c r="AE1766" s="101"/>
      <c r="AF1766" s="101"/>
      <c r="AG1766" s="101"/>
      <c r="AH1766" s="101"/>
      <c r="AI1766" s="101"/>
      <c r="AJ1766" s="101"/>
      <c r="AK1766" s="101"/>
      <c r="AL1766" s="101"/>
      <c r="AM1766" s="101"/>
      <c r="AN1766" s="101"/>
    </row>
    <row r="1767" spans="1:40" ht="16.5" customHeight="1" x14ac:dyDescent="0.3">
      <c r="A1767" s="69"/>
      <c r="B1767" s="69"/>
      <c r="C1767" s="69"/>
      <c r="D1767" s="69"/>
      <c r="E1767" s="69"/>
      <c r="F1767" s="69"/>
      <c r="G1767" s="17" t="s">
        <v>1405</v>
      </c>
      <c r="Z1767" s="101"/>
      <c r="AA1767" s="101"/>
      <c r="AB1767" s="101"/>
      <c r="AC1767" s="101"/>
      <c r="AD1767" s="101"/>
      <c r="AE1767" s="101"/>
      <c r="AF1767" s="101"/>
      <c r="AG1767" s="101"/>
      <c r="AH1767" s="101"/>
      <c r="AI1767" s="101"/>
      <c r="AJ1767" s="101"/>
      <c r="AK1767" s="101"/>
      <c r="AL1767" s="101"/>
      <c r="AM1767" s="101"/>
      <c r="AN1767" s="101"/>
    </row>
    <row r="1768" spans="1:40" ht="16.5" customHeight="1" x14ac:dyDescent="0.3">
      <c r="A1768" s="69"/>
      <c r="B1768" s="69"/>
      <c r="C1768" s="69"/>
      <c r="D1768" s="69"/>
      <c r="E1768" s="69"/>
      <c r="F1768" s="69"/>
      <c r="G1768" s="17" t="s">
        <v>1405</v>
      </c>
      <c r="Z1768" s="101"/>
      <c r="AA1768" s="101"/>
      <c r="AB1768" s="101"/>
      <c r="AC1768" s="101"/>
      <c r="AD1768" s="101"/>
      <c r="AE1768" s="101"/>
      <c r="AF1768" s="101"/>
      <c r="AG1768" s="101"/>
      <c r="AH1768" s="101"/>
      <c r="AI1768" s="101"/>
      <c r="AJ1768" s="101"/>
      <c r="AK1768" s="101"/>
      <c r="AL1768" s="101"/>
      <c r="AM1768" s="101"/>
      <c r="AN1768" s="101"/>
    </row>
    <row r="1769" spans="1:40" ht="16.5" customHeight="1" x14ac:dyDescent="0.3">
      <c r="A1769" s="59"/>
      <c r="B1769" s="68" t="s">
        <v>2091</v>
      </c>
      <c r="C1769" s="69"/>
      <c r="D1769" s="69"/>
      <c r="E1769" s="69"/>
      <c r="F1769" s="69"/>
      <c r="G1769" s="17" t="s">
        <v>2090</v>
      </c>
      <c r="Z1769" s="101"/>
      <c r="AA1769" s="101"/>
      <c r="AB1769" s="101"/>
      <c r="AC1769" s="101"/>
      <c r="AD1769" s="101"/>
      <c r="AE1769" s="101"/>
      <c r="AF1769" s="101"/>
      <c r="AG1769" s="101"/>
      <c r="AH1769" s="101"/>
      <c r="AI1769" s="101"/>
      <c r="AJ1769" s="101"/>
      <c r="AK1769" s="101"/>
      <c r="AL1769" s="101"/>
      <c r="AM1769" s="101"/>
      <c r="AN1769" s="101"/>
    </row>
    <row r="1770" spans="1:40" ht="16.5" customHeight="1" x14ac:dyDescent="0.3">
      <c r="A1770" s="69"/>
      <c r="B1770" s="69"/>
      <c r="C1770" s="69"/>
      <c r="D1770" s="69"/>
      <c r="E1770" s="69"/>
      <c r="F1770" s="69"/>
      <c r="G1770" s="17" t="s">
        <v>1405</v>
      </c>
      <c r="Z1770" s="101"/>
      <c r="AA1770" s="101"/>
      <c r="AB1770" s="101"/>
      <c r="AC1770" s="101"/>
      <c r="AD1770" s="101"/>
      <c r="AE1770" s="101"/>
      <c r="AF1770" s="101"/>
      <c r="AG1770" s="101"/>
      <c r="AH1770" s="101"/>
      <c r="AI1770" s="101"/>
      <c r="AJ1770" s="101"/>
      <c r="AK1770" s="101"/>
      <c r="AL1770" s="101"/>
      <c r="AM1770" s="101"/>
      <c r="AN1770" s="101"/>
    </row>
    <row r="1771" spans="1:40" ht="16.5" customHeight="1" x14ac:dyDescent="0.3">
      <c r="A1771" s="69"/>
      <c r="B1771" s="69"/>
      <c r="C1771" s="69"/>
      <c r="D1771" s="69"/>
      <c r="E1771" s="69"/>
      <c r="F1771" s="69"/>
      <c r="G1771" s="17" t="s">
        <v>1405</v>
      </c>
      <c r="Z1771" s="101"/>
      <c r="AA1771" s="101"/>
      <c r="AB1771" s="101"/>
      <c r="AC1771" s="101"/>
      <c r="AD1771" s="101"/>
      <c r="AE1771" s="101"/>
      <c r="AF1771" s="101"/>
      <c r="AG1771" s="101"/>
      <c r="AH1771" s="101"/>
      <c r="AI1771" s="101"/>
      <c r="AJ1771" s="101"/>
      <c r="AK1771" s="101"/>
      <c r="AL1771" s="101"/>
      <c r="AM1771" s="101"/>
      <c r="AN1771" s="101"/>
    </row>
    <row r="1772" spans="1:40" ht="16.5" customHeight="1" x14ac:dyDescent="0.3">
      <c r="A1772" s="59"/>
      <c r="B1772" s="68" t="s">
        <v>2093</v>
      </c>
      <c r="C1772" s="69"/>
      <c r="D1772" s="69"/>
      <c r="E1772" s="69"/>
      <c r="F1772" s="69"/>
      <c r="G1772" s="17" t="s">
        <v>2092</v>
      </c>
      <c r="Z1772" s="101"/>
      <c r="AA1772" s="101"/>
      <c r="AB1772" s="101"/>
      <c r="AC1772" s="101"/>
      <c r="AD1772" s="101"/>
      <c r="AE1772" s="101"/>
      <c r="AF1772" s="101"/>
      <c r="AG1772" s="101"/>
      <c r="AH1772" s="101"/>
      <c r="AI1772" s="101"/>
      <c r="AJ1772" s="101"/>
      <c r="AK1772" s="101"/>
      <c r="AL1772" s="101"/>
      <c r="AM1772" s="101"/>
      <c r="AN1772" s="101"/>
    </row>
    <row r="1773" spans="1:40" ht="16.5" customHeight="1" x14ac:dyDescent="0.3">
      <c r="A1773" s="69"/>
      <c r="B1773" s="69"/>
      <c r="C1773" s="69"/>
      <c r="D1773" s="69"/>
      <c r="E1773" s="69"/>
      <c r="F1773" s="69"/>
      <c r="G1773" s="17" t="s">
        <v>1405</v>
      </c>
      <c r="Z1773" s="101"/>
      <c r="AA1773" s="101"/>
      <c r="AB1773" s="101"/>
      <c r="AC1773" s="101"/>
      <c r="AD1773" s="101"/>
      <c r="AE1773" s="101"/>
      <c r="AF1773" s="101"/>
      <c r="AG1773" s="101"/>
      <c r="AH1773" s="101"/>
      <c r="AI1773" s="101"/>
      <c r="AJ1773" s="101"/>
      <c r="AK1773" s="101"/>
      <c r="AL1773" s="101"/>
      <c r="AM1773" s="101"/>
      <c r="AN1773" s="101"/>
    </row>
    <row r="1774" spans="1:40" ht="16.5" customHeight="1" x14ac:dyDescent="0.3">
      <c r="A1774" s="69"/>
      <c r="B1774" s="69"/>
      <c r="C1774" s="69"/>
      <c r="D1774" s="69"/>
      <c r="E1774" s="69"/>
      <c r="F1774" s="69"/>
      <c r="G1774" s="17" t="s">
        <v>1405</v>
      </c>
      <c r="Z1774" s="101"/>
      <c r="AA1774" s="101"/>
      <c r="AB1774" s="101"/>
      <c r="AC1774" s="101"/>
      <c r="AD1774" s="101"/>
      <c r="AE1774" s="101"/>
      <c r="AF1774" s="101"/>
      <c r="AG1774" s="101"/>
      <c r="AH1774" s="101"/>
      <c r="AI1774" s="101"/>
      <c r="AJ1774" s="101"/>
      <c r="AK1774" s="101"/>
      <c r="AL1774" s="101"/>
      <c r="AM1774" s="101"/>
      <c r="AN1774" s="101"/>
    </row>
    <row r="1775" spans="1:40" ht="16.5" customHeight="1" x14ac:dyDescent="0.3">
      <c r="A1775" s="59" t="s">
        <v>1419</v>
      </c>
      <c r="B1775" s="89" t="str">
        <f>"   보통인부 "&amp;Z1775&amp;" 인 *"&amp;TEXT(I1775,"#,##0"&amp;IF(I1775&lt;&gt;INT(I1775),".###",""))&amp;" = "&amp;TEXT(C1775,"#,##0.0")&amp;""</f>
        <v xml:space="preserve">   보통인부 0.43 인 *172,068 = 73,989.2</v>
      </c>
      <c r="C1775" s="91">
        <f>E1775+D1775+F1775</f>
        <v>73989.2</v>
      </c>
      <c r="D1775" s="91">
        <f>IF(H1775=0,0,ROUNDDOWN(J1775*H1775,1))</f>
        <v>73989.2</v>
      </c>
      <c r="E1775" s="91">
        <f>IF(H1775=0,0,ROUNDDOWN(K1775*H1775,1))</f>
        <v>0</v>
      </c>
      <c r="F1775" s="91">
        <f>IF(H1775=0,0,ROUNDDOWN(L1775*H1775,1))</f>
        <v>0</v>
      </c>
      <c r="G1775" s="17" t="s">
        <v>2094</v>
      </c>
      <c r="H1775" s="97">
        <f>ROUNDUP(AC1775,14-LEN(ABS(INT(AC1775))))</f>
        <v>0.43</v>
      </c>
      <c r="I1775" s="98">
        <f>K1775+J1775+L1775</f>
        <v>172068</v>
      </c>
      <c r="J1775" s="38">
        <f>노무비목록표!E8</f>
        <v>172068</v>
      </c>
      <c r="M1775" s="35" t="s">
        <v>1219</v>
      </c>
      <c r="N1775" s="35" t="s">
        <v>1262</v>
      </c>
      <c r="X1775" s="100" t="str">
        <f>노무비목록표!B8&amp;" / "&amp;노무비목록표!C8</f>
        <v xml:space="preserve">보통인부 / </v>
      </c>
      <c r="Y1775" s="3" t="str">
        <f ca="1">HYPERLINK("#"&amp;노무비목록표!G2&amp;"!A"&amp;ROW(노무비목록표!A8),"노무5 →")</f>
        <v>노무5 →</v>
      </c>
      <c r="Z1775" s="104">
        <v>0.43</v>
      </c>
      <c r="AA1775" s="35" t="s">
        <v>1670</v>
      </c>
      <c r="AB1775" s="35" t="s">
        <v>1410</v>
      </c>
      <c r="AC1775" s="103">
        <f>Z1775*1</f>
        <v>0.43</v>
      </c>
      <c r="AD1775" s="101"/>
      <c r="AE1775" s="101"/>
      <c r="AF1775" s="101"/>
      <c r="AG1775" s="101"/>
      <c r="AH1775" s="101"/>
      <c r="AI1775" s="101"/>
      <c r="AJ1775" s="101"/>
      <c r="AK1775" s="101"/>
      <c r="AL1775" s="101"/>
      <c r="AM1775" s="101"/>
      <c r="AN1775" s="101"/>
    </row>
    <row r="1776" spans="1:40" ht="16.5" customHeight="1" x14ac:dyDescent="0.3">
      <c r="A1776" s="69"/>
      <c r="B1776" s="69"/>
      <c r="C1776" s="69"/>
      <c r="D1776" s="69"/>
      <c r="E1776" s="69"/>
      <c r="F1776" s="69"/>
      <c r="G1776" s="17" t="s">
        <v>1405</v>
      </c>
      <c r="Z1776" s="101"/>
      <c r="AA1776" s="101"/>
      <c r="AB1776" s="101"/>
      <c r="AC1776" s="101"/>
      <c r="AD1776" s="101"/>
      <c r="AE1776" s="101"/>
      <c r="AF1776" s="101"/>
      <c r="AG1776" s="101"/>
      <c r="AH1776" s="101"/>
      <c r="AI1776" s="101"/>
      <c r="AJ1776" s="101"/>
      <c r="AK1776" s="101"/>
      <c r="AL1776" s="101"/>
      <c r="AM1776" s="101"/>
      <c r="AN1776" s="101"/>
    </row>
    <row r="1777" spans="1:40" ht="16.5" customHeight="1" x14ac:dyDescent="0.3">
      <c r="A1777" s="69"/>
      <c r="B1777" s="69"/>
      <c r="C1777" s="69"/>
      <c r="D1777" s="69"/>
      <c r="E1777" s="69"/>
      <c r="F1777" s="69"/>
      <c r="G1777" s="17" t="s">
        <v>1405</v>
      </c>
      <c r="Z1777" s="101"/>
      <c r="AA1777" s="101"/>
      <c r="AB1777" s="101"/>
      <c r="AC1777" s="101"/>
      <c r="AD1777" s="101"/>
      <c r="AE1777" s="101"/>
      <c r="AF1777" s="101"/>
      <c r="AG1777" s="101"/>
      <c r="AH1777" s="101"/>
      <c r="AI1777" s="101"/>
      <c r="AJ1777" s="101"/>
      <c r="AK1777" s="101"/>
      <c r="AL1777" s="101"/>
      <c r="AM1777" s="101"/>
      <c r="AN1777" s="101"/>
    </row>
    <row r="1778" spans="1:40" ht="16.5" customHeight="1" x14ac:dyDescent="0.3">
      <c r="A1778" s="69"/>
      <c r="B1778" s="69"/>
      <c r="C1778" s="69"/>
      <c r="D1778" s="69"/>
      <c r="E1778" s="69"/>
      <c r="F1778" s="69"/>
      <c r="G1778" s="17" t="s">
        <v>1405</v>
      </c>
      <c r="Z1778" s="101"/>
      <c r="AA1778" s="101"/>
      <c r="AB1778" s="101"/>
      <c r="AC1778" s="101"/>
      <c r="AD1778" s="101"/>
      <c r="AE1778" s="101"/>
      <c r="AF1778" s="101"/>
      <c r="AG1778" s="101"/>
      <c r="AH1778" s="101"/>
      <c r="AI1778" s="101"/>
      <c r="AJ1778" s="101"/>
      <c r="AK1778" s="101"/>
      <c r="AL1778" s="101"/>
      <c r="AM1778" s="101"/>
      <c r="AN1778" s="101"/>
    </row>
    <row r="1779" spans="1:40" ht="16.5" customHeight="1" x14ac:dyDescent="0.3">
      <c r="A1779" s="59"/>
      <c r="B1779" s="68" t="s">
        <v>1260</v>
      </c>
      <c r="C1779" s="92">
        <f>E1779+D1779+F1779</f>
        <v>73989.2</v>
      </c>
      <c r="D1779" s="92">
        <f>SUMIF(N1757:N1778,M1779,D1757:D1778)</f>
        <v>73989.2</v>
      </c>
      <c r="E1779" s="92">
        <f>SUMIF(N1757:N1778,M1779,E1757:E1778)</f>
        <v>0</v>
      </c>
      <c r="F1779" s="92">
        <f>SUMIF(N1757:N1778,M1779,F1757:F1778)</f>
        <v>0</v>
      </c>
      <c r="G1779" s="17" t="s">
        <v>1430</v>
      </c>
      <c r="M1779" s="35" t="s">
        <v>1262</v>
      </c>
      <c r="N1779" s="35" t="s">
        <v>1209</v>
      </c>
      <c r="Z1779" s="101"/>
      <c r="AA1779" s="101"/>
      <c r="AB1779" s="101"/>
      <c r="AC1779" s="101"/>
      <c r="AD1779" s="101"/>
      <c r="AE1779" s="101"/>
      <c r="AF1779" s="101"/>
      <c r="AG1779" s="101"/>
      <c r="AH1779" s="101"/>
      <c r="AI1779" s="101"/>
      <c r="AJ1779" s="101"/>
      <c r="AK1779" s="101"/>
      <c r="AL1779" s="101"/>
      <c r="AM1779" s="101"/>
      <c r="AN1779" s="101"/>
    </row>
    <row r="1780" spans="1:40" ht="16.5" customHeight="1" x14ac:dyDescent="0.3">
      <c r="A1780" s="69"/>
      <c r="B1780" s="69"/>
      <c r="C1780" s="90"/>
      <c r="D1780" s="90"/>
      <c r="E1780" s="90"/>
      <c r="F1780" s="90"/>
      <c r="Z1780" s="101"/>
      <c r="AA1780" s="101"/>
      <c r="AB1780" s="101"/>
      <c r="AC1780" s="101"/>
      <c r="AD1780" s="101"/>
      <c r="AE1780" s="101"/>
      <c r="AF1780" s="101"/>
      <c r="AG1780" s="101"/>
      <c r="AH1780" s="101"/>
      <c r="AI1780" s="101"/>
      <c r="AJ1780" s="101"/>
      <c r="AK1780" s="101"/>
      <c r="AL1780" s="101"/>
      <c r="AM1780" s="101"/>
      <c r="AN1780" s="101"/>
    </row>
    <row r="1781" spans="1:40" ht="16.5" customHeight="1" x14ac:dyDescent="0.3">
      <c r="A1781" s="69"/>
      <c r="B1781" s="69"/>
      <c r="C1781" s="69"/>
      <c r="D1781" s="69"/>
      <c r="E1781" s="69"/>
      <c r="F1781" s="69"/>
      <c r="Z1781" s="101"/>
      <c r="AA1781" s="101"/>
      <c r="AB1781" s="101"/>
      <c r="AC1781" s="101"/>
      <c r="AD1781" s="101"/>
      <c r="AE1781" s="101"/>
      <c r="AF1781" s="101"/>
      <c r="AG1781" s="101"/>
      <c r="AH1781" s="101"/>
      <c r="AI1781" s="101"/>
      <c r="AJ1781" s="101"/>
      <c r="AK1781" s="101"/>
      <c r="AL1781" s="101"/>
      <c r="AM1781" s="101"/>
      <c r="AN1781" s="101"/>
    </row>
    <row r="1782" spans="1:40" ht="16.5" customHeight="1" x14ac:dyDescent="0.3">
      <c r="A1782" s="69"/>
      <c r="B1782" s="69"/>
      <c r="C1782" s="69"/>
      <c r="D1782" s="69"/>
      <c r="E1782" s="69"/>
      <c r="F1782" s="69"/>
      <c r="Z1782" s="101"/>
      <c r="AA1782" s="101"/>
      <c r="AB1782" s="101"/>
      <c r="AC1782" s="101"/>
      <c r="AD1782" s="101"/>
      <c r="AE1782" s="101"/>
      <c r="AF1782" s="101"/>
      <c r="AG1782" s="101"/>
      <c r="AH1782" s="101"/>
      <c r="AI1782" s="101"/>
      <c r="AJ1782" s="101"/>
      <c r="AK1782" s="101"/>
      <c r="AL1782" s="101"/>
      <c r="AM1782" s="101"/>
      <c r="AN1782" s="101"/>
    </row>
    <row r="1783" spans="1:40" ht="16.5" customHeight="1" x14ac:dyDescent="0.3">
      <c r="A1783" s="69"/>
      <c r="B1783" s="69"/>
      <c r="C1783" s="69"/>
      <c r="D1783" s="69"/>
      <c r="E1783" s="69"/>
      <c r="F1783" s="69"/>
      <c r="Z1783" s="101"/>
      <c r="AA1783" s="101"/>
      <c r="AB1783" s="101"/>
      <c r="AC1783" s="101"/>
      <c r="AD1783" s="101"/>
      <c r="AE1783" s="101"/>
      <c r="AF1783" s="101"/>
      <c r="AG1783" s="101"/>
      <c r="AH1783" s="101"/>
      <c r="AI1783" s="101"/>
      <c r="AJ1783" s="101"/>
      <c r="AK1783" s="101"/>
      <c r="AL1783" s="101"/>
      <c r="AM1783" s="101"/>
      <c r="AN1783" s="101"/>
    </row>
    <row r="1784" spans="1:40" ht="16.5" customHeight="1" x14ac:dyDescent="0.3">
      <c r="A1784" s="69"/>
      <c r="B1784" s="69"/>
      <c r="C1784" s="69"/>
      <c r="D1784" s="69"/>
      <c r="E1784" s="69"/>
      <c r="F1784" s="69"/>
      <c r="Z1784" s="101"/>
      <c r="AA1784" s="101"/>
      <c r="AB1784" s="101"/>
      <c r="AC1784" s="101"/>
      <c r="AD1784" s="101"/>
      <c r="AE1784" s="101"/>
      <c r="AF1784" s="101"/>
      <c r="AG1784" s="101"/>
      <c r="AH1784" s="101"/>
      <c r="AI1784" s="101"/>
      <c r="AJ1784" s="101"/>
      <c r="AK1784" s="101"/>
      <c r="AL1784" s="101"/>
      <c r="AM1784" s="101"/>
      <c r="AN1784" s="101"/>
    </row>
    <row r="1785" spans="1:40" ht="16.5" customHeight="1" x14ac:dyDescent="0.3">
      <c r="A1785" s="69"/>
      <c r="B1785" s="69"/>
      <c r="C1785" s="69"/>
      <c r="D1785" s="69"/>
      <c r="E1785" s="69"/>
      <c r="F1785" s="69"/>
      <c r="Z1785" s="101"/>
      <c r="AA1785" s="101"/>
      <c r="AB1785" s="101"/>
      <c r="AC1785" s="101"/>
      <c r="AD1785" s="101"/>
      <c r="AE1785" s="101"/>
      <c r="AF1785" s="101"/>
      <c r="AG1785" s="101"/>
      <c r="AH1785" s="101"/>
      <c r="AI1785" s="101"/>
      <c r="AJ1785" s="101"/>
      <c r="AK1785" s="101"/>
      <c r="AL1785" s="101"/>
      <c r="AM1785" s="101"/>
      <c r="AN1785" s="101"/>
    </row>
    <row r="1786" spans="1:40" ht="16.5" customHeight="1" x14ac:dyDescent="0.3">
      <c r="A1786" s="69"/>
      <c r="B1786" s="69"/>
      <c r="C1786" s="69"/>
      <c r="D1786" s="69"/>
      <c r="E1786" s="69"/>
      <c r="F1786" s="69"/>
      <c r="Z1786" s="101"/>
      <c r="AA1786" s="101"/>
      <c r="AB1786" s="101"/>
      <c r="AC1786" s="101"/>
      <c r="AD1786" s="101"/>
      <c r="AE1786" s="101"/>
      <c r="AF1786" s="101"/>
      <c r="AG1786" s="101"/>
      <c r="AH1786" s="101"/>
      <c r="AI1786" s="101"/>
      <c r="AJ1786" s="101"/>
      <c r="AK1786" s="101"/>
      <c r="AL1786" s="101"/>
      <c r="AM1786" s="101"/>
      <c r="AN1786" s="101"/>
    </row>
    <row r="1787" spans="1:40" ht="16.5" customHeight="1" x14ac:dyDescent="0.3">
      <c r="A1787" s="69"/>
      <c r="B1787" s="69"/>
      <c r="C1787" s="69"/>
      <c r="D1787" s="69"/>
      <c r="E1787" s="69"/>
      <c r="F1787" s="69"/>
      <c r="Z1787" s="101"/>
      <c r="AA1787" s="101"/>
      <c r="AB1787" s="101"/>
      <c r="AC1787" s="101"/>
      <c r="AD1787" s="101"/>
      <c r="AE1787" s="101"/>
      <c r="AF1787" s="101"/>
      <c r="AG1787" s="101"/>
      <c r="AH1787" s="101"/>
      <c r="AI1787" s="101"/>
      <c r="AJ1787" s="101"/>
      <c r="AK1787" s="101"/>
      <c r="AL1787" s="101"/>
      <c r="AM1787" s="101"/>
      <c r="AN1787" s="101"/>
    </row>
    <row r="1788" spans="1:40" ht="16.5" customHeight="1" x14ac:dyDescent="0.3">
      <c r="A1788" s="69"/>
      <c r="B1788" s="69"/>
      <c r="C1788" s="69"/>
      <c r="D1788" s="69"/>
      <c r="E1788" s="69"/>
      <c r="F1788" s="69"/>
      <c r="Z1788" s="101"/>
      <c r="AA1788" s="101"/>
      <c r="AB1788" s="101"/>
      <c r="AC1788" s="101"/>
      <c r="AD1788" s="101"/>
      <c r="AE1788" s="101"/>
      <c r="AF1788" s="101"/>
      <c r="AG1788" s="101"/>
      <c r="AH1788" s="101"/>
      <c r="AI1788" s="101"/>
      <c r="AJ1788" s="101"/>
      <c r="AK1788" s="101"/>
      <c r="AL1788" s="101"/>
      <c r="AM1788" s="101"/>
      <c r="AN1788" s="101"/>
    </row>
    <row r="1789" spans="1:40" ht="16.5" customHeight="1" x14ac:dyDescent="0.3">
      <c r="A1789" s="69"/>
      <c r="B1789" s="69"/>
      <c r="C1789" s="69"/>
      <c r="D1789" s="69"/>
      <c r="E1789" s="69"/>
      <c r="F1789" s="69"/>
      <c r="Z1789" s="101"/>
      <c r="AA1789" s="101"/>
      <c r="AB1789" s="101"/>
      <c r="AC1789" s="101"/>
      <c r="AD1789" s="101"/>
      <c r="AE1789" s="101"/>
      <c r="AF1789" s="101"/>
      <c r="AG1789" s="101"/>
      <c r="AH1789" s="101"/>
      <c r="AI1789" s="101"/>
      <c r="AJ1789" s="101"/>
      <c r="AK1789" s="101"/>
      <c r="AL1789" s="101"/>
      <c r="AM1789" s="101"/>
      <c r="AN1789" s="101"/>
    </row>
    <row r="1790" spans="1:40" ht="16.5" customHeight="1" x14ac:dyDescent="0.3">
      <c r="A1790" s="69"/>
      <c r="B1790" s="69"/>
      <c r="C1790" s="69"/>
      <c r="D1790" s="69"/>
      <c r="E1790" s="69"/>
      <c r="F1790" s="69"/>
      <c r="Z1790" s="101"/>
      <c r="AA1790" s="101"/>
      <c r="AB1790" s="101"/>
      <c r="AC1790" s="101"/>
      <c r="AD1790" s="101"/>
      <c r="AE1790" s="101"/>
      <c r="AF1790" s="101"/>
      <c r="AG1790" s="101"/>
      <c r="AH1790" s="101"/>
      <c r="AI1790" s="101"/>
      <c r="AJ1790" s="101"/>
      <c r="AK1790" s="101"/>
      <c r="AL1790" s="101"/>
      <c r="AM1790" s="101"/>
      <c r="AN1790" s="101"/>
    </row>
    <row r="1791" spans="1:40" ht="16.5" customHeight="1" x14ac:dyDescent="0.3">
      <c r="A1791" s="69"/>
      <c r="B1791" s="69"/>
      <c r="C1791" s="69"/>
      <c r="D1791" s="69"/>
      <c r="E1791" s="69"/>
      <c r="F1791" s="69"/>
      <c r="Z1791" s="101"/>
      <c r="AA1791" s="101"/>
      <c r="AB1791" s="101"/>
      <c r="AC1791" s="101"/>
      <c r="AD1791" s="101"/>
      <c r="AE1791" s="101"/>
      <c r="AF1791" s="101"/>
      <c r="AG1791" s="101"/>
      <c r="AH1791" s="101"/>
      <c r="AI1791" s="101"/>
      <c r="AJ1791" s="101"/>
      <c r="AK1791" s="101"/>
      <c r="AL1791" s="101"/>
      <c r="AM1791" s="101"/>
      <c r="AN1791" s="101"/>
    </row>
    <row r="1792" spans="1:40" ht="16.5" customHeight="1" x14ac:dyDescent="0.3">
      <c r="A1792" s="69"/>
      <c r="B1792" s="69"/>
      <c r="C1792" s="69"/>
      <c r="D1792" s="69"/>
      <c r="E1792" s="69"/>
      <c r="F1792" s="69"/>
      <c r="Z1792" s="101"/>
      <c r="AA1792" s="101"/>
      <c r="AB1792" s="101"/>
      <c r="AC1792" s="101"/>
      <c r="AD1792" s="101"/>
      <c r="AE1792" s="101"/>
      <c r="AF1792" s="101"/>
      <c r="AG1792" s="101"/>
      <c r="AH1792" s="101"/>
      <c r="AI1792" s="101"/>
      <c r="AJ1792" s="101"/>
      <c r="AK1792" s="101"/>
      <c r="AL1792" s="101"/>
      <c r="AM1792" s="101"/>
      <c r="AN1792" s="101"/>
    </row>
    <row r="1793" spans="1:40" ht="16.5" customHeight="1" x14ac:dyDescent="0.3">
      <c r="A1793" s="69"/>
      <c r="B1793" s="69"/>
      <c r="C1793" s="69"/>
      <c r="D1793" s="69"/>
      <c r="E1793" s="69"/>
      <c r="F1793" s="69"/>
      <c r="Z1793" s="101"/>
      <c r="AA1793" s="101"/>
      <c r="AB1793" s="101"/>
      <c r="AC1793" s="101"/>
      <c r="AD1793" s="101"/>
      <c r="AE1793" s="101"/>
      <c r="AF1793" s="101"/>
      <c r="AG1793" s="101"/>
      <c r="AH1793" s="101"/>
      <c r="AI1793" s="101"/>
      <c r="AJ1793" s="101"/>
      <c r="AK1793" s="101"/>
      <c r="AL1793" s="101"/>
      <c r="AM1793" s="101"/>
      <c r="AN1793" s="101"/>
    </row>
    <row r="1794" spans="1:40" ht="16.5" customHeight="1" x14ac:dyDescent="0.3">
      <c r="A1794" s="69"/>
      <c r="B1794" s="69"/>
      <c r="C1794" s="69"/>
      <c r="D1794" s="69"/>
      <c r="E1794" s="69"/>
      <c r="F1794" s="69"/>
      <c r="Z1794" s="101"/>
      <c r="AA1794" s="101"/>
      <c r="AB1794" s="101"/>
      <c r="AC1794" s="101"/>
      <c r="AD1794" s="101"/>
      <c r="AE1794" s="101"/>
      <c r="AF1794" s="101"/>
      <c r="AG1794" s="101"/>
      <c r="AH1794" s="101"/>
      <c r="AI1794" s="101"/>
      <c r="AJ1794" s="101"/>
      <c r="AK1794" s="101"/>
      <c r="AL1794" s="101"/>
      <c r="AM1794" s="101"/>
      <c r="AN1794" s="101"/>
    </row>
    <row r="1795" spans="1:40" ht="16.5" customHeight="1" x14ac:dyDescent="0.3">
      <c r="A1795" s="69"/>
      <c r="B1795" s="69"/>
      <c r="C1795" s="69"/>
      <c r="D1795" s="69"/>
      <c r="E1795" s="69"/>
      <c r="F1795" s="69"/>
      <c r="Z1795" s="101"/>
      <c r="AA1795" s="101"/>
      <c r="AB1795" s="101"/>
      <c r="AC1795" s="101"/>
      <c r="AD1795" s="101"/>
      <c r="AE1795" s="101"/>
      <c r="AF1795" s="101"/>
      <c r="AG1795" s="101"/>
      <c r="AH1795" s="101"/>
      <c r="AI1795" s="101"/>
      <c r="AJ1795" s="101"/>
      <c r="AK1795" s="101"/>
      <c r="AL1795" s="101"/>
      <c r="AM1795" s="101"/>
      <c r="AN1795" s="101"/>
    </row>
    <row r="1796" spans="1:40" ht="16.5" customHeight="1" x14ac:dyDescent="0.3">
      <c r="A1796" s="69"/>
      <c r="B1796" s="69"/>
      <c r="C1796" s="69"/>
      <c r="D1796" s="69"/>
      <c r="E1796" s="69"/>
      <c r="F1796" s="69"/>
      <c r="Z1796" s="101"/>
      <c r="AA1796" s="101"/>
      <c r="AB1796" s="101"/>
      <c r="AC1796" s="101"/>
      <c r="AD1796" s="101"/>
      <c r="AE1796" s="101"/>
      <c r="AF1796" s="101"/>
      <c r="AG1796" s="101"/>
      <c r="AH1796" s="101"/>
      <c r="AI1796" s="101"/>
      <c r="AJ1796" s="101"/>
      <c r="AK1796" s="101"/>
      <c r="AL1796" s="101"/>
      <c r="AM1796" s="101"/>
      <c r="AN1796" s="101"/>
    </row>
    <row r="1797" spans="1:40" ht="16.5" customHeight="1" x14ac:dyDescent="0.3">
      <c r="A1797" s="69"/>
      <c r="B1797" s="69"/>
      <c r="C1797" s="69"/>
      <c r="D1797" s="69"/>
      <c r="E1797" s="69"/>
      <c r="F1797" s="69"/>
      <c r="Z1797" s="101"/>
      <c r="AA1797" s="101"/>
      <c r="AB1797" s="101"/>
      <c r="AC1797" s="101"/>
      <c r="AD1797" s="101"/>
      <c r="AE1797" s="101"/>
      <c r="AF1797" s="101"/>
      <c r="AG1797" s="101"/>
      <c r="AH1797" s="101"/>
      <c r="AI1797" s="101"/>
      <c r="AJ1797" s="101"/>
      <c r="AK1797" s="101"/>
      <c r="AL1797" s="101"/>
      <c r="AM1797" s="101"/>
      <c r="AN1797" s="101"/>
    </row>
    <row r="1798" spans="1:40" ht="16.5" customHeight="1" x14ac:dyDescent="0.3">
      <c r="A1798" s="69"/>
      <c r="B1798" s="69"/>
      <c r="C1798" s="69"/>
      <c r="D1798" s="69"/>
      <c r="E1798" s="69"/>
      <c r="F1798" s="69"/>
      <c r="Z1798" s="101"/>
      <c r="AA1798" s="101"/>
      <c r="AB1798" s="101"/>
      <c r="AC1798" s="101"/>
      <c r="AD1798" s="101"/>
      <c r="AE1798" s="101"/>
      <c r="AF1798" s="101"/>
      <c r="AG1798" s="101"/>
      <c r="AH1798" s="101"/>
      <c r="AI1798" s="101"/>
      <c r="AJ1798" s="101"/>
      <c r="AK1798" s="101"/>
      <c r="AL1798" s="101"/>
      <c r="AM1798" s="101"/>
      <c r="AN1798" s="101"/>
    </row>
    <row r="1799" spans="1:40" ht="16.5" customHeight="1" x14ac:dyDescent="0.3">
      <c r="A1799" s="69"/>
      <c r="B1799" s="69"/>
      <c r="C1799" s="69"/>
      <c r="D1799" s="69"/>
      <c r="E1799" s="69"/>
      <c r="F1799" s="69"/>
      <c r="Z1799" s="101"/>
      <c r="AA1799" s="101"/>
      <c r="AB1799" s="101"/>
      <c r="AC1799" s="101"/>
      <c r="AD1799" s="101"/>
      <c r="AE1799" s="101"/>
      <c r="AF1799" s="101"/>
      <c r="AG1799" s="101"/>
      <c r="AH1799" s="101"/>
      <c r="AI1799" s="101"/>
      <c r="AJ1799" s="101"/>
      <c r="AK1799" s="101"/>
      <c r="AL1799" s="101"/>
      <c r="AM1799" s="101"/>
      <c r="AN1799" s="101"/>
    </row>
    <row r="1800" spans="1:40" ht="16.5" customHeight="1" x14ac:dyDescent="0.3">
      <c r="A1800" s="69"/>
      <c r="B1800" s="69"/>
      <c r="C1800" s="69"/>
      <c r="D1800" s="69"/>
      <c r="E1800" s="69"/>
      <c r="F1800" s="69"/>
      <c r="Z1800" s="101"/>
      <c r="AA1800" s="101"/>
      <c r="AB1800" s="101"/>
      <c r="AC1800" s="101"/>
      <c r="AD1800" s="101"/>
      <c r="AE1800" s="101"/>
      <c r="AF1800" s="101"/>
      <c r="AG1800" s="101"/>
      <c r="AH1800" s="101"/>
      <c r="AI1800" s="101"/>
      <c r="AJ1800" s="101"/>
      <c r="AK1800" s="101"/>
      <c r="AL1800" s="101"/>
      <c r="AM1800" s="101"/>
      <c r="AN1800" s="101"/>
    </row>
    <row r="1801" spans="1:40" ht="16.5" customHeight="1" x14ac:dyDescent="0.3">
      <c r="A1801" s="69"/>
      <c r="B1801" s="69"/>
      <c r="C1801" s="69"/>
      <c r="D1801" s="69"/>
      <c r="E1801" s="69"/>
      <c r="F1801" s="69"/>
      <c r="Z1801" s="101"/>
      <c r="AA1801" s="101"/>
      <c r="AB1801" s="101"/>
      <c r="AC1801" s="101"/>
      <c r="AD1801" s="101"/>
      <c r="AE1801" s="101"/>
      <c r="AF1801" s="101"/>
      <c r="AG1801" s="101"/>
      <c r="AH1801" s="101"/>
      <c r="AI1801" s="101"/>
      <c r="AJ1801" s="101"/>
      <c r="AK1801" s="101"/>
      <c r="AL1801" s="101"/>
      <c r="AM1801" s="101"/>
      <c r="AN1801" s="101"/>
    </row>
    <row r="1802" spans="1:40" ht="16.5" customHeight="1" x14ac:dyDescent="0.3">
      <c r="A1802" s="69"/>
      <c r="B1802" s="69"/>
      <c r="C1802" s="69"/>
      <c r="D1802" s="69"/>
      <c r="E1802" s="69"/>
      <c r="F1802" s="69"/>
      <c r="Z1802" s="101"/>
      <c r="AA1802" s="101"/>
      <c r="AB1802" s="101"/>
      <c r="AC1802" s="101"/>
      <c r="AD1802" s="101"/>
      <c r="AE1802" s="101"/>
      <c r="AF1802" s="101"/>
      <c r="AG1802" s="101"/>
      <c r="AH1802" s="101"/>
      <c r="AI1802" s="101"/>
      <c r="AJ1802" s="101"/>
      <c r="AK1802" s="101"/>
      <c r="AL1802" s="101"/>
      <c r="AM1802" s="101"/>
      <c r="AN1802" s="101"/>
    </row>
    <row r="1803" spans="1:40" ht="16.5" customHeight="1" x14ac:dyDescent="0.3">
      <c r="A1803" s="74"/>
      <c r="B1803" s="74"/>
      <c r="C1803" s="74"/>
      <c r="D1803" s="74"/>
      <c r="E1803" s="74"/>
      <c r="F1803" s="74"/>
      <c r="Z1803" s="101"/>
      <c r="AA1803" s="101"/>
      <c r="AB1803" s="101"/>
      <c r="AC1803" s="101"/>
      <c r="AD1803" s="101"/>
      <c r="AE1803" s="101"/>
      <c r="AF1803" s="101"/>
      <c r="AG1803" s="101"/>
      <c r="AH1803" s="101"/>
      <c r="AI1803" s="101"/>
      <c r="AJ1803" s="101"/>
      <c r="AK1803" s="101"/>
      <c r="AL1803" s="101"/>
      <c r="AM1803" s="101"/>
      <c r="AN1803" s="101"/>
    </row>
    <row r="1804" spans="1:40" ht="16.5" customHeight="1" x14ac:dyDescent="0.3">
      <c r="A1804" s="150" t="s">
        <v>1477</v>
      </c>
      <c r="B1804" s="143"/>
      <c r="C1804" s="47">
        <f>E1804+D1804+F1804</f>
        <v>73989</v>
      </c>
      <c r="D1804" s="46">
        <f>ROUNDDOWN(SUMIF(N1757:N1779,M1804,D1757:D1779),0)</f>
        <v>73989</v>
      </c>
      <c r="E1804" s="55">
        <f>ROUNDDOWN(SUMIF(N1757:N1779,M1804,E1757:E1779),0)</f>
        <v>0</v>
      </c>
      <c r="F1804" s="47">
        <f>ROUNDDOWN(SUMIF(N1757:N1779,M1804,F1757:F1779),0)</f>
        <v>0</v>
      </c>
      <c r="M1804" s="35" t="s">
        <v>1209</v>
      </c>
      <c r="Z1804" s="101"/>
      <c r="AA1804" s="101"/>
      <c r="AB1804" s="101"/>
      <c r="AC1804" s="101"/>
      <c r="AD1804" s="101"/>
      <c r="AE1804" s="101"/>
      <c r="AF1804" s="101"/>
      <c r="AG1804" s="101"/>
      <c r="AH1804" s="101"/>
      <c r="AI1804" s="101"/>
      <c r="AJ1804" s="101"/>
      <c r="AK1804" s="101"/>
      <c r="AL1804" s="101"/>
      <c r="AM1804" s="101"/>
      <c r="AN1804" s="101"/>
    </row>
    <row r="1805" spans="1:40" ht="16.5" customHeight="1" x14ac:dyDescent="0.3">
      <c r="A1805" s="86" t="s">
        <v>204</v>
      </c>
      <c r="B1805" s="88" t="s">
        <v>204</v>
      </c>
      <c r="C1805" s="151">
        <f>C1904</f>
        <v>13611</v>
      </c>
      <c r="D1805" s="151">
        <f>D1904</f>
        <v>11304</v>
      </c>
      <c r="E1805" s="151">
        <f>E1904</f>
        <v>1117</v>
      </c>
      <c r="F1805" s="151">
        <f>F1904</f>
        <v>1190</v>
      </c>
      <c r="G1805" s="84" t="str">
        <f>HYPERLINK("#G"&amp;ROW(G1858),"_x0005_`BDCOD|D03666_x0007_`POSS|"&amp;ROW(G1807)&amp;"_x0007_`POSE|"&amp;ROW(G1858)&amp;"_x0007_`")</f>
        <v>_x0005_`BDCOD|D03666_x0007_`POSS|1807_x0007_`POSE|1858_x0007_`</v>
      </c>
      <c r="Z1805" s="101"/>
      <c r="AA1805" s="101"/>
      <c r="AB1805" s="101"/>
      <c r="AC1805" s="101"/>
      <c r="AD1805" s="101"/>
      <c r="AE1805" s="101"/>
      <c r="AF1805" s="101"/>
      <c r="AG1805" s="101"/>
      <c r="AH1805" s="101"/>
      <c r="AI1805" s="101"/>
      <c r="AJ1805" s="101"/>
      <c r="AK1805" s="101"/>
      <c r="AL1805" s="101"/>
      <c r="AM1805" s="101"/>
      <c r="AN1805" s="101"/>
    </row>
    <row r="1806" spans="1:40" ht="16.5" customHeight="1" x14ac:dyDescent="0.3">
      <c r="A1806" s="87"/>
      <c r="B1806" s="88" t="s">
        <v>203</v>
      </c>
      <c r="C1806" s="136"/>
      <c r="D1806" s="136"/>
      <c r="E1806" s="136"/>
      <c r="F1806" s="136"/>
      <c r="M1806" s="35" t="s">
        <v>2095</v>
      </c>
      <c r="Z1806" s="101"/>
      <c r="AA1806" s="101"/>
      <c r="AB1806" s="101"/>
      <c r="AC1806" s="101"/>
      <c r="AD1806" s="101"/>
      <c r="AE1806" s="101"/>
      <c r="AF1806" s="101"/>
      <c r="AG1806" s="101"/>
      <c r="AH1806" s="101"/>
      <c r="AI1806" s="101"/>
      <c r="AJ1806" s="101"/>
      <c r="AK1806" s="101"/>
      <c r="AL1806" s="101"/>
      <c r="AM1806" s="101"/>
      <c r="AN1806" s="101"/>
    </row>
    <row r="1807" spans="1:40" ht="16.5" customHeight="1" x14ac:dyDescent="0.3">
      <c r="A1807" s="59"/>
      <c r="B1807" s="68" t="s">
        <v>2097</v>
      </c>
      <c r="C1807" s="90"/>
      <c r="D1807" s="90"/>
      <c r="E1807" s="90"/>
      <c r="F1807" s="90"/>
      <c r="G1807" s="17" t="s">
        <v>2096</v>
      </c>
      <c r="Z1807" s="101"/>
      <c r="AA1807" s="101"/>
      <c r="AB1807" s="101"/>
      <c r="AC1807" s="101"/>
      <c r="AD1807" s="101"/>
      <c r="AE1807" s="101"/>
      <c r="AF1807" s="101"/>
      <c r="AG1807" s="101"/>
      <c r="AH1807" s="101"/>
      <c r="AI1807" s="101"/>
      <c r="AJ1807" s="101"/>
      <c r="AK1807" s="101"/>
      <c r="AL1807" s="101"/>
      <c r="AM1807" s="101"/>
      <c r="AN1807" s="101"/>
    </row>
    <row r="1808" spans="1:40" ht="16.5" customHeight="1" x14ac:dyDescent="0.3">
      <c r="A1808" s="69"/>
      <c r="B1808" s="69"/>
      <c r="C1808" s="69"/>
      <c r="D1808" s="69"/>
      <c r="E1808" s="69"/>
      <c r="F1808" s="69"/>
      <c r="G1808" s="17" t="s">
        <v>1405</v>
      </c>
      <c r="Z1808" s="101"/>
      <c r="AA1808" s="101"/>
      <c r="AB1808" s="101"/>
      <c r="AC1808" s="101"/>
      <c r="AD1808" s="101"/>
      <c r="AE1808" s="101"/>
      <c r="AF1808" s="101"/>
      <c r="AG1808" s="101"/>
      <c r="AH1808" s="101"/>
      <c r="AI1808" s="101"/>
      <c r="AJ1808" s="101"/>
      <c r="AK1808" s="101"/>
      <c r="AL1808" s="101"/>
      <c r="AM1808" s="101"/>
      <c r="AN1808" s="101"/>
    </row>
    <row r="1809" spans="1:40" ht="16.5" customHeight="1" x14ac:dyDescent="0.3">
      <c r="A1809" s="59"/>
      <c r="B1809" s="68" t="str">
        <f>" Q1 = "&amp;Z1809&amp;" 인 /"&amp;AB1809&amp;" hr/일 = "&amp;AD1809&amp;" hr/일 "</f>
        <v xml:space="preserve"> Q1 = 2 인 /8 hr/일 = 0.250 hr/일 </v>
      </c>
      <c r="C1809" s="69"/>
      <c r="D1809" s="69"/>
      <c r="E1809" s="69"/>
      <c r="F1809" s="69"/>
      <c r="G1809" s="17" t="s">
        <v>1694</v>
      </c>
      <c r="Z1809" s="102">
        <v>2</v>
      </c>
      <c r="AA1809" s="35" t="s">
        <v>1413</v>
      </c>
      <c r="AB1809" s="102">
        <v>8</v>
      </c>
      <c r="AC1809" s="35" t="s">
        <v>1410</v>
      </c>
      <c r="AD1809" s="103" t="str">
        <f>TEXT(ROUND(Z1809/AB1809,3),"#,0.000")</f>
        <v>0.250</v>
      </c>
      <c r="AE1809" s="101"/>
      <c r="AF1809" s="101"/>
      <c r="AG1809" s="101"/>
      <c r="AH1809" s="101"/>
      <c r="AI1809" s="101"/>
      <c r="AJ1809" s="101"/>
      <c r="AK1809" s="101"/>
      <c r="AL1809" s="101"/>
      <c r="AM1809" s="101"/>
      <c r="AN1809" s="101"/>
    </row>
    <row r="1810" spans="1:40" ht="16.5" customHeight="1" x14ac:dyDescent="0.3">
      <c r="A1810" s="69"/>
      <c r="B1810" s="69"/>
      <c r="C1810" s="69"/>
      <c r="D1810" s="69"/>
      <c r="E1810" s="69"/>
      <c r="F1810" s="69"/>
      <c r="G1810" s="17" t="s">
        <v>1405</v>
      </c>
      <c r="Z1810" s="101"/>
      <c r="AA1810" s="101"/>
      <c r="AB1810" s="101"/>
      <c r="AC1810" s="101"/>
      <c r="AD1810" s="101"/>
      <c r="AE1810" s="101"/>
      <c r="AF1810" s="101"/>
      <c r="AG1810" s="101"/>
      <c r="AH1810" s="101"/>
      <c r="AI1810" s="101"/>
      <c r="AJ1810" s="101"/>
      <c r="AK1810" s="101"/>
      <c r="AL1810" s="101"/>
      <c r="AM1810" s="101"/>
      <c r="AN1810" s="101"/>
    </row>
    <row r="1811" spans="1:40" ht="16.5" customHeight="1" x14ac:dyDescent="0.3">
      <c r="A1811" s="59"/>
      <c r="B1811" s="68" t="str">
        <f>" Q2 = "&amp;Z1811&amp;" 인 /"&amp;AB1811&amp;" hr/일 = "&amp;AD1811&amp;" hr/일 "</f>
        <v xml:space="preserve"> Q2 = 2 인 /8 hr/일 = 0.250 hr/일 </v>
      </c>
      <c r="C1811" s="69"/>
      <c r="D1811" s="69"/>
      <c r="E1811" s="69"/>
      <c r="F1811" s="69"/>
      <c r="G1811" s="17" t="s">
        <v>1752</v>
      </c>
      <c r="Z1811" s="102">
        <v>2</v>
      </c>
      <c r="AA1811" s="35" t="s">
        <v>1413</v>
      </c>
      <c r="AB1811" s="102">
        <v>8</v>
      </c>
      <c r="AC1811" s="35" t="s">
        <v>1410</v>
      </c>
      <c r="AD1811" s="103" t="str">
        <f>TEXT(ROUND(Z1811/AB1811,3),"#,0.000")</f>
        <v>0.250</v>
      </c>
      <c r="AE1811" s="101"/>
      <c r="AF1811" s="101"/>
      <c r="AG1811" s="101"/>
      <c r="AH1811" s="101"/>
      <c r="AI1811" s="101"/>
      <c r="AJ1811" s="101"/>
      <c r="AK1811" s="101"/>
      <c r="AL1811" s="101"/>
      <c r="AM1811" s="101"/>
      <c r="AN1811" s="101"/>
    </row>
    <row r="1812" spans="1:40" ht="16.5" customHeight="1" x14ac:dyDescent="0.3">
      <c r="A1812" s="69"/>
      <c r="B1812" s="69"/>
      <c r="C1812" s="69"/>
      <c r="D1812" s="69"/>
      <c r="E1812" s="69"/>
      <c r="F1812" s="69"/>
      <c r="G1812" s="17" t="s">
        <v>1405</v>
      </c>
      <c r="Z1812" s="101"/>
      <c r="AA1812" s="101"/>
      <c r="AB1812" s="101"/>
      <c r="AC1812" s="101"/>
      <c r="AD1812" s="101"/>
      <c r="AE1812" s="101"/>
      <c r="AF1812" s="101"/>
      <c r="AG1812" s="101"/>
      <c r="AH1812" s="101"/>
      <c r="AI1812" s="101"/>
      <c r="AJ1812" s="101"/>
      <c r="AK1812" s="101"/>
      <c r="AL1812" s="101"/>
      <c r="AM1812" s="101"/>
      <c r="AN1812" s="101"/>
    </row>
    <row r="1813" spans="1:40" ht="16.5" customHeight="1" x14ac:dyDescent="0.3">
      <c r="A1813" s="59"/>
      <c r="B1813" s="68" t="str">
        <f>" Q3 = "&amp;Z1813&amp;" 인 /"&amp;AB1813&amp;" hr/일 = "&amp;AD1813&amp;" hr/일 "</f>
        <v xml:space="preserve"> Q3 = 1 인 /8 hr/일 = 0.125 hr/일 </v>
      </c>
      <c r="C1813" s="69"/>
      <c r="D1813" s="69"/>
      <c r="E1813" s="69"/>
      <c r="F1813" s="69"/>
      <c r="G1813" s="17" t="s">
        <v>2098</v>
      </c>
      <c r="Z1813" s="102">
        <v>1</v>
      </c>
      <c r="AA1813" s="35" t="s">
        <v>1413</v>
      </c>
      <c r="AB1813" s="102">
        <v>8</v>
      </c>
      <c r="AC1813" s="35" t="s">
        <v>1410</v>
      </c>
      <c r="AD1813" s="103" t="str">
        <f>TEXT(ROUND(Z1813/AB1813,3),"#,0.000")</f>
        <v>0.125</v>
      </c>
      <c r="AE1813" s="101"/>
      <c r="AF1813" s="101"/>
      <c r="AG1813" s="101"/>
      <c r="AH1813" s="101"/>
      <c r="AI1813" s="101"/>
      <c r="AJ1813" s="101"/>
      <c r="AK1813" s="101"/>
      <c r="AL1813" s="101"/>
      <c r="AM1813" s="101"/>
      <c r="AN1813" s="101"/>
    </row>
    <row r="1814" spans="1:40" ht="16.5" customHeight="1" x14ac:dyDescent="0.3">
      <c r="A1814" s="69"/>
      <c r="B1814" s="69"/>
      <c r="C1814" s="69"/>
      <c r="D1814" s="69"/>
      <c r="E1814" s="69"/>
      <c r="F1814" s="69"/>
      <c r="G1814" s="17" t="s">
        <v>1405</v>
      </c>
      <c r="Z1814" s="101"/>
      <c r="AA1814" s="101"/>
      <c r="AB1814" s="101"/>
      <c r="AC1814" s="101"/>
      <c r="AD1814" s="101"/>
      <c r="AE1814" s="101"/>
      <c r="AF1814" s="101"/>
      <c r="AG1814" s="101"/>
      <c r="AH1814" s="101"/>
      <c r="AI1814" s="101"/>
      <c r="AJ1814" s="101"/>
      <c r="AK1814" s="101"/>
      <c r="AL1814" s="101"/>
      <c r="AM1814" s="101"/>
      <c r="AN1814" s="101"/>
    </row>
    <row r="1815" spans="1:40" ht="16.5" customHeight="1" x14ac:dyDescent="0.3">
      <c r="A1815" s="59"/>
      <c r="B1815" s="68" t="str">
        <f>" Q = "&amp;Z1815&amp;" ㎡/일 /"&amp;AB1815&amp;" hr/일 = "&amp;AD1815&amp;" ㎡/hr "</f>
        <v xml:space="preserve"> Q = 171 ㎡/일 /8 hr/일 = 21.375 ㎡/hr </v>
      </c>
      <c r="C1815" s="69"/>
      <c r="D1815" s="69"/>
      <c r="E1815" s="69"/>
      <c r="F1815" s="69"/>
      <c r="G1815" s="17" t="s">
        <v>2099</v>
      </c>
      <c r="Z1815" s="102">
        <v>171</v>
      </c>
      <c r="AA1815" s="35" t="s">
        <v>1413</v>
      </c>
      <c r="AB1815" s="102">
        <v>8</v>
      </c>
      <c r="AC1815" s="35" t="s">
        <v>1410</v>
      </c>
      <c r="AD1815" s="103" t="str">
        <f>TEXT(ROUND(Z1815/AB1815,3),"#,0.000")</f>
        <v>21.375</v>
      </c>
      <c r="AE1815" s="101"/>
      <c r="AF1815" s="101"/>
      <c r="AG1815" s="101"/>
      <c r="AH1815" s="101"/>
      <c r="AI1815" s="101"/>
      <c r="AJ1815" s="101"/>
      <c r="AK1815" s="101"/>
      <c r="AL1815" s="101"/>
      <c r="AM1815" s="101"/>
      <c r="AN1815" s="101"/>
    </row>
    <row r="1816" spans="1:40" ht="16.5" customHeight="1" x14ac:dyDescent="0.3">
      <c r="A1816" s="69"/>
      <c r="B1816" s="69"/>
      <c r="C1816" s="69"/>
      <c r="D1816" s="69"/>
      <c r="E1816" s="69"/>
      <c r="F1816" s="69"/>
      <c r="G1816" s="17" t="s">
        <v>1405</v>
      </c>
      <c r="Z1816" s="101"/>
      <c r="AA1816" s="101"/>
      <c r="AB1816" s="101"/>
      <c r="AC1816" s="101"/>
      <c r="AD1816" s="101"/>
      <c r="AE1816" s="101"/>
      <c r="AF1816" s="101"/>
      <c r="AG1816" s="101"/>
      <c r="AH1816" s="101"/>
      <c r="AI1816" s="101"/>
      <c r="AJ1816" s="101"/>
      <c r="AK1816" s="101"/>
      <c r="AL1816" s="101"/>
      <c r="AM1816" s="101"/>
      <c r="AN1816" s="101"/>
    </row>
    <row r="1817" spans="1:40" ht="16.5" customHeight="1" x14ac:dyDescent="0.3">
      <c r="A1817" s="59"/>
      <c r="B1817" s="68" t="s">
        <v>2101</v>
      </c>
      <c r="C1817" s="69"/>
      <c r="D1817" s="69"/>
      <c r="E1817" s="69"/>
      <c r="F1817" s="69"/>
      <c r="G1817" s="17" t="s">
        <v>2100</v>
      </c>
      <c r="Z1817" s="101"/>
      <c r="AA1817" s="101"/>
      <c r="AB1817" s="101"/>
      <c r="AC1817" s="101"/>
      <c r="AD1817" s="101"/>
      <c r="AE1817" s="101"/>
      <c r="AF1817" s="101"/>
      <c r="AG1817" s="101"/>
      <c r="AH1817" s="101"/>
      <c r="AI1817" s="101"/>
      <c r="AJ1817" s="101"/>
      <c r="AK1817" s="101"/>
      <c r="AL1817" s="101"/>
      <c r="AM1817" s="101"/>
      <c r="AN1817" s="101"/>
    </row>
    <row r="1818" spans="1:40" ht="16.5" customHeight="1" x14ac:dyDescent="0.3">
      <c r="A1818" s="69"/>
      <c r="B1818" s="69"/>
      <c r="C1818" s="69"/>
      <c r="D1818" s="69"/>
      <c r="E1818" s="69"/>
      <c r="F1818" s="69"/>
      <c r="G1818" s="17" t="s">
        <v>1405</v>
      </c>
      <c r="Z1818" s="101"/>
      <c r="AA1818" s="101"/>
      <c r="AB1818" s="101"/>
      <c r="AC1818" s="101"/>
      <c r="AD1818" s="101"/>
      <c r="AE1818" s="101"/>
      <c r="AF1818" s="101"/>
      <c r="AG1818" s="101"/>
      <c r="AH1818" s="101"/>
      <c r="AI1818" s="101"/>
      <c r="AJ1818" s="101"/>
      <c r="AK1818" s="101"/>
      <c r="AL1818" s="101"/>
      <c r="AM1818" s="101"/>
      <c r="AN1818" s="101"/>
    </row>
    <row r="1819" spans="1:40" ht="16.5" customHeight="1" x14ac:dyDescent="0.3">
      <c r="A1819" s="59"/>
      <c r="B1819" s="68" t="s">
        <v>2103</v>
      </c>
      <c r="C1819" s="69"/>
      <c r="D1819" s="69"/>
      <c r="E1819" s="69"/>
      <c r="F1819" s="69"/>
      <c r="G1819" s="17" t="s">
        <v>2102</v>
      </c>
      <c r="Z1819" s="101"/>
      <c r="AA1819" s="101"/>
      <c r="AB1819" s="101"/>
      <c r="AC1819" s="101"/>
      <c r="AD1819" s="101"/>
      <c r="AE1819" s="101"/>
      <c r="AF1819" s="101"/>
      <c r="AG1819" s="101"/>
      <c r="AH1819" s="101"/>
      <c r="AI1819" s="101"/>
      <c r="AJ1819" s="101"/>
      <c r="AK1819" s="101"/>
      <c r="AL1819" s="101"/>
      <c r="AM1819" s="101"/>
      <c r="AN1819" s="101"/>
    </row>
    <row r="1820" spans="1:40" ht="16.5" customHeight="1" x14ac:dyDescent="0.3">
      <c r="A1820" s="69"/>
      <c r="B1820" s="69"/>
      <c r="C1820" s="69"/>
      <c r="D1820" s="69"/>
      <c r="E1820" s="69"/>
      <c r="F1820" s="69"/>
      <c r="G1820" s="17" t="s">
        <v>1405</v>
      </c>
      <c r="Z1820" s="101"/>
      <c r="AA1820" s="101"/>
      <c r="AB1820" s="101"/>
      <c r="AC1820" s="101"/>
      <c r="AD1820" s="101"/>
      <c r="AE1820" s="101"/>
      <c r="AF1820" s="101"/>
      <c r="AG1820" s="101"/>
      <c r="AH1820" s="101"/>
      <c r="AI1820" s="101"/>
      <c r="AJ1820" s="101"/>
      <c r="AK1820" s="101"/>
      <c r="AL1820" s="101"/>
      <c r="AM1820" s="101"/>
      <c r="AN1820" s="101"/>
    </row>
    <row r="1821" spans="1:40" ht="16.5" customHeight="1" x14ac:dyDescent="0.3">
      <c r="A1821" s="69"/>
      <c r="B1821" s="69"/>
      <c r="C1821" s="69"/>
      <c r="D1821" s="69"/>
      <c r="E1821" s="69"/>
      <c r="F1821" s="69"/>
      <c r="G1821" s="17" t="s">
        <v>1405</v>
      </c>
      <c r="Z1821" s="101"/>
      <c r="AA1821" s="101"/>
      <c r="AB1821" s="101"/>
      <c r="AC1821" s="101"/>
      <c r="AD1821" s="101"/>
      <c r="AE1821" s="101"/>
      <c r="AF1821" s="101"/>
      <c r="AG1821" s="101"/>
      <c r="AH1821" s="101"/>
      <c r="AI1821" s="101"/>
      <c r="AJ1821" s="101"/>
      <c r="AK1821" s="101"/>
      <c r="AL1821" s="101"/>
      <c r="AM1821" s="101"/>
      <c r="AN1821" s="101"/>
    </row>
    <row r="1822" spans="1:40" ht="16.5" customHeight="1" x14ac:dyDescent="0.3">
      <c r="A1822" s="59"/>
      <c r="B1822" s="68" t="s">
        <v>2105</v>
      </c>
      <c r="C1822" s="69"/>
      <c r="D1822" s="69"/>
      <c r="E1822" s="69"/>
      <c r="F1822" s="69"/>
      <c r="G1822" s="17" t="s">
        <v>2104</v>
      </c>
      <c r="Z1822" s="101"/>
      <c r="AA1822" s="101"/>
      <c r="AB1822" s="101"/>
      <c r="AC1822" s="101"/>
      <c r="AD1822" s="101"/>
      <c r="AE1822" s="101"/>
      <c r="AF1822" s="101"/>
      <c r="AG1822" s="101"/>
      <c r="AH1822" s="101"/>
      <c r="AI1822" s="101"/>
      <c r="AJ1822" s="101"/>
      <c r="AK1822" s="101"/>
      <c r="AL1822" s="101"/>
      <c r="AM1822" s="101"/>
      <c r="AN1822" s="101"/>
    </row>
    <row r="1823" spans="1:40" ht="16.5" customHeight="1" x14ac:dyDescent="0.3">
      <c r="A1823" s="69"/>
      <c r="B1823" s="69"/>
      <c r="C1823" s="69"/>
      <c r="D1823" s="69"/>
      <c r="E1823" s="69"/>
      <c r="F1823" s="69"/>
      <c r="G1823" s="17" t="s">
        <v>1405</v>
      </c>
      <c r="Z1823" s="101"/>
      <c r="AA1823" s="101"/>
      <c r="AB1823" s="101"/>
      <c r="AC1823" s="101"/>
      <c r="AD1823" s="101"/>
      <c r="AE1823" s="101"/>
      <c r="AF1823" s="101"/>
      <c r="AG1823" s="101"/>
      <c r="AH1823" s="101"/>
      <c r="AI1823" s="101"/>
      <c r="AJ1823" s="101"/>
      <c r="AK1823" s="101"/>
      <c r="AL1823" s="101"/>
      <c r="AM1823" s="101"/>
      <c r="AN1823" s="101"/>
    </row>
    <row r="1824" spans="1:40" ht="16.5" customHeight="1" x14ac:dyDescent="0.3">
      <c r="A1824" s="59"/>
      <c r="B1824" s="68" t="s">
        <v>2107</v>
      </c>
      <c r="C1824" s="69"/>
      <c r="D1824" s="69"/>
      <c r="E1824" s="69"/>
      <c r="F1824" s="69"/>
      <c r="G1824" s="17" t="s">
        <v>2106</v>
      </c>
      <c r="Z1824" s="101"/>
      <c r="AA1824" s="101"/>
      <c r="AB1824" s="101"/>
      <c r="AC1824" s="101"/>
      <c r="AD1824" s="101"/>
      <c r="AE1824" s="101"/>
      <c r="AF1824" s="101"/>
      <c r="AG1824" s="101"/>
      <c r="AH1824" s="101"/>
      <c r="AI1824" s="101"/>
      <c r="AJ1824" s="101"/>
      <c r="AK1824" s="101"/>
      <c r="AL1824" s="101"/>
      <c r="AM1824" s="101"/>
      <c r="AN1824" s="101"/>
    </row>
    <row r="1825" spans="1:40" ht="16.5" customHeight="1" x14ac:dyDescent="0.3">
      <c r="A1825" s="69"/>
      <c r="B1825" s="69"/>
      <c r="C1825" s="69"/>
      <c r="D1825" s="69"/>
      <c r="E1825" s="69"/>
      <c r="F1825" s="69"/>
      <c r="G1825" s="17" t="s">
        <v>1405</v>
      </c>
      <c r="Z1825" s="101"/>
      <c r="AA1825" s="101"/>
      <c r="AB1825" s="101"/>
      <c r="AC1825" s="101"/>
      <c r="AD1825" s="101"/>
      <c r="AE1825" s="101"/>
      <c r="AF1825" s="101"/>
      <c r="AG1825" s="101"/>
      <c r="AH1825" s="101"/>
      <c r="AI1825" s="101"/>
      <c r="AJ1825" s="101"/>
      <c r="AK1825" s="101"/>
      <c r="AL1825" s="101"/>
      <c r="AM1825" s="101"/>
      <c r="AN1825" s="101"/>
    </row>
    <row r="1826" spans="1:40" ht="16.5" customHeight="1" x14ac:dyDescent="0.3">
      <c r="A1826" s="59"/>
      <c r="B1826" s="68" t="s">
        <v>2109</v>
      </c>
      <c r="C1826" s="69"/>
      <c r="D1826" s="69"/>
      <c r="E1826" s="69"/>
      <c r="F1826" s="69"/>
      <c r="G1826" s="17" t="s">
        <v>2108</v>
      </c>
      <c r="Z1826" s="101"/>
      <c r="AA1826" s="101"/>
      <c r="AB1826" s="101"/>
      <c r="AC1826" s="101"/>
      <c r="AD1826" s="101"/>
      <c r="AE1826" s="101"/>
      <c r="AF1826" s="101"/>
      <c r="AG1826" s="101"/>
      <c r="AH1826" s="101"/>
      <c r="AI1826" s="101"/>
      <c r="AJ1826" s="101"/>
      <c r="AK1826" s="101"/>
      <c r="AL1826" s="101"/>
      <c r="AM1826" s="101"/>
      <c r="AN1826" s="101"/>
    </row>
    <row r="1827" spans="1:40" ht="16.5" customHeight="1" x14ac:dyDescent="0.3">
      <c r="A1827" s="69"/>
      <c r="B1827" s="69"/>
      <c r="C1827" s="69"/>
      <c r="D1827" s="69"/>
      <c r="E1827" s="69"/>
      <c r="F1827" s="69"/>
      <c r="G1827" s="17" t="s">
        <v>1405</v>
      </c>
      <c r="Z1827" s="101"/>
      <c r="AA1827" s="101"/>
      <c r="AB1827" s="101"/>
      <c r="AC1827" s="101"/>
      <c r="AD1827" s="101"/>
      <c r="AE1827" s="101"/>
      <c r="AF1827" s="101"/>
      <c r="AG1827" s="101"/>
      <c r="AH1827" s="101"/>
      <c r="AI1827" s="101"/>
      <c r="AJ1827" s="101"/>
      <c r="AK1827" s="101"/>
      <c r="AL1827" s="101"/>
      <c r="AM1827" s="101"/>
      <c r="AN1827" s="101"/>
    </row>
    <row r="1828" spans="1:40" ht="16.5" customHeight="1" x14ac:dyDescent="0.3">
      <c r="A1828" s="59" t="s">
        <v>1717</v>
      </c>
      <c r="B1828" s="89" t="str">
        <f>" 1)포장공 : "&amp;TEXT(I1828,"#,##0"&amp;IF(I1828&lt;&gt;INT(I1828),".###",""))&amp;" *Q1/Q= "&amp;TEXT(C1828,"#,##0.0")&amp;""</f>
        <v xml:space="preserve"> 1)포장공 : 273,308 *Q1/Q= 3,196.5</v>
      </c>
      <c r="C1828" s="91">
        <f>E1828+D1828+F1828</f>
        <v>3196.5</v>
      </c>
      <c r="D1828" s="91">
        <f>IF(H1828=0,0,ROUNDDOWN(J1828*H1828,1))</f>
        <v>3196.5</v>
      </c>
      <c r="E1828" s="91">
        <f>IF(H1828=0,0,ROUNDDOWN(K1828*H1828,1))</f>
        <v>0</v>
      </c>
      <c r="F1828" s="91">
        <f>IF(H1828=0,0,ROUNDDOWN(L1828*H1828,1))</f>
        <v>0</v>
      </c>
      <c r="G1828" s="17" t="s">
        <v>2110</v>
      </c>
      <c r="H1828" s="97">
        <f>ROUNDUP(AE1828,14-LEN(ABS(INT(AE1828))))</f>
        <v>1.16959064328E-2</v>
      </c>
      <c r="I1828" s="98">
        <f>K1828+J1828+L1828</f>
        <v>273308</v>
      </c>
      <c r="J1828" s="38">
        <f>노무비목록표!E15</f>
        <v>273308</v>
      </c>
      <c r="M1828" s="35" t="s">
        <v>1309</v>
      </c>
      <c r="N1828" s="35" t="s">
        <v>1262</v>
      </c>
      <c r="O1828" s="35" t="s">
        <v>1214</v>
      </c>
      <c r="X1828" s="100" t="str">
        <f>노무비목록표!B15&amp;" / "&amp;노무비목록표!C15</f>
        <v xml:space="preserve">포장공 / </v>
      </c>
      <c r="Y1828" s="3" t="str">
        <f ca="1">HYPERLINK("#"&amp;노무비목록표!G2&amp;"!A"&amp;ROW(노무비목록표!A15),"노무12 →")</f>
        <v>노무12 →</v>
      </c>
      <c r="Z1828" s="35" t="s">
        <v>1446</v>
      </c>
      <c r="AA1828" s="103" t="str">
        <f>AD1809</f>
        <v>0.250</v>
      </c>
      <c r="AB1828" s="35" t="s">
        <v>1413</v>
      </c>
      <c r="AC1828" s="103" t="str">
        <f>AD1815</f>
        <v>21.375</v>
      </c>
      <c r="AD1828" s="35" t="s">
        <v>1410</v>
      </c>
      <c r="AE1828" s="103">
        <f>1*AD1809/AD1815</f>
        <v>1.1695906432748537E-2</v>
      </c>
      <c r="AF1828" s="101"/>
      <c r="AG1828" s="101"/>
      <c r="AH1828" s="101"/>
      <c r="AI1828" s="101"/>
      <c r="AJ1828" s="101"/>
      <c r="AK1828" s="101"/>
      <c r="AL1828" s="101"/>
      <c r="AM1828" s="101"/>
      <c r="AN1828" s="101"/>
    </row>
    <row r="1829" spans="1:40" ht="16.5" customHeight="1" x14ac:dyDescent="0.3">
      <c r="A1829" s="69"/>
      <c r="B1829" s="69"/>
      <c r="C1829" s="69"/>
      <c r="D1829" s="69"/>
      <c r="E1829" s="69"/>
      <c r="F1829" s="69"/>
      <c r="G1829" s="17" t="s">
        <v>1405</v>
      </c>
      <c r="Z1829" s="101"/>
      <c r="AA1829" s="101"/>
      <c r="AB1829" s="101"/>
      <c r="AC1829" s="101"/>
      <c r="AD1829" s="101"/>
      <c r="AE1829" s="101"/>
      <c r="AF1829" s="101"/>
      <c r="AG1829" s="101"/>
      <c r="AH1829" s="101"/>
      <c r="AI1829" s="101"/>
      <c r="AJ1829" s="101"/>
      <c r="AK1829" s="101"/>
      <c r="AL1829" s="101"/>
      <c r="AM1829" s="101"/>
      <c r="AN1829" s="101"/>
    </row>
    <row r="1830" spans="1:40" ht="16.5" customHeight="1" x14ac:dyDescent="0.3">
      <c r="A1830" s="59" t="s">
        <v>1416</v>
      </c>
      <c r="B1830" s="89" t="str">
        <f>" 2)특별인부: "&amp;TEXT(I1830,"#,##0"&amp;IF(I1830&lt;&gt;INT(I1830),".###",""))&amp;"*Q2/Q= "&amp;TEXT(C1830,"#,##0.0")&amp;""</f>
        <v xml:space="preserve"> 2)특별인부: 226,122*Q2/Q= 2,644.7</v>
      </c>
      <c r="C1830" s="91">
        <f>E1830+D1830+F1830</f>
        <v>2644.7</v>
      </c>
      <c r="D1830" s="91">
        <f>IF(H1830=0,0,ROUNDDOWN(J1830*H1830,1))</f>
        <v>2644.7</v>
      </c>
      <c r="E1830" s="91">
        <f>IF(H1830=0,0,ROUNDDOWN(K1830*H1830,1))</f>
        <v>0</v>
      </c>
      <c r="F1830" s="91">
        <f>IF(H1830=0,0,ROUNDDOWN(L1830*H1830,1))</f>
        <v>0</v>
      </c>
      <c r="G1830" s="17" t="s">
        <v>2111</v>
      </c>
      <c r="H1830" s="97">
        <f>ROUNDUP(AE1830,14-LEN(ABS(INT(AE1830))))</f>
        <v>1.16959064328E-2</v>
      </c>
      <c r="I1830" s="98">
        <f>K1830+J1830+L1830</f>
        <v>226122</v>
      </c>
      <c r="J1830" s="38">
        <f>노무비목록표!E13</f>
        <v>226122</v>
      </c>
      <c r="M1830" s="35" t="s">
        <v>1215</v>
      </c>
      <c r="N1830" s="35" t="s">
        <v>1262</v>
      </c>
      <c r="O1830" s="35" t="s">
        <v>1214</v>
      </c>
      <c r="X1830" s="100" t="str">
        <f>노무비목록표!B13&amp;" / "&amp;노무비목록표!C13</f>
        <v xml:space="preserve">특별인부 / </v>
      </c>
      <c r="Y1830" s="3" t="str">
        <f ca="1">HYPERLINK("#"&amp;노무비목록표!G2&amp;"!A"&amp;ROW(노무비목록표!A13),"노무10 →")</f>
        <v>노무10 →</v>
      </c>
      <c r="Z1830" s="35" t="s">
        <v>1446</v>
      </c>
      <c r="AA1830" s="103" t="str">
        <f>AD1811</f>
        <v>0.250</v>
      </c>
      <c r="AB1830" s="35" t="s">
        <v>1413</v>
      </c>
      <c r="AC1830" s="103" t="str">
        <f>AD1815</f>
        <v>21.375</v>
      </c>
      <c r="AD1830" s="35" t="s">
        <v>1410</v>
      </c>
      <c r="AE1830" s="103">
        <f>1*AD1811/AD1815</f>
        <v>1.1695906432748537E-2</v>
      </c>
      <c r="AF1830" s="101"/>
      <c r="AG1830" s="101"/>
      <c r="AH1830" s="101"/>
      <c r="AI1830" s="101"/>
      <c r="AJ1830" s="101"/>
      <c r="AK1830" s="101"/>
      <c r="AL1830" s="101"/>
      <c r="AM1830" s="101"/>
      <c r="AN1830" s="101"/>
    </row>
    <row r="1831" spans="1:40" ht="16.5" customHeight="1" x14ac:dyDescent="0.3">
      <c r="A1831" s="69"/>
      <c r="B1831" s="69"/>
      <c r="C1831" s="69"/>
      <c r="D1831" s="69"/>
      <c r="E1831" s="69"/>
      <c r="F1831" s="69"/>
      <c r="G1831" s="17" t="s">
        <v>1405</v>
      </c>
      <c r="Z1831" s="101"/>
      <c r="AA1831" s="101"/>
      <c r="AB1831" s="101"/>
      <c r="AC1831" s="101"/>
      <c r="AD1831" s="101"/>
      <c r="AE1831" s="101"/>
      <c r="AF1831" s="101"/>
      <c r="AG1831" s="101"/>
      <c r="AH1831" s="101"/>
      <c r="AI1831" s="101"/>
      <c r="AJ1831" s="101"/>
      <c r="AK1831" s="101"/>
      <c r="AL1831" s="101"/>
      <c r="AM1831" s="101"/>
      <c r="AN1831" s="101"/>
    </row>
    <row r="1832" spans="1:40" ht="16.5" customHeight="1" x14ac:dyDescent="0.3">
      <c r="A1832" s="59" t="s">
        <v>1419</v>
      </c>
      <c r="B1832" s="89" t="str">
        <f>" 3)보통인부: "&amp;TEXT(I1832,"#,##0"&amp;IF(I1832&lt;&gt;INT(I1832),".###",""))&amp;"*Q3/Q= "&amp;TEXT(C1832,"#,##0.0")&amp;""</f>
        <v xml:space="preserve"> 3)보통인부: 172,068*Q3/Q= 1,006.2</v>
      </c>
      <c r="C1832" s="91">
        <f>E1832+D1832+F1832</f>
        <v>1006.2</v>
      </c>
      <c r="D1832" s="91">
        <f>IF(H1832=0,0,ROUNDDOWN(J1832*H1832,1))</f>
        <v>1006.2</v>
      </c>
      <c r="E1832" s="91">
        <f>IF(H1832=0,0,ROUNDDOWN(K1832*H1832,1))</f>
        <v>0</v>
      </c>
      <c r="F1832" s="91">
        <f>IF(H1832=0,0,ROUNDDOWN(L1832*H1832,1))</f>
        <v>0</v>
      </c>
      <c r="G1832" s="17" t="s">
        <v>2112</v>
      </c>
      <c r="H1832" s="97">
        <f>ROUNDUP(AE1832,14-LEN(ABS(INT(AE1832))))</f>
        <v>5.8479532163999998E-3</v>
      </c>
      <c r="I1832" s="98">
        <f>K1832+J1832+L1832</f>
        <v>172068</v>
      </c>
      <c r="J1832" s="38">
        <f>노무비목록표!E8</f>
        <v>172068</v>
      </c>
      <c r="M1832" s="35" t="s">
        <v>1219</v>
      </c>
      <c r="N1832" s="35" t="s">
        <v>1262</v>
      </c>
      <c r="O1832" s="35" t="s">
        <v>1214</v>
      </c>
      <c r="X1832" s="100" t="str">
        <f>노무비목록표!B8&amp;" / "&amp;노무비목록표!C8</f>
        <v xml:space="preserve">보통인부 / </v>
      </c>
      <c r="Y1832" s="3" t="str">
        <f ca="1">HYPERLINK("#"&amp;노무비목록표!G2&amp;"!A"&amp;ROW(노무비목록표!A8),"노무5 →")</f>
        <v>노무5 →</v>
      </c>
      <c r="Z1832" s="35" t="s">
        <v>1446</v>
      </c>
      <c r="AA1832" s="103" t="str">
        <f>AD1813</f>
        <v>0.125</v>
      </c>
      <c r="AB1832" s="35" t="s">
        <v>1413</v>
      </c>
      <c r="AC1832" s="103" t="str">
        <f>AD1815</f>
        <v>21.375</v>
      </c>
      <c r="AD1832" s="35" t="s">
        <v>1410</v>
      </c>
      <c r="AE1832" s="103">
        <f>1*AD1813/AD1815</f>
        <v>5.8479532163742687E-3</v>
      </c>
      <c r="AF1832" s="101"/>
      <c r="AG1832" s="101"/>
      <c r="AH1832" s="101"/>
      <c r="AI1832" s="101"/>
      <c r="AJ1832" s="101"/>
      <c r="AK1832" s="101"/>
      <c r="AL1832" s="101"/>
      <c r="AM1832" s="101"/>
      <c r="AN1832" s="101"/>
    </row>
    <row r="1833" spans="1:40" ht="16.5" customHeight="1" x14ac:dyDescent="0.3">
      <c r="A1833" s="69"/>
      <c r="B1833" s="69"/>
      <c r="C1833" s="69"/>
      <c r="D1833" s="69"/>
      <c r="E1833" s="69"/>
      <c r="F1833" s="69"/>
      <c r="G1833" s="17" t="s">
        <v>1405</v>
      </c>
      <c r="Z1833" s="101"/>
      <c r="AA1833" s="101"/>
      <c r="AB1833" s="101"/>
      <c r="AC1833" s="101"/>
      <c r="AD1833" s="101"/>
      <c r="AE1833" s="101"/>
      <c r="AF1833" s="101"/>
      <c r="AG1833" s="101"/>
      <c r="AH1833" s="101"/>
      <c r="AI1833" s="101"/>
      <c r="AJ1833" s="101"/>
      <c r="AK1833" s="101"/>
      <c r="AL1833" s="101"/>
      <c r="AM1833" s="101"/>
      <c r="AN1833" s="101"/>
    </row>
    <row r="1834" spans="1:40" ht="16.5" customHeight="1" x14ac:dyDescent="0.3">
      <c r="A1834" s="59"/>
      <c r="B1834" s="89" t="str">
        <f>" 공구손료 및 잡재료비 : "&amp;TEXT(I1834,"#,##0.0")&amp;" * "&amp;AA1834&amp;" %  = "&amp;TEXT(C1834,"#,##0.0")&amp;""</f>
        <v xml:space="preserve"> 공구손료 및 잡재료비 : 6,847.4 * 5 %  = 342.3</v>
      </c>
      <c r="C1834" s="91">
        <f>E1834+D1834+F1834</f>
        <v>342.3</v>
      </c>
      <c r="D1834" s="91">
        <f>IF(H1834=0,0,ROUNDDOWN(J1834*H1834/100,1))</f>
        <v>0</v>
      </c>
      <c r="E1834" s="91">
        <f>IF(H1834=0,0,ROUNDDOWN(K1834*H1834/100,1))</f>
        <v>0</v>
      </c>
      <c r="F1834" s="91">
        <f>IF(H1834=0,0,ROUNDDOWN(L1834*H1834/100,1))</f>
        <v>342.3</v>
      </c>
      <c r="G1834" s="17" t="s">
        <v>2113</v>
      </c>
      <c r="H1834" s="97">
        <f>ROUNDUP(AC1834,14-LEN(ABS(INT(AC1834))))</f>
        <v>5</v>
      </c>
      <c r="I1834" s="98">
        <f>K1834+J1834+L1834</f>
        <v>6847.4</v>
      </c>
      <c r="J1834" s="36">
        <v>0</v>
      </c>
      <c r="K1834" s="36">
        <v>0</v>
      </c>
      <c r="L1834" s="38">
        <f>D1828+D1830+D1832</f>
        <v>6847.4</v>
      </c>
      <c r="M1834" s="35" t="s">
        <v>1059</v>
      </c>
      <c r="N1834" s="35" t="s">
        <v>1262</v>
      </c>
      <c r="Z1834" s="35" t="s">
        <v>1446</v>
      </c>
      <c r="AA1834" s="102">
        <v>5</v>
      </c>
      <c r="AB1834" s="35" t="s">
        <v>1410</v>
      </c>
      <c r="AC1834" s="103">
        <f>1*AA1834</f>
        <v>5</v>
      </c>
      <c r="AD1834" s="101"/>
      <c r="AE1834" s="101"/>
      <c r="AF1834" s="101"/>
      <c r="AG1834" s="101"/>
      <c r="AH1834" s="101"/>
      <c r="AI1834" s="101"/>
      <c r="AJ1834" s="101"/>
      <c r="AK1834" s="101"/>
      <c r="AL1834" s="101"/>
      <c r="AM1834" s="101"/>
      <c r="AN1834" s="101"/>
    </row>
    <row r="1835" spans="1:40" ht="16.5" customHeight="1" x14ac:dyDescent="0.3">
      <c r="A1835" s="69"/>
      <c r="B1835" s="69"/>
      <c r="C1835" s="69"/>
      <c r="D1835" s="69"/>
      <c r="E1835" s="69"/>
      <c r="F1835" s="69"/>
      <c r="G1835" s="17" t="s">
        <v>1405</v>
      </c>
      <c r="Z1835" s="101"/>
      <c r="AA1835" s="101"/>
      <c r="AB1835" s="101"/>
      <c r="AC1835" s="101"/>
      <c r="AD1835" s="101"/>
      <c r="AE1835" s="101"/>
      <c r="AF1835" s="101"/>
      <c r="AG1835" s="101"/>
      <c r="AH1835" s="101"/>
      <c r="AI1835" s="101"/>
      <c r="AJ1835" s="101"/>
      <c r="AK1835" s="101"/>
      <c r="AL1835" s="101"/>
      <c r="AM1835" s="101"/>
      <c r="AN1835" s="101"/>
    </row>
    <row r="1836" spans="1:40" ht="16.5" customHeight="1" x14ac:dyDescent="0.3">
      <c r="A1836" s="59"/>
      <c r="B1836" s="68" t="s">
        <v>1260</v>
      </c>
      <c r="C1836" s="92">
        <f>E1836+D1836+F1836</f>
        <v>7189.7</v>
      </c>
      <c r="D1836" s="92">
        <f>SUMIF(N1807:N1835,M1836,D1807:D1835)</f>
        <v>6847.4</v>
      </c>
      <c r="E1836" s="92">
        <f>SUMIF(N1807:N1835,M1836,E1807:E1835)</f>
        <v>0</v>
      </c>
      <c r="F1836" s="92">
        <f>SUMIF(N1807:N1835,M1836,F1807:F1835)</f>
        <v>342.3</v>
      </c>
      <c r="G1836" s="17" t="s">
        <v>1430</v>
      </c>
      <c r="M1836" s="35" t="s">
        <v>1262</v>
      </c>
      <c r="N1836" s="35" t="s">
        <v>1253</v>
      </c>
      <c r="Z1836" s="101"/>
      <c r="AA1836" s="101"/>
      <c r="AB1836" s="101"/>
      <c r="AC1836" s="101"/>
      <c r="AD1836" s="101"/>
      <c r="AE1836" s="101"/>
      <c r="AF1836" s="101"/>
      <c r="AG1836" s="101"/>
      <c r="AH1836" s="101"/>
      <c r="AI1836" s="101"/>
      <c r="AJ1836" s="101"/>
      <c r="AK1836" s="101"/>
      <c r="AL1836" s="101"/>
      <c r="AM1836" s="101"/>
      <c r="AN1836" s="101"/>
    </row>
    <row r="1837" spans="1:40" ht="16.5" customHeight="1" x14ac:dyDescent="0.3">
      <c r="A1837" s="69"/>
      <c r="B1837" s="69"/>
      <c r="C1837" s="90"/>
      <c r="D1837" s="90"/>
      <c r="E1837" s="90"/>
      <c r="F1837" s="90"/>
      <c r="G1837" s="17" t="s">
        <v>1405</v>
      </c>
      <c r="Z1837" s="101"/>
      <c r="AA1837" s="101"/>
      <c r="AB1837" s="101"/>
      <c r="AC1837" s="101"/>
      <c r="AD1837" s="101"/>
      <c r="AE1837" s="101"/>
      <c r="AF1837" s="101"/>
      <c r="AG1837" s="101"/>
      <c r="AH1837" s="101"/>
      <c r="AI1837" s="101"/>
      <c r="AJ1837" s="101"/>
      <c r="AK1837" s="101"/>
      <c r="AL1837" s="101"/>
      <c r="AM1837" s="101"/>
      <c r="AN1837" s="101"/>
    </row>
    <row r="1838" spans="1:40" ht="16.5" customHeight="1" x14ac:dyDescent="0.3">
      <c r="A1838" s="59"/>
      <c r="B1838" s="68" t="s">
        <v>2115</v>
      </c>
      <c r="C1838" s="69"/>
      <c r="D1838" s="69"/>
      <c r="E1838" s="69"/>
      <c r="F1838" s="69"/>
      <c r="G1838" s="17" t="s">
        <v>2114</v>
      </c>
      <c r="Z1838" s="101"/>
      <c r="AA1838" s="101"/>
      <c r="AB1838" s="101"/>
      <c r="AC1838" s="101"/>
      <c r="AD1838" s="101"/>
      <c r="AE1838" s="101"/>
      <c r="AF1838" s="101"/>
      <c r="AG1838" s="101"/>
      <c r="AH1838" s="101"/>
      <c r="AI1838" s="101"/>
      <c r="AJ1838" s="101"/>
      <c r="AK1838" s="101"/>
      <c r="AL1838" s="101"/>
      <c r="AM1838" s="101"/>
      <c r="AN1838" s="101"/>
    </row>
    <row r="1839" spans="1:40" ht="16.5" customHeight="1" x14ac:dyDescent="0.3">
      <c r="A1839" s="69"/>
      <c r="B1839" s="69"/>
      <c r="C1839" s="69"/>
      <c r="D1839" s="69"/>
      <c r="E1839" s="69"/>
      <c r="F1839" s="69"/>
      <c r="G1839" s="17" t="s">
        <v>1405</v>
      </c>
      <c r="Z1839" s="101"/>
      <c r="AA1839" s="101"/>
      <c r="AB1839" s="101"/>
      <c r="AC1839" s="101"/>
      <c r="AD1839" s="101"/>
      <c r="AE1839" s="101"/>
      <c r="AF1839" s="101"/>
      <c r="AG1839" s="101"/>
      <c r="AH1839" s="101"/>
      <c r="AI1839" s="101"/>
      <c r="AJ1839" s="101"/>
      <c r="AK1839" s="101"/>
      <c r="AL1839" s="101"/>
      <c r="AM1839" s="101"/>
      <c r="AN1839" s="101"/>
    </row>
    <row r="1840" spans="1:40" ht="16.5" customHeight="1" x14ac:dyDescent="0.3">
      <c r="A1840" s="59" t="s">
        <v>1603</v>
      </c>
      <c r="B1840" s="89" t="str">
        <f>" 노무비: "&amp;TEXT(I1840,"#,##0"&amp;IF(I1840&lt;&gt;INT(I1840),".###",""))&amp;" / Q = "&amp;TEXT(C1840,"#,##0.0")&amp;""</f>
        <v xml:space="preserve"> 노무비: 36,248 / Q = 1,695.8</v>
      </c>
      <c r="C1840" s="91">
        <f>E1840+D1840+F1840</f>
        <v>1695.8</v>
      </c>
      <c r="D1840" s="91">
        <f>IF(H1840=0,0,ROUNDDOWN(J1840*H1840,1))</f>
        <v>1695.8</v>
      </c>
      <c r="E1840" s="91">
        <f>IF(H1840=0,0,ROUNDDOWN(K1840*H1840,1))</f>
        <v>0</v>
      </c>
      <c r="F1840" s="91">
        <f>IF(H1840=0,0,ROUNDDOWN(L1840*H1840,1))</f>
        <v>0</v>
      </c>
      <c r="G1840" s="17" t="s">
        <v>1893</v>
      </c>
      <c r="H1840" s="97">
        <f>ROUNDUP(AC1840,14-LEN(ABS(INT(AC1840))))</f>
        <v>4.6783625731000006E-2</v>
      </c>
      <c r="I1840" s="98">
        <f>K1840+J1840+L1840</f>
        <v>36248</v>
      </c>
      <c r="J1840" s="38">
        <f>중기목록표!F36</f>
        <v>36248</v>
      </c>
      <c r="M1840" s="35" t="s">
        <v>1313</v>
      </c>
      <c r="N1840" s="35" t="s">
        <v>1262</v>
      </c>
      <c r="X1840" s="100" t="str">
        <f>중기목록표!B36&amp;" / "&amp;중기목록표!C36</f>
        <v>플레이트 콤팩터 / 1.5톤</v>
      </c>
      <c r="Y1840" s="3" t="str">
        <f ca="1">HYPERLINK("#"&amp;중기목록표!J2&amp;"!A"&amp;ROW(중기목록표!A36),"중기33 →")</f>
        <v>중기33 →</v>
      </c>
      <c r="Z1840" s="35" t="s">
        <v>1417</v>
      </c>
      <c r="AA1840" s="103" t="str">
        <f>AD1815</f>
        <v>21.375</v>
      </c>
      <c r="AB1840" s="35" t="s">
        <v>1410</v>
      </c>
      <c r="AC1840" s="103">
        <f>1/AD1815</f>
        <v>4.6783625730994149E-2</v>
      </c>
      <c r="AD1840" s="101"/>
      <c r="AE1840" s="101"/>
      <c r="AF1840" s="101"/>
      <c r="AG1840" s="101"/>
      <c r="AH1840" s="101"/>
      <c r="AI1840" s="101"/>
      <c r="AJ1840" s="101"/>
      <c r="AK1840" s="101"/>
      <c r="AL1840" s="101"/>
      <c r="AM1840" s="101"/>
      <c r="AN1840" s="101"/>
    </row>
    <row r="1841" spans="1:40" ht="16.5" customHeight="1" x14ac:dyDescent="0.3">
      <c r="A1841" s="69"/>
      <c r="B1841" s="69"/>
      <c r="C1841" s="69"/>
      <c r="D1841" s="69"/>
      <c r="E1841" s="69"/>
      <c r="F1841" s="69"/>
      <c r="G1841" s="17" t="s">
        <v>1405</v>
      </c>
      <c r="Z1841" s="101"/>
      <c r="AA1841" s="101"/>
      <c r="AB1841" s="101"/>
      <c r="AC1841" s="101"/>
      <c r="AD1841" s="101"/>
      <c r="AE1841" s="101"/>
      <c r="AF1841" s="101"/>
      <c r="AG1841" s="101"/>
      <c r="AH1841" s="101"/>
      <c r="AI1841" s="101"/>
      <c r="AJ1841" s="101"/>
      <c r="AK1841" s="101"/>
      <c r="AL1841" s="101"/>
      <c r="AM1841" s="101"/>
      <c r="AN1841" s="101"/>
    </row>
    <row r="1842" spans="1:40" ht="16.5" customHeight="1" x14ac:dyDescent="0.3">
      <c r="A1842" s="59" t="s">
        <v>1605</v>
      </c>
      <c r="B1842" s="89" t="str">
        <f>" 재료비: "&amp;TEXT(I1842,"#,##0"&amp;IF(I1842&lt;&gt;INT(I1842),".###",""))&amp;" / Q = "&amp;TEXT(C1842,"#,##0.0")&amp;""</f>
        <v xml:space="preserve"> 재료비: 2,166 / Q = 101.3</v>
      </c>
      <c r="C1842" s="91">
        <f>E1842+D1842+F1842</f>
        <v>101.3</v>
      </c>
      <c r="D1842" s="91">
        <f>IF(H1842=0,0,ROUNDDOWN(J1842*H1842,1))</f>
        <v>0</v>
      </c>
      <c r="E1842" s="91">
        <f>IF(H1842=0,0,ROUNDDOWN(K1842*H1842,1))</f>
        <v>101.3</v>
      </c>
      <c r="F1842" s="91">
        <f>IF(H1842=0,0,ROUNDDOWN(L1842*H1842,1))</f>
        <v>0</v>
      </c>
      <c r="G1842" s="17" t="s">
        <v>2116</v>
      </c>
      <c r="H1842" s="97">
        <f>ROUNDUP(AC1842,14-LEN(ABS(INT(AC1842))))</f>
        <v>4.6783625731000006E-2</v>
      </c>
      <c r="I1842" s="98">
        <f>K1842+J1842+L1842</f>
        <v>2166</v>
      </c>
      <c r="K1842" s="38">
        <f>중기목록표!G36</f>
        <v>2166</v>
      </c>
      <c r="M1842" s="35" t="s">
        <v>1313</v>
      </c>
      <c r="N1842" s="35" t="s">
        <v>1262</v>
      </c>
      <c r="X1842" s="100" t="str">
        <f>중기목록표!B36&amp;" / "&amp;중기목록표!C36</f>
        <v>플레이트 콤팩터 / 1.5톤</v>
      </c>
      <c r="Y1842" s="3" t="str">
        <f ca="1">HYPERLINK("#"&amp;중기목록표!J2&amp;"!A"&amp;ROW(중기목록표!A36),"중기33 →")</f>
        <v>중기33 →</v>
      </c>
      <c r="Z1842" s="35" t="s">
        <v>1417</v>
      </c>
      <c r="AA1842" s="103" t="str">
        <f>AD1815</f>
        <v>21.375</v>
      </c>
      <c r="AB1842" s="35" t="s">
        <v>1410</v>
      </c>
      <c r="AC1842" s="103">
        <f>1/AD1815</f>
        <v>4.6783625730994149E-2</v>
      </c>
      <c r="AD1842" s="101"/>
      <c r="AE1842" s="101"/>
      <c r="AF1842" s="101"/>
      <c r="AG1842" s="101"/>
      <c r="AH1842" s="101"/>
      <c r="AI1842" s="101"/>
      <c r="AJ1842" s="101"/>
      <c r="AK1842" s="101"/>
      <c r="AL1842" s="101"/>
      <c r="AM1842" s="101"/>
      <c r="AN1842" s="101"/>
    </row>
    <row r="1843" spans="1:40" ht="16.5" customHeight="1" x14ac:dyDescent="0.3">
      <c r="A1843" s="69"/>
      <c r="B1843" s="69"/>
      <c r="C1843" s="69"/>
      <c r="D1843" s="69"/>
      <c r="E1843" s="69"/>
      <c r="F1843" s="69"/>
      <c r="G1843" s="17" t="s">
        <v>1405</v>
      </c>
      <c r="Z1843" s="101"/>
      <c r="AA1843" s="101"/>
      <c r="AB1843" s="101"/>
      <c r="AC1843" s="101"/>
      <c r="AD1843" s="101"/>
      <c r="AE1843" s="101"/>
      <c r="AF1843" s="101"/>
      <c r="AG1843" s="101"/>
      <c r="AH1843" s="101"/>
      <c r="AI1843" s="101"/>
      <c r="AJ1843" s="101"/>
      <c r="AK1843" s="101"/>
      <c r="AL1843" s="101"/>
      <c r="AM1843" s="101"/>
      <c r="AN1843" s="101"/>
    </row>
    <row r="1844" spans="1:40" ht="16.5" customHeight="1" x14ac:dyDescent="0.3">
      <c r="A1844" s="59" t="s">
        <v>1601</v>
      </c>
      <c r="B1844" s="89" t="str">
        <f>" 경  비: "&amp;TEXT(I1844,"#,##0"&amp;IF(I1844&lt;&gt;INT(I1844),".###",""))&amp;" / Q = "&amp;TEXT(C1844,"#,##0.0")&amp;""</f>
        <v xml:space="preserve"> 경  비: 620 / Q = 29.0</v>
      </c>
      <c r="C1844" s="91">
        <f>E1844+D1844+F1844</f>
        <v>29</v>
      </c>
      <c r="D1844" s="91">
        <f>IF(H1844=0,0,ROUNDDOWN(J1844*H1844,1))</f>
        <v>0</v>
      </c>
      <c r="E1844" s="91">
        <f>IF(H1844=0,0,ROUNDDOWN(K1844*H1844,1))</f>
        <v>0</v>
      </c>
      <c r="F1844" s="91">
        <f>IF(H1844=0,0,ROUNDDOWN(L1844*H1844,1))</f>
        <v>29</v>
      </c>
      <c r="G1844" s="17" t="s">
        <v>2117</v>
      </c>
      <c r="H1844" s="97">
        <f>ROUNDUP(AC1844,14-LEN(ABS(INT(AC1844))))</f>
        <v>4.6783625731000006E-2</v>
      </c>
      <c r="I1844" s="98">
        <f>K1844+J1844+L1844</f>
        <v>620</v>
      </c>
      <c r="L1844" s="38">
        <f>중기목록표!H36</f>
        <v>620</v>
      </c>
      <c r="M1844" s="35" t="s">
        <v>1313</v>
      </c>
      <c r="N1844" s="35" t="s">
        <v>1262</v>
      </c>
      <c r="X1844" s="100" t="str">
        <f>중기목록표!B36&amp;" / "&amp;중기목록표!C36</f>
        <v>플레이트 콤팩터 / 1.5톤</v>
      </c>
      <c r="Y1844" s="3" t="str">
        <f ca="1">HYPERLINK("#"&amp;중기목록표!J2&amp;"!A"&amp;ROW(중기목록표!A36),"중기33 →")</f>
        <v>중기33 →</v>
      </c>
      <c r="Z1844" s="35" t="s">
        <v>1417</v>
      </c>
      <c r="AA1844" s="103" t="str">
        <f>AD1815</f>
        <v>21.375</v>
      </c>
      <c r="AB1844" s="35" t="s">
        <v>1410</v>
      </c>
      <c r="AC1844" s="103">
        <f>1/AD1815</f>
        <v>4.6783625730994149E-2</v>
      </c>
      <c r="AD1844" s="101"/>
      <c r="AE1844" s="101"/>
      <c r="AF1844" s="101"/>
      <c r="AG1844" s="101"/>
      <c r="AH1844" s="101"/>
      <c r="AI1844" s="101"/>
      <c r="AJ1844" s="101"/>
      <c r="AK1844" s="101"/>
      <c r="AL1844" s="101"/>
      <c r="AM1844" s="101"/>
      <c r="AN1844" s="101"/>
    </row>
    <row r="1845" spans="1:40" ht="16.5" customHeight="1" x14ac:dyDescent="0.3">
      <c r="A1845" s="69"/>
      <c r="B1845" s="69"/>
      <c r="C1845" s="69"/>
      <c r="D1845" s="69"/>
      <c r="E1845" s="69"/>
      <c r="F1845" s="69"/>
      <c r="G1845" s="17" t="s">
        <v>1405</v>
      </c>
      <c r="Z1845" s="101"/>
      <c r="AA1845" s="101"/>
      <c r="AB1845" s="101"/>
      <c r="AC1845" s="101"/>
      <c r="AD1845" s="101"/>
      <c r="AE1845" s="101"/>
      <c r="AF1845" s="101"/>
      <c r="AG1845" s="101"/>
      <c r="AH1845" s="101"/>
      <c r="AI1845" s="101"/>
      <c r="AJ1845" s="101"/>
      <c r="AK1845" s="101"/>
      <c r="AL1845" s="101"/>
      <c r="AM1845" s="101"/>
      <c r="AN1845" s="101"/>
    </row>
    <row r="1846" spans="1:40" ht="16.5" customHeight="1" x14ac:dyDescent="0.3">
      <c r="A1846" s="59"/>
      <c r="B1846" s="68" t="s">
        <v>1260</v>
      </c>
      <c r="C1846" s="92">
        <f>E1846+D1846+F1846</f>
        <v>1826.1</v>
      </c>
      <c r="D1846" s="92">
        <f>SUMIF(N1837:N1845,M1846,D1837:D1845)</f>
        <v>1695.8</v>
      </c>
      <c r="E1846" s="92">
        <f>SUMIF(N1837:N1845,M1846,E1837:E1845)</f>
        <v>101.3</v>
      </c>
      <c r="F1846" s="92">
        <f>SUMIF(N1837:N1845,M1846,F1837:F1845)</f>
        <v>29</v>
      </c>
      <c r="G1846" s="17" t="s">
        <v>1430</v>
      </c>
      <c r="M1846" s="35" t="s">
        <v>1262</v>
      </c>
      <c r="N1846" s="35" t="s">
        <v>1253</v>
      </c>
      <c r="Z1846" s="101"/>
      <c r="AA1846" s="101"/>
      <c r="AB1846" s="101"/>
      <c r="AC1846" s="101"/>
      <c r="AD1846" s="101"/>
      <c r="AE1846" s="101"/>
      <c r="AF1846" s="101"/>
      <c r="AG1846" s="101"/>
      <c r="AH1846" s="101"/>
      <c r="AI1846" s="101"/>
      <c r="AJ1846" s="101"/>
      <c r="AK1846" s="101"/>
      <c r="AL1846" s="101"/>
      <c r="AM1846" s="101"/>
      <c r="AN1846" s="101"/>
    </row>
    <row r="1847" spans="1:40" ht="16.5" customHeight="1" x14ac:dyDescent="0.3">
      <c r="A1847" s="69"/>
      <c r="B1847" s="69"/>
      <c r="C1847" s="90"/>
      <c r="D1847" s="90"/>
      <c r="E1847" s="90"/>
      <c r="F1847" s="90"/>
      <c r="G1847" s="17" t="s">
        <v>1405</v>
      </c>
      <c r="Z1847" s="101"/>
      <c r="AA1847" s="101"/>
      <c r="AB1847" s="101"/>
      <c r="AC1847" s="101"/>
      <c r="AD1847" s="101"/>
      <c r="AE1847" s="101"/>
      <c r="AF1847" s="101"/>
      <c r="AG1847" s="101"/>
      <c r="AH1847" s="101"/>
      <c r="AI1847" s="101"/>
      <c r="AJ1847" s="101"/>
      <c r="AK1847" s="101"/>
      <c r="AL1847" s="101"/>
      <c r="AM1847" s="101"/>
      <c r="AN1847" s="101"/>
    </row>
    <row r="1848" spans="1:40" ht="16.5" customHeight="1" x14ac:dyDescent="0.3">
      <c r="A1848" s="59"/>
      <c r="B1848" s="68" t="s">
        <v>2119</v>
      </c>
      <c r="C1848" s="69"/>
      <c r="D1848" s="69"/>
      <c r="E1848" s="69"/>
      <c r="F1848" s="69"/>
      <c r="G1848" s="17" t="s">
        <v>2118</v>
      </c>
      <c r="Z1848" s="101"/>
      <c r="AA1848" s="101"/>
      <c r="AB1848" s="101"/>
      <c r="AC1848" s="101"/>
      <c r="AD1848" s="101"/>
      <c r="AE1848" s="101"/>
      <c r="AF1848" s="101"/>
      <c r="AG1848" s="101"/>
      <c r="AH1848" s="101"/>
      <c r="AI1848" s="101"/>
      <c r="AJ1848" s="101"/>
      <c r="AK1848" s="101"/>
      <c r="AL1848" s="101"/>
      <c r="AM1848" s="101"/>
      <c r="AN1848" s="101"/>
    </row>
    <row r="1849" spans="1:40" ht="16.5" customHeight="1" x14ac:dyDescent="0.3">
      <c r="A1849" s="69"/>
      <c r="B1849" s="69"/>
      <c r="C1849" s="69"/>
      <c r="D1849" s="69"/>
      <c r="E1849" s="69"/>
      <c r="F1849" s="69"/>
      <c r="G1849" s="17" t="s">
        <v>1405</v>
      </c>
      <c r="Z1849" s="101"/>
      <c r="AA1849" s="101"/>
      <c r="AB1849" s="101"/>
      <c r="AC1849" s="101"/>
      <c r="AD1849" s="101"/>
      <c r="AE1849" s="101"/>
      <c r="AF1849" s="101"/>
      <c r="AG1849" s="101"/>
      <c r="AH1849" s="101"/>
      <c r="AI1849" s="101"/>
      <c r="AJ1849" s="101"/>
      <c r="AK1849" s="101"/>
      <c r="AL1849" s="101"/>
      <c r="AM1849" s="101"/>
      <c r="AN1849" s="101"/>
    </row>
    <row r="1850" spans="1:40" ht="16.5" customHeight="1" x14ac:dyDescent="0.3">
      <c r="A1850" s="59" t="s">
        <v>1543</v>
      </c>
      <c r="B1850" s="89" t="str">
        <f>" 노무비: "&amp;TEXT(I1850,"#,##0"&amp;IF(I1850&lt;&gt;INT(I1850),".###",""))&amp;" / Q = "&amp;TEXT(C1850,"#,##0.0")&amp;""</f>
        <v xml:space="preserve"> 노무비: 59,020 / Q = 2,761.1</v>
      </c>
      <c r="C1850" s="91">
        <f>E1850+D1850+F1850</f>
        <v>2761.1</v>
      </c>
      <c r="D1850" s="91">
        <f>IF(H1850=0,0,ROUNDDOWN(J1850*H1850,1))</f>
        <v>2761.1</v>
      </c>
      <c r="E1850" s="91">
        <f>IF(H1850=0,0,ROUNDDOWN(K1850*H1850,1))</f>
        <v>0</v>
      </c>
      <c r="F1850" s="91">
        <f>IF(H1850=0,0,ROUNDDOWN(L1850*H1850,1))</f>
        <v>0</v>
      </c>
      <c r="G1850" s="17" t="s">
        <v>2120</v>
      </c>
      <c r="H1850" s="97">
        <f>ROUNDUP(AC1850,14-LEN(ABS(INT(AC1850))))</f>
        <v>4.6783625731000006E-2</v>
      </c>
      <c r="I1850" s="98">
        <f>K1850+J1850+L1850</f>
        <v>59020</v>
      </c>
      <c r="J1850" s="38">
        <f>중기목록표!F6</f>
        <v>59020</v>
      </c>
      <c r="M1850" s="35" t="s">
        <v>1544</v>
      </c>
      <c r="N1850" s="35" t="s">
        <v>1262</v>
      </c>
      <c r="X1850" s="100" t="str">
        <f>중기목록표!B6&amp;" / "&amp;중기목록표!C6</f>
        <v>굴착기(무한궤도) / 0.4㎥</v>
      </c>
      <c r="Y1850" s="3" t="str">
        <f ca="1">HYPERLINK("#"&amp;중기목록표!J2&amp;"!A"&amp;ROW(중기목록표!A6),"중기3 →")</f>
        <v>중기3 →</v>
      </c>
      <c r="Z1850" s="35" t="s">
        <v>1417</v>
      </c>
      <c r="AA1850" s="103" t="str">
        <f>AD1815</f>
        <v>21.375</v>
      </c>
      <c r="AB1850" s="35" t="s">
        <v>1410</v>
      </c>
      <c r="AC1850" s="103">
        <f>1/AD1815</f>
        <v>4.6783625730994149E-2</v>
      </c>
      <c r="AD1850" s="101"/>
      <c r="AE1850" s="101"/>
      <c r="AF1850" s="101"/>
      <c r="AG1850" s="101"/>
      <c r="AH1850" s="101"/>
      <c r="AI1850" s="101"/>
      <c r="AJ1850" s="101"/>
      <c r="AK1850" s="101"/>
      <c r="AL1850" s="101"/>
      <c r="AM1850" s="101"/>
      <c r="AN1850" s="101"/>
    </row>
    <row r="1851" spans="1:40" ht="16.5" customHeight="1" x14ac:dyDescent="0.3">
      <c r="A1851" s="69"/>
      <c r="B1851" s="69"/>
      <c r="C1851" s="69"/>
      <c r="D1851" s="69"/>
      <c r="E1851" s="69"/>
      <c r="F1851" s="69"/>
      <c r="G1851" s="17" t="s">
        <v>1405</v>
      </c>
      <c r="Z1851" s="101"/>
      <c r="AA1851" s="101"/>
      <c r="AB1851" s="101"/>
      <c r="AC1851" s="101"/>
      <c r="AD1851" s="101"/>
      <c r="AE1851" s="101"/>
      <c r="AF1851" s="101"/>
      <c r="AG1851" s="101"/>
      <c r="AH1851" s="101"/>
      <c r="AI1851" s="101"/>
      <c r="AJ1851" s="101"/>
      <c r="AK1851" s="101"/>
      <c r="AL1851" s="101"/>
      <c r="AM1851" s="101"/>
      <c r="AN1851" s="101"/>
    </row>
    <row r="1852" spans="1:40" ht="16.5" customHeight="1" x14ac:dyDescent="0.3">
      <c r="A1852" s="59" t="s">
        <v>1546</v>
      </c>
      <c r="B1852" s="89" t="str">
        <f>" 재료비: "&amp;TEXT(I1852,"#,##0"&amp;IF(I1852&lt;&gt;INT(I1852),".###",""))&amp;" / Q = "&amp;TEXT(C1852,"#,##0.0")&amp;""</f>
        <v xml:space="preserve"> 재료비: 21,728 / Q = 1,016.5</v>
      </c>
      <c r="C1852" s="91">
        <f>E1852+D1852+F1852</f>
        <v>1016.5</v>
      </c>
      <c r="D1852" s="91">
        <f>IF(H1852=0,0,ROUNDDOWN(J1852*H1852,1))</f>
        <v>0</v>
      </c>
      <c r="E1852" s="91">
        <f>IF(H1852=0,0,ROUNDDOWN(K1852*H1852,1))</f>
        <v>1016.5</v>
      </c>
      <c r="F1852" s="91">
        <f>IF(H1852=0,0,ROUNDDOWN(L1852*H1852,1))</f>
        <v>0</v>
      </c>
      <c r="G1852" s="17" t="s">
        <v>2121</v>
      </c>
      <c r="H1852" s="97">
        <f>ROUNDUP(AC1852,14-LEN(ABS(INT(AC1852))))</f>
        <v>4.6783625731000006E-2</v>
      </c>
      <c r="I1852" s="98">
        <f>K1852+J1852+L1852</f>
        <v>21728</v>
      </c>
      <c r="K1852" s="38">
        <f>중기목록표!G6</f>
        <v>21728</v>
      </c>
      <c r="M1852" s="35" t="s">
        <v>1544</v>
      </c>
      <c r="N1852" s="35" t="s">
        <v>1262</v>
      </c>
      <c r="X1852" s="100" t="str">
        <f>중기목록표!B6&amp;" / "&amp;중기목록표!C6</f>
        <v>굴착기(무한궤도) / 0.4㎥</v>
      </c>
      <c r="Y1852" s="3" t="str">
        <f ca="1">HYPERLINK("#"&amp;중기목록표!J2&amp;"!A"&amp;ROW(중기목록표!A6),"중기3 →")</f>
        <v>중기3 →</v>
      </c>
      <c r="Z1852" s="35" t="s">
        <v>1417</v>
      </c>
      <c r="AA1852" s="103" t="str">
        <f>AD1815</f>
        <v>21.375</v>
      </c>
      <c r="AB1852" s="35" t="s">
        <v>1410</v>
      </c>
      <c r="AC1852" s="103">
        <f>1/AD1815</f>
        <v>4.6783625730994149E-2</v>
      </c>
      <c r="AD1852" s="101"/>
      <c r="AE1852" s="101"/>
      <c r="AF1852" s="101"/>
      <c r="AG1852" s="101"/>
      <c r="AH1852" s="101"/>
      <c r="AI1852" s="101"/>
      <c r="AJ1852" s="101"/>
      <c r="AK1852" s="101"/>
      <c r="AL1852" s="101"/>
      <c r="AM1852" s="101"/>
      <c r="AN1852" s="101"/>
    </row>
    <row r="1853" spans="1:40" ht="16.5" customHeight="1" x14ac:dyDescent="0.3">
      <c r="A1853" s="69"/>
      <c r="B1853" s="69"/>
      <c r="C1853" s="69"/>
      <c r="D1853" s="69"/>
      <c r="E1853" s="69"/>
      <c r="F1853" s="69"/>
      <c r="G1853" s="17" t="s">
        <v>1405</v>
      </c>
      <c r="Z1853" s="101"/>
      <c r="AA1853" s="101"/>
      <c r="AB1853" s="101"/>
      <c r="AC1853" s="101"/>
      <c r="AD1853" s="101"/>
      <c r="AE1853" s="101"/>
      <c r="AF1853" s="101"/>
      <c r="AG1853" s="101"/>
      <c r="AH1853" s="101"/>
      <c r="AI1853" s="101"/>
      <c r="AJ1853" s="101"/>
      <c r="AK1853" s="101"/>
      <c r="AL1853" s="101"/>
      <c r="AM1853" s="101"/>
      <c r="AN1853" s="101"/>
    </row>
    <row r="1854" spans="1:40" ht="16.5" customHeight="1" x14ac:dyDescent="0.3">
      <c r="A1854" s="59" t="s">
        <v>1548</v>
      </c>
      <c r="B1854" s="89" t="str">
        <f>" 경  비: "&amp;TEXT(I1854,"#,##0"&amp;IF(I1854&lt;&gt;INT(I1854),".###",""))&amp;" / Q = "&amp;TEXT(C1854,"#,##0.0")&amp;""</f>
        <v xml:space="preserve"> 경  비: 17,514 / Q = 819.3</v>
      </c>
      <c r="C1854" s="91">
        <f>E1854+D1854+F1854</f>
        <v>819.3</v>
      </c>
      <c r="D1854" s="91">
        <f>IF(H1854=0,0,ROUNDDOWN(J1854*H1854,1))</f>
        <v>0</v>
      </c>
      <c r="E1854" s="91">
        <f>IF(H1854=0,0,ROUNDDOWN(K1854*H1854,1))</f>
        <v>0</v>
      </c>
      <c r="F1854" s="91">
        <f>IF(H1854=0,0,ROUNDDOWN(L1854*H1854,1))</f>
        <v>819.3</v>
      </c>
      <c r="G1854" s="17" t="s">
        <v>2122</v>
      </c>
      <c r="H1854" s="97">
        <f>ROUNDUP(AC1854,14-LEN(ABS(INT(AC1854))))</f>
        <v>4.6783625731000006E-2</v>
      </c>
      <c r="I1854" s="98">
        <f>K1854+J1854+L1854</f>
        <v>17514</v>
      </c>
      <c r="L1854" s="38">
        <f>중기목록표!H6</f>
        <v>17514</v>
      </c>
      <c r="M1854" s="35" t="s">
        <v>1544</v>
      </c>
      <c r="N1854" s="35" t="s">
        <v>1262</v>
      </c>
      <c r="X1854" s="100" t="str">
        <f>중기목록표!B6&amp;" / "&amp;중기목록표!C6</f>
        <v>굴착기(무한궤도) / 0.4㎥</v>
      </c>
      <c r="Y1854" s="3" t="str">
        <f ca="1">HYPERLINK("#"&amp;중기목록표!J2&amp;"!A"&amp;ROW(중기목록표!A6),"중기3 →")</f>
        <v>중기3 →</v>
      </c>
      <c r="Z1854" s="35" t="s">
        <v>1417</v>
      </c>
      <c r="AA1854" s="103" t="str">
        <f>AD1815</f>
        <v>21.375</v>
      </c>
      <c r="AB1854" s="35" t="s">
        <v>1410</v>
      </c>
      <c r="AC1854" s="103">
        <f>1/AD1815</f>
        <v>4.6783625730994149E-2</v>
      </c>
      <c r="AD1854" s="101"/>
      <c r="AE1854" s="101"/>
      <c r="AF1854" s="101"/>
      <c r="AG1854" s="101"/>
      <c r="AH1854" s="101"/>
      <c r="AI1854" s="101"/>
      <c r="AJ1854" s="101"/>
      <c r="AK1854" s="101"/>
      <c r="AL1854" s="101"/>
      <c r="AM1854" s="101"/>
      <c r="AN1854" s="101"/>
    </row>
    <row r="1855" spans="1:40" ht="16.5" customHeight="1" x14ac:dyDescent="0.3">
      <c r="A1855" s="69"/>
      <c r="B1855" s="69"/>
      <c r="C1855" s="69"/>
      <c r="D1855" s="69"/>
      <c r="E1855" s="69"/>
      <c r="F1855" s="69"/>
      <c r="G1855" s="17" t="s">
        <v>1405</v>
      </c>
      <c r="Z1855" s="101"/>
      <c r="AA1855" s="101"/>
      <c r="AB1855" s="101"/>
      <c r="AC1855" s="101"/>
      <c r="AD1855" s="101"/>
      <c r="AE1855" s="101"/>
      <c r="AF1855" s="101"/>
      <c r="AG1855" s="101"/>
      <c r="AH1855" s="101"/>
      <c r="AI1855" s="101"/>
      <c r="AJ1855" s="101"/>
      <c r="AK1855" s="101"/>
      <c r="AL1855" s="101"/>
      <c r="AM1855" s="101"/>
      <c r="AN1855" s="101"/>
    </row>
    <row r="1856" spans="1:40" ht="16.5" customHeight="1" x14ac:dyDescent="0.3">
      <c r="A1856" s="59"/>
      <c r="B1856" s="68" t="s">
        <v>1260</v>
      </c>
      <c r="C1856" s="92">
        <f>E1856+D1856+F1856</f>
        <v>4596.8999999999996</v>
      </c>
      <c r="D1856" s="92">
        <f>SUMIF(N1847:N1855,M1856,D1847:D1855)</f>
        <v>2761.1</v>
      </c>
      <c r="E1856" s="92">
        <f>SUMIF(N1847:N1855,M1856,E1847:E1855)</f>
        <v>1016.5</v>
      </c>
      <c r="F1856" s="92">
        <f>SUMIF(N1847:N1855,M1856,F1847:F1855)</f>
        <v>819.3</v>
      </c>
      <c r="G1856" s="17" t="s">
        <v>1430</v>
      </c>
      <c r="M1856" s="35" t="s">
        <v>1262</v>
      </c>
      <c r="N1856" s="35" t="s">
        <v>1253</v>
      </c>
      <c r="Z1856" s="101"/>
      <c r="AA1856" s="101"/>
      <c r="AB1856" s="101"/>
      <c r="AC1856" s="101"/>
      <c r="AD1856" s="101"/>
      <c r="AE1856" s="101"/>
      <c r="AF1856" s="101"/>
      <c r="AG1856" s="101"/>
      <c r="AH1856" s="101"/>
      <c r="AI1856" s="101"/>
      <c r="AJ1856" s="101"/>
      <c r="AK1856" s="101"/>
      <c r="AL1856" s="101"/>
      <c r="AM1856" s="101"/>
      <c r="AN1856" s="101"/>
    </row>
    <row r="1857" spans="1:40" ht="16.5" customHeight="1" x14ac:dyDescent="0.3">
      <c r="A1857" s="69"/>
      <c r="B1857" s="69"/>
      <c r="C1857" s="90"/>
      <c r="D1857" s="90"/>
      <c r="E1857" s="90"/>
      <c r="F1857" s="90"/>
      <c r="G1857" s="17" t="s">
        <v>1405</v>
      </c>
      <c r="Z1857" s="101"/>
      <c r="AA1857" s="101"/>
      <c r="AB1857" s="101"/>
      <c r="AC1857" s="101"/>
      <c r="AD1857" s="101"/>
      <c r="AE1857" s="101"/>
      <c r="AF1857" s="101"/>
      <c r="AG1857" s="101"/>
      <c r="AH1857" s="101"/>
      <c r="AI1857" s="101"/>
      <c r="AJ1857" s="101"/>
      <c r="AK1857" s="101"/>
      <c r="AL1857" s="101"/>
      <c r="AM1857" s="101"/>
      <c r="AN1857" s="101"/>
    </row>
    <row r="1858" spans="1:40" ht="16.5" customHeight="1" x14ac:dyDescent="0.3">
      <c r="A1858" s="59"/>
      <c r="B1858" s="68" t="s">
        <v>1251</v>
      </c>
      <c r="C1858" s="92">
        <f>E1858+D1858+F1858</f>
        <v>13612.699999999999</v>
      </c>
      <c r="D1858" s="92">
        <f>SUMIF(N1807:N1857,M1858,D1807:D1857)</f>
        <v>11304.3</v>
      </c>
      <c r="E1858" s="92">
        <f>SUMIF(N1807:N1857,M1858,E1807:E1857)</f>
        <v>1117.8</v>
      </c>
      <c r="F1858" s="92">
        <f>SUMIF(N1807:N1857,M1858,F1807:F1857)</f>
        <v>1190.5999999999999</v>
      </c>
      <c r="G1858" s="17" t="s">
        <v>1476</v>
      </c>
      <c r="M1858" s="35" t="s">
        <v>1253</v>
      </c>
      <c r="N1858" s="35" t="s">
        <v>1209</v>
      </c>
      <c r="Z1858" s="101"/>
      <c r="AA1858" s="101"/>
      <c r="AB1858" s="101"/>
      <c r="AC1858" s="101"/>
      <c r="AD1858" s="101"/>
      <c r="AE1858" s="101"/>
      <c r="AF1858" s="101"/>
      <c r="AG1858" s="101"/>
      <c r="AH1858" s="101"/>
      <c r="AI1858" s="101"/>
      <c r="AJ1858" s="101"/>
      <c r="AK1858" s="101"/>
      <c r="AL1858" s="101"/>
      <c r="AM1858" s="101"/>
      <c r="AN1858" s="101"/>
    </row>
    <row r="1859" spans="1:40" ht="16.5" customHeight="1" x14ac:dyDescent="0.3">
      <c r="A1859" s="69"/>
      <c r="B1859" s="69"/>
      <c r="C1859" s="90"/>
      <c r="D1859" s="90"/>
      <c r="E1859" s="90"/>
      <c r="F1859" s="90"/>
      <c r="Z1859" s="101"/>
      <c r="AA1859" s="101"/>
      <c r="AB1859" s="101"/>
      <c r="AC1859" s="101"/>
      <c r="AD1859" s="101"/>
      <c r="AE1859" s="101"/>
      <c r="AF1859" s="101"/>
      <c r="AG1859" s="101"/>
      <c r="AH1859" s="101"/>
      <c r="AI1859" s="101"/>
      <c r="AJ1859" s="101"/>
      <c r="AK1859" s="101"/>
      <c r="AL1859" s="101"/>
      <c r="AM1859" s="101"/>
      <c r="AN1859" s="101"/>
    </row>
    <row r="1860" spans="1:40" ht="16.5" customHeight="1" x14ac:dyDescent="0.3">
      <c r="A1860" s="69"/>
      <c r="B1860" s="69"/>
      <c r="C1860" s="69"/>
      <c r="D1860" s="69"/>
      <c r="E1860" s="69"/>
      <c r="F1860" s="69"/>
      <c r="Z1860" s="101"/>
      <c r="AA1860" s="101"/>
      <c r="AB1860" s="101"/>
      <c r="AC1860" s="101"/>
      <c r="AD1860" s="101"/>
      <c r="AE1860" s="101"/>
      <c r="AF1860" s="101"/>
      <c r="AG1860" s="101"/>
      <c r="AH1860" s="101"/>
      <c r="AI1860" s="101"/>
      <c r="AJ1860" s="101"/>
      <c r="AK1860" s="101"/>
      <c r="AL1860" s="101"/>
      <c r="AM1860" s="101"/>
      <c r="AN1860" s="101"/>
    </row>
    <row r="1861" spans="1:40" ht="16.5" customHeight="1" x14ac:dyDescent="0.3">
      <c r="A1861" s="69"/>
      <c r="B1861" s="69"/>
      <c r="C1861" s="69"/>
      <c r="D1861" s="69"/>
      <c r="E1861" s="69"/>
      <c r="F1861" s="69"/>
      <c r="Z1861" s="101"/>
      <c r="AA1861" s="101"/>
      <c r="AB1861" s="101"/>
      <c r="AC1861" s="101"/>
      <c r="AD1861" s="101"/>
      <c r="AE1861" s="101"/>
      <c r="AF1861" s="101"/>
      <c r="AG1861" s="101"/>
      <c r="AH1861" s="101"/>
      <c r="AI1861" s="101"/>
      <c r="AJ1861" s="101"/>
      <c r="AK1861" s="101"/>
      <c r="AL1861" s="101"/>
      <c r="AM1861" s="101"/>
      <c r="AN1861" s="101"/>
    </row>
    <row r="1862" spans="1:40" ht="16.5" customHeight="1" x14ac:dyDescent="0.3">
      <c r="A1862" s="69"/>
      <c r="B1862" s="69"/>
      <c r="C1862" s="69"/>
      <c r="D1862" s="69"/>
      <c r="E1862" s="69"/>
      <c r="F1862" s="69"/>
      <c r="Z1862" s="101"/>
      <c r="AA1862" s="101"/>
      <c r="AB1862" s="101"/>
      <c r="AC1862" s="101"/>
      <c r="AD1862" s="101"/>
      <c r="AE1862" s="101"/>
      <c r="AF1862" s="101"/>
      <c r="AG1862" s="101"/>
      <c r="AH1862" s="101"/>
      <c r="AI1862" s="101"/>
      <c r="AJ1862" s="101"/>
      <c r="AK1862" s="101"/>
      <c r="AL1862" s="101"/>
      <c r="AM1862" s="101"/>
      <c r="AN1862" s="101"/>
    </row>
    <row r="1863" spans="1:40" ht="16.5" customHeight="1" x14ac:dyDescent="0.3">
      <c r="A1863" s="69"/>
      <c r="B1863" s="69"/>
      <c r="C1863" s="69"/>
      <c r="D1863" s="69"/>
      <c r="E1863" s="69"/>
      <c r="F1863" s="69"/>
      <c r="Z1863" s="101"/>
      <c r="AA1863" s="101"/>
      <c r="AB1863" s="101"/>
      <c r="AC1863" s="101"/>
      <c r="AD1863" s="101"/>
      <c r="AE1863" s="101"/>
      <c r="AF1863" s="101"/>
      <c r="AG1863" s="101"/>
      <c r="AH1863" s="101"/>
      <c r="AI1863" s="101"/>
      <c r="AJ1863" s="101"/>
      <c r="AK1863" s="101"/>
      <c r="AL1863" s="101"/>
      <c r="AM1863" s="101"/>
      <c r="AN1863" s="101"/>
    </row>
    <row r="1864" spans="1:40" ht="16.5" customHeight="1" x14ac:dyDescent="0.3">
      <c r="A1864" s="69"/>
      <c r="B1864" s="69"/>
      <c r="C1864" s="69"/>
      <c r="D1864" s="69"/>
      <c r="E1864" s="69"/>
      <c r="F1864" s="69"/>
      <c r="Z1864" s="101"/>
      <c r="AA1864" s="101"/>
      <c r="AB1864" s="101"/>
      <c r="AC1864" s="101"/>
      <c r="AD1864" s="101"/>
      <c r="AE1864" s="101"/>
      <c r="AF1864" s="101"/>
      <c r="AG1864" s="101"/>
      <c r="AH1864" s="101"/>
      <c r="AI1864" s="101"/>
      <c r="AJ1864" s="101"/>
      <c r="AK1864" s="101"/>
      <c r="AL1864" s="101"/>
      <c r="AM1864" s="101"/>
      <c r="AN1864" s="101"/>
    </row>
    <row r="1865" spans="1:40" ht="16.5" customHeight="1" x14ac:dyDescent="0.3">
      <c r="A1865" s="69"/>
      <c r="B1865" s="69"/>
      <c r="C1865" s="69"/>
      <c r="D1865" s="69"/>
      <c r="E1865" s="69"/>
      <c r="F1865" s="69"/>
      <c r="Z1865" s="101"/>
      <c r="AA1865" s="101"/>
      <c r="AB1865" s="101"/>
      <c r="AC1865" s="101"/>
      <c r="AD1865" s="101"/>
      <c r="AE1865" s="101"/>
      <c r="AF1865" s="101"/>
      <c r="AG1865" s="101"/>
      <c r="AH1865" s="101"/>
      <c r="AI1865" s="101"/>
      <c r="AJ1865" s="101"/>
      <c r="AK1865" s="101"/>
      <c r="AL1865" s="101"/>
      <c r="AM1865" s="101"/>
      <c r="AN1865" s="101"/>
    </row>
    <row r="1866" spans="1:40" ht="16.5" customHeight="1" x14ac:dyDescent="0.3">
      <c r="A1866" s="69"/>
      <c r="B1866" s="69"/>
      <c r="C1866" s="69"/>
      <c r="D1866" s="69"/>
      <c r="E1866" s="69"/>
      <c r="F1866" s="69"/>
      <c r="Z1866" s="101"/>
      <c r="AA1866" s="101"/>
      <c r="AB1866" s="101"/>
      <c r="AC1866" s="101"/>
      <c r="AD1866" s="101"/>
      <c r="AE1866" s="101"/>
      <c r="AF1866" s="101"/>
      <c r="AG1866" s="101"/>
      <c r="AH1866" s="101"/>
      <c r="AI1866" s="101"/>
      <c r="AJ1866" s="101"/>
      <c r="AK1866" s="101"/>
      <c r="AL1866" s="101"/>
      <c r="AM1866" s="101"/>
      <c r="AN1866" s="101"/>
    </row>
    <row r="1867" spans="1:40" ht="16.5" customHeight="1" x14ac:dyDescent="0.3">
      <c r="A1867" s="69"/>
      <c r="B1867" s="69"/>
      <c r="C1867" s="69"/>
      <c r="D1867" s="69"/>
      <c r="E1867" s="69"/>
      <c r="F1867" s="69"/>
      <c r="Z1867" s="101"/>
      <c r="AA1867" s="101"/>
      <c r="AB1867" s="101"/>
      <c r="AC1867" s="101"/>
      <c r="AD1867" s="101"/>
      <c r="AE1867" s="101"/>
      <c r="AF1867" s="101"/>
      <c r="AG1867" s="101"/>
      <c r="AH1867" s="101"/>
      <c r="AI1867" s="101"/>
      <c r="AJ1867" s="101"/>
      <c r="AK1867" s="101"/>
      <c r="AL1867" s="101"/>
      <c r="AM1867" s="101"/>
      <c r="AN1867" s="101"/>
    </row>
    <row r="1868" spans="1:40" ht="16.5" customHeight="1" x14ac:dyDescent="0.3">
      <c r="A1868" s="69"/>
      <c r="B1868" s="69"/>
      <c r="C1868" s="69"/>
      <c r="D1868" s="69"/>
      <c r="E1868" s="69"/>
      <c r="F1868" s="69"/>
      <c r="Z1868" s="101"/>
      <c r="AA1868" s="101"/>
      <c r="AB1868" s="101"/>
      <c r="AC1868" s="101"/>
      <c r="AD1868" s="101"/>
      <c r="AE1868" s="101"/>
      <c r="AF1868" s="101"/>
      <c r="AG1868" s="101"/>
      <c r="AH1868" s="101"/>
      <c r="AI1868" s="101"/>
      <c r="AJ1868" s="101"/>
      <c r="AK1868" s="101"/>
      <c r="AL1868" s="101"/>
      <c r="AM1868" s="101"/>
      <c r="AN1868" s="101"/>
    </row>
    <row r="1869" spans="1:40" ht="16.5" customHeight="1" x14ac:dyDescent="0.3">
      <c r="A1869" s="69"/>
      <c r="B1869" s="69"/>
      <c r="C1869" s="69"/>
      <c r="D1869" s="69"/>
      <c r="E1869" s="69"/>
      <c r="F1869" s="69"/>
      <c r="Z1869" s="101"/>
      <c r="AA1869" s="101"/>
      <c r="AB1869" s="101"/>
      <c r="AC1869" s="101"/>
      <c r="AD1869" s="101"/>
      <c r="AE1869" s="101"/>
      <c r="AF1869" s="101"/>
      <c r="AG1869" s="101"/>
      <c r="AH1869" s="101"/>
      <c r="AI1869" s="101"/>
      <c r="AJ1869" s="101"/>
      <c r="AK1869" s="101"/>
      <c r="AL1869" s="101"/>
      <c r="AM1869" s="101"/>
      <c r="AN1869" s="101"/>
    </row>
    <row r="1870" spans="1:40" ht="16.5" customHeight="1" x14ac:dyDescent="0.3">
      <c r="A1870" s="69"/>
      <c r="B1870" s="69"/>
      <c r="C1870" s="69"/>
      <c r="D1870" s="69"/>
      <c r="E1870" s="69"/>
      <c r="F1870" s="69"/>
      <c r="Z1870" s="101"/>
      <c r="AA1870" s="101"/>
      <c r="AB1870" s="101"/>
      <c r="AC1870" s="101"/>
      <c r="AD1870" s="101"/>
      <c r="AE1870" s="101"/>
      <c r="AF1870" s="101"/>
      <c r="AG1870" s="101"/>
      <c r="AH1870" s="101"/>
      <c r="AI1870" s="101"/>
      <c r="AJ1870" s="101"/>
      <c r="AK1870" s="101"/>
      <c r="AL1870" s="101"/>
      <c r="AM1870" s="101"/>
      <c r="AN1870" s="101"/>
    </row>
    <row r="1871" spans="1:40" ht="16.5" customHeight="1" x14ac:dyDescent="0.3">
      <c r="A1871" s="69"/>
      <c r="B1871" s="69"/>
      <c r="C1871" s="69"/>
      <c r="D1871" s="69"/>
      <c r="E1871" s="69"/>
      <c r="F1871" s="69"/>
      <c r="Z1871" s="101"/>
      <c r="AA1871" s="101"/>
      <c r="AB1871" s="101"/>
      <c r="AC1871" s="101"/>
      <c r="AD1871" s="101"/>
      <c r="AE1871" s="101"/>
      <c r="AF1871" s="101"/>
      <c r="AG1871" s="101"/>
      <c r="AH1871" s="101"/>
      <c r="AI1871" s="101"/>
      <c r="AJ1871" s="101"/>
      <c r="AK1871" s="101"/>
      <c r="AL1871" s="101"/>
      <c r="AM1871" s="101"/>
      <c r="AN1871" s="101"/>
    </row>
    <row r="1872" spans="1:40" ht="16.5" customHeight="1" x14ac:dyDescent="0.3">
      <c r="A1872" s="69"/>
      <c r="B1872" s="69"/>
      <c r="C1872" s="69"/>
      <c r="D1872" s="69"/>
      <c r="E1872" s="69"/>
      <c r="F1872" s="69"/>
      <c r="Z1872" s="101"/>
      <c r="AA1872" s="101"/>
      <c r="AB1872" s="101"/>
      <c r="AC1872" s="101"/>
      <c r="AD1872" s="101"/>
      <c r="AE1872" s="101"/>
      <c r="AF1872" s="101"/>
      <c r="AG1872" s="101"/>
      <c r="AH1872" s="101"/>
      <c r="AI1872" s="101"/>
      <c r="AJ1872" s="101"/>
      <c r="AK1872" s="101"/>
      <c r="AL1872" s="101"/>
      <c r="AM1872" s="101"/>
      <c r="AN1872" s="101"/>
    </row>
    <row r="1873" spans="1:40" ht="16.5" customHeight="1" x14ac:dyDescent="0.3">
      <c r="A1873" s="69"/>
      <c r="B1873" s="69"/>
      <c r="C1873" s="69"/>
      <c r="D1873" s="69"/>
      <c r="E1873" s="69"/>
      <c r="F1873" s="69"/>
      <c r="Z1873" s="101"/>
      <c r="AA1873" s="101"/>
      <c r="AB1873" s="101"/>
      <c r="AC1873" s="101"/>
      <c r="AD1873" s="101"/>
      <c r="AE1873" s="101"/>
      <c r="AF1873" s="101"/>
      <c r="AG1873" s="101"/>
      <c r="AH1873" s="101"/>
      <c r="AI1873" s="101"/>
      <c r="AJ1873" s="101"/>
      <c r="AK1873" s="101"/>
      <c r="AL1873" s="101"/>
      <c r="AM1873" s="101"/>
      <c r="AN1873" s="101"/>
    </row>
    <row r="1874" spans="1:40" ht="16.5" customHeight="1" x14ac:dyDescent="0.3">
      <c r="A1874" s="69"/>
      <c r="B1874" s="69"/>
      <c r="C1874" s="69"/>
      <c r="D1874" s="69"/>
      <c r="E1874" s="69"/>
      <c r="F1874" s="69"/>
      <c r="Z1874" s="101"/>
      <c r="AA1874" s="101"/>
      <c r="AB1874" s="101"/>
      <c r="AC1874" s="101"/>
      <c r="AD1874" s="101"/>
      <c r="AE1874" s="101"/>
      <c r="AF1874" s="101"/>
      <c r="AG1874" s="101"/>
      <c r="AH1874" s="101"/>
      <c r="AI1874" s="101"/>
      <c r="AJ1874" s="101"/>
      <c r="AK1874" s="101"/>
      <c r="AL1874" s="101"/>
      <c r="AM1874" s="101"/>
      <c r="AN1874" s="101"/>
    </row>
    <row r="1875" spans="1:40" ht="16.5" customHeight="1" x14ac:dyDescent="0.3">
      <c r="A1875" s="69"/>
      <c r="B1875" s="69"/>
      <c r="C1875" s="69"/>
      <c r="D1875" s="69"/>
      <c r="E1875" s="69"/>
      <c r="F1875" s="69"/>
      <c r="Z1875" s="101"/>
      <c r="AA1875" s="101"/>
      <c r="AB1875" s="101"/>
      <c r="AC1875" s="101"/>
      <c r="AD1875" s="101"/>
      <c r="AE1875" s="101"/>
      <c r="AF1875" s="101"/>
      <c r="AG1875" s="101"/>
      <c r="AH1875" s="101"/>
      <c r="AI1875" s="101"/>
      <c r="AJ1875" s="101"/>
      <c r="AK1875" s="101"/>
      <c r="AL1875" s="101"/>
      <c r="AM1875" s="101"/>
      <c r="AN1875" s="101"/>
    </row>
    <row r="1876" spans="1:40" ht="16.5" customHeight="1" x14ac:dyDescent="0.3">
      <c r="A1876" s="69"/>
      <c r="B1876" s="69"/>
      <c r="C1876" s="69"/>
      <c r="D1876" s="69"/>
      <c r="E1876" s="69"/>
      <c r="F1876" s="69"/>
      <c r="Z1876" s="101"/>
      <c r="AA1876" s="101"/>
      <c r="AB1876" s="101"/>
      <c r="AC1876" s="101"/>
      <c r="AD1876" s="101"/>
      <c r="AE1876" s="101"/>
      <c r="AF1876" s="101"/>
      <c r="AG1876" s="101"/>
      <c r="AH1876" s="101"/>
      <c r="AI1876" s="101"/>
      <c r="AJ1876" s="101"/>
      <c r="AK1876" s="101"/>
      <c r="AL1876" s="101"/>
      <c r="AM1876" s="101"/>
      <c r="AN1876" s="101"/>
    </row>
    <row r="1877" spans="1:40" ht="16.5" customHeight="1" x14ac:dyDescent="0.3">
      <c r="A1877" s="69"/>
      <c r="B1877" s="69"/>
      <c r="C1877" s="69"/>
      <c r="D1877" s="69"/>
      <c r="E1877" s="69"/>
      <c r="F1877" s="69"/>
      <c r="Z1877" s="101"/>
      <c r="AA1877" s="101"/>
      <c r="AB1877" s="101"/>
      <c r="AC1877" s="101"/>
      <c r="AD1877" s="101"/>
      <c r="AE1877" s="101"/>
      <c r="AF1877" s="101"/>
      <c r="AG1877" s="101"/>
      <c r="AH1877" s="101"/>
      <c r="AI1877" s="101"/>
      <c r="AJ1877" s="101"/>
      <c r="AK1877" s="101"/>
      <c r="AL1877" s="101"/>
      <c r="AM1877" s="101"/>
      <c r="AN1877" s="101"/>
    </row>
    <row r="1878" spans="1:40" ht="16.5" customHeight="1" x14ac:dyDescent="0.3">
      <c r="A1878" s="69"/>
      <c r="B1878" s="69"/>
      <c r="C1878" s="69"/>
      <c r="D1878" s="69"/>
      <c r="E1878" s="69"/>
      <c r="F1878" s="69"/>
      <c r="Z1878" s="101"/>
      <c r="AA1878" s="101"/>
      <c r="AB1878" s="101"/>
      <c r="AC1878" s="101"/>
      <c r="AD1878" s="101"/>
      <c r="AE1878" s="101"/>
      <c r="AF1878" s="101"/>
      <c r="AG1878" s="101"/>
      <c r="AH1878" s="101"/>
      <c r="AI1878" s="101"/>
      <c r="AJ1878" s="101"/>
      <c r="AK1878" s="101"/>
      <c r="AL1878" s="101"/>
      <c r="AM1878" s="101"/>
      <c r="AN1878" s="101"/>
    </row>
    <row r="1879" spans="1:40" ht="16.5" customHeight="1" x14ac:dyDescent="0.3">
      <c r="A1879" s="69"/>
      <c r="B1879" s="69"/>
      <c r="C1879" s="69"/>
      <c r="D1879" s="69"/>
      <c r="E1879" s="69"/>
      <c r="F1879" s="69"/>
      <c r="Z1879" s="101"/>
      <c r="AA1879" s="101"/>
      <c r="AB1879" s="101"/>
      <c r="AC1879" s="101"/>
      <c r="AD1879" s="101"/>
      <c r="AE1879" s="101"/>
      <c r="AF1879" s="101"/>
      <c r="AG1879" s="101"/>
      <c r="AH1879" s="101"/>
      <c r="AI1879" s="101"/>
      <c r="AJ1879" s="101"/>
      <c r="AK1879" s="101"/>
      <c r="AL1879" s="101"/>
      <c r="AM1879" s="101"/>
      <c r="AN1879" s="101"/>
    </row>
    <row r="1880" spans="1:40" ht="16.5" customHeight="1" x14ac:dyDescent="0.3">
      <c r="A1880" s="69"/>
      <c r="B1880" s="69"/>
      <c r="C1880" s="69"/>
      <c r="D1880" s="69"/>
      <c r="E1880" s="69"/>
      <c r="F1880" s="69"/>
      <c r="Z1880" s="101"/>
      <c r="AA1880" s="101"/>
      <c r="AB1880" s="101"/>
      <c r="AC1880" s="101"/>
      <c r="AD1880" s="101"/>
      <c r="AE1880" s="101"/>
      <c r="AF1880" s="101"/>
      <c r="AG1880" s="101"/>
      <c r="AH1880" s="101"/>
      <c r="AI1880" s="101"/>
      <c r="AJ1880" s="101"/>
      <c r="AK1880" s="101"/>
      <c r="AL1880" s="101"/>
      <c r="AM1880" s="101"/>
      <c r="AN1880" s="101"/>
    </row>
    <row r="1881" spans="1:40" ht="16.5" customHeight="1" x14ac:dyDescent="0.3">
      <c r="A1881" s="69"/>
      <c r="B1881" s="69"/>
      <c r="C1881" s="69"/>
      <c r="D1881" s="69"/>
      <c r="E1881" s="69"/>
      <c r="F1881" s="69"/>
      <c r="Z1881" s="101"/>
      <c r="AA1881" s="101"/>
      <c r="AB1881" s="101"/>
      <c r="AC1881" s="101"/>
      <c r="AD1881" s="101"/>
      <c r="AE1881" s="101"/>
      <c r="AF1881" s="101"/>
      <c r="AG1881" s="101"/>
      <c r="AH1881" s="101"/>
      <c r="AI1881" s="101"/>
      <c r="AJ1881" s="101"/>
      <c r="AK1881" s="101"/>
      <c r="AL1881" s="101"/>
      <c r="AM1881" s="101"/>
      <c r="AN1881" s="101"/>
    </row>
    <row r="1882" spans="1:40" ht="16.5" customHeight="1" x14ac:dyDescent="0.3">
      <c r="A1882" s="69"/>
      <c r="B1882" s="69"/>
      <c r="C1882" s="69"/>
      <c r="D1882" s="69"/>
      <c r="E1882" s="69"/>
      <c r="F1882" s="69"/>
      <c r="Z1882" s="101"/>
      <c r="AA1882" s="101"/>
      <c r="AB1882" s="101"/>
      <c r="AC1882" s="101"/>
      <c r="AD1882" s="101"/>
      <c r="AE1882" s="101"/>
      <c r="AF1882" s="101"/>
      <c r="AG1882" s="101"/>
      <c r="AH1882" s="101"/>
      <c r="AI1882" s="101"/>
      <c r="AJ1882" s="101"/>
      <c r="AK1882" s="101"/>
      <c r="AL1882" s="101"/>
      <c r="AM1882" s="101"/>
      <c r="AN1882" s="101"/>
    </row>
    <row r="1883" spans="1:40" ht="16.5" customHeight="1" x14ac:dyDescent="0.3">
      <c r="A1883" s="69"/>
      <c r="B1883" s="69"/>
      <c r="C1883" s="69"/>
      <c r="D1883" s="69"/>
      <c r="E1883" s="69"/>
      <c r="F1883" s="69"/>
      <c r="Z1883" s="101"/>
      <c r="AA1883" s="101"/>
      <c r="AB1883" s="101"/>
      <c r="AC1883" s="101"/>
      <c r="AD1883" s="101"/>
      <c r="AE1883" s="101"/>
      <c r="AF1883" s="101"/>
      <c r="AG1883" s="101"/>
      <c r="AH1883" s="101"/>
      <c r="AI1883" s="101"/>
      <c r="AJ1883" s="101"/>
      <c r="AK1883" s="101"/>
      <c r="AL1883" s="101"/>
      <c r="AM1883" s="101"/>
      <c r="AN1883" s="101"/>
    </row>
    <row r="1884" spans="1:40" ht="16.5" customHeight="1" x14ac:dyDescent="0.3">
      <c r="A1884" s="69"/>
      <c r="B1884" s="69"/>
      <c r="C1884" s="69"/>
      <c r="D1884" s="69"/>
      <c r="E1884" s="69"/>
      <c r="F1884" s="69"/>
      <c r="Z1884" s="101"/>
      <c r="AA1884" s="101"/>
      <c r="AB1884" s="101"/>
      <c r="AC1884" s="101"/>
      <c r="AD1884" s="101"/>
      <c r="AE1884" s="101"/>
      <c r="AF1884" s="101"/>
      <c r="AG1884" s="101"/>
      <c r="AH1884" s="101"/>
      <c r="AI1884" s="101"/>
      <c r="AJ1884" s="101"/>
      <c r="AK1884" s="101"/>
      <c r="AL1884" s="101"/>
      <c r="AM1884" s="101"/>
      <c r="AN1884" s="101"/>
    </row>
    <row r="1885" spans="1:40" ht="16.5" customHeight="1" x14ac:dyDescent="0.3">
      <c r="A1885" s="69"/>
      <c r="B1885" s="69"/>
      <c r="C1885" s="69"/>
      <c r="D1885" s="69"/>
      <c r="E1885" s="69"/>
      <c r="F1885" s="69"/>
      <c r="Z1885" s="101"/>
      <c r="AA1885" s="101"/>
      <c r="AB1885" s="101"/>
      <c r="AC1885" s="101"/>
      <c r="AD1885" s="101"/>
      <c r="AE1885" s="101"/>
      <c r="AF1885" s="101"/>
      <c r="AG1885" s="101"/>
      <c r="AH1885" s="101"/>
      <c r="AI1885" s="101"/>
      <c r="AJ1885" s="101"/>
      <c r="AK1885" s="101"/>
      <c r="AL1885" s="101"/>
      <c r="AM1885" s="101"/>
      <c r="AN1885" s="101"/>
    </row>
    <row r="1886" spans="1:40" ht="16.5" customHeight="1" x14ac:dyDescent="0.3">
      <c r="A1886" s="69"/>
      <c r="B1886" s="69"/>
      <c r="C1886" s="69"/>
      <c r="D1886" s="69"/>
      <c r="E1886" s="69"/>
      <c r="F1886" s="69"/>
      <c r="Z1886" s="101"/>
      <c r="AA1886" s="101"/>
      <c r="AB1886" s="101"/>
      <c r="AC1886" s="101"/>
      <c r="AD1886" s="101"/>
      <c r="AE1886" s="101"/>
      <c r="AF1886" s="101"/>
      <c r="AG1886" s="101"/>
      <c r="AH1886" s="101"/>
      <c r="AI1886" s="101"/>
      <c r="AJ1886" s="101"/>
      <c r="AK1886" s="101"/>
      <c r="AL1886" s="101"/>
      <c r="AM1886" s="101"/>
      <c r="AN1886" s="101"/>
    </row>
    <row r="1887" spans="1:40" ht="16.5" customHeight="1" x14ac:dyDescent="0.3">
      <c r="A1887" s="69"/>
      <c r="B1887" s="69"/>
      <c r="C1887" s="69"/>
      <c r="D1887" s="69"/>
      <c r="E1887" s="69"/>
      <c r="F1887" s="69"/>
      <c r="Z1887" s="101"/>
      <c r="AA1887" s="101"/>
      <c r="AB1887" s="101"/>
      <c r="AC1887" s="101"/>
      <c r="AD1887" s="101"/>
      <c r="AE1887" s="101"/>
      <c r="AF1887" s="101"/>
      <c r="AG1887" s="101"/>
      <c r="AH1887" s="101"/>
      <c r="AI1887" s="101"/>
      <c r="AJ1887" s="101"/>
      <c r="AK1887" s="101"/>
      <c r="AL1887" s="101"/>
      <c r="AM1887" s="101"/>
      <c r="AN1887" s="101"/>
    </row>
    <row r="1888" spans="1:40" ht="16.5" customHeight="1" x14ac:dyDescent="0.3">
      <c r="A1888" s="69"/>
      <c r="B1888" s="69"/>
      <c r="C1888" s="69"/>
      <c r="D1888" s="69"/>
      <c r="E1888" s="69"/>
      <c r="F1888" s="69"/>
      <c r="Z1888" s="101"/>
      <c r="AA1888" s="101"/>
      <c r="AB1888" s="101"/>
      <c r="AC1888" s="101"/>
      <c r="AD1888" s="101"/>
      <c r="AE1888" s="101"/>
      <c r="AF1888" s="101"/>
      <c r="AG1888" s="101"/>
      <c r="AH1888" s="101"/>
      <c r="AI1888" s="101"/>
      <c r="AJ1888" s="101"/>
      <c r="AK1888" s="101"/>
      <c r="AL1888" s="101"/>
      <c r="AM1888" s="101"/>
      <c r="AN1888" s="101"/>
    </row>
    <row r="1889" spans="1:40" ht="16.5" customHeight="1" x14ac:dyDescent="0.3">
      <c r="A1889" s="69"/>
      <c r="B1889" s="69"/>
      <c r="C1889" s="69"/>
      <c r="D1889" s="69"/>
      <c r="E1889" s="69"/>
      <c r="F1889" s="69"/>
      <c r="Z1889" s="101"/>
      <c r="AA1889" s="101"/>
      <c r="AB1889" s="101"/>
      <c r="AC1889" s="101"/>
      <c r="AD1889" s="101"/>
      <c r="AE1889" s="101"/>
      <c r="AF1889" s="101"/>
      <c r="AG1889" s="101"/>
      <c r="AH1889" s="101"/>
      <c r="AI1889" s="101"/>
      <c r="AJ1889" s="101"/>
      <c r="AK1889" s="101"/>
      <c r="AL1889" s="101"/>
      <c r="AM1889" s="101"/>
      <c r="AN1889" s="101"/>
    </row>
    <row r="1890" spans="1:40" ht="16.5" customHeight="1" x14ac:dyDescent="0.3">
      <c r="A1890" s="69"/>
      <c r="B1890" s="69"/>
      <c r="C1890" s="69"/>
      <c r="D1890" s="69"/>
      <c r="E1890" s="69"/>
      <c r="F1890" s="69"/>
      <c r="Z1890" s="101"/>
      <c r="AA1890" s="101"/>
      <c r="AB1890" s="101"/>
      <c r="AC1890" s="101"/>
      <c r="AD1890" s="101"/>
      <c r="AE1890" s="101"/>
      <c r="AF1890" s="101"/>
      <c r="AG1890" s="101"/>
      <c r="AH1890" s="101"/>
      <c r="AI1890" s="101"/>
      <c r="AJ1890" s="101"/>
      <c r="AK1890" s="101"/>
      <c r="AL1890" s="101"/>
      <c r="AM1890" s="101"/>
      <c r="AN1890" s="101"/>
    </row>
    <row r="1891" spans="1:40" ht="16.5" customHeight="1" x14ac:dyDescent="0.3">
      <c r="A1891" s="69"/>
      <c r="B1891" s="69"/>
      <c r="C1891" s="69"/>
      <c r="D1891" s="69"/>
      <c r="E1891" s="69"/>
      <c r="F1891" s="69"/>
      <c r="Z1891" s="101"/>
      <c r="AA1891" s="101"/>
      <c r="AB1891" s="101"/>
      <c r="AC1891" s="101"/>
      <c r="AD1891" s="101"/>
      <c r="AE1891" s="101"/>
      <c r="AF1891" s="101"/>
      <c r="AG1891" s="101"/>
      <c r="AH1891" s="101"/>
      <c r="AI1891" s="101"/>
      <c r="AJ1891" s="101"/>
      <c r="AK1891" s="101"/>
      <c r="AL1891" s="101"/>
      <c r="AM1891" s="101"/>
      <c r="AN1891" s="101"/>
    </row>
    <row r="1892" spans="1:40" ht="16.5" customHeight="1" x14ac:dyDescent="0.3">
      <c r="A1892" s="69"/>
      <c r="B1892" s="69"/>
      <c r="C1892" s="69"/>
      <c r="D1892" s="69"/>
      <c r="E1892" s="69"/>
      <c r="F1892" s="69"/>
      <c r="Z1892" s="101"/>
      <c r="AA1892" s="101"/>
      <c r="AB1892" s="101"/>
      <c r="AC1892" s="101"/>
      <c r="AD1892" s="101"/>
      <c r="AE1892" s="101"/>
      <c r="AF1892" s="101"/>
      <c r="AG1892" s="101"/>
      <c r="AH1892" s="101"/>
      <c r="AI1892" s="101"/>
      <c r="AJ1892" s="101"/>
      <c r="AK1892" s="101"/>
      <c r="AL1892" s="101"/>
      <c r="AM1892" s="101"/>
      <c r="AN1892" s="101"/>
    </row>
    <row r="1893" spans="1:40" ht="16.5" customHeight="1" x14ac:dyDescent="0.3">
      <c r="A1893" s="69"/>
      <c r="B1893" s="69"/>
      <c r="C1893" s="69"/>
      <c r="D1893" s="69"/>
      <c r="E1893" s="69"/>
      <c r="F1893" s="69"/>
      <c r="Z1893" s="101"/>
      <c r="AA1893" s="101"/>
      <c r="AB1893" s="101"/>
      <c r="AC1893" s="101"/>
      <c r="AD1893" s="101"/>
      <c r="AE1893" s="101"/>
      <c r="AF1893" s="101"/>
      <c r="AG1893" s="101"/>
      <c r="AH1893" s="101"/>
      <c r="AI1893" s="101"/>
      <c r="AJ1893" s="101"/>
      <c r="AK1893" s="101"/>
      <c r="AL1893" s="101"/>
      <c r="AM1893" s="101"/>
      <c r="AN1893" s="101"/>
    </row>
    <row r="1894" spans="1:40" ht="16.5" customHeight="1" x14ac:dyDescent="0.3">
      <c r="A1894" s="69"/>
      <c r="B1894" s="69"/>
      <c r="C1894" s="69"/>
      <c r="D1894" s="69"/>
      <c r="E1894" s="69"/>
      <c r="F1894" s="69"/>
      <c r="Z1894" s="101"/>
      <c r="AA1894" s="101"/>
      <c r="AB1894" s="101"/>
      <c r="AC1894" s="101"/>
      <c r="AD1894" s="101"/>
      <c r="AE1894" s="101"/>
      <c r="AF1894" s="101"/>
      <c r="AG1894" s="101"/>
      <c r="AH1894" s="101"/>
      <c r="AI1894" s="101"/>
      <c r="AJ1894" s="101"/>
      <c r="AK1894" s="101"/>
      <c r="AL1894" s="101"/>
      <c r="AM1894" s="101"/>
      <c r="AN1894" s="101"/>
    </row>
    <row r="1895" spans="1:40" ht="16.5" customHeight="1" x14ac:dyDescent="0.3">
      <c r="A1895" s="69"/>
      <c r="B1895" s="69"/>
      <c r="C1895" s="69"/>
      <c r="D1895" s="69"/>
      <c r="E1895" s="69"/>
      <c r="F1895" s="69"/>
      <c r="Z1895" s="101"/>
      <c r="AA1895" s="101"/>
      <c r="AB1895" s="101"/>
      <c r="AC1895" s="101"/>
      <c r="AD1895" s="101"/>
      <c r="AE1895" s="101"/>
      <c r="AF1895" s="101"/>
      <c r="AG1895" s="101"/>
      <c r="AH1895" s="101"/>
      <c r="AI1895" s="101"/>
      <c r="AJ1895" s="101"/>
      <c r="AK1895" s="101"/>
      <c r="AL1895" s="101"/>
      <c r="AM1895" s="101"/>
      <c r="AN1895" s="101"/>
    </row>
    <row r="1896" spans="1:40" ht="16.5" customHeight="1" x14ac:dyDescent="0.3">
      <c r="A1896" s="69"/>
      <c r="B1896" s="69"/>
      <c r="C1896" s="69"/>
      <c r="D1896" s="69"/>
      <c r="E1896" s="69"/>
      <c r="F1896" s="69"/>
      <c r="Z1896" s="101"/>
      <c r="AA1896" s="101"/>
      <c r="AB1896" s="101"/>
      <c r="AC1896" s="101"/>
      <c r="AD1896" s="101"/>
      <c r="AE1896" s="101"/>
      <c r="AF1896" s="101"/>
      <c r="AG1896" s="101"/>
      <c r="AH1896" s="101"/>
      <c r="AI1896" s="101"/>
      <c r="AJ1896" s="101"/>
      <c r="AK1896" s="101"/>
      <c r="AL1896" s="101"/>
      <c r="AM1896" s="101"/>
      <c r="AN1896" s="101"/>
    </row>
    <row r="1897" spans="1:40" ht="16.5" customHeight="1" x14ac:dyDescent="0.3">
      <c r="A1897" s="69"/>
      <c r="B1897" s="69"/>
      <c r="C1897" s="69"/>
      <c r="D1897" s="69"/>
      <c r="E1897" s="69"/>
      <c r="F1897" s="69"/>
      <c r="Z1897" s="101"/>
      <c r="AA1897" s="101"/>
      <c r="AB1897" s="101"/>
      <c r="AC1897" s="101"/>
      <c r="AD1897" s="101"/>
      <c r="AE1897" s="101"/>
      <c r="AF1897" s="101"/>
      <c r="AG1897" s="101"/>
      <c r="AH1897" s="101"/>
      <c r="AI1897" s="101"/>
      <c r="AJ1897" s="101"/>
      <c r="AK1897" s="101"/>
      <c r="AL1897" s="101"/>
      <c r="AM1897" s="101"/>
      <c r="AN1897" s="101"/>
    </row>
    <row r="1898" spans="1:40" ht="16.5" customHeight="1" x14ac:dyDescent="0.3">
      <c r="A1898" s="69"/>
      <c r="B1898" s="69"/>
      <c r="C1898" s="69"/>
      <c r="D1898" s="69"/>
      <c r="E1898" s="69"/>
      <c r="F1898" s="69"/>
      <c r="Z1898" s="101"/>
      <c r="AA1898" s="101"/>
      <c r="AB1898" s="101"/>
      <c r="AC1898" s="101"/>
      <c r="AD1898" s="101"/>
      <c r="AE1898" s="101"/>
      <c r="AF1898" s="101"/>
      <c r="AG1898" s="101"/>
      <c r="AH1898" s="101"/>
      <c r="AI1898" s="101"/>
      <c r="AJ1898" s="101"/>
      <c r="AK1898" s="101"/>
      <c r="AL1898" s="101"/>
      <c r="AM1898" s="101"/>
      <c r="AN1898" s="101"/>
    </row>
    <row r="1899" spans="1:40" ht="16.5" customHeight="1" x14ac:dyDescent="0.3">
      <c r="A1899" s="69"/>
      <c r="B1899" s="69"/>
      <c r="C1899" s="69"/>
      <c r="D1899" s="69"/>
      <c r="E1899" s="69"/>
      <c r="F1899" s="69"/>
      <c r="Z1899" s="101"/>
      <c r="AA1899" s="101"/>
      <c r="AB1899" s="101"/>
      <c r="AC1899" s="101"/>
      <c r="AD1899" s="101"/>
      <c r="AE1899" s="101"/>
      <c r="AF1899" s="101"/>
      <c r="AG1899" s="101"/>
      <c r="AH1899" s="101"/>
      <c r="AI1899" s="101"/>
      <c r="AJ1899" s="101"/>
      <c r="AK1899" s="101"/>
      <c r="AL1899" s="101"/>
      <c r="AM1899" s="101"/>
      <c r="AN1899" s="101"/>
    </row>
    <row r="1900" spans="1:40" ht="16.5" customHeight="1" x14ac:dyDescent="0.3">
      <c r="A1900" s="69"/>
      <c r="B1900" s="69"/>
      <c r="C1900" s="69"/>
      <c r="D1900" s="69"/>
      <c r="E1900" s="69"/>
      <c r="F1900" s="69"/>
      <c r="Z1900" s="101"/>
      <c r="AA1900" s="101"/>
      <c r="AB1900" s="101"/>
      <c r="AC1900" s="101"/>
      <c r="AD1900" s="101"/>
      <c r="AE1900" s="101"/>
      <c r="AF1900" s="101"/>
      <c r="AG1900" s="101"/>
      <c r="AH1900" s="101"/>
      <c r="AI1900" s="101"/>
      <c r="AJ1900" s="101"/>
      <c r="AK1900" s="101"/>
      <c r="AL1900" s="101"/>
      <c r="AM1900" s="101"/>
      <c r="AN1900" s="101"/>
    </row>
    <row r="1901" spans="1:40" ht="16.5" customHeight="1" x14ac:dyDescent="0.3">
      <c r="A1901" s="69"/>
      <c r="B1901" s="69"/>
      <c r="C1901" s="69"/>
      <c r="D1901" s="69"/>
      <c r="E1901" s="69"/>
      <c r="F1901" s="69"/>
      <c r="Z1901" s="101"/>
      <c r="AA1901" s="101"/>
      <c r="AB1901" s="101"/>
      <c r="AC1901" s="101"/>
      <c r="AD1901" s="101"/>
      <c r="AE1901" s="101"/>
      <c r="AF1901" s="101"/>
      <c r="AG1901" s="101"/>
      <c r="AH1901" s="101"/>
      <c r="AI1901" s="101"/>
      <c r="AJ1901" s="101"/>
      <c r="AK1901" s="101"/>
      <c r="AL1901" s="101"/>
      <c r="AM1901" s="101"/>
      <c r="AN1901" s="101"/>
    </row>
    <row r="1902" spans="1:40" ht="16.5" customHeight="1" x14ac:dyDescent="0.3">
      <c r="A1902" s="69"/>
      <c r="B1902" s="69"/>
      <c r="C1902" s="69"/>
      <c r="D1902" s="69"/>
      <c r="E1902" s="69"/>
      <c r="F1902" s="69"/>
      <c r="Z1902" s="101"/>
      <c r="AA1902" s="101"/>
      <c r="AB1902" s="101"/>
      <c r="AC1902" s="101"/>
      <c r="AD1902" s="101"/>
      <c r="AE1902" s="101"/>
      <c r="AF1902" s="101"/>
      <c r="AG1902" s="101"/>
      <c r="AH1902" s="101"/>
      <c r="AI1902" s="101"/>
      <c r="AJ1902" s="101"/>
      <c r="AK1902" s="101"/>
      <c r="AL1902" s="101"/>
      <c r="AM1902" s="101"/>
      <c r="AN1902" s="101"/>
    </row>
    <row r="1903" spans="1:40" ht="16.5" customHeight="1" x14ac:dyDescent="0.3">
      <c r="A1903" s="74"/>
      <c r="B1903" s="74"/>
      <c r="C1903" s="74"/>
      <c r="D1903" s="74"/>
      <c r="E1903" s="74"/>
      <c r="F1903" s="74"/>
      <c r="Z1903" s="101"/>
      <c r="AA1903" s="101"/>
      <c r="AB1903" s="101"/>
      <c r="AC1903" s="101"/>
      <c r="AD1903" s="101"/>
      <c r="AE1903" s="101"/>
      <c r="AF1903" s="101"/>
      <c r="AG1903" s="101"/>
      <c r="AH1903" s="101"/>
      <c r="AI1903" s="101"/>
      <c r="AJ1903" s="101"/>
      <c r="AK1903" s="101"/>
      <c r="AL1903" s="101"/>
      <c r="AM1903" s="101"/>
      <c r="AN1903" s="101"/>
    </row>
    <row r="1904" spans="1:40" ht="16.5" customHeight="1" x14ac:dyDescent="0.3">
      <c r="A1904" s="150" t="s">
        <v>1477</v>
      </c>
      <c r="B1904" s="143"/>
      <c r="C1904" s="47">
        <f>E1904+D1904+F1904</f>
        <v>13611</v>
      </c>
      <c r="D1904" s="46">
        <f>ROUNDDOWN(SUMIF(N1807:N1858,M1904,D1807:D1858),0)</f>
        <v>11304</v>
      </c>
      <c r="E1904" s="55">
        <f>ROUNDDOWN(SUMIF(N1807:N1858,M1904,E1807:E1858),0)</f>
        <v>1117</v>
      </c>
      <c r="F1904" s="47">
        <f>ROUNDDOWN(SUMIF(N1807:N1858,M1904,F1807:F1858),0)</f>
        <v>1190</v>
      </c>
      <c r="M1904" s="35" t="s">
        <v>1209</v>
      </c>
      <c r="Z1904" s="101"/>
      <c r="AA1904" s="101"/>
      <c r="AB1904" s="101"/>
      <c r="AC1904" s="101"/>
      <c r="AD1904" s="101"/>
      <c r="AE1904" s="101"/>
      <c r="AF1904" s="101"/>
      <c r="AG1904" s="101"/>
      <c r="AH1904" s="101"/>
      <c r="AI1904" s="101"/>
      <c r="AJ1904" s="101"/>
      <c r="AK1904" s="101"/>
      <c r="AL1904" s="101"/>
      <c r="AM1904" s="101"/>
      <c r="AN1904" s="101"/>
    </row>
    <row r="1905" spans="1:40" ht="16.5" customHeight="1" x14ac:dyDescent="0.3">
      <c r="A1905" s="86" t="s">
        <v>208</v>
      </c>
      <c r="B1905" s="88" t="s">
        <v>208</v>
      </c>
      <c r="C1905" s="151">
        <f>C1954</f>
        <v>36170</v>
      </c>
      <c r="D1905" s="151">
        <f>D1954</f>
        <v>30708</v>
      </c>
      <c r="E1905" s="151">
        <f>E1954</f>
        <v>4689</v>
      </c>
      <c r="F1905" s="151">
        <f>F1954</f>
        <v>773</v>
      </c>
      <c r="G1905" s="84" t="str">
        <f>HYPERLINK("#G"&amp;ROW(G1948),"_x0005_`BDCOD|D01383_x0007_`POSS|"&amp;ROW(G1907)&amp;"_x0007_`POSE|"&amp;ROW(G1948)&amp;"_x0007_`")</f>
        <v>_x0005_`BDCOD|D01383_x0007_`POSS|1907_x0007_`POSE|1948_x0007_`</v>
      </c>
      <c r="Z1905" s="101"/>
      <c r="AA1905" s="101"/>
      <c r="AB1905" s="101"/>
      <c r="AC1905" s="101"/>
      <c r="AD1905" s="101"/>
      <c r="AE1905" s="101"/>
      <c r="AF1905" s="101"/>
      <c r="AG1905" s="101"/>
      <c r="AH1905" s="101"/>
      <c r="AI1905" s="101"/>
      <c r="AJ1905" s="101"/>
      <c r="AK1905" s="101"/>
      <c r="AL1905" s="101"/>
      <c r="AM1905" s="101"/>
      <c r="AN1905" s="101"/>
    </row>
    <row r="1906" spans="1:40" ht="16.5" customHeight="1" x14ac:dyDescent="0.3">
      <c r="A1906" s="87"/>
      <c r="B1906" s="88" t="s">
        <v>207</v>
      </c>
      <c r="C1906" s="136"/>
      <c r="D1906" s="136"/>
      <c r="E1906" s="136"/>
      <c r="F1906" s="136"/>
      <c r="M1906" s="35" t="s">
        <v>2123</v>
      </c>
      <c r="Z1906" s="101"/>
      <c r="AA1906" s="101"/>
      <c r="AB1906" s="101"/>
      <c r="AC1906" s="101"/>
      <c r="AD1906" s="101"/>
      <c r="AE1906" s="101"/>
      <c r="AF1906" s="101"/>
      <c r="AG1906" s="101"/>
      <c r="AH1906" s="101"/>
      <c r="AI1906" s="101"/>
      <c r="AJ1906" s="101"/>
      <c r="AK1906" s="101"/>
      <c r="AL1906" s="101"/>
      <c r="AM1906" s="101"/>
      <c r="AN1906" s="101"/>
    </row>
    <row r="1907" spans="1:40" ht="16.5" customHeight="1" x14ac:dyDescent="0.3">
      <c r="A1907" s="59"/>
      <c r="B1907" s="68" t="s">
        <v>2125</v>
      </c>
      <c r="C1907" s="90"/>
      <c r="D1907" s="90"/>
      <c r="E1907" s="90"/>
      <c r="F1907" s="90"/>
      <c r="G1907" s="17" t="s">
        <v>2124</v>
      </c>
      <c r="Z1907" s="101"/>
      <c r="AA1907" s="101"/>
      <c r="AB1907" s="101"/>
      <c r="AC1907" s="101"/>
      <c r="AD1907" s="101"/>
      <c r="AE1907" s="101"/>
      <c r="AF1907" s="101"/>
      <c r="AG1907" s="101"/>
      <c r="AH1907" s="101"/>
      <c r="AI1907" s="101"/>
      <c r="AJ1907" s="101"/>
      <c r="AK1907" s="101"/>
      <c r="AL1907" s="101"/>
      <c r="AM1907" s="101"/>
      <c r="AN1907" s="101"/>
    </row>
    <row r="1908" spans="1:40" ht="16.5" customHeight="1" x14ac:dyDescent="0.3">
      <c r="A1908" s="69"/>
      <c r="B1908" s="69"/>
      <c r="C1908" s="69"/>
      <c r="D1908" s="69"/>
      <c r="E1908" s="69"/>
      <c r="F1908" s="69"/>
      <c r="G1908" s="17" t="s">
        <v>1405</v>
      </c>
      <c r="Z1908" s="101"/>
      <c r="AA1908" s="101"/>
      <c r="AB1908" s="101"/>
      <c r="AC1908" s="101"/>
      <c r="AD1908" s="101"/>
      <c r="AE1908" s="101"/>
      <c r="AF1908" s="101"/>
      <c r="AG1908" s="101"/>
      <c r="AH1908" s="101"/>
      <c r="AI1908" s="101"/>
      <c r="AJ1908" s="101"/>
      <c r="AK1908" s="101"/>
      <c r="AL1908" s="101"/>
      <c r="AM1908" s="101"/>
      <c r="AN1908" s="101"/>
    </row>
    <row r="1909" spans="1:40" ht="16.5" customHeight="1" x14ac:dyDescent="0.3">
      <c r="A1909" s="59"/>
      <c r="B1909" s="68" t="str">
        <f>" Q1 = "&amp;Z1909&amp;" 인 /"&amp;AB1909&amp;" hr/일 = "&amp;AD1909&amp;" hr/일 "</f>
        <v xml:space="preserve"> Q1 = 3 인 /8 hr/일 = 0.375 hr/일 </v>
      </c>
      <c r="C1909" s="69"/>
      <c r="D1909" s="69"/>
      <c r="E1909" s="69"/>
      <c r="F1909" s="69"/>
      <c r="G1909" s="17" t="s">
        <v>1906</v>
      </c>
      <c r="Z1909" s="102">
        <v>3</v>
      </c>
      <c r="AA1909" s="35" t="s">
        <v>1413</v>
      </c>
      <c r="AB1909" s="102">
        <v>8</v>
      </c>
      <c r="AC1909" s="35" t="s">
        <v>1410</v>
      </c>
      <c r="AD1909" s="103" t="str">
        <f>TEXT(ROUND(Z1909/AB1909,3),"#,0.000")</f>
        <v>0.375</v>
      </c>
      <c r="AE1909" s="101"/>
      <c r="AF1909" s="101"/>
      <c r="AG1909" s="101"/>
      <c r="AH1909" s="101"/>
      <c r="AI1909" s="101"/>
      <c r="AJ1909" s="101"/>
      <c r="AK1909" s="101"/>
      <c r="AL1909" s="101"/>
      <c r="AM1909" s="101"/>
      <c r="AN1909" s="101"/>
    </row>
    <row r="1910" spans="1:40" ht="16.5" customHeight="1" x14ac:dyDescent="0.3">
      <c r="A1910" s="69"/>
      <c r="B1910" s="69"/>
      <c r="C1910" s="69"/>
      <c r="D1910" s="69"/>
      <c r="E1910" s="69"/>
      <c r="F1910" s="69"/>
      <c r="G1910" s="17" t="s">
        <v>1405</v>
      </c>
      <c r="Z1910" s="101"/>
      <c r="AA1910" s="101"/>
      <c r="AB1910" s="101"/>
      <c r="AC1910" s="101"/>
      <c r="AD1910" s="101"/>
      <c r="AE1910" s="101"/>
      <c r="AF1910" s="101"/>
      <c r="AG1910" s="101"/>
      <c r="AH1910" s="101"/>
      <c r="AI1910" s="101"/>
      <c r="AJ1910" s="101"/>
      <c r="AK1910" s="101"/>
      <c r="AL1910" s="101"/>
      <c r="AM1910" s="101"/>
      <c r="AN1910" s="101"/>
    </row>
    <row r="1911" spans="1:40" ht="16.5" customHeight="1" x14ac:dyDescent="0.3">
      <c r="A1911" s="59"/>
      <c r="B1911" s="68" t="str">
        <f>" Q2 = "&amp;Z1911&amp;" 인 /"&amp;AB1911&amp;" hr/일 = "&amp;AD1911&amp;" hr/일 "</f>
        <v xml:space="preserve"> Q2 = 1 인 /8 hr/일 = 0.125 hr/일 </v>
      </c>
      <c r="C1911" s="69"/>
      <c r="D1911" s="69"/>
      <c r="E1911" s="69"/>
      <c r="F1911" s="69"/>
      <c r="G1911" s="17" t="s">
        <v>1712</v>
      </c>
      <c r="Z1911" s="102">
        <v>1</v>
      </c>
      <c r="AA1911" s="35" t="s">
        <v>1413</v>
      </c>
      <c r="AB1911" s="102">
        <v>8</v>
      </c>
      <c r="AC1911" s="35" t="s">
        <v>1410</v>
      </c>
      <c r="AD1911" s="103" t="str">
        <f>TEXT(ROUND(Z1911/AB1911,3),"#,0.000")</f>
        <v>0.125</v>
      </c>
      <c r="AE1911" s="101"/>
      <c r="AF1911" s="101"/>
      <c r="AG1911" s="101"/>
      <c r="AH1911" s="101"/>
      <c r="AI1911" s="101"/>
      <c r="AJ1911" s="101"/>
      <c r="AK1911" s="101"/>
      <c r="AL1911" s="101"/>
      <c r="AM1911" s="101"/>
      <c r="AN1911" s="101"/>
    </row>
    <row r="1912" spans="1:40" ht="16.5" customHeight="1" x14ac:dyDescent="0.3">
      <c r="A1912" s="69"/>
      <c r="B1912" s="69"/>
      <c r="C1912" s="69"/>
      <c r="D1912" s="69"/>
      <c r="E1912" s="69"/>
      <c r="F1912" s="69"/>
      <c r="G1912" s="17" t="s">
        <v>1405</v>
      </c>
      <c r="Z1912" s="101"/>
      <c r="AA1912" s="101"/>
      <c r="AB1912" s="101"/>
      <c r="AC1912" s="101"/>
      <c r="AD1912" s="101"/>
      <c r="AE1912" s="101"/>
      <c r="AF1912" s="101"/>
      <c r="AG1912" s="101"/>
      <c r="AH1912" s="101"/>
      <c r="AI1912" s="101"/>
      <c r="AJ1912" s="101"/>
      <c r="AK1912" s="101"/>
      <c r="AL1912" s="101"/>
      <c r="AM1912" s="101"/>
      <c r="AN1912" s="101"/>
    </row>
    <row r="1913" spans="1:40" ht="16.5" customHeight="1" x14ac:dyDescent="0.3">
      <c r="A1913" s="59"/>
      <c r="B1913" s="68" t="str">
        <f>" Q = "&amp;Z1913&amp;" m/일 /"&amp;AB1913&amp;" hr/일 = "&amp;AD1913&amp;" m/hr "</f>
        <v xml:space="preserve"> Q = 140 m/일 /8 hr/일 = 17.500 m/hr </v>
      </c>
      <c r="C1913" s="69"/>
      <c r="D1913" s="69"/>
      <c r="E1913" s="69"/>
      <c r="F1913" s="69"/>
      <c r="G1913" s="17" t="s">
        <v>2126</v>
      </c>
      <c r="Z1913" s="102">
        <v>140</v>
      </c>
      <c r="AA1913" s="35" t="s">
        <v>1413</v>
      </c>
      <c r="AB1913" s="102">
        <v>8</v>
      </c>
      <c r="AC1913" s="35" t="s">
        <v>1410</v>
      </c>
      <c r="AD1913" s="103" t="str">
        <f>TEXT(ROUND(Z1913/AB1913,3),"#,0.000")</f>
        <v>17.500</v>
      </c>
      <c r="AE1913" s="101"/>
      <c r="AF1913" s="101"/>
      <c r="AG1913" s="101"/>
      <c r="AH1913" s="101"/>
      <c r="AI1913" s="101"/>
      <c r="AJ1913" s="101"/>
      <c r="AK1913" s="101"/>
      <c r="AL1913" s="101"/>
      <c r="AM1913" s="101"/>
      <c r="AN1913" s="101"/>
    </row>
    <row r="1914" spans="1:40" ht="16.5" customHeight="1" x14ac:dyDescent="0.3">
      <c r="A1914" s="69"/>
      <c r="B1914" s="69"/>
      <c r="C1914" s="69"/>
      <c r="D1914" s="69"/>
      <c r="E1914" s="69"/>
      <c r="F1914" s="69"/>
      <c r="G1914" s="17" t="s">
        <v>1405</v>
      </c>
      <c r="Z1914" s="101"/>
      <c r="AA1914" s="101"/>
      <c r="AB1914" s="101"/>
      <c r="AC1914" s="101"/>
      <c r="AD1914" s="101"/>
      <c r="AE1914" s="101"/>
      <c r="AF1914" s="101"/>
      <c r="AG1914" s="101"/>
      <c r="AH1914" s="101"/>
      <c r="AI1914" s="101"/>
      <c r="AJ1914" s="101"/>
      <c r="AK1914" s="101"/>
      <c r="AL1914" s="101"/>
      <c r="AM1914" s="101"/>
      <c r="AN1914" s="101"/>
    </row>
    <row r="1915" spans="1:40" ht="16.5" customHeight="1" x14ac:dyDescent="0.3">
      <c r="A1915" s="59"/>
      <c r="B1915" s="68" t="s">
        <v>1909</v>
      </c>
      <c r="C1915" s="69"/>
      <c r="D1915" s="69"/>
      <c r="E1915" s="69"/>
      <c r="F1915" s="69"/>
      <c r="G1915" s="17" t="s">
        <v>1908</v>
      </c>
      <c r="Z1915" s="101"/>
      <c r="AA1915" s="101"/>
      <c r="AB1915" s="101"/>
      <c r="AC1915" s="101"/>
      <c r="AD1915" s="101"/>
      <c r="AE1915" s="101"/>
      <c r="AF1915" s="101"/>
      <c r="AG1915" s="101"/>
      <c r="AH1915" s="101"/>
      <c r="AI1915" s="101"/>
      <c r="AJ1915" s="101"/>
      <c r="AK1915" s="101"/>
      <c r="AL1915" s="101"/>
      <c r="AM1915" s="101"/>
      <c r="AN1915" s="101"/>
    </row>
    <row r="1916" spans="1:40" ht="16.5" customHeight="1" x14ac:dyDescent="0.3">
      <c r="A1916" s="69"/>
      <c r="B1916" s="69"/>
      <c r="C1916" s="69"/>
      <c r="D1916" s="69"/>
      <c r="E1916" s="69"/>
      <c r="F1916" s="69"/>
      <c r="G1916" s="17" t="s">
        <v>1405</v>
      </c>
      <c r="Z1916" s="101"/>
      <c r="AA1916" s="101"/>
      <c r="AB1916" s="101"/>
      <c r="AC1916" s="101"/>
      <c r="AD1916" s="101"/>
      <c r="AE1916" s="101"/>
      <c r="AF1916" s="101"/>
      <c r="AG1916" s="101"/>
      <c r="AH1916" s="101"/>
      <c r="AI1916" s="101"/>
      <c r="AJ1916" s="101"/>
      <c r="AK1916" s="101"/>
      <c r="AL1916" s="101"/>
      <c r="AM1916" s="101"/>
      <c r="AN1916" s="101"/>
    </row>
    <row r="1917" spans="1:40" ht="16.5" customHeight="1" x14ac:dyDescent="0.3">
      <c r="A1917" s="59"/>
      <c r="B1917" s="68" t="s">
        <v>2128</v>
      </c>
      <c r="C1917" s="69"/>
      <c r="D1917" s="69"/>
      <c r="E1917" s="69"/>
      <c r="F1917" s="69"/>
      <c r="G1917" s="17" t="s">
        <v>2127</v>
      </c>
      <c r="Z1917" s="101"/>
      <c r="AA1917" s="101"/>
      <c r="AB1917" s="101"/>
      <c r="AC1917" s="101"/>
      <c r="AD1917" s="101"/>
      <c r="AE1917" s="101"/>
      <c r="AF1917" s="101"/>
      <c r="AG1917" s="101"/>
      <c r="AH1917" s="101"/>
      <c r="AI1917" s="101"/>
      <c r="AJ1917" s="101"/>
      <c r="AK1917" s="101"/>
      <c r="AL1917" s="101"/>
      <c r="AM1917" s="101"/>
      <c r="AN1917" s="101"/>
    </row>
    <row r="1918" spans="1:40" ht="16.5" customHeight="1" x14ac:dyDescent="0.3">
      <c r="A1918" s="69"/>
      <c r="B1918" s="69"/>
      <c r="C1918" s="69"/>
      <c r="D1918" s="69"/>
      <c r="E1918" s="69"/>
      <c r="F1918" s="69"/>
      <c r="G1918" s="17" t="s">
        <v>1405</v>
      </c>
      <c r="Z1918" s="101"/>
      <c r="AA1918" s="101"/>
      <c r="AB1918" s="101"/>
      <c r="AC1918" s="101"/>
      <c r="AD1918" s="101"/>
      <c r="AE1918" s="101"/>
      <c r="AF1918" s="101"/>
      <c r="AG1918" s="101"/>
      <c r="AH1918" s="101"/>
      <c r="AI1918" s="101"/>
      <c r="AJ1918" s="101"/>
      <c r="AK1918" s="101"/>
      <c r="AL1918" s="101"/>
      <c r="AM1918" s="101"/>
      <c r="AN1918" s="101"/>
    </row>
    <row r="1919" spans="1:40" ht="16.5" customHeight="1" x14ac:dyDescent="0.3">
      <c r="A1919" s="69"/>
      <c r="B1919" s="69"/>
      <c r="C1919" s="69"/>
      <c r="D1919" s="69"/>
      <c r="E1919" s="69"/>
      <c r="F1919" s="69"/>
      <c r="G1919" s="17" t="s">
        <v>1405</v>
      </c>
      <c r="Z1919" s="101"/>
      <c r="AA1919" s="101"/>
      <c r="AB1919" s="101"/>
      <c r="AC1919" s="101"/>
      <c r="AD1919" s="101"/>
      <c r="AE1919" s="101"/>
      <c r="AF1919" s="101"/>
      <c r="AG1919" s="101"/>
      <c r="AH1919" s="101"/>
      <c r="AI1919" s="101"/>
      <c r="AJ1919" s="101"/>
      <c r="AK1919" s="101"/>
      <c r="AL1919" s="101"/>
      <c r="AM1919" s="101"/>
      <c r="AN1919" s="101"/>
    </row>
    <row r="1920" spans="1:40" ht="16.5" customHeight="1" x14ac:dyDescent="0.3">
      <c r="A1920" s="59"/>
      <c r="B1920" s="68" t="s">
        <v>2130</v>
      </c>
      <c r="C1920" s="69"/>
      <c r="D1920" s="69"/>
      <c r="E1920" s="69"/>
      <c r="F1920" s="69"/>
      <c r="G1920" s="17" t="s">
        <v>2129</v>
      </c>
      <c r="Z1920" s="101"/>
      <c r="AA1920" s="101"/>
      <c r="AB1920" s="101"/>
      <c r="AC1920" s="101"/>
      <c r="AD1920" s="101"/>
      <c r="AE1920" s="101"/>
      <c r="AF1920" s="101"/>
      <c r="AG1920" s="101"/>
      <c r="AH1920" s="101"/>
      <c r="AI1920" s="101"/>
      <c r="AJ1920" s="101"/>
      <c r="AK1920" s="101"/>
      <c r="AL1920" s="101"/>
      <c r="AM1920" s="101"/>
      <c r="AN1920" s="101"/>
    </row>
    <row r="1921" spans="1:40" ht="16.5" customHeight="1" x14ac:dyDescent="0.3">
      <c r="A1921" s="69"/>
      <c r="B1921" s="69"/>
      <c r="C1921" s="69"/>
      <c r="D1921" s="69"/>
      <c r="E1921" s="69"/>
      <c r="F1921" s="69"/>
      <c r="G1921" s="17" t="s">
        <v>1405</v>
      </c>
      <c r="Z1921" s="101"/>
      <c r="AA1921" s="101"/>
      <c r="AB1921" s="101"/>
      <c r="AC1921" s="101"/>
      <c r="AD1921" s="101"/>
      <c r="AE1921" s="101"/>
      <c r="AF1921" s="101"/>
      <c r="AG1921" s="101"/>
      <c r="AH1921" s="101"/>
      <c r="AI1921" s="101"/>
      <c r="AJ1921" s="101"/>
      <c r="AK1921" s="101"/>
      <c r="AL1921" s="101"/>
      <c r="AM1921" s="101"/>
      <c r="AN1921" s="101"/>
    </row>
    <row r="1922" spans="1:40" ht="16.5" customHeight="1" x14ac:dyDescent="0.3">
      <c r="A1922" s="59" t="s">
        <v>1383</v>
      </c>
      <c r="B1922" s="89" t="str">
        <f>"     "&amp;Z1922&amp;" ㎥  * "&amp;TEXT(I1922,"#,##0"&amp;IF(I1922&lt;&gt;INT(I1922),".###",""))&amp;" = "&amp;TEXT(C1922,"#,##0.0")&amp;""</f>
        <v xml:space="preserve">     0.03 ㎥  * 59,284 = 1,778.4</v>
      </c>
      <c r="C1922" s="91">
        <f>E1922+D1922+F1922</f>
        <v>1778.3999999999999</v>
      </c>
      <c r="D1922" s="91">
        <f>IF(H1922=0,0,ROUNDDOWN(J1922*H1922,1))</f>
        <v>1743.6</v>
      </c>
      <c r="E1922" s="91">
        <f>IF(H1922=0,0,ROUNDDOWN(K1922*H1922,1))</f>
        <v>0</v>
      </c>
      <c r="F1922" s="91">
        <f>IF(H1922=0,0,ROUNDDOWN(L1922*H1922,1))</f>
        <v>34.799999999999997</v>
      </c>
      <c r="G1922" s="17" t="s">
        <v>2131</v>
      </c>
      <c r="H1922" s="97">
        <f>ROUNDUP(AC1922,14-LEN(ABS(INT(AC1922))))</f>
        <v>0.03</v>
      </c>
      <c r="I1922" s="98">
        <f>K1922+J1922+L1922</f>
        <v>59284</v>
      </c>
      <c r="J1922" s="38">
        <f>단가산출근거목록표!F33</f>
        <v>58122</v>
      </c>
      <c r="K1922" s="38">
        <f>단가산출근거목록표!G33</f>
        <v>0</v>
      </c>
      <c r="L1922" s="38">
        <f>단가산출근거목록표!H33</f>
        <v>1162</v>
      </c>
      <c r="M1922" s="35" t="s">
        <v>1382</v>
      </c>
      <c r="N1922" s="35" t="s">
        <v>1262</v>
      </c>
      <c r="X1922" s="100" t="str">
        <f>단가산출근거목록표!B33&amp;" / "&amp;단가산출근거목록표!C33</f>
        <v>레미콘타설(무근)인력 / 무근</v>
      </c>
      <c r="Y1922" s="3" t="str">
        <f ca="1">HYPERLINK("#"&amp;단가산출근거목록표!J2&amp;"!A"&amp;ROW(단가산출근거목록표!A33),"산근30 →")</f>
        <v>산근30 →</v>
      </c>
      <c r="Z1922" s="104">
        <v>0.03</v>
      </c>
      <c r="AA1922" s="35" t="s">
        <v>1670</v>
      </c>
      <c r="AB1922" s="35" t="s">
        <v>1410</v>
      </c>
      <c r="AC1922" s="103">
        <f>Z1922*1</f>
        <v>0.03</v>
      </c>
      <c r="AD1922" s="101"/>
      <c r="AE1922" s="101"/>
      <c r="AF1922" s="101"/>
      <c r="AG1922" s="101"/>
      <c r="AH1922" s="101"/>
      <c r="AI1922" s="101"/>
      <c r="AJ1922" s="101"/>
      <c r="AK1922" s="101"/>
      <c r="AL1922" s="101"/>
      <c r="AM1922" s="101"/>
      <c r="AN1922" s="101"/>
    </row>
    <row r="1923" spans="1:40" ht="16.5" customHeight="1" x14ac:dyDescent="0.3">
      <c r="A1923" s="69"/>
      <c r="B1923" s="69"/>
      <c r="C1923" s="69"/>
      <c r="D1923" s="69"/>
      <c r="E1923" s="69"/>
      <c r="F1923" s="69"/>
      <c r="G1923" s="17" t="s">
        <v>1405</v>
      </c>
      <c r="Z1923" s="101"/>
      <c r="AA1923" s="101"/>
      <c r="AB1923" s="101"/>
      <c r="AC1923" s="101"/>
      <c r="AD1923" s="101"/>
      <c r="AE1923" s="101"/>
      <c r="AF1923" s="101"/>
      <c r="AG1923" s="101"/>
      <c r="AH1923" s="101"/>
      <c r="AI1923" s="101"/>
      <c r="AJ1923" s="101"/>
      <c r="AK1923" s="101"/>
      <c r="AL1923" s="101"/>
      <c r="AM1923" s="101"/>
      <c r="AN1923" s="101"/>
    </row>
    <row r="1924" spans="1:40" ht="16.5" customHeight="1" x14ac:dyDescent="0.3">
      <c r="A1924" s="59"/>
      <c r="B1924" s="68" t="s">
        <v>1260</v>
      </c>
      <c r="C1924" s="92">
        <f>E1924+D1924+F1924</f>
        <v>1778.3999999999999</v>
      </c>
      <c r="D1924" s="92">
        <f>SUMIF(N1907:N1923,M1924,D1907:D1923)</f>
        <v>1743.6</v>
      </c>
      <c r="E1924" s="92">
        <f>SUMIF(N1907:N1923,M1924,E1907:E1923)</f>
        <v>0</v>
      </c>
      <c r="F1924" s="92">
        <f>SUMIF(N1907:N1923,M1924,F1907:F1923)</f>
        <v>34.799999999999997</v>
      </c>
      <c r="G1924" s="17" t="s">
        <v>1430</v>
      </c>
      <c r="M1924" s="35" t="s">
        <v>1262</v>
      </c>
      <c r="N1924" s="35" t="s">
        <v>1253</v>
      </c>
      <c r="Z1924" s="101"/>
      <c r="AA1924" s="101"/>
      <c r="AB1924" s="101"/>
      <c r="AC1924" s="101"/>
      <c r="AD1924" s="101"/>
      <c r="AE1924" s="101"/>
      <c r="AF1924" s="101"/>
      <c r="AG1924" s="101"/>
      <c r="AH1924" s="101"/>
      <c r="AI1924" s="101"/>
      <c r="AJ1924" s="101"/>
      <c r="AK1924" s="101"/>
      <c r="AL1924" s="101"/>
      <c r="AM1924" s="101"/>
      <c r="AN1924" s="101"/>
    </row>
    <row r="1925" spans="1:40" ht="16.5" customHeight="1" x14ac:dyDescent="0.3">
      <c r="A1925" s="69"/>
      <c r="B1925" s="69"/>
      <c r="C1925" s="90"/>
      <c r="D1925" s="90"/>
      <c r="E1925" s="90"/>
      <c r="F1925" s="90"/>
      <c r="G1925" s="17" t="s">
        <v>1405</v>
      </c>
      <c r="Z1925" s="101"/>
      <c r="AA1925" s="101"/>
      <c r="AB1925" s="101"/>
      <c r="AC1925" s="101"/>
      <c r="AD1925" s="101"/>
      <c r="AE1925" s="101"/>
      <c r="AF1925" s="101"/>
      <c r="AG1925" s="101"/>
      <c r="AH1925" s="101"/>
      <c r="AI1925" s="101"/>
      <c r="AJ1925" s="101"/>
      <c r="AK1925" s="101"/>
      <c r="AL1925" s="101"/>
      <c r="AM1925" s="101"/>
      <c r="AN1925" s="101"/>
    </row>
    <row r="1926" spans="1:40" ht="16.5" customHeight="1" x14ac:dyDescent="0.3">
      <c r="A1926" s="59"/>
      <c r="B1926" s="68" t="s">
        <v>2133</v>
      </c>
      <c r="C1926" s="69"/>
      <c r="D1926" s="69"/>
      <c r="E1926" s="69"/>
      <c r="F1926" s="69"/>
      <c r="G1926" s="17" t="s">
        <v>2132</v>
      </c>
      <c r="Z1926" s="101"/>
      <c r="AA1926" s="101"/>
      <c r="AB1926" s="101"/>
      <c r="AC1926" s="101"/>
      <c r="AD1926" s="101"/>
      <c r="AE1926" s="101"/>
      <c r="AF1926" s="101"/>
      <c r="AG1926" s="101"/>
      <c r="AH1926" s="101"/>
      <c r="AI1926" s="101"/>
      <c r="AJ1926" s="101"/>
      <c r="AK1926" s="101"/>
      <c r="AL1926" s="101"/>
      <c r="AM1926" s="101"/>
      <c r="AN1926" s="101"/>
    </row>
    <row r="1927" spans="1:40" ht="16.5" customHeight="1" x14ac:dyDescent="0.3">
      <c r="A1927" s="69"/>
      <c r="B1927" s="69"/>
      <c r="C1927" s="69"/>
      <c r="D1927" s="69"/>
      <c r="E1927" s="69"/>
      <c r="F1927" s="69"/>
      <c r="G1927" s="17" t="s">
        <v>1405</v>
      </c>
      <c r="Z1927" s="101"/>
      <c r="AA1927" s="101"/>
      <c r="AB1927" s="101"/>
      <c r="AC1927" s="101"/>
      <c r="AD1927" s="101"/>
      <c r="AE1927" s="101"/>
      <c r="AF1927" s="101"/>
      <c r="AG1927" s="101"/>
      <c r="AH1927" s="101"/>
      <c r="AI1927" s="101"/>
      <c r="AJ1927" s="101"/>
      <c r="AK1927" s="101"/>
      <c r="AL1927" s="101"/>
      <c r="AM1927" s="101"/>
      <c r="AN1927" s="101"/>
    </row>
    <row r="1928" spans="1:40" ht="16.5" customHeight="1" x14ac:dyDescent="0.3">
      <c r="A1928" s="59" t="s">
        <v>2135</v>
      </c>
      <c r="B1928" s="89" t="str">
        <f>"   "&amp;Z1928&amp;" ㎡  * "&amp;TEXT(I1928,"#,##0"&amp;IF(I1928&lt;&gt;INT(I1928),".###",""))&amp;" = "&amp;TEXT(C1928,"#,##0.0")&amp;""</f>
        <v xml:space="preserve">   0.3 ㎡  * 48,340 = 14,502.0</v>
      </c>
      <c r="C1928" s="91">
        <f>E1928+D1928+F1928</f>
        <v>14502</v>
      </c>
      <c r="D1928" s="91">
        <f>IF(H1928=0,0,ROUNDDOWN(J1928*H1928,1))</f>
        <v>10338.299999999999</v>
      </c>
      <c r="E1928" s="91">
        <f>IF(H1928=0,0,ROUNDDOWN(K1928*H1928,1))</f>
        <v>4060.5</v>
      </c>
      <c r="F1928" s="91">
        <f>IF(H1928=0,0,ROUNDDOWN(L1928*H1928,1))</f>
        <v>103.2</v>
      </c>
      <c r="G1928" s="17" t="s">
        <v>2134</v>
      </c>
      <c r="H1928" s="97">
        <f>ROUNDUP(AC1928,14-LEN(ABS(INT(AC1928))))</f>
        <v>0.3</v>
      </c>
      <c r="I1928" s="98">
        <f>K1928+J1928+L1928</f>
        <v>48340</v>
      </c>
      <c r="J1928" s="38">
        <f>단가산출근거목록표!F34</f>
        <v>34461</v>
      </c>
      <c r="K1928" s="38">
        <f>단가산출근거목록표!G34</f>
        <v>13535</v>
      </c>
      <c r="L1928" s="38">
        <f>단가산출근거목록표!H34</f>
        <v>344</v>
      </c>
      <c r="M1928" s="35" t="s">
        <v>2136</v>
      </c>
      <c r="N1928" s="35" t="s">
        <v>1262</v>
      </c>
      <c r="X1928" s="100" t="str">
        <f>단가산출근거목록표!B34&amp;" / "&amp;단가산출근거목록표!C34</f>
        <v>합판거푸집 / (6회)</v>
      </c>
      <c r="Y1928" s="3" t="str">
        <f ca="1">HYPERLINK("#"&amp;단가산출근거목록표!J2&amp;"!A"&amp;ROW(단가산출근거목록표!A34),"산근31 →")</f>
        <v>산근31 →</v>
      </c>
      <c r="Z1928" s="104">
        <v>0.3</v>
      </c>
      <c r="AA1928" s="35" t="s">
        <v>1670</v>
      </c>
      <c r="AB1928" s="35" t="s">
        <v>1410</v>
      </c>
      <c r="AC1928" s="103">
        <f>Z1928*1</f>
        <v>0.3</v>
      </c>
      <c r="AD1928" s="101"/>
      <c r="AE1928" s="101"/>
      <c r="AF1928" s="101"/>
      <c r="AG1928" s="101"/>
      <c r="AH1928" s="101"/>
      <c r="AI1928" s="101"/>
      <c r="AJ1928" s="101"/>
      <c r="AK1928" s="101"/>
      <c r="AL1928" s="101"/>
      <c r="AM1928" s="101"/>
      <c r="AN1928" s="101"/>
    </row>
    <row r="1929" spans="1:40" ht="16.5" customHeight="1" x14ac:dyDescent="0.3">
      <c r="A1929" s="69"/>
      <c r="B1929" s="69"/>
      <c r="C1929" s="69"/>
      <c r="D1929" s="69"/>
      <c r="E1929" s="69"/>
      <c r="F1929" s="69"/>
      <c r="G1929" s="17" t="s">
        <v>1405</v>
      </c>
      <c r="Z1929" s="101"/>
      <c r="AA1929" s="101"/>
      <c r="AB1929" s="101"/>
      <c r="AC1929" s="101"/>
      <c r="AD1929" s="101"/>
      <c r="AE1929" s="101"/>
      <c r="AF1929" s="101"/>
      <c r="AG1929" s="101"/>
      <c r="AH1929" s="101"/>
      <c r="AI1929" s="101"/>
      <c r="AJ1929" s="101"/>
      <c r="AK1929" s="101"/>
      <c r="AL1929" s="101"/>
      <c r="AM1929" s="101"/>
      <c r="AN1929" s="101"/>
    </row>
    <row r="1930" spans="1:40" ht="16.5" customHeight="1" x14ac:dyDescent="0.3">
      <c r="A1930" s="59"/>
      <c r="B1930" s="68" t="s">
        <v>1260</v>
      </c>
      <c r="C1930" s="92">
        <f>E1930+D1930+F1930</f>
        <v>14502</v>
      </c>
      <c r="D1930" s="92">
        <f>SUMIF(N1925:N1929,M1930,D1925:D1929)</f>
        <v>10338.299999999999</v>
      </c>
      <c r="E1930" s="92">
        <f>SUMIF(N1925:N1929,M1930,E1925:E1929)</f>
        <v>4060.5</v>
      </c>
      <c r="F1930" s="92">
        <f>SUMIF(N1925:N1929,M1930,F1925:F1929)</f>
        <v>103.2</v>
      </c>
      <c r="G1930" s="17" t="s">
        <v>1430</v>
      </c>
      <c r="M1930" s="35" t="s">
        <v>1262</v>
      </c>
      <c r="N1930" s="35" t="s">
        <v>1253</v>
      </c>
      <c r="Z1930" s="101"/>
      <c r="AA1930" s="101"/>
      <c r="AB1930" s="101"/>
      <c r="AC1930" s="101"/>
      <c r="AD1930" s="101"/>
      <c r="AE1930" s="101"/>
      <c r="AF1930" s="101"/>
      <c r="AG1930" s="101"/>
      <c r="AH1930" s="101"/>
      <c r="AI1930" s="101"/>
      <c r="AJ1930" s="101"/>
      <c r="AK1930" s="101"/>
      <c r="AL1930" s="101"/>
      <c r="AM1930" s="101"/>
      <c r="AN1930" s="101"/>
    </row>
    <row r="1931" spans="1:40" ht="16.5" customHeight="1" x14ac:dyDescent="0.3">
      <c r="A1931" s="69"/>
      <c r="B1931" s="69"/>
      <c r="C1931" s="90"/>
      <c r="D1931" s="90"/>
      <c r="E1931" s="90"/>
      <c r="F1931" s="90"/>
      <c r="G1931" s="17" t="s">
        <v>1405</v>
      </c>
      <c r="Z1931" s="101"/>
      <c r="AA1931" s="101"/>
      <c r="AB1931" s="101"/>
      <c r="AC1931" s="101"/>
      <c r="AD1931" s="101"/>
      <c r="AE1931" s="101"/>
      <c r="AF1931" s="101"/>
      <c r="AG1931" s="101"/>
      <c r="AH1931" s="101"/>
      <c r="AI1931" s="101"/>
      <c r="AJ1931" s="101"/>
      <c r="AK1931" s="101"/>
      <c r="AL1931" s="101"/>
      <c r="AM1931" s="101"/>
      <c r="AN1931" s="101"/>
    </row>
    <row r="1932" spans="1:40" ht="16.5" customHeight="1" x14ac:dyDescent="0.3">
      <c r="A1932" s="59"/>
      <c r="B1932" s="68" t="s">
        <v>2138</v>
      </c>
      <c r="C1932" s="69"/>
      <c r="D1932" s="69"/>
      <c r="E1932" s="69"/>
      <c r="F1932" s="69"/>
      <c r="G1932" s="17" t="s">
        <v>2137</v>
      </c>
      <c r="Z1932" s="101"/>
      <c r="AA1932" s="101"/>
      <c r="AB1932" s="101"/>
      <c r="AC1932" s="101"/>
      <c r="AD1932" s="101"/>
      <c r="AE1932" s="101"/>
      <c r="AF1932" s="101"/>
      <c r="AG1932" s="101"/>
      <c r="AH1932" s="101"/>
      <c r="AI1932" s="101"/>
      <c r="AJ1932" s="101"/>
      <c r="AK1932" s="101"/>
      <c r="AL1932" s="101"/>
      <c r="AM1932" s="101"/>
      <c r="AN1932" s="101"/>
    </row>
    <row r="1933" spans="1:40" ht="16.5" customHeight="1" x14ac:dyDescent="0.3">
      <c r="A1933" s="69"/>
      <c r="B1933" s="69"/>
      <c r="C1933" s="69"/>
      <c r="D1933" s="69"/>
      <c r="E1933" s="69"/>
      <c r="F1933" s="69"/>
      <c r="G1933" s="17" t="s">
        <v>1405</v>
      </c>
      <c r="Z1933" s="101"/>
      <c r="AA1933" s="101"/>
      <c r="AB1933" s="101"/>
      <c r="AC1933" s="101"/>
      <c r="AD1933" s="101"/>
      <c r="AE1933" s="101"/>
      <c r="AF1933" s="101"/>
      <c r="AG1933" s="101"/>
      <c r="AH1933" s="101"/>
      <c r="AI1933" s="101"/>
      <c r="AJ1933" s="101"/>
      <c r="AK1933" s="101"/>
      <c r="AL1933" s="101"/>
      <c r="AM1933" s="101"/>
      <c r="AN1933" s="101"/>
    </row>
    <row r="1934" spans="1:40" ht="16.5" customHeight="1" x14ac:dyDescent="0.3">
      <c r="A1934" s="59" t="s">
        <v>1416</v>
      </c>
      <c r="B1934" s="89" t="str">
        <f>" 1)특별인부: "&amp;Z1934&amp;" 인 *"&amp;TEXT(I1934,"#,##0"&amp;IF(I1934&lt;&gt;INT(I1934),".###",""))&amp;"*Q1/Q= "&amp;TEXT(C1934,"#,##0.0")&amp;""</f>
        <v xml:space="preserve"> 1)특별인부: 3 인 *226,122*Q1/Q= 14,536.4</v>
      </c>
      <c r="C1934" s="91">
        <f>E1934+D1934+F1934</f>
        <v>14536.4</v>
      </c>
      <c r="D1934" s="91">
        <f>IF(H1934=0,0,ROUNDDOWN(J1934*H1934,1))</f>
        <v>14536.4</v>
      </c>
      <c r="E1934" s="91">
        <f>IF(H1934=0,0,ROUNDDOWN(K1934*H1934,1))</f>
        <v>0</v>
      </c>
      <c r="F1934" s="91">
        <f>IF(H1934=0,0,ROUNDDOWN(L1934*H1934,1))</f>
        <v>0</v>
      </c>
      <c r="G1934" s="17" t="s">
        <v>1914</v>
      </c>
      <c r="H1934" s="97">
        <f>ROUNDUP(AF1934,14-LEN(ABS(INT(AF1934))))</f>
        <v>6.4285714285800002E-2</v>
      </c>
      <c r="I1934" s="98">
        <f>K1934+J1934+L1934</f>
        <v>226122</v>
      </c>
      <c r="J1934" s="38">
        <f>노무비목록표!E13</f>
        <v>226122</v>
      </c>
      <c r="M1934" s="35" t="s">
        <v>1215</v>
      </c>
      <c r="N1934" s="35" t="s">
        <v>1262</v>
      </c>
      <c r="X1934" s="100" t="str">
        <f>노무비목록표!B13&amp;" / "&amp;노무비목록표!C13</f>
        <v xml:space="preserve">특별인부 / </v>
      </c>
      <c r="Y1934" s="3" t="str">
        <f ca="1">HYPERLINK("#"&amp;노무비목록표!G2&amp;"!A"&amp;ROW(노무비목록표!A13),"노무10 →")</f>
        <v>노무10 →</v>
      </c>
      <c r="Z1934" s="102">
        <v>3</v>
      </c>
      <c r="AA1934" s="35" t="s">
        <v>1570</v>
      </c>
      <c r="AB1934" s="103" t="str">
        <f>AD1909</f>
        <v>0.375</v>
      </c>
      <c r="AC1934" s="35" t="s">
        <v>1413</v>
      </c>
      <c r="AD1934" s="103" t="str">
        <f>AD1913</f>
        <v>17.500</v>
      </c>
      <c r="AE1934" s="35" t="s">
        <v>1410</v>
      </c>
      <c r="AF1934" s="103">
        <f>Z1934*1*AD1909/AD1913</f>
        <v>6.4285714285714279E-2</v>
      </c>
      <c r="AG1934" s="101"/>
      <c r="AH1934" s="101"/>
      <c r="AI1934" s="101"/>
      <c r="AJ1934" s="101"/>
      <c r="AK1934" s="101"/>
      <c r="AL1934" s="101"/>
      <c r="AM1934" s="101"/>
      <c r="AN1934" s="101"/>
    </row>
    <row r="1935" spans="1:40" ht="16.5" customHeight="1" x14ac:dyDescent="0.3">
      <c r="A1935" s="69"/>
      <c r="B1935" s="69"/>
      <c r="C1935" s="69"/>
      <c r="D1935" s="69"/>
      <c r="E1935" s="69"/>
      <c r="F1935" s="69"/>
      <c r="G1935" s="17" t="s">
        <v>1405</v>
      </c>
      <c r="Z1935" s="101"/>
      <c r="AA1935" s="101"/>
      <c r="AB1935" s="101"/>
      <c r="AC1935" s="101"/>
      <c r="AD1935" s="101"/>
      <c r="AE1935" s="101"/>
      <c r="AF1935" s="101"/>
      <c r="AG1935" s="101"/>
      <c r="AH1935" s="101"/>
      <c r="AI1935" s="101"/>
      <c r="AJ1935" s="101"/>
      <c r="AK1935" s="101"/>
      <c r="AL1935" s="101"/>
      <c r="AM1935" s="101"/>
      <c r="AN1935" s="101"/>
    </row>
    <row r="1936" spans="1:40" ht="16.5" customHeight="1" x14ac:dyDescent="0.3">
      <c r="A1936" s="59" t="s">
        <v>1419</v>
      </c>
      <c r="B1936" s="89" t="str">
        <f>" 2)보통인부: "&amp;Z1936&amp;" 인 *"&amp;TEXT(I1936,"#,##0"&amp;IF(I1936&lt;&gt;INT(I1936),".###",""))&amp;"*Q2/Q= "&amp;TEXT(C1936,"#,##0.0")&amp;""</f>
        <v xml:space="preserve"> 2)보통인부: 1 인 *172,068*Q2/Q= 1,229.0</v>
      </c>
      <c r="C1936" s="91">
        <f>E1936+D1936+F1936</f>
        <v>1229</v>
      </c>
      <c r="D1936" s="91">
        <f>IF(H1936=0,0,ROUNDDOWN(J1936*H1936,1))</f>
        <v>1229</v>
      </c>
      <c r="E1936" s="91">
        <f>IF(H1936=0,0,ROUNDDOWN(K1936*H1936,1))</f>
        <v>0</v>
      </c>
      <c r="F1936" s="91">
        <f>IF(H1936=0,0,ROUNDDOWN(L1936*H1936,1))</f>
        <v>0</v>
      </c>
      <c r="G1936" s="17" t="s">
        <v>1915</v>
      </c>
      <c r="H1936" s="97">
        <f>ROUNDUP(AF1936,14-LEN(ABS(INT(AF1936))))</f>
        <v>7.1428571428999998E-3</v>
      </c>
      <c r="I1936" s="98">
        <f>K1936+J1936+L1936</f>
        <v>172068</v>
      </c>
      <c r="J1936" s="38">
        <f>노무비목록표!E8</f>
        <v>172068</v>
      </c>
      <c r="M1936" s="35" t="s">
        <v>1219</v>
      </c>
      <c r="N1936" s="35" t="s">
        <v>1262</v>
      </c>
      <c r="X1936" s="100" t="str">
        <f>노무비목록표!B8&amp;" / "&amp;노무비목록표!C8</f>
        <v xml:space="preserve">보통인부 / </v>
      </c>
      <c r="Y1936" s="3" t="str">
        <f ca="1">HYPERLINK("#"&amp;노무비목록표!G2&amp;"!A"&amp;ROW(노무비목록표!A8),"노무5 →")</f>
        <v>노무5 →</v>
      </c>
      <c r="Z1936" s="102">
        <v>1</v>
      </c>
      <c r="AA1936" s="35" t="s">
        <v>1570</v>
      </c>
      <c r="AB1936" s="103" t="str">
        <f>AD1911</f>
        <v>0.125</v>
      </c>
      <c r="AC1936" s="35" t="s">
        <v>1413</v>
      </c>
      <c r="AD1936" s="103" t="str">
        <f>AD1913</f>
        <v>17.500</v>
      </c>
      <c r="AE1936" s="35" t="s">
        <v>1410</v>
      </c>
      <c r="AF1936" s="103">
        <f>Z1936*1*AD1911/AD1913</f>
        <v>7.1428571428571426E-3</v>
      </c>
      <c r="AG1936" s="101"/>
      <c r="AH1936" s="101"/>
      <c r="AI1936" s="101"/>
      <c r="AJ1936" s="101"/>
      <c r="AK1936" s="101"/>
      <c r="AL1936" s="101"/>
      <c r="AM1936" s="101"/>
      <c r="AN1936" s="101"/>
    </row>
    <row r="1937" spans="1:40" ht="16.5" customHeight="1" x14ac:dyDescent="0.3">
      <c r="A1937" s="69"/>
      <c r="B1937" s="69"/>
      <c r="C1937" s="69"/>
      <c r="D1937" s="69"/>
      <c r="E1937" s="69"/>
      <c r="F1937" s="69"/>
      <c r="G1937" s="17" t="s">
        <v>1405</v>
      </c>
      <c r="Z1937" s="101"/>
      <c r="AA1937" s="101"/>
      <c r="AB1937" s="101"/>
      <c r="AC1937" s="101"/>
      <c r="AD1937" s="101"/>
      <c r="AE1937" s="101"/>
      <c r="AF1937" s="101"/>
      <c r="AG1937" s="101"/>
      <c r="AH1937" s="101"/>
      <c r="AI1937" s="101"/>
      <c r="AJ1937" s="101"/>
      <c r="AK1937" s="101"/>
      <c r="AL1937" s="101"/>
      <c r="AM1937" s="101"/>
      <c r="AN1937" s="101"/>
    </row>
    <row r="1938" spans="1:40" ht="16.5" customHeight="1" x14ac:dyDescent="0.3">
      <c r="A1938" s="59" t="s">
        <v>372</v>
      </c>
      <c r="B1938" s="89" t="str">
        <f>" 3) 탑재형크레인(5TON): "&amp;TEXT(I1938,"#,##0"&amp;IF(I1938&lt;&gt;INT(I1938),".###",""))&amp;"/Q = "&amp;TEXT(C1938,"#,##0.0")&amp;""</f>
        <v xml:space="preserve"> 3) 탑재형크레인(5TON): 71,904/Q = 4,108.6</v>
      </c>
      <c r="C1938" s="91">
        <f>E1938+D1938+F1938</f>
        <v>4108.6000000000004</v>
      </c>
      <c r="D1938" s="91">
        <f>IF(H1938=0,0,ROUNDDOWN(J1938*H1938,1))</f>
        <v>2844.4</v>
      </c>
      <c r="E1938" s="91">
        <f>IF(H1938=0,0,ROUNDDOWN(K1938*H1938,1))</f>
        <v>629</v>
      </c>
      <c r="F1938" s="91">
        <f>IF(H1938=0,0,ROUNDDOWN(L1938*H1938,1))</f>
        <v>635.20000000000005</v>
      </c>
      <c r="G1938" s="17" t="s">
        <v>2139</v>
      </c>
      <c r="H1938" s="97">
        <f>ROUNDUP(AC1938,14-LEN(ABS(INT(AC1938))))</f>
        <v>5.7142857142900003E-2</v>
      </c>
      <c r="I1938" s="98">
        <f>K1938+J1938+L1938</f>
        <v>71904</v>
      </c>
      <c r="J1938" s="38">
        <f>중기목록표!F35</f>
        <v>49778</v>
      </c>
      <c r="K1938" s="38">
        <f>중기목록표!G35</f>
        <v>11009</v>
      </c>
      <c r="L1938" s="38">
        <f>중기목록표!H35</f>
        <v>11117</v>
      </c>
      <c r="M1938" s="35" t="s">
        <v>1286</v>
      </c>
      <c r="N1938" s="35" t="s">
        <v>1262</v>
      </c>
      <c r="X1938" s="100" t="str">
        <f>중기목록표!B35&amp;" / "&amp;중기목록표!C35</f>
        <v>트럭탑재형 크레인 / 5톤</v>
      </c>
      <c r="Y1938" s="3" t="str">
        <f ca="1">HYPERLINK("#"&amp;중기목록표!J2&amp;"!A"&amp;ROW(중기목록표!A35),"중기32 →")</f>
        <v>중기32 →</v>
      </c>
      <c r="Z1938" s="35" t="s">
        <v>1417</v>
      </c>
      <c r="AA1938" s="103" t="str">
        <f>AD1913</f>
        <v>17.500</v>
      </c>
      <c r="AB1938" s="35" t="s">
        <v>1410</v>
      </c>
      <c r="AC1938" s="103">
        <f>1/AD1913</f>
        <v>5.7142857142857141E-2</v>
      </c>
      <c r="AD1938" s="101"/>
      <c r="AE1938" s="101"/>
      <c r="AF1938" s="101"/>
      <c r="AG1938" s="101"/>
      <c r="AH1938" s="101"/>
      <c r="AI1938" s="101"/>
      <c r="AJ1938" s="101"/>
      <c r="AK1938" s="101"/>
      <c r="AL1938" s="101"/>
      <c r="AM1938" s="101"/>
      <c r="AN1938" s="101"/>
    </row>
    <row r="1939" spans="1:40" ht="16.5" customHeight="1" x14ac:dyDescent="0.3">
      <c r="A1939" s="69"/>
      <c r="B1939" s="69"/>
      <c r="C1939" s="69"/>
      <c r="D1939" s="69"/>
      <c r="E1939" s="69"/>
      <c r="F1939" s="69"/>
      <c r="G1939" s="17" t="s">
        <v>1405</v>
      </c>
      <c r="Z1939" s="101"/>
      <c r="AA1939" s="101"/>
      <c r="AB1939" s="101"/>
      <c r="AC1939" s="101"/>
      <c r="AD1939" s="101"/>
      <c r="AE1939" s="101"/>
      <c r="AF1939" s="101"/>
      <c r="AG1939" s="101"/>
      <c r="AH1939" s="101"/>
      <c r="AI1939" s="101"/>
      <c r="AJ1939" s="101"/>
      <c r="AK1939" s="101"/>
      <c r="AL1939" s="101"/>
      <c r="AM1939" s="101"/>
      <c r="AN1939" s="101"/>
    </row>
    <row r="1940" spans="1:40" ht="16.5" customHeight="1" x14ac:dyDescent="0.3">
      <c r="A1940" s="59"/>
      <c r="B1940" s="68" t="s">
        <v>1260</v>
      </c>
      <c r="C1940" s="92">
        <f>E1940+D1940+F1940</f>
        <v>19874</v>
      </c>
      <c r="D1940" s="92">
        <f>SUMIF(N1931:N1939,M1940,D1931:D1939)</f>
        <v>18609.8</v>
      </c>
      <c r="E1940" s="92">
        <f>SUMIF(N1931:N1939,M1940,E1931:E1939)</f>
        <v>629</v>
      </c>
      <c r="F1940" s="92">
        <f>SUMIF(N1931:N1939,M1940,F1931:F1939)</f>
        <v>635.20000000000005</v>
      </c>
      <c r="G1940" s="17" t="s">
        <v>1430</v>
      </c>
      <c r="M1940" s="35" t="s">
        <v>1262</v>
      </c>
      <c r="N1940" s="35" t="s">
        <v>1253</v>
      </c>
      <c r="Z1940" s="101"/>
      <c r="AA1940" s="101"/>
      <c r="AB1940" s="101"/>
      <c r="AC1940" s="101"/>
      <c r="AD1940" s="101"/>
      <c r="AE1940" s="101"/>
      <c r="AF1940" s="101"/>
      <c r="AG1940" s="101"/>
      <c r="AH1940" s="101"/>
      <c r="AI1940" s="101"/>
      <c r="AJ1940" s="101"/>
      <c r="AK1940" s="101"/>
      <c r="AL1940" s="101"/>
      <c r="AM1940" s="101"/>
      <c r="AN1940" s="101"/>
    </row>
    <row r="1941" spans="1:40" ht="16.5" customHeight="1" x14ac:dyDescent="0.3">
      <c r="A1941" s="69"/>
      <c r="B1941" s="69"/>
      <c r="C1941" s="90"/>
      <c r="D1941" s="90"/>
      <c r="E1941" s="90"/>
      <c r="F1941" s="90"/>
      <c r="G1941" s="17" t="s">
        <v>1405</v>
      </c>
      <c r="Z1941" s="101"/>
      <c r="AA1941" s="101"/>
      <c r="AB1941" s="101"/>
      <c r="AC1941" s="101"/>
      <c r="AD1941" s="101"/>
      <c r="AE1941" s="101"/>
      <c r="AF1941" s="101"/>
      <c r="AG1941" s="101"/>
      <c r="AH1941" s="101"/>
      <c r="AI1941" s="101"/>
      <c r="AJ1941" s="101"/>
      <c r="AK1941" s="101"/>
      <c r="AL1941" s="101"/>
      <c r="AM1941" s="101"/>
      <c r="AN1941" s="101"/>
    </row>
    <row r="1942" spans="1:40" ht="16.5" customHeight="1" x14ac:dyDescent="0.3">
      <c r="A1942" s="59"/>
      <c r="B1942" s="68" t="s">
        <v>2141</v>
      </c>
      <c r="C1942" s="69"/>
      <c r="D1942" s="69"/>
      <c r="E1942" s="69"/>
      <c r="F1942" s="69"/>
      <c r="G1942" s="17" t="s">
        <v>2140</v>
      </c>
      <c r="Z1942" s="101"/>
      <c r="AA1942" s="101"/>
      <c r="AB1942" s="101"/>
      <c r="AC1942" s="101"/>
      <c r="AD1942" s="101"/>
      <c r="AE1942" s="101"/>
      <c r="AF1942" s="101"/>
      <c r="AG1942" s="101"/>
      <c r="AH1942" s="101"/>
      <c r="AI1942" s="101"/>
      <c r="AJ1942" s="101"/>
      <c r="AK1942" s="101"/>
      <c r="AL1942" s="101"/>
      <c r="AM1942" s="101"/>
      <c r="AN1942" s="101"/>
    </row>
    <row r="1943" spans="1:40" ht="16.5" customHeight="1" x14ac:dyDescent="0.3">
      <c r="A1943" s="69"/>
      <c r="B1943" s="69"/>
      <c r="C1943" s="69"/>
      <c r="D1943" s="69"/>
      <c r="E1943" s="69"/>
      <c r="F1943" s="69"/>
      <c r="G1943" s="17" t="s">
        <v>1405</v>
      </c>
      <c r="Z1943" s="101"/>
      <c r="AA1943" s="101"/>
      <c r="AB1943" s="101"/>
      <c r="AC1943" s="101"/>
      <c r="AD1943" s="101"/>
      <c r="AE1943" s="101"/>
      <c r="AF1943" s="101"/>
      <c r="AG1943" s="101"/>
      <c r="AH1943" s="101"/>
      <c r="AI1943" s="101"/>
      <c r="AJ1943" s="101"/>
      <c r="AK1943" s="101"/>
      <c r="AL1943" s="101"/>
      <c r="AM1943" s="101"/>
      <c r="AN1943" s="101"/>
    </row>
    <row r="1944" spans="1:40" ht="16.5" customHeight="1" x14ac:dyDescent="0.3">
      <c r="A1944" s="59" t="s">
        <v>1921</v>
      </c>
      <c r="B1944" s="89" t="str">
        <f>"   "&amp;Z1944&amp;" ㎥ * "&amp;TEXT(I1944,"#,##0"&amp;IF(I1944&lt;&gt;INT(I1944),".###",""))&amp;" = "&amp;TEXT(C1944,"#,##0.0")&amp;""</f>
        <v xml:space="preserve">   0.00023 ㎥ * 73,989 = 17.0</v>
      </c>
      <c r="C1944" s="91">
        <f>E1944+D1944+F1944</f>
        <v>17</v>
      </c>
      <c r="D1944" s="91">
        <f>IF(H1944=0,0,ROUNDDOWN(J1944*H1944,1))</f>
        <v>17</v>
      </c>
      <c r="E1944" s="91">
        <f>IF(H1944=0,0,ROUNDDOWN(K1944*H1944,1))</f>
        <v>0</v>
      </c>
      <c r="F1944" s="91">
        <f>IF(H1944=0,0,ROUNDDOWN(L1944*H1944,1))</f>
        <v>0</v>
      </c>
      <c r="G1944" s="17" t="s">
        <v>1920</v>
      </c>
      <c r="H1944" s="97">
        <f>ROUNDUP(AC1944,14-LEN(ABS(INT(AC1944))))</f>
        <v>2.3000000000000001E-4</v>
      </c>
      <c r="I1944" s="98">
        <f>K1944+J1944+L1944</f>
        <v>73989</v>
      </c>
      <c r="J1944" s="38">
        <f>단가산출근거목록표!F30</f>
        <v>73989</v>
      </c>
      <c r="K1944" s="38">
        <f>단가산출근거목록표!G30</f>
        <v>0</v>
      </c>
      <c r="L1944" s="38">
        <f>단가산출근거목록표!H30</f>
        <v>0</v>
      </c>
      <c r="M1944" s="35" t="s">
        <v>1922</v>
      </c>
      <c r="N1944" s="35" t="s">
        <v>1262</v>
      </c>
      <c r="X1944" s="100" t="str">
        <f>단가산출근거목록표!B30&amp;" / "&amp;단가산출근거목록표!C30</f>
        <v xml:space="preserve">몰탈 (1:3) / </v>
      </c>
      <c r="Y1944" s="3" t="str">
        <f ca="1">HYPERLINK("#"&amp;단가산출근거목록표!J2&amp;"!A"&amp;ROW(단가산출근거목록표!A30),"산근27 →")</f>
        <v>산근27 →</v>
      </c>
      <c r="Z1944" s="104">
        <v>2.3000000000000001E-4</v>
      </c>
      <c r="AA1944" s="35" t="s">
        <v>1670</v>
      </c>
      <c r="AB1944" s="35" t="s">
        <v>1410</v>
      </c>
      <c r="AC1944" s="103">
        <f>Z1944*1</f>
        <v>2.3000000000000001E-4</v>
      </c>
      <c r="AD1944" s="101"/>
      <c r="AE1944" s="101"/>
      <c r="AF1944" s="101"/>
      <c r="AG1944" s="101"/>
      <c r="AH1944" s="101"/>
      <c r="AI1944" s="101"/>
      <c r="AJ1944" s="101"/>
      <c r="AK1944" s="101"/>
      <c r="AL1944" s="101"/>
      <c r="AM1944" s="101"/>
      <c r="AN1944" s="101"/>
    </row>
    <row r="1945" spans="1:40" ht="16.5" customHeight="1" x14ac:dyDescent="0.3">
      <c r="A1945" s="69"/>
      <c r="B1945" s="69"/>
      <c r="C1945" s="69"/>
      <c r="D1945" s="69"/>
      <c r="E1945" s="69"/>
      <c r="F1945" s="69"/>
      <c r="G1945" s="17" t="s">
        <v>1405</v>
      </c>
      <c r="Z1945" s="101"/>
      <c r="AA1945" s="101"/>
      <c r="AB1945" s="101"/>
      <c r="AC1945" s="101"/>
      <c r="AD1945" s="101"/>
      <c r="AE1945" s="101"/>
      <c r="AF1945" s="101"/>
      <c r="AG1945" s="101"/>
      <c r="AH1945" s="101"/>
      <c r="AI1945" s="101"/>
      <c r="AJ1945" s="101"/>
      <c r="AK1945" s="101"/>
      <c r="AL1945" s="101"/>
      <c r="AM1945" s="101"/>
      <c r="AN1945" s="101"/>
    </row>
    <row r="1946" spans="1:40" ht="16.5" customHeight="1" x14ac:dyDescent="0.3">
      <c r="A1946" s="59"/>
      <c r="B1946" s="68" t="s">
        <v>1260</v>
      </c>
      <c r="C1946" s="92">
        <f>E1946+D1946+F1946</f>
        <v>17</v>
      </c>
      <c r="D1946" s="92">
        <f>SUMIF(N1941:N1945,M1946,D1941:D1945)</f>
        <v>17</v>
      </c>
      <c r="E1946" s="92">
        <f>SUMIF(N1941:N1945,M1946,E1941:E1945)</f>
        <v>0</v>
      </c>
      <c r="F1946" s="92">
        <f>SUMIF(N1941:N1945,M1946,F1941:F1945)</f>
        <v>0</v>
      </c>
      <c r="G1946" s="17" t="s">
        <v>1430</v>
      </c>
      <c r="M1946" s="35" t="s">
        <v>1262</v>
      </c>
      <c r="N1946" s="35" t="s">
        <v>1253</v>
      </c>
      <c r="Z1946" s="101"/>
      <c r="AA1946" s="101"/>
      <c r="AB1946" s="101"/>
      <c r="AC1946" s="101"/>
      <c r="AD1946" s="101"/>
      <c r="AE1946" s="101"/>
      <c r="AF1946" s="101"/>
      <c r="AG1946" s="101"/>
      <c r="AH1946" s="101"/>
      <c r="AI1946" s="101"/>
      <c r="AJ1946" s="101"/>
      <c r="AK1946" s="101"/>
      <c r="AL1946" s="101"/>
      <c r="AM1946" s="101"/>
      <c r="AN1946" s="101"/>
    </row>
    <row r="1947" spans="1:40" ht="16.5" customHeight="1" x14ac:dyDescent="0.3">
      <c r="A1947" s="69"/>
      <c r="B1947" s="69"/>
      <c r="C1947" s="90"/>
      <c r="D1947" s="90"/>
      <c r="E1947" s="90"/>
      <c r="F1947" s="90"/>
      <c r="G1947" s="17" t="s">
        <v>1405</v>
      </c>
      <c r="Z1947" s="101"/>
      <c r="AA1947" s="101"/>
      <c r="AB1947" s="101"/>
      <c r="AC1947" s="101"/>
      <c r="AD1947" s="101"/>
      <c r="AE1947" s="101"/>
      <c r="AF1947" s="101"/>
      <c r="AG1947" s="101"/>
      <c r="AH1947" s="101"/>
      <c r="AI1947" s="101"/>
      <c r="AJ1947" s="101"/>
      <c r="AK1947" s="101"/>
      <c r="AL1947" s="101"/>
      <c r="AM1947" s="101"/>
      <c r="AN1947" s="101"/>
    </row>
    <row r="1948" spans="1:40" ht="16.5" customHeight="1" x14ac:dyDescent="0.3">
      <c r="A1948" s="59"/>
      <c r="B1948" s="68" t="s">
        <v>1251</v>
      </c>
      <c r="C1948" s="92">
        <f>E1948+D1948+F1948</f>
        <v>36171.399999999994</v>
      </c>
      <c r="D1948" s="92">
        <f>SUMIF(N1907:N1947,M1948,D1907:D1947)</f>
        <v>30708.699999999997</v>
      </c>
      <c r="E1948" s="92">
        <f>SUMIF(N1907:N1947,M1948,E1907:E1947)</f>
        <v>4689.5</v>
      </c>
      <c r="F1948" s="92">
        <f>SUMIF(N1907:N1947,M1948,F1907:F1947)</f>
        <v>773.2</v>
      </c>
      <c r="G1948" s="17" t="s">
        <v>1476</v>
      </c>
      <c r="M1948" s="35" t="s">
        <v>1253</v>
      </c>
      <c r="N1948" s="35" t="s">
        <v>1209</v>
      </c>
      <c r="Z1948" s="101"/>
      <c r="AA1948" s="101"/>
      <c r="AB1948" s="101"/>
      <c r="AC1948" s="101"/>
      <c r="AD1948" s="101"/>
      <c r="AE1948" s="101"/>
      <c r="AF1948" s="101"/>
      <c r="AG1948" s="101"/>
      <c r="AH1948" s="101"/>
      <c r="AI1948" s="101"/>
      <c r="AJ1948" s="101"/>
      <c r="AK1948" s="101"/>
      <c r="AL1948" s="101"/>
      <c r="AM1948" s="101"/>
      <c r="AN1948" s="101"/>
    </row>
    <row r="1949" spans="1:40" ht="16.5" customHeight="1" x14ac:dyDescent="0.3">
      <c r="A1949" s="69"/>
      <c r="B1949" s="69"/>
      <c r="C1949" s="90"/>
      <c r="D1949" s="90"/>
      <c r="E1949" s="90"/>
      <c r="F1949" s="90"/>
      <c r="Z1949" s="101"/>
      <c r="AA1949" s="101"/>
      <c r="AB1949" s="101"/>
      <c r="AC1949" s="101"/>
      <c r="AD1949" s="101"/>
      <c r="AE1949" s="101"/>
      <c r="AF1949" s="101"/>
      <c r="AG1949" s="101"/>
      <c r="AH1949" s="101"/>
      <c r="AI1949" s="101"/>
      <c r="AJ1949" s="101"/>
      <c r="AK1949" s="101"/>
      <c r="AL1949" s="101"/>
      <c r="AM1949" s="101"/>
      <c r="AN1949" s="101"/>
    </row>
    <row r="1950" spans="1:40" ht="16.5" customHeight="1" x14ac:dyDescent="0.3">
      <c r="A1950" s="69"/>
      <c r="B1950" s="69"/>
      <c r="C1950" s="69"/>
      <c r="D1950" s="69"/>
      <c r="E1950" s="69"/>
      <c r="F1950" s="69"/>
      <c r="Z1950" s="101"/>
      <c r="AA1950" s="101"/>
      <c r="AB1950" s="101"/>
      <c r="AC1950" s="101"/>
      <c r="AD1950" s="101"/>
      <c r="AE1950" s="101"/>
      <c r="AF1950" s="101"/>
      <c r="AG1950" s="101"/>
      <c r="AH1950" s="101"/>
      <c r="AI1950" s="101"/>
      <c r="AJ1950" s="101"/>
      <c r="AK1950" s="101"/>
      <c r="AL1950" s="101"/>
      <c r="AM1950" s="101"/>
      <c r="AN1950" s="101"/>
    </row>
    <row r="1951" spans="1:40" ht="16.5" customHeight="1" x14ac:dyDescent="0.3">
      <c r="A1951" s="69"/>
      <c r="B1951" s="69"/>
      <c r="C1951" s="69"/>
      <c r="D1951" s="69"/>
      <c r="E1951" s="69"/>
      <c r="F1951" s="69"/>
      <c r="Z1951" s="101"/>
      <c r="AA1951" s="101"/>
      <c r="AB1951" s="101"/>
      <c r="AC1951" s="101"/>
      <c r="AD1951" s="101"/>
      <c r="AE1951" s="101"/>
      <c r="AF1951" s="101"/>
      <c r="AG1951" s="101"/>
      <c r="AH1951" s="101"/>
      <c r="AI1951" s="101"/>
      <c r="AJ1951" s="101"/>
      <c r="AK1951" s="101"/>
      <c r="AL1951" s="101"/>
      <c r="AM1951" s="101"/>
      <c r="AN1951" s="101"/>
    </row>
    <row r="1952" spans="1:40" ht="16.5" customHeight="1" x14ac:dyDescent="0.3">
      <c r="A1952" s="69"/>
      <c r="B1952" s="69"/>
      <c r="C1952" s="69"/>
      <c r="D1952" s="69"/>
      <c r="E1952" s="69"/>
      <c r="F1952" s="69"/>
      <c r="Z1952" s="101"/>
      <c r="AA1952" s="101"/>
      <c r="AB1952" s="101"/>
      <c r="AC1952" s="101"/>
      <c r="AD1952" s="101"/>
      <c r="AE1952" s="101"/>
      <c r="AF1952" s="101"/>
      <c r="AG1952" s="101"/>
      <c r="AH1952" s="101"/>
      <c r="AI1952" s="101"/>
      <c r="AJ1952" s="101"/>
      <c r="AK1952" s="101"/>
      <c r="AL1952" s="101"/>
      <c r="AM1952" s="101"/>
      <c r="AN1952" s="101"/>
    </row>
    <row r="1953" spans="1:40" ht="16.5" customHeight="1" x14ac:dyDescent="0.3">
      <c r="A1953" s="74"/>
      <c r="B1953" s="74"/>
      <c r="C1953" s="74"/>
      <c r="D1953" s="74"/>
      <c r="E1953" s="74"/>
      <c r="F1953" s="74"/>
      <c r="Z1953" s="101"/>
      <c r="AA1953" s="101"/>
      <c r="AB1953" s="101"/>
      <c r="AC1953" s="101"/>
      <c r="AD1953" s="101"/>
      <c r="AE1953" s="101"/>
      <c r="AF1953" s="101"/>
      <c r="AG1953" s="101"/>
      <c r="AH1953" s="101"/>
      <c r="AI1953" s="101"/>
      <c r="AJ1953" s="101"/>
      <c r="AK1953" s="101"/>
      <c r="AL1953" s="101"/>
      <c r="AM1953" s="101"/>
      <c r="AN1953" s="101"/>
    </row>
    <row r="1954" spans="1:40" ht="16.5" customHeight="1" x14ac:dyDescent="0.3">
      <c r="A1954" s="150" t="s">
        <v>1477</v>
      </c>
      <c r="B1954" s="143"/>
      <c r="C1954" s="47">
        <f>E1954+D1954+F1954</f>
        <v>36170</v>
      </c>
      <c r="D1954" s="46">
        <f>ROUNDDOWN(SUMIF(N1907:N1948,M1954,D1907:D1948),0)</f>
        <v>30708</v>
      </c>
      <c r="E1954" s="55">
        <f>ROUNDDOWN(SUMIF(N1907:N1948,M1954,E1907:E1948),0)</f>
        <v>4689</v>
      </c>
      <c r="F1954" s="47">
        <f>ROUNDDOWN(SUMIF(N1907:N1948,M1954,F1907:F1948),0)</f>
        <v>773</v>
      </c>
      <c r="M1954" s="35" t="s">
        <v>1209</v>
      </c>
      <c r="Z1954" s="101"/>
      <c r="AA1954" s="101"/>
      <c r="AB1954" s="101"/>
      <c r="AC1954" s="101"/>
      <c r="AD1954" s="101"/>
      <c r="AE1954" s="101"/>
      <c r="AF1954" s="101"/>
      <c r="AG1954" s="101"/>
      <c r="AH1954" s="101"/>
      <c r="AI1954" s="101"/>
      <c r="AJ1954" s="101"/>
      <c r="AK1954" s="101"/>
      <c r="AL1954" s="101"/>
      <c r="AM1954" s="101"/>
      <c r="AN1954" s="101"/>
    </row>
    <row r="1955" spans="1:40" ht="16.5" customHeight="1" x14ac:dyDescent="0.3">
      <c r="A1955" s="86" t="s">
        <v>211</v>
      </c>
      <c r="B1955" s="88" t="s">
        <v>211</v>
      </c>
      <c r="C1955" s="151">
        <f>C2004</f>
        <v>59284</v>
      </c>
      <c r="D1955" s="151">
        <f>D2004</f>
        <v>58122</v>
      </c>
      <c r="E1955" s="151">
        <f>E2004</f>
        <v>0</v>
      </c>
      <c r="F1955" s="151">
        <f>F2004</f>
        <v>1162</v>
      </c>
      <c r="G1955" s="84" t="str">
        <f>HYPERLINK("#G"&amp;ROW(G1981),"_x0005_`BDCOD|D00368_x0007_`POSS|"&amp;ROW(G1957)&amp;"_x0007_`POSE|"&amp;ROW(G1981)&amp;"_x0007_`")</f>
        <v>_x0005_`BDCOD|D00368_x0007_`POSS|1957_x0007_`POSE|1981_x0007_`</v>
      </c>
      <c r="Z1955" s="101"/>
      <c r="AA1955" s="101"/>
      <c r="AB1955" s="101"/>
      <c r="AC1955" s="101"/>
      <c r="AD1955" s="101"/>
      <c r="AE1955" s="101"/>
      <c r="AF1955" s="101"/>
      <c r="AG1955" s="101"/>
      <c r="AH1955" s="101"/>
      <c r="AI1955" s="101"/>
      <c r="AJ1955" s="101"/>
      <c r="AK1955" s="101"/>
      <c r="AL1955" s="101"/>
      <c r="AM1955" s="101"/>
      <c r="AN1955" s="101"/>
    </row>
    <row r="1956" spans="1:40" ht="16.5" customHeight="1" x14ac:dyDescent="0.3">
      <c r="A1956" s="87"/>
      <c r="B1956" s="88" t="s">
        <v>210</v>
      </c>
      <c r="C1956" s="136"/>
      <c r="D1956" s="136"/>
      <c r="E1956" s="136"/>
      <c r="F1956" s="136"/>
      <c r="M1956" s="35" t="s">
        <v>2142</v>
      </c>
      <c r="Z1956" s="101"/>
      <c r="AA1956" s="101"/>
      <c r="AB1956" s="101"/>
      <c r="AC1956" s="101"/>
      <c r="AD1956" s="101"/>
      <c r="AE1956" s="101"/>
      <c r="AF1956" s="101"/>
      <c r="AG1956" s="101"/>
      <c r="AH1956" s="101"/>
      <c r="AI1956" s="101"/>
      <c r="AJ1956" s="101"/>
      <c r="AK1956" s="101"/>
      <c r="AL1956" s="101"/>
      <c r="AM1956" s="101"/>
      <c r="AN1956" s="101"/>
    </row>
    <row r="1957" spans="1:40" ht="16.5" customHeight="1" x14ac:dyDescent="0.3">
      <c r="A1957" s="69"/>
      <c r="B1957" s="69"/>
      <c r="C1957" s="90"/>
      <c r="D1957" s="90"/>
      <c r="E1957" s="90"/>
      <c r="F1957" s="90"/>
      <c r="G1957" s="17" t="s">
        <v>1405</v>
      </c>
      <c r="Z1957" s="101"/>
      <c r="AA1957" s="101"/>
      <c r="AB1957" s="101"/>
      <c r="AC1957" s="101"/>
      <c r="AD1957" s="101"/>
      <c r="AE1957" s="101"/>
      <c r="AF1957" s="101"/>
      <c r="AG1957" s="101"/>
      <c r="AH1957" s="101"/>
      <c r="AI1957" s="101"/>
      <c r="AJ1957" s="101"/>
      <c r="AK1957" s="101"/>
      <c r="AL1957" s="101"/>
      <c r="AM1957" s="101"/>
      <c r="AN1957" s="101"/>
    </row>
    <row r="1958" spans="1:40" ht="16.5" customHeight="1" x14ac:dyDescent="0.3">
      <c r="A1958" s="59"/>
      <c r="B1958" s="68" t="s">
        <v>2144</v>
      </c>
      <c r="C1958" s="69"/>
      <c r="D1958" s="69"/>
      <c r="E1958" s="69"/>
      <c r="F1958" s="69"/>
      <c r="G1958" s="17" t="s">
        <v>2143</v>
      </c>
      <c r="Z1958" s="101"/>
      <c r="AA1958" s="101"/>
      <c r="AB1958" s="101"/>
      <c r="AC1958" s="101"/>
      <c r="AD1958" s="101"/>
      <c r="AE1958" s="101"/>
      <c r="AF1958" s="101"/>
      <c r="AG1958" s="101"/>
      <c r="AH1958" s="101"/>
      <c r="AI1958" s="101"/>
      <c r="AJ1958" s="101"/>
      <c r="AK1958" s="101"/>
      <c r="AL1958" s="101"/>
      <c r="AM1958" s="101"/>
      <c r="AN1958" s="101"/>
    </row>
    <row r="1959" spans="1:40" ht="16.5" customHeight="1" x14ac:dyDescent="0.3">
      <c r="A1959" s="69"/>
      <c r="B1959" s="69"/>
      <c r="C1959" s="69"/>
      <c r="D1959" s="69"/>
      <c r="E1959" s="69"/>
      <c r="F1959" s="69"/>
      <c r="G1959" s="17" t="s">
        <v>1405</v>
      </c>
      <c r="Z1959" s="101"/>
      <c r="AA1959" s="101"/>
      <c r="AB1959" s="101"/>
      <c r="AC1959" s="101"/>
      <c r="AD1959" s="101"/>
      <c r="AE1959" s="101"/>
      <c r="AF1959" s="101"/>
      <c r="AG1959" s="101"/>
      <c r="AH1959" s="101"/>
      <c r="AI1959" s="101"/>
      <c r="AJ1959" s="101"/>
      <c r="AK1959" s="101"/>
      <c r="AL1959" s="101"/>
      <c r="AM1959" s="101"/>
      <c r="AN1959" s="101"/>
    </row>
    <row r="1960" spans="1:40" ht="16.5" customHeight="1" x14ac:dyDescent="0.3">
      <c r="A1960" s="59"/>
      <c r="B1960" s="68" t="s">
        <v>2146</v>
      </c>
      <c r="C1960" s="69"/>
      <c r="D1960" s="69"/>
      <c r="E1960" s="69"/>
      <c r="F1960" s="69"/>
      <c r="G1960" s="17" t="s">
        <v>2145</v>
      </c>
      <c r="Z1960" s="101"/>
      <c r="AA1960" s="101"/>
      <c r="AB1960" s="101"/>
      <c r="AC1960" s="101"/>
      <c r="AD1960" s="101"/>
      <c r="AE1960" s="101"/>
      <c r="AF1960" s="101"/>
      <c r="AG1960" s="101"/>
      <c r="AH1960" s="101"/>
      <c r="AI1960" s="101"/>
      <c r="AJ1960" s="101"/>
      <c r="AK1960" s="101"/>
      <c r="AL1960" s="101"/>
      <c r="AM1960" s="101"/>
      <c r="AN1960" s="101"/>
    </row>
    <row r="1961" spans="1:40" ht="16.5" customHeight="1" x14ac:dyDescent="0.3">
      <c r="A1961" s="69"/>
      <c r="B1961" s="69"/>
      <c r="C1961" s="69"/>
      <c r="D1961" s="69"/>
      <c r="E1961" s="69"/>
      <c r="F1961" s="69"/>
      <c r="G1961" s="17" t="s">
        <v>1405</v>
      </c>
      <c r="Z1961" s="101"/>
      <c r="AA1961" s="101"/>
      <c r="AB1961" s="101"/>
      <c r="AC1961" s="101"/>
      <c r="AD1961" s="101"/>
      <c r="AE1961" s="101"/>
      <c r="AF1961" s="101"/>
      <c r="AG1961" s="101"/>
      <c r="AH1961" s="101"/>
      <c r="AI1961" s="101"/>
      <c r="AJ1961" s="101"/>
      <c r="AK1961" s="101"/>
      <c r="AL1961" s="101"/>
      <c r="AM1961" s="101"/>
      <c r="AN1961" s="101"/>
    </row>
    <row r="1962" spans="1:40" ht="16.5" customHeight="1" x14ac:dyDescent="0.3">
      <c r="A1962" s="59"/>
      <c r="B1962" s="68" t="str">
        <f>" Q1 = "&amp;Z1962&amp;" 인 /"&amp;AB1962&amp;" hr/일 = "&amp;AD1962&amp;" hr/일 "</f>
        <v xml:space="preserve"> Q1 = 3 인 /8 hr/일 = 0.375 hr/일 </v>
      </c>
      <c r="C1962" s="69"/>
      <c r="D1962" s="69"/>
      <c r="E1962" s="69"/>
      <c r="F1962" s="69"/>
      <c r="G1962" s="17" t="s">
        <v>1906</v>
      </c>
      <c r="Z1962" s="102">
        <v>3</v>
      </c>
      <c r="AA1962" s="35" t="s">
        <v>1413</v>
      </c>
      <c r="AB1962" s="102">
        <v>8</v>
      </c>
      <c r="AC1962" s="35" t="s">
        <v>1410</v>
      </c>
      <c r="AD1962" s="103" t="str">
        <f>TEXT(ROUND(Z1962/AB1962,3),"#,0.000")</f>
        <v>0.375</v>
      </c>
      <c r="AE1962" s="101"/>
      <c r="AF1962" s="101"/>
      <c r="AG1962" s="101"/>
      <c r="AH1962" s="101"/>
      <c r="AI1962" s="101"/>
      <c r="AJ1962" s="101"/>
      <c r="AK1962" s="101"/>
      <c r="AL1962" s="101"/>
      <c r="AM1962" s="101"/>
      <c r="AN1962" s="101"/>
    </row>
    <row r="1963" spans="1:40" ht="16.5" customHeight="1" x14ac:dyDescent="0.3">
      <c r="A1963" s="69"/>
      <c r="B1963" s="69"/>
      <c r="C1963" s="69"/>
      <c r="D1963" s="69"/>
      <c r="E1963" s="69"/>
      <c r="F1963" s="69"/>
      <c r="G1963" s="17" t="s">
        <v>1405</v>
      </c>
      <c r="Z1963" s="101"/>
      <c r="AA1963" s="101"/>
      <c r="AB1963" s="101"/>
      <c r="AC1963" s="101"/>
      <c r="AD1963" s="101"/>
      <c r="AE1963" s="101"/>
      <c r="AF1963" s="101"/>
      <c r="AG1963" s="101"/>
      <c r="AH1963" s="101"/>
      <c r="AI1963" s="101"/>
      <c r="AJ1963" s="101"/>
      <c r="AK1963" s="101"/>
      <c r="AL1963" s="101"/>
      <c r="AM1963" s="101"/>
      <c r="AN1963" s="101"/>
    </row>
    <row r="1964" spans="1:40" ht="16.5" customHeight="1" x14ac:dyDescent="0.3">
      <c r="A1964" s="59"/>
      <c r="B1964" s="68" t="str">
        <f>" Q2 = "&amp;Z1964&amp;" 인 /"&amp;AB1964&amp;" hr/일 = "&amp;AD1964&amp;" hr/일 "</f>
        <v xml:space="preserve"> Q2 = 3 인 /8 hr/일 = 0.375 hr/일 </v>
      </c>
      <c r="C1964" s="69"/>
      <c r="D1964" s="69"/>
      <c r="E1964" s="69"/>
      <c r="F1964" s="69"/>
      <c r="G1964" s="17" t="s">
        <v>2147</v>
      </c>
      <c r="Z1964" s="102">
        <v>3</v>
      </c>
      <c r="AA1964" s="35" t="s">
        <v>1413</v>
      </c>
      <c r="AB1964" s="102">
        <v>8</v>
      </c>
      <c r="AC1964" s="35" t="s">
        <v>1410</v>
      </c>
      <c r="AD1964" s="103" t="str">
        <f>TEXT(ROUND(Z1964/AB1964,3),"#,0.000")</f>
        <v>0.375</v>
      </c>
      <c r="AE1964" s="101"/>
      <c r="AF1964" s="101"/>
      <c r="AG1964" s="101"/>
      <c r="AH1964" s="101"/>
      <c r="AI1964" s="101"/>
      <c r="AJ1964" s="101"/>
      <c r="AK1964" s="101"/>
      <c r="AL1964" s="101"/>
      <c r="AM1964" s="101"/>
      <c r="AN1964" s="101"/>
    </row>
    <row r="1965" spans="1:40" ht="16.5" customHeight="1" x14ac:dyDescent="0.3">
      <c r="A1965" s="69"/>
      <c r="B1965" s="69"/>
      <c r="C1965" s="69"/>
      <c r="D1965" s="69"/>
      <c r="E1965" s="69"/>
      <c r="F1965" s="69"/>
      <c r="G1965" s="17" t="s">
        <v>1405</v>
      </c>
      <c r="Z1965" s="101"/>
      <c r="AA1965" s="101"/>
      <c r="AB1965" s="101"/>
      <c r="AC1965" s="101"/>
      <c r="AD1965" s="101"/>
      <c r="AE1965" s="101"/>
      <c r="AF1965" s="101"/>
      <c r="AG1965" s="101"/>
      <c r="AH1965" s="101"/>
      <c r="AI1965" s="101"/>
      <c r="AJ1965" s="101"/>
      <c r="AK1965" s="101"/>
      <c r="AL1965" s="101"/>
      <c r="AM1965" s="101"/>
      <c r="AN1965" s="101"/>
    </row>
    <row r="1966" spans="1:40" ht="16.5" customHeight="1" x14ac:dyDescent="0.3">
      <c r="A1966" s="59"/>
      <c r="B1966" s="68" t="str">
        <f>" Q = "&amp;Z1966&amp;" ㎥/일 /"&amp;AB1966&amp;" hr/일 = "&amp;AD1966&amp;" ㎥/hr "</f>
        <v xml:space="preserve"> Q = 23 ㎥/일 /8 hr/일 = 2.875 ㎥/hr </v>
      </c>
      <c r="C1966" s="69"/>
      <c r="D1966" s="69"/>
      <c r="E1966" s="69"/>
      <c r="F1966" s="69"/>
      <c r="G1966" s="17" t="s">
        <v>2148</v>
      </c>
      <c r="Z1966" s="102">
        <v>23</v>
      </c>
      <c r="AA1966" s="35" t="s">
        <v>1413</v>
      </c>
      <c r="AB1966" s="102">
        <v>8</v>
      </c>
      <c r="AC1966" s="35" t="s">
        <v>1410</v>
      </c>
      <c r="AD1966" s="103" t="str">
        <f>TEXT(ROUND(Z1966/AB1966,3),"#,0.000")</f>
        <v>2.875</v>
      </c>
      <c r="AE1966" s="101"/>
      <c r="AF1966" s="101"/>
      <c r="AG1966" s="101"/>
      <c r="AH1966" s="101"/>
      <c r="AI1966" s="101"/>
      <c r="AJ1966" s="101"/>
      <c r="AK1966" s="101"/>
      <c r="AL1966" s="101"/>
      <c r="AM1966" s="101"/>
      <c r="AN1966" s="101"/>
    </row>
    <row r="1967" spans="1:40" ht="16.5" customHeight="1" x14ac:dyDescent="0.3">
      <c r="A1967" s="69"/>
      <c r="B1967" s="69"/>
      <c r="C1967" s="69"/>
      <c r="D1967" s="69"/>
      <c r="E1967" s="69"/>
      <c r="F1967" s="69"/>
      <c r="G1967" s="17" t="s">
        <v>1405</v>
      </c>
      <c r="Z1967" s="101"/>
      <c r="AA1967" s="101"/>
      <c r="AB1967" s="101"/>
      <c r="AC1967" s="101"/>
      <c r="AD1967" s="101"/>
      <c r="AE1967" s="101"/>
      <c r="AF1967" s="101"/>
      <c r="AG1967" s="101"/>
      <c r="AH1967" s="101"/>
      <c r="AI1967" s="101"/>
      <c r="AJ1967" s="101"/>
      <c r="AK1967" s="101"/>
      <c r="AL1967" s="101"/>
      <c r="AM1967" s="101"/>
      <c r="AN1967" s="101"/>
    </row>
    <row r="1968" spans="1:40" ht="16.5" customHeight="1" x14ac:dyDescent="0.3">
      <c r="A1968" s="69"/>
      <c r="B1968" s="69"/>
      <c r="C1968" s="69"/>
      <c r="D1968" s="69"/>
      <c r="E1968" s="69"/>
      <c r="F1968" s="69"/>
      <c r="G1968" s="17" t="s">
        <v>1405</v>
      </c>
      <c r="Z1968" s="101"/>
      <c r="AA1968" s="101"/>
      <c r="AB1968" s="101"/>
      <c r="AC1968" s="101"/>
      <c r="AD1968" s="101"/>
      <c r="AE1968" s="101"/>
      <c r="AF1968" s="101"/>
      <c r="AG1968" s="101"/>
      <c r="AH1968" s="101"/>
      <c r="AI1968" s="101"/>
      <c r="AJ1968" s="101"/>
      <c r="AK1968" s="101"/>
      <c r="AL1968" s="101"/>
      <c r="AM1968" s="101"/>
      <c r="AN1968" s="101"/>
    </row>
    <row r="1969" spans="1:40" ht="16.5" customHeight="1" x14ac:dyDescent="0.3">
      <c r="A1969" s="59"/>
      <c r="B1969" s="68" t="s">
        <v>2150</v>
      </c>
      <c r="C1969" s="69"/>
      <c r="D1969" s="69"/>
      <c r="E1969" s="69"/>
      <c r="F1969" s="69"/>
      <c r="G1969" s="17" t="s">
        <v>2149</v>
      </c>
      <c r="Z1969" s="101"/>
      <c r="AA1969" s="101"/>
      <c r="AB1969" s="101"/>
      <c r="AC1969" s="101"/>
      <c r="AD1969" s="101"/>
      <c r="AE1969" s="101"/>
      <c r="AF1969" s="101"/>
      <c r="AG1969" s="101"/>
      <c r="AH1969" s="101"/>
      <c r="AI1969" s="101"/>
      <c r="AJ1969" s="101"/>
      <c r="AK1969" s="101"/>
      <c r="AL1969" s="101"/>
      <c r="AM1969" s="101"/>
      <c r="AN1969" s="101"/>
    </row>
    <row r="1970" spans="1:40" ht="16.5" customHeight="1" x14ac:dyDescent="0.3">
      <c r="A1970" s="69"/>
      <c r="B1970" s="69"/>
      <c r="C1970" s="69"/>
      <c r="D1970" s="69"/>
      <c r="E1970" s="69"/>
      <c r="F1970" s="69"/>
      <c r="G1970" s="17" t="s">
        <v>1405</v>
      </c>
      <c r="Z1970" s="101"/>
      <c r="AA1970" s="101"/>
      <c r="AB1970" s="101"/>
      <c r="AC1970" s="101"/>
      <c r="AD1970" s="101"/>
      <c r="AE1970" s="101"/>
      <c r="AF1970" s="101"/>
      <c r="AG1970" s="101"/>
      <c r="AH1970" s="101"/>
      <c r="AI1970" s="101"/>
      <c r="AJ1970" s="101"/>
      <c r="AK1970" s="101"/>
      <c r="AL1970" s="101"/>
      <c r="AM1970" s="101"/>
      <c r="AN1970" s="101"/>
    </row>
    <row r="1971" spans="1:40" ht="16.5" customHeight="1" x14ac:dyDescent="0.3">
      <c r="A1971" s="59" t="s">
        <v>2152</v>
      </c>
      <c r="B1971" s="89" t="str">
        <f>" 콘크리트공 : "&amp;TEXT(I1971,"#,##0"&amp;IF(I1971&lt;&gt;INT(I1971),".###",""))&amp;" * Q1 / Q = "&amp;TEXT(C1971,"#,##0.0")&amp;""</f>
        <v xml:space="preserve"> 콘크리트공 : 273,540 * Q1 / Q = 35,679.1</v>
      </c>
      <c r="C1971" s="91">
        <f>E1971+D1971+F1971</f>
        <v>35679.1</v>
      </c>
      <c r="D1971" s="91">
        <f>IF(H1971=0,0,ROUNDDOWN(J1971*H1971,1))</f>
        <v>35679.1</v>
      </c>
      <c r="E1971" s="91">
        <f>IF(H1971=0,0,ROUNDDOWN(K1971*H1971,1))</f>
        <v>0</v>
      </c>
      <c r="F1971" s="91">
        <f>IF(H1971=0,0,ROUNDDOWN(L1971*H1971,1))</f>
        <v>0</v>
      </c>
      <c r="G1971" s="17" t="s">
        <v>2151</v>
      </c>
      <c r="H1971" s="97">
        <f>ROUNDUP(AE1971,14-LEN(ABS(INT(AE1971))))</f>
        <v>0.13043478260870001</v>
      </c>
      <c r="I1971" s="98">
        <f>K1971+J1971+L1971</f>
        <v>273540</v>
      </c>
      <c r="J1971" s="38">
        <f>노무비목록표!E12</f>
        <v>273540</v>
      </c>
      <c r="M1971" s="35" t="s">
        <v>2153</v>
      </c>
      <c r="N1971" s="35" t="s">
        <v>1262</v>
      </c>
      <c r="O1971" s="35" t="s">
        <v>1214</v>
      </c>
      <c r="X1971" s="100" t="str">
        <f>노무비목록표!B12&amp;" / "&amp;노무비목록표!C12</f>
        <v xml:space="preserve">콘크리트공 / </v>
      </c>
      <c r="Y1971" s="3" t="str">
        <f ca="1">HYPERLINK("#"&amp;노무비목록표!G2&amp;"!A"&amp;ROW(노무비목록표!A12),"노무9 →")</f>
        <v>노무9 →</v>
      </c>
      <c r="Z1971" s="35" t="s">
        <v>1446</v>
      </c>
      <c r="AA1971" s="103" t="str">
        <f>AD1962</f>
        <v>0.375</v>
      </c>
      <c r="AB1971" s="35" t="s">
        <v>1413</v>
      </c>
      <c r="AC1971" s="103" t="str">
        <f>AD1966</f>
        <v>2.875</v>
      </c>
      <c r="AD1971" s="35" t="s">
        <v>1410</v>
      </c>
      <c r="AE1971" s="103">
        <f>1*AD1962/AD1966</f>
        <v>0.13043478260869565</v>
      </c>
      <c r="AF1971" s="101"/>
      <c r="AG1971" s="101"/>
      <c r="AH1971" s="101"/>
      <c r="AI1971" s="101"/>
      <c r="AJ1971" s="101"/>
      <c r="AK1971" s="101"/>
      <c r="AL1971" s="101"/>
      <c r="AM1971" s="101"/>
      <c r="AN1971" s="101"/>
    </row>
    <row r="1972" spans="1:40" ht="16.5" customHeight="1" x14ac:dyDescent="0.3">
      <c r="A1972" s="69"/>
      <c r="B1972" s="69"/>
      <c r="C1972" s="69"/>
      <c r="D1972" s="69"/>
      <c r="E1972" s="69"/>
      <c r="F1972" s="69"/>
      <c r="G1972" s="17" t="s">
        <v>1405</v>
      </c>
      <c r="Z1972" s="101"/>
      <c r="AA1972" s="101"/>
      <c r="AB1972" s="101"/>
      <c r="AC1972" s="101"/>
      <c r="AD1972" s="101"/>
      <c r="AE1972" s="101"/>
      <c r="AF1972" s="101"/>
      <c r="AG1972" s="101"/>
      <c r="AH1972" s="101"/>
      <c r="AI1972" s="101"/>
      <c r="AJ1972" s="101"/>
      <c r="AK1972" s="101"/>
      <c r="AL1972" s="101"/>
      <c r="AM1972" s="101"/>
      <c r="AN1972" s="101"/>
    </row>
    <row r="1973" spans="1:40" ht="16.5" customHeight="1" x14ac:dyDescent="0.3">
      <c r="A1973" s="59" t="s">
        <v>1419</v>
      </c>
      <c r="B1973" s="89" t="str">
        <f>" 보 통 인 부 : "&amp;TEXT(I1973,"#,##0"&amp;IF(I1973&lt;&gt;INT(I1973),".###",""))&amp;" * Q2 / Q = "&amp;TEXT(C1973,"#,##0.0")&amp;""</f>
        <v xml:space="preserve"> 보 통 인 부 : 172,068 * Q2 / Q = 22,443.6</v>
      </c>
      <c r="C1973" s="91">
        <f>E1973+D1973+F1973</f>
        <v>22443.599999999999</v>
      </c>
      <c r="D1973" s="91">
        <f>IF(H1973=0,0,ROUNDDOWN(J1973*H1973,1))</f>
        <v>22443.599999999999</v>
      </c>
      <c r="E1973" s="91">
        <f>IF(H1973=0,0,ROUNDDOWN(K1973*H1973,1))</f>
        <v>0</v>
      </c>
      <c r="F1973" s="91">
        <f>IF(H1973=0,0,ROUNDDOWN(L1973*H1973,1))</f>
        <v>0</v>
      </c>
      <c r="G1973" s="17" t="s">
        <v>2154</v>
      </c>
      <c r="H1973" s="97">
        <f>ROUNDUP(AE1973,14-LEN(ABS(INT(AE1973))))</f>
        <v>0.13043478260870001</v>
      </c>
      <c r="I1973" s="98">
        <f>K1973+J1973+L1973</f>
        <v>172068</v>
      </c>
      <c r="J1973" s="38">
        <f>노무비목록표!E8</f>
        <v>172068</v>
      </c>
      <c r="M1973" s="35" t="s">
        <v>1219</v>
      </c>
      <c r="N1973" s="35" t="s">
        <v>1262</v>
      </c>
      <c r="O1973" s="35" t="s">
        <v>1214</v>
      </c>
      <c r="X1973" s="100" t="str">
        <f>노무비목록표!B8&amp;" / "&amp;노무비목록표!C8</f>
        <v xml:space="preserve">보통인부 / </v>
      </c>
      <c r="Y1973" s="3" t="str">
        <f ca="1">HYPERLINK("#"&amp;노무비목록표!G2&amp;"!A"&amp;ROW(노무비목록표!A8),"노무5 →")</f>
        <v>노무5 →</v>
      </c>
      <c r="Z1973" s="35" t="s">
        <v>1446</v>
      </c>
      <c r="AA1973" s="103" t="str">
        <f>AD1964</f>
        <v>0.375</v>
      </c>
      <c r="AB1973" s="35" t="s">
        <v>1413</v>
      </c>
      <c r="AC1973" s="103" t="str">
        <f>AD1966</f>
        <v>2.875</v>
      </c>
      <c r="AD1973" s="35" t="s">
        <v>1410</v>
      </c>
      <c r="AE1973" s="103">
        <f>1*AD1964/AD1966</f>
        <v>0.13043478260869565</v>
      </c>
      <c r="AF1973" s="101"/>
      <c r="AG1973" s="101"/>
      <c r="AH1973" s="101"/>
      <c r="AI1973" s="101"/>
      <c r="AJ1973" s="101"/>
      <c r="AK1973" s="101"/>
      <c r="AL1973" s="101"/>
      <c r="AM1973" s="101"/>
      <c r="AN1973" s="101"/>
    </row>
    <row r="1974" spans="1:40" ht="16.5" customHeight="1" x14ac:dyDescent="0.3">
      <c r="A1974" s="69"/>
      <c r="B1974" s="69"/>
      <c r="C1974" s="69"/>
      <c r="D1974" s="69"/>
      <c r="E1974" s="69"/>
      <c r="F1974" s="69"/>
      <c r="G1974" s="17" t="s">
        <v>1405</v>
      </c>
      <c r="Z1974" s="101"/>
      <c r="AA1974" s="101"/>
      <c r="AB1974" s="101"/>
      <c r="AC1974" s="101"/>
      <c r="AD1974" s="101"/>
      <c r="AE1974" s="101"/>
      <c r="AF1974" s="101"/>
      <c r="AG1974" s="101"/>
      <c r="AH1974" s="101"/>
      <c r="AI1974" s="101"/>
      <c r="AJ1974" s="101"/>
      <c r="AK1974" s="101"/>
      <c r="AL1974" s="101"/>
      <c r="AM1974" s="101"/>
      <c r="AN1974" s="101"/>
    </row>
    <row r="1975" spans="1:40" ht="16.5" customHeight="1" x14ac:dyDescent="0.3">
      <c r="A1975" s="59"/>
      <c r="B1975" s="68" t="s">
        <v>1260</v>
      </c>
      <c r="C1975" s="92">
        <f>E1975+D1975+F1975</f>
        <v>58122.7</v>
      </c>
      <c r="D1975" s="92">
        <f>SUMIF(N1957:N1974,M1975,D1957:D1974)</f>
        <v>58122.7</v>
      </c>
      <c r="E1975" s="92">
        <f>SUMIF(N1957:N1974,M1975,E1957:E1974)</f>
        <v>0</v>
      </c>
      <c r="F1975" s="92">
        <f>SUMIF(N1957:N1974,M1975,F1957:F1974)</f>
        <v>0</v>
      </c>
      <c r="G1975" s="17" t="s">
        <v>1430</v>
      </c>
      <c r="M1975" s="35" t="s">
        <v>1262</v>
      </c>
      <c r="N1975" s="35" t="s">
        <v>1253</v>
      </c>
      <c r="Z1975" s="101"/>
      <c r="AA1975" s="101"/>
      <c r="AB1975" s="101"/>
      <c r="AC1975" s="101"/>
      <c r="AD1975" s="101"/>
      <c r="AE1975" s="101"/>
      <c r="AF1975" s="101"/>
      <c r="AG1975" s="101"/>
      <c r="AH1975" s="101"/>
      <c r="AI1975" s="101"/>
      <c r="AJ1975" s="101"/>
      <c r="AK1975" s="101"/>
      <c r="AL1975" s="101"/>
      <c r="AM1975" s="101"/>
      <c r="AN1975" s="101"/>
    </row>
    <row r="1976" spans="1:40" ht="16.5" customHeight="1" x14ac:dyDescent="0.3">
      <c r="A1976" s="69"/>
      <c r="B1976" s="69"/>
      <c r="C1976" s="90"/>
      <c r="D1976" s="90"/>
      <c r="E1976" s="90"/>
      <c r="F1976" s="90"/>
      <c r="G1976" s="17" t="s">
        <v>1405</v>
      </c>
      <c r="Z1976" s="101"/>
      <c r="AA1976" s="101"/>
      <c r="AB1976" s="101"/>
      <c r="AC1976" s="101"/>
      <c r="AD1976" s="101"/>
      <c r="AE1976" s="101"/>
      <c r="AF1976" s="101"/>
      <c r="AG1976" s="101"/>
      <c r="AH1976" s="101"/>
      <c r="AI1976" s="101"/>
      <c r="AJ1976" s="101"/>
      <c r="AK1976" s="101"/>
      <c r="AL1976" s="101"/>
      <c r="AM1976" s="101"/>
      <c r="AN1976" s="101"/>
    </row>
    <row r="1977" spans="1:40" ht="16.5" customHeight="1" x14ac:dyDescent="0.3">
      <c r="A1977" s="59"/>
      <c r="B1977" s="89" t="str">
        <f>" 2. 공구손료 : "&amp;TEXT(I1977,"#,##0.0")&amp;" * "&amp;AA1977&amp;" %  = "&amp;TEXT(C1977,"#,##0.0")&amp;""</f>
        <v xml:space="preserve"> 2. 공구손료 : 58,122.7 * 2 %  = 1,162.4</v>
      </c>
      <c r="C1977" s="91">
        <f>E1977+D1977+F1977</f>
        <v>1162.4000000000001</v>
      </c>
      <c r="D1977" s="91">
        <f>IF(H1977=0,0,ROUNDDOWN(J1977*H1977/100,1))</f>
        <v>0</v>
      </c>
      <c r="E1977" s="91">
        <f>IF(H1977=0,0,ROUNDDOWN(K1977*H1977/100,1))</f>
        <v>0</v>
      </c>
      <c r="F1977" s="91">
        <f>IF(H1977=0,0,ROUNDDOWN(L1977*H1977/100,1))</f>
        <v>1162.4000000000001</v>
      </c>
      <c r="G1977" s="17" t="s">
        <v>2155</v>
      </c>
      <c r="H1977" s="97">
        <f>ROUNDUP(AC1977,14-LEN(ABS(INT(AC1977))))</f>
        <v>2</v>
      </c>
      <c r="I1977" s="98">
        <f>K1977+J1977+L1977</f>
        <v>58122.7</v>
      </c>
      <c r="J1977" s="36">
        <v>0</v>
      </c>
      <c r="K1977" s="36">
        <v>0</v>
      </c>
      <c r="L1977" s="38">
        <f>D1971+D1973</f>
        <v>58122.7</v>
      </c>
      <c r="M1977" s="35" t="s">
        <v>1059</v>
      </c>
      <c r="N1977" s="35" t="s">
        <v>1262</v>
      </c>
      <c r="Z1977" s="35" t="s">
        <v>1446</v>
      </c>
      <c r="AA1977" s="102">
        <v>2</v>
      </c>
      <c r="AB1977" s="35" t="s">
        <v>1410</v>
      </c>
      <c r="AC1977" s="103">
        <f>1*AA1977</f>
        <v>2</v>
      </c>
      <c r="AD1977" s="101"/>
      <c r="AE1977" s="101"/>
      <c r="AF1977" s="101"/>
      <c r="AG1977" s="101"/>
      <c r="AH1977" s="101"/>
      <c r="AI1977" s="101"/>
      <c r="AJ1977" s="101"/>
      <c r="AK1977" s="101"/>
      <c r="AL1977" s="101"/>
      <c r="AM1977" s="101"/>
      <c r="AN1977" s="101"/>
    </row>
    <row r="1978" spans="1:40" ht="16.5" customHeight="1" x14ac:dyDescent="0.3">
      <c r="A1978" s="69"/>
      <c r="B1978" s="69"/>
      <c r="C1978" s="69"/>
      <c r="D1978" s="69"/>
      <c r="E1978" s="69"/>
      <c r="F1978" s="69"/>
      <c r="G1978" s="17" t="s">
        <v>1405</v>
      </c>
      <c r="Z1978" s="101"/>
      <c r="AA1978" s="101"/>
      <c r="AB1978" s="101"/>
      <c r="AC1978" s="101"/>
      <c r="AD1978" s="101"/>
      <c r="AE1978" s="101"/>
      <c r="AF1978" s="101"/>
      <c r="AG1978" s="101"/>
      <c r="AH1978" s="101"/>
      <c r="AI1978" s="101"/>
      <c r="AJ1978" s="101"/>
      <c r="AK1978" s="101"/>
      <c r="AL1978" s="101"/>
      <c r="AM1978" s="101"/>
      <c r="AN1978" s="101"/>
    </row>
    <row r="1979" spans="1:40" ht="16.5" customHeight="1" x14ac:dyDescent="0.3">
      <c r="A1979" s="59"/>
      <c r="B1979" s="68" t="s">
        <v>1260</v>
      </c>
      <c r="C1979" s="92">
        <f>E1979+D1979+F1979</f>
        <v>1162.4000000000001</v>
      </c>
      <c r="D1979" s="92">
        <f>SUMIF(N1976:N1978,M1979,D1976:D1978)</f>
        <v>0</v>
      </c>
      <c r="E1979" s="92">
        <f>SUMIF(N1976:N1978,M1979,E1976:E1978)</f>
        <v>0</v>
      </c>
      <c r="F1979" s="92">
        <f>SUMIF(N1976:N1978,M1979,F1976:F1978)</f>
        <v>1162.4000000000001</v>
      </c>
      <c r="G1979" s="17" t="s">
        <v>1430</v>
      </c>
      <c r="M1979" s="35" t="s">
        <v>1262</v>
      </c>
      <c r="N1979" s="35" t="s">
        <v>1253</v>
      </c>
      <c r="Z1979" s="101"/>
      <c r="AA1979" s="101"/>
      <c r="AB1979" s="101"/>
      <c r="AC1979" s="101"/>
      <c r="AD1979" s="101"/>
      <c r="AE1979" s="101"/>
      <c r="AF1979" s="101"/>
      <c r="AG1979" s="101"/>
      <c r="AH1979" s="101"/>
      <c r="AI1979" s="101"/>
      <c r="AJ1979" s="101"/>
      <c r="AK1979" s="101"/>
      <c r="AL1979" s="101"/>
      <c r="AM1979" s="101"/>
      <c r="AN1979" s="101"/>
    </row>
    <row r="1980" spans="1:40" ht="16.5" customHeight="1" x14ac:dyDescent="0.3">
      <c r="A1980" s="69"/>
      <c r="B1980" s="69"/>
      <c r="C1980" s="90"/>
      <c r="D1980" s="90"/>
      <c r="E1980" s="90"/>
      <c r="F1980" s="90"/>
      <c r="G1980" s="17" t="s">
        <v>1405</v>
      </c>
      <c r="Z1980" s="101"/>
      <c r="AA1980" s="101"/>
      <c r="AB1980" s="101"/>
      <c r="AC1980" s="101"/>
      <c r="AD1980" s="101"/>
      <c r="AE1980" s="101"/>
      <c r="AF1980" s="101"/>
      <c r="AG1980" s="101"/>
      <c r="AH1980" s="101"/>
      <c r="AI1980" s="101"/>
      <c r="AJ1980" s="101"/>
      <c r="AK1980" s="101"/>
      <c r="AL1980" s="101"/>
      <c r="AM1980" s="101"/>
      <c r="AN1980" s="101"/>
    </row>
    <row r="1981" spans="1:40" ht="16.5" customHeight="1" x14ac:dyDescent="0.3">
      <c r="A1981" s="59"/>
      <c r="B1981" s="68" t="s">
        <v>1251</v>
      </c>
      <c r="C1981" s="92">
        <f>E1981+D1981+F1981</f>
        <v>59285.1</v>
      </c>
      <c r="D1981" s="92">
        <f>SUMIF(N1957:N1980,M1981,D1957:D1980)</f>
        <v>58122.7</v>
      </c>
      <c r="E1981" s="92">
        <f>SUMIF(N1957:N1980,M1981,E1957:E1980)</f>
        <v>0</v>
      </c>
      <c r="F1981" s="92">
        <f>SUMIF(N1957:N1980,M1981,F1957:F1980)</f>
        <v>1162.4000000000001</v>
      </c>
      <c r="G1981" s="17" t="s">
        <v>1476</v>
      </c>
      <c r="M1981" s="35" t="s">
        <v>1253</v>
      </c>
      <c r="N1981" s="35" t="s">
        <v>1209</v>
      </c>
      <c r="Z1981" s="101"/>
      <c r="AA1981" s="101"/>
      <c r="AB1981" s="101"/>
      <c r="AC1981" s="101"/>
      <c r="AD1981" s="101"/>
      <c r="AE1981" s="101"/>
      <c r="AF1981" s="101"/>
      <c r="AG1981" s="101"/>
      <c r="AH1981" s="101"/>
      <c r="AI1981" s="101"/>
      <c r="AJ1981" s="101"/>
      <c r="AK1981" s="101"/>
      <c r="AL1981" s="101"/>
      <c r="AM1981" s="101"/>
      <c r="AN1981" s="101"/>
    </row>
    <row r="1982" spans="1:40" ht="16.5" customHeight="1" x14ac:dyDescent="0.3">
      <c r="A1982" s="69"/>
      <c r="B1982" s="69"/>
      <c r="C1982" s="90"/>
      <c r="D1982" s="90"/>
      <c r="E1982" s="90"/>
      <c r="F1982" s="90"/>
      <c r="Z1982" s="101"/>
      <c r="AA1982" s="101"/>
      <c r="AB1982" s="101"/>
      <c r="AC1982" s="101"/>
      <c r="AD1982" s="101"/>
      <c r="AE1982" s="101"/>
      <c r="AF1982" s="101"/>
      <c r="AG1982" s="101"/>
      <c r="AH1982" s="101"/>
      <c r="AI1982" s="101"/>
      <c r="AJ1982" s="101"/>
      <c r="AK1982" s="101"/>
      <c r="AL1982" s="101"/>
      <c r="AM1982" s="101"/>
      <c r="AN1982" s="101"/>
    </row>
    <row r="1983" spans="1:40" ht="16.5" customHeight="1" x14ac:dyDescent="0.3">
      <c r="A1983" s="69"/>
      <c r="B1983" s="69"/>
      <c r="C1983" s="69"/>
      <c r="D1983" s="69"/>
      <c r="E1983" s="69"/>
      <c r="F1983" s="69"/>
      <c r="Z1983" s="101"/>
      <c r="AA1983" s="101"/>
      <c r="AB1983" s="101"/>
      <c r="AC1983" s="101"/>
      <c r="AD1983" s="101"/>
      <c r="AE1983" s="101"/>
      <c r="AF1983" s="101"/>
      <c r="AG1983" s="101"/>
      <c r="AH1983" s="101"/>
      <c r="AI1983" s="101"/>
      <c r="AJ1983" s="101"/>
      <c r="AK1983" s="101"/>
      <c r="AL1983" s="101"/>
      <c r="AM1983" s="101"/>
      <c r="AN1983" s="101"/>
    </row>
    <row r="1984" spans="1:40" ht="16.5" customHeight="1" x14ac:dyDescent="0.3">
      <c r="A1984" s="69"/>
      <c r="B1984" s="69"/>
      <c r="C1984" s="69"/>
      <c r="D1984" s="69"/>
      <c r="E1984" s="69"/>
      <c r="F1984" s="69"/>
      <c r="Z1984" s="101"/>
      <c r="AA1984" s="101"/>
      <c r="AB1984" s="101"/>
      <c r="AC1984" s="101"/>
      <c r="AD1984" s="101"/>
      <c r="AE1984" s="101"/>
      <c r="AF1984" s="101"/>
      <c r="AG1984" s="101"/>
      <c r="AH1984" s="101"/>
      <c r="AI1984" s="101"/>
      <c r="AJ1984" s="101"/>
      <c r="AK1984" s="101"/>
      <c r="AL1984" s="101"/>
      <c r="AM1984" s="101"/>
      <c r="AN1984" s="101"/>
    </row>
    <row r="1985" spans="1:40" ht="16.5" customHeight="1" x14ac:dyDescent="0.3">
      <c r="A1985" s="69"/>
      <c r="B1985" s="69"/>
      <c r="C1985" s="69"/>
      <c r="D1985" s="69"/>
      <c r="E1985" s="69"/>
      <c r="F1985" s="69"/>
      <c r="Z1985" s="101"/>
      <c r="AA1985" s="101"/>
      <c r="AB1985" s="101"/>
      <c r="AC1985" s="101"/>
      <c r="AD1985" s="101"/>
      <c r="AE1985" s="101"/>
      <c r="AF1985" s="101"/>
      <c r="AG1985" s="101"/>
      <c r="AH1985" s="101"/>
      <c r="AI1985" s="101"/>
      <c r="AJ1985" s="101"/>
      <c r="AK1985" s="101"/>
      <c r="AL1985" s="101"/>
      <c r="AM1985" s="101"/>
      <c r="AN1985" s="101"/>
    </row>
    <row r="1986" spans="1:40" ht="16.5" customHeight="1" x14ac:dyDescent="0.3">
      <c r="A1986" s="69"/>
      <c r="B1986" s="69"/>
      <c r="C1986" s="69"/>
      <c r="D1986" s="69"/>
      <c r="E1986" s="69"/>
      <c r="F1986" s="69"/>
      <c r="Z1986" s="101"/>
      <c r="AA1986" s="101"/>
      <c r="AB1986" s="101"/>
      <c r="AC1986" s="101"/>
      <c r="AD1986" s="101"/>
      <c r="AE1986" s="101"/>
      <c r="AF1986" s="101"/>
      <c r="AG1986" s="101"/>
      <c r="AH1986" s="101"/>
      <c r="AI1986" s="101"/>
      <c r="AJ1986" s="101"/>
      <c r="AK1986" s="101"/>
      <c r="AL1986" s="101"/>
      <c r="AM1986" s="101"/>
      <c r="AN1986" s="101"/>
    </row>
    <row r="1987" spans="1:40" ht="16.5" customHeight="1" x14ac:dyDescent="0.3">
      <c r="A1987" s="69"/>
      <c r="B1987" s="69"/>
      <c r="C1987" s="69"/>
      <c r="D1987" s="69"/>
      <c r="E1987" s="69"/>
      <c r="F1987" s="69"/>
      <c r="Z1987" s="101"/>
      <c r="AA1987" s="101"/>
      <c r="AB1987" s="101"/>
      <c r="AC1987" s="101"/>
      <c r="AD1987" s="101"/>
      <c r="AE1987" s="101"/>
      <c r="AF1987" s="101"/>
      <c r="AG1987" s="101"/>
      <c r="AH1987" s="101"/>
      <c r="AI1987" s="101"/>
      <c r="AJ1987" s="101"/>
      <c r="AK1987" s="101"/>
      <c r="AL1987" s="101"/>
      <c r="AM1987" s="101"/>
      <c r="AN1987" s="101"/>
    </row>
    <row r="1988" spans="1:40" ht="16.5" customHeight="1" x14ac:dyDescent="0.3">
      <c r="A1988" s="69"/>
      <c r="B1988" s="69"/>
      <c r="C1988" s="69"/>
      <c r="D1988" s="69"/>
      <c r="E1988" s="69"/>
      <c r="F1988" s="69"/>
      <c r="Z1988" s="101"/>
      <c r="AA1988" s="101"/>
      <c r="AB1988" s="101"/>
      <c r="AC1988" s="101"/>
      <c r="AD1988" s="101"/>
      <c r="AE1988" s="101"/>
      <c r="AF1988" s="101"/>
      <c r="AG1988" s="101"/>
      <c r="AH1988" s="101"/>
      <c r="AI1988" s="101"/>
      <c r="AJ1988" s="101"/>
      <c r="AK1988" s="101"/>
      <c r="AL1988" s="101"/>
      <c r="AM1988" s="101"/>
      <c r="AN1988" s="101"/>
    </row>
    <row r="1989" spans="1:40" ht="16.5" customHeight="1" x14ac:dyDescent="0.3">
      <c r="A1989" s="69"/>
      <c r="B1989" s="69"/>
      <c r="C1989" s="69"/>
      <c r="D1989" s="69"/>
      <c r="E1989" s="69"/>
      <c r="F1989" s="69"/>
      <c r="Z1989" s="101"/>
      <c r="AA1989" s="101"/>
      <c r="AB1989" s="101"/>
      <c r="AC1989" s="101"/>
      <c r="AD1989" s="101"/>
      <c r="AE1989" s="101"/>
      <c r="AF1989" s="101"/>
      <c r="AG1989" s="101"/>
      <c r="AH1989" s="101"/>
      <c r="AI1989" s="101"/>
      <c r="AJ1989" s="101"/>
      <c r="AK1989" s="101"/>
      <c r="AL1989" s="101"/>
      <c r="AM1989" s="101"/>
      <c r="AN1989" s="101"/>
    </row>
    <row r="1990" spans="1:40" ht="16.5" customHeight="1" x14ac:dyDescent="0.3">
      <c r="A1990" s="69"/>
      <c r="B1990" s="69"/>
      <c r="C1990" s="69"/>
      <c r="D1990" s="69"/>
      <c r="E1990" s="69"/>
      <c r="F1990" s="69"/>
      <c r="Z1990" s="101"/>
      <c r="AA1990" s="101"/>
      <c r="AB1990" s="101"/>
      <c r="AC1990" s="101"/>
      <c r="AD1990" s="101"/>
      <c r="AE1990" s="101"/>
      <c r="AF1990" s="101"/>
      <c r="AG1990" s="101"/>
      <c r="AH1990" s="101"/>
      <c r="AI1990" s="101"/>
      <c r="AJ1990" s="101"/>
      <c r="AK1990" s="101"/>
      <c r="AL1990" s="101"/>
      <c r="AM1990" s="101"/>
      <c r="AN1990" s="101"/>
    </row>
    <row r="1991" spans="1:40" ht="16.5" customHeight="1" x14ac:dyDescent="0.3">
      <c r="A1991" s="69"/>
      <c r="B1991" s="69"/>
      <c r="C1991" s="69"/>
      <c r="D1991" s="69"/>
      <c r="E1991" s="69"/>
      <c r="F1991" s="69"/>
      <c r="Z1991" s="101"/>
      <c r="AA1991" s="101"/>
      <c r="AB1991" s="101"/>
      <c r="AC1991" s="101"/>
      <c r="AD1991" s="101"/>
      <c r="AE1991" s="101"/>
      <c r="AF1991" s="101"/>
      <c r="AG1991" s="101"/>
      <c r="AH1991" s="101"/>
      <c r="AI1991" s="101"/>
      <c r="AJ1991" s="101"/>
      <c r="AK1991" s="101"/>
      <c r="AL1991" s="101"/>
      <c r="AM1991" s="101"/>
      <c r="AN1991" s="101"/>
    </row>
    <row r="1992" spans="1:40" ht="16.5" customHeight="1" x14ac:dyDescent="0.3">
      <c r="A1992" s="69"/>
      <c r="B1992" s="69"/>
      <c r="C1992" s="69"/>
      <c r="D1992" s="69"/>
      <c r="E1992" s="69"/>
      <c r="F1992" s="69"/>
      <c r="Z1992" s="101"/>
      <c r="AA1992" s="101"/>
      <c r="AB1992" s="101"/>
      <c r="AC1992" s="101"/>
      <c r="AD1992" s="101"/>
      <c r="AE1992" s="101"/>
      <c r="AF1992" s="101"/>
      <c r="AG1992" s="101"/>
      <c r="AH1992" s="101"/>
      <c r="AI1992" s="101"/>
      <c r="AJ1992" s="101"/>
      <c r="AK1992" s="101"/>
      <c r="AL1992" s="101"/>
      <c r="AM1992" s="101"/>
      <c r="AN1992" s="101"/>
    </row>
    <row r="1993" spans="1:40" ht="16.5" customHeight="1" x14ac:dyDescent="0.3">
      <c r="A1993" s="69"/>
      <c r="B1993" s="69"/>
      <c r="C1993" s="69"/>
      <c r="D1993" s="69"/>
      <c r="E1993" s="69"/>
      <c r="F1993" s="69"/>
      <c r="Z1993" s="101"/>
      <c r="AA1993" s="101"/>
      <c r="AB1993" s="101"/>
      <c r="AC1993" s="101"/>
      <c r="AD1993" s="101"/>
      <c r="AE1993" s="101"/>
      <c r="AF1993" s="101"/>
      <c r="AG1993" s="101"/>
      <c r="AH1993" s="101"/>
      <c r="AI1993" s="101"/>
      <c r="AJ1993" s="101"/>
      <c r="AK1993" s="101"/>
      <c r="AL1993" s="101"/>
      <c r="AM1993" s="101"/>
      <c r="AN1993" s="101"/>
    </row>
    <row r="1994" spans="1:40" ht="16.5" customHeight="1" x14ac:dyDescent="0.3">
      <c r="A1994" s="69"/>
      <c r="B1994" s="69"/>
      <c r="C1994" s="69"/>
      <c r="D1994" s="69"/>
      <c r="E1994" s="69"/>
      <c r="F1994" s="69"/>
      <c r="Z1994" s="101"/>
      <c r="AA1994" s="101"/>
      <c r="AB1994" s="101"/>
      <c r="AC1994" s="101"/>
      <c r="AD1994" s="101"/>
      <c r="AE1994" s="101"/>
      <c r="AF1994" s="101"/>
      <c r="AG1994" s="101"/>
      <c r="AH1994" s="101"/>
      <c r="AI1994" s="101"/>
      <c r="AJ1994" s="101"/>
      <c r="AK1994" s="101"/>
      <c r="AL1994" s="101"/>
      <c r="AM1994" s="101"/>
      <c r="AN1994" s="101"/>
    </row>
    <row r="1995" spans="1:40" ht="16.5" customHeight="1" x14ac:dyDescent="0.3">
      <c r="A1995" s="69"/>
      <c r="B1995" s="69"/>
      <c r="C1995" s="69"/>
      <c r="D1995" s="69"/>
      <c r="E1995" s="69"/>
      <c r="F1995" s="69"/>
      <c r="Z1995" s="101"/>
      <c r="AA1995" s="101"/>
      <c r="AB1995" s="101"/>
      <c r="AC1995" s="101"/>
      <c r="AD1995" s="101"/>
      <c r="AE1995" s="101"/>
      <c r="AF1995" s="101"/>
      <c r="AG1995" s="101"/>
      <c r="AH1995" s="101"/>
      <c r="AI1995" s="101"/>
      <c r="AJ1995" s="101"/>
      <c r="AK1995" s="101"/>
      <c r="AL1995" s="101"/>
      <c r="AM1995" s="101"/>
      <c r="AN1995" s="101"/>
    </row>
    <row r="1996" spans="1:40" ht="16.5" customHeight="1" x14ac:dyDescent="0.3">
      <c r="A1996" s="69"/>
      <c r="B1996" s="69"/>
      <c r="C1996" s="69"/>
      <c r="D1996" s="69"/>
      <c r="E1996" s="69"/>
      <c r="F1996" s="69"/>
      <c r="Z1996" s="101"/>
      <c r="AA1996" s="101"/>
      <c r="AB1996" s="101"/>
      <c r="AC1996" s="101"/>
      <c r="AD1996" s="101"/>
      <c r="AE1996" s="101"/>
      <c r="AF1996" s="101"/>
      <c r="AG1996" s="101"/>
      <c r="AH1996" s="101"/>
      <c r="AI1996" s="101"/>
      <c r="AJ1996" s="101"/>
      <c r="AK1996" s="101"/>
      <c r="AL1996" s="101"/>
      <c r="AM1996" s="101"/>
      <c r="AN1996" s="101"/>
    </row>
    <row r="1997" spans="1:40" ht="16.5" customHeight="1" x14ac:dyDescent="0.3">
      <c r="A1997" s="69"/>
      <c r="B1997" s="69"/>
      <c r="C1997" s="69"/>
      <c r="D1997" s="69"/>
      <c r="E1997" s="69"/>
      <c r="F1997" s="69"/>
      <c r="Z1997" s="101"/>
      <c r="AA1997" s="101"/>
      <c r="AB1997" s="101"/>
      <c r="AC1997" s="101"/>
      <c r="AD1997" s="101"/>
      <c r="AE1997" s="101"/>
      <c r="AF1997" s="101"/>
      <c r="AG1997" s="101"/>
      <c r="AH1997" s="101"/>
      <c r="AI1997" s="101"/>
      <c r="AJ1997" s="101"/>
      <c r="AK1997" s="101"/>
      <c r="AL1997" s="101"/>
      <c r="AM1997" s="101"/>
      <c r="AN1997" s="101"/>
    </row>
    <row r="1998" spans="1:40" ht="16.5" customHeight="1" x14ac:dyDescent="0.3">
      <c r="A1998" s="69"/>
      <c r="B1998" s="69"/>
      <c r="C1998" s="69"/>
      <c r="D1998" s="69"/>
      <c r="E1998" s="69"/>
      <c r="F1998" s="69"/>
      <c r="Z1998" s="101"/>
      <c r="AA1998" s="101"/>
      <c r="AB1998" s="101"/>
      <c r="AC1998" s="101"/>
      <c r="AD1998" s="101"/>
      <c r="AE1998" s="101"/>
      <c r="AF1998" s="101"/>
      <c r="AG1998" s="101"/>
      <c r="AH1998" s="101"/>
      <c r="AI1998" s="101"/>
      <c r="AJ1998" s="101"/>
      <c r="AK1998" s="101"/>
      <c r="AL1998" s="101"/>
      <c r="AM1998" s="101"/>
      <c r="AN1998" s="101"/>
    </row>
    <row r="1999" spans="1:40" ht="16.5" customHeight="1" x14ac:dyDescent="0.3">
      <c r="A1999" s="69"/>
      <c r="B1999" s="69"/>
      <c r="C1999" s="69"/>
      <c r="D1999" s="69"/>
      <c r="E1999" s="69"/>
      <c r="F1999" s="69"/>
      <c r="Z1999" s="101"/>
      <c r="AA1999" s="101"/>
      <c r="AB1999" s="101"/>
      <c r="AC1999" s="101"/>
      <c r="AD1999" s="101"/>
      <c r="AE1999" s="101"/>
      <c r="AF1999" s="101"/>
      <c r="AG1999" s="101"/>
      <c r="AH1999" s="101"/>
      <c r="AI1999" s="101"/>
      <c r="AJ1999" s="101"/>
      <c r="AK1999" s="101"/>
      <c r="AL1999" s="101"/>
      <c r="AM1999" s="101"/>
      <c r="AN1999" s="101"/>
    </row>
    <row r="2000" spans="1:40" ht="16.5" customHeight="1" x14ac:dyDescent="0.3">
      <c r="A2000" s="69"/>
      <c r="B2000" s="69"/>
      <c r="C2000" s="69"/>
      <c r="D2000" s="69"/>
      <c r="E2000" s="69"/>
      <c r="F2000" s="69"/>
      <c r="Z2000" s="101"/>
      <c r="AA2000" s="101"/>
      <c r="AB2000" s="101"/>
      <c r="AC2000" s="101"/>
      <c r="AD2000" s="101"/>
      <c r="AE2000" s="101"/>
      <c r="AF2000" s="101"/>
      <c r="AG2000" s="101"/>
      <c r="AH2000" s="101"/>
      <c r="AI2000" s="101"/>
      <c r="AJ2000" s="101"/>
      <c r="AK2000" s="101"/>
      <c r="AL2000" s="101"/>
      <c r="AM2000" s="101"/>
      <c r="AN2000" s="101"/>
    </row>
    <row r="2001" spans="1:40" ht="16.5" customHeight="1" x14ac:dyDescent="0.3">
      <c r="A2001" s="69"/>
      <c r="B2001" s="69"/>
      <c r="C2001" s="69"/>
      <c r="D2001" s="69"/>
      <c r="E2001" s="69"/>
      <c r="F2001" s="69"/>
      <c r="Z2001" s="101"/>
      <c r="AA2001" s="101"/>
      <c r="AB2001" s="101"/>
      <c r="AC2001" s="101"/>
      <c r="AD2001" s="101"/>
      <c r="AE2001" s="101"/>
      <c r="AF2001" s="101"/>
      <c r="AG2001" s="101"/>
      <c r="AH2001" s="101"/>
      <c r="AI2001" s="101"/>
      <c r="AJ2001" s="101"/>
      <c r="AK2001" s="101"/>
      <c r="AL2001" s="101"/>
      <c r="AM2001" s="101"/>
      <c r="AN2001" s="101"/>
    </row>
    <row r="2002" spans="1:40" ht="16.5" customHeight="1" x14ac:dyDescent="0.3">
      <c r="A2002" s="69"/>
      <c r="B2002" s="69"/>
      <c r="C2002" s="69"/>
      <c r="D2002" s="69"/>
      <c r="E2002" s="69"/>
      <c r="F2002" s="69"/>
      <c r="Z2002" s="101"/>
      <c r="AA2002" s="101"/>
      <c r="AB2002" s="101"/>
      <c r="AC2002" s="101"/>
      <c r="AD2002" s="101"/>
      <c r="AE2002" s="101"/>
      <c r="AF2002" s="101"/>
      <c r="AG2002" s="101"/>
      <c r="AH2002" s="101"/>
      <c r="AI2002" s="101"/>
      <c r="AJ2002" s="101"/>
      <c r="AK2002" s="101"/>
      <c r="AL2002" s="101"/>
      <c r="AM2002" s="101"/>
      <c r="AN2002" s="101"/>
    </row>
    <row r="2003" spans="1:40" ht="16.5" customHeight="1" x14ac:dyDescent="0.3">
      <c r="A2003" s="74"/>
      <c r="B2003" s="74"/>
      <c r="C2003" s="74"/>
      <c r="D2003" s="74"/>
      <c r="E2003" s="74"/>
      <c r="F2003" s="74"/>
      <c r="Z2003" s="101"/>
      <c r="AA2003" s="101"/>
      <c r="AB2003" s="101"/>
      <c r="AC2003" s="101"/>
      <c r="AD2003" s="101"/>
      <c r="AE2003" s="101"/>
      <c r="AF2003" s="101"/>
      <c r="AG2003" s="101"/>
      <c r="AH2003" s="101"/>
      <c r="AI2003" s="101"/>
      <c r="AJ2003" s="101"/>
      <c r="AK2003" s="101"/>
      <c r="AL2003" s="101"/>
      <c r="AM2003" s="101"/>
      <c r="AN2003" s="101"/>
    </row>
    <row r="2004" spans="1:40" ht="16.5" customHeight="1" x14ac:dyDescent="0.3">
      <c r="A2004" s="150" t="s">
        <v>1477</v>
      </c>
      <c r="B2004" s="143"/>
      <c r="C2004" s="47">
        <f>E2004+D2004+F2004</f>
        <v>59284</v>
      </c>
      <c r="D2004" s="46">
        <f>ROUNDDOWN(SUMIF(N1957:N1981,M2004,D1957:D1981),0)</f>
        <v>58122</v>
      </c>
      <c r="E2004" s="55">
        <f>ROUNDDOWN(SUMIF(N1957:N1981,M2004,E1957:E1981),0)</f>
        <v>0</v>
      </c>
      <c r="F2004" s="47">
        <f>ROUNDDOWN(SUMIF(N1957:N1981,M2004,F1957:F1981),0)</f>
        <v>1162</v>
      </c>
      <c r="M2004" s="35" t="s">
        <v>1209</v>
      </c>
      <c r="Z2004" s="101"/>
      <c r="AA2004" s="101"/>
      <c r="AB2004" s="101"/>
      <c r="AC2004" s="101"/>
      <c r="AD2004" s="101"/>
      <c r="AE2004" s="101"/>
      <c r="AF2004" s="101"/>
      <c r="AG2004" s="101"/>
      <c r="AH2004" s="101"/>
      <c r="AI2004" s="101"/>
      <c r="AJ2004" s="101"/>
      <c r="AK2004" s="101"/>
      <c r="AL2004" s="101"/>
      <c r="AM2004" s="101"/>
      <c r="AN2004" s="101"/>
    </row>
    <row r="2005" spans="1:40" ht="16.5" customHeight="1" x14ac:dyDescent="0.3">
      <c r="A2005" s="86" t="s">
        <v>215</v>
      </c>
      <c r="B2005" s="88" t="s">
        <v>215</v>
      </c>
      <c r="C2005" s="151">
        <f>C2054</f>
        <v>48340</v>
      </c>
      <c r="D2005" s="151">
        <f>D2054</f>
        <v>34461</v>
      </c>
      <c r="E2005" s="151">
        <f>E2054</f>
        <v>13535</v>
      </c>
      <c r="F2005" s="151">
        <f>F2054</f>
        <v>344</v>
      </c>
      <c r="G2005" s="84" t="str">
        <f>HYPERLINK("#G"&amp;ROW(G2040),"_x0005_`BDCOD|D00362_x0007_`POSS|"&amp;ROW(G2007)&amp;"_x0007_`POSE|"&amp;ROW(G2040)&amp;"_x0007_`")</f>
        <v>_x0005_`BDCOD|D00362_x0007_`POSS|2007_x0007_`POSE|2040_x0007_`</v>
      </c>
      <c r="Z2005" s="101"/>
      <c r="AA2005" s="101"/>
      <c r="AB2005" s="101"/>
      <c r="AC2005" s="101"/>
      <c r="AD2005" s="101"/>
      <c r="AE2005" s="101"/>
      <c r="AF2005" s="101"/>
      <c r="AG2005" s="101"/>
      <c r="AH2005" s="101"/>
      <c r="AI2005" s="101"/>
      <c r="AJ2005" s="101"/>
      <c r="AK2005" s="101"/>
      <c r="AL2005" s="101"/>
      <c r="AM2005" s="101"/>
      <c r="AN2005" s="101"/>
    </row>
    <row r="2006" spans="1:40" ht="16.5" customHeight="1" x14ac:dyDescent="0.3">
      <c r="A2006" s="87"/>
      <c r="B2006" s="88" t="s">
        <v>214</v>
      </c>
      <c r="C2006" s="136"/>
      <c r="D2006" s="136"/>
      <c r="E2006" s="136"/>
      <c r="F2006" s="136"/>
      <c r="M2006" s="35" t="s">
        <v>2156</v>
      </c>
      <c r="Z2006" s="101"/>
      <c r="AA2006" s="101"/>
      <c r="AB2006" s="101"/>
      <c r="AC2006" s="101"/>
      <c r="AD2006" s="101"/>
      <c r="AE2006" s="101"/>
      <c r="AF2006" s="101"/>
      <c r="AG2006" s="101"/>
      <c r="AH2006" s="101"/>
      <c r="AI2006" s="101"/>
      <c r="AJ2006" s="101"/>
      <c r="AK2006" s="101"/>
      <c r="AL2006" s="101"/>
      <c r="AM2006" s="101"/>
      <c r="AN2006" s="101"/>
    </row>
    <row r="2007" spans="1:40" ht="16.5" customHeight="1" x14ac:dyDescent="0.3">
      <c r="A2007" s="69"/>
      <c r="B2007" s="69"/>
      <c r="C2007" s="90"/>
      <c r="D2007" s="90"/>
      <c r="E2007" s="90"/>
      <c r="F2007" s="90"/>
      <c r="G2007" s="17" t="s">
        <v>1405</v>
      </c>
      <c r="Z2007" s="101"/>
      <c r="AA2007" s="101"/>
      <c r="AB2007" s="101"/>
      <c r="AC2007" s="101"/>
      <c r="AD2007" s="101"/>
      <c r="AE2007" s="101"/>
      <c r="AF2007" s="101"/>
      <c r="AG2007" s="101"/>
      <c r="AH2007" s="101"/>
      <c r="AI2007" s="101"/>
      <c r="AJ2007" s="101"/>
      <c r="AK2007" s="101"/>
      <c r="AL2007" s="101"/>
      <c r="AM2007" s="101"/>
      <c r="AN2007" s="101"/>
    </row>
    <row r="2008" spans="1:40" ht="16.5" customHeight="1" x14ac:dyDescent="0.3">
      <c r="A2008" s="59"/>
      <c r="B2008" s="68" t="s">
        <v>2158</v>
      </c>
      <c r="C2008" s="69"/>
      <c r="D2008" s="69"/>
      <c r="E2008" s="69"/>
      <c r="F2008" s="69"/>
      <c r="G2008" s="17" t="s">
        <v>2157</v>
      </c>
      <c r="Z2008" s="101"/>
      <c r="AA2008" s="101"/>
      <c r="AB2008" s="101"/>
      <c r="AC2008" s="101"/>
      <c r="AD2008" s="101"/>
      <c r="AE2008" s="101"/>
      <c r="AF2008" s="101"/>
      <c r="AG2008" s="101"/>
      <c r="AH2008" s="101"/>
      <c r="AI2008" s="101"/>
      <c r="AJ2008" s="101"/>
      <c r="AK2008" s="101"/>
      <c r="AL2008" s="101"/>
      <c r="AM2008" s="101"/>
      <c r="AN2008" s="101"/>
    </row>
    <row r="2009" spans="1:40" ht="16.5" customHeight="1" x14ac:dyDescent="0.3">
      <c r="A2009" s="69"/>
      <c r="B2009" s="69"/>
      <c r="C2009" s="69"/>
      <c r="D2009" s="69"/>
      <c r="E2009" s="69"/>
      <c r="F2009" s="69"/>
      <c r="G2009" s="17" t="s">
        <v>1405</v>
      </c>
      <c r="Z2009" s="101"/>
      <c r="AA2009" s="101"/>
      <c r="AB2009" s="101"/>
      <c r="AC2009" s="101"/>
      <c r="AD2009" s="101"/>
      <c r="AE2009" s="101"/>
      <c r="AF2009" s="101"/>
      <c r="AG2009" s="101"/>
      <c r="AH2009" s="101"/>
      <c r="AI2009" s="101"/>
      <c r="AJ2009" s="101"/>
      <c r="AK2009" s="101"/>
      <c r="AL2009" s="101"/>
      <c r="AM2009" s="101"/>
      <c r="AN2009" s="101"/>
    </row>
    <row r="2010" spans="1:40" ht="16.5" customHeight="1" x14ac:dyDescent="0.3">
      <c r="A2010" s="59"/>
      <c r="B2010" s="68" t="s">
        <v>2160</v>
      </c>
      <c r="C2010" s="69"/>
      <c r="D2010" s="69"/>
      <c r="E2010" s="69"/>
      <c r="F2010" s="69"/>
      <c r="G2010" s="17" t="s">
        <v>2159</v>
      </c>
      <c r="Z2010" s="101"/>
      <c r="AA2010" s="101"/>
      <c r="AB2010" s="101"/>
      <c r="AC2010" s="101"/>
      <c r="AD2010" s="101"/>
      <c r="AE2010" s="101"/>
      <c r="AF2010" s="101"/>
      <c r="AG2010" s="101"/>
      <c r="AH2010" s="101"/>
      <c r="AI2010" s="101"/>
      <c r="AJ2010" s="101"/>
      <c r="AK2010" s="101"/>
      <c r="AL2010" s="101"/>
      <c r="AM2010" s="101"/>
      <c r="AN2010" s="101"/>
    </row>
    <row r="2011" spans="1:40" ht="16.5" customHeight="1" x14ac:dyDescent="0.3">
      <c r="A2011" s="69"/>
      <c r="B2011" s="69"/>
      <c r="C2011" s="69"/>
      <c r="D2011" s="69"/>
      <c r="E2011" s="69"/>
      <c r="F2011" s="69"/>
      <c r="G2011" s="17" t="s">
        <v>1405</v>
      </c>
      <c r="Z2011" s="101"/>
      <c r="AA2011" s="101"/>
      <c r="AB2011" s="101"/>
      <c r="AC2011" s="101"/>
      <c r="AD2011" s="101"/>
      <c r="AE2011" s="101"/>
      <c r="AF2011" s="101"/>
      <c r="AG2011" s="101"/>
      <c r="AH2011" s="101"/>
      <c r="AI2011" s="101"/>
      <c r="AJ2011" s="101"/>
      <c r="AK2011" s="101"/>
      <c r="AL2011" s="101"/>
      <c r="AM2011" s="101"/>
      <c r="AN2011" s="101"/>
    </row>
    <row r="2012" spans="1:40" ht="16.5" customHeight="1" x14ac:dyDescent="0.3">
      <c r="A2012" s="59"/>
      <c r="B2012" s="68" t="str">
        <f>" Q1 = "&amp;Z2012&amp;" 인 /"&amp;AB2012&amp;" hr/일 = "&amp;AD2012&amp;" hr/일 "</f>
        <v xml:space="preserve"> Q1 = 5 인 /8 hr/일 = 0.625 hr/일 </v>
      </c>
      <c r="C2012" s="69"/>
      <c r="D2012" s="69"/>
      <c r="E2012" s="69"/>
      <c r="F2012" s="69"/>
      <c r="G2012" s="17" t="s">
        <v>2161</v>
      </c>
      <c r="Z2012" s="102">
        <v>5</v>
      </c>
      <c r="AA2012" s="35" t="s">
        <v>1413</v>
      </c>
      <c r="AB2012" s="102">
        <v>8</v>
      </c>
      <c r="AC2012" s="35" t="s">
        <v>1410</v>
      </c>
      <c r="AD2012" s="103" t="str">
        <f>TEXT(ROUND(Z2012/AB2012,3),"#,0.000")</f>
        <v>0.625</v>
      </c>
      <c r="AE2012" s="101"/>
      <c r="AF2012" s="101"/>
      <c r="AG2012" s="101"/>
      <c r="AH2012" s="101"/>
      <c r="AI2012" s="101"/>
      <c r="AJ2012" s="101"/>
      <c r="AK2012" s="101"/>
      <c r="AL2012" s="101"/>
      <c r="AM2012" s="101"/>
      <c r="AN2012" s="101"/>
    </row>
    <row r="2013" spans="1:40" ht="16.5" customHeight="1" x14ac:dyDescent="0.3">
      <c r="A2013" s="69"/>
      <c r="B2013" s="69"/>
      <c r="C2013" s="69"/>
      <c r="D2013" s="69"/>
      <c r="E2013" s="69"/>
      <c r="F2013" s="69"/>
      <c r="G2013" s="17" t="s">
        <v>1405</v>
      </c>
      <c r="Z2013" s="101"/>
      <c r="AA2013" s="101"/>
      <c r="AB2013" s="101"/>
      <c r="AC2013" s="101"/>
      <c r="AD2013" s="101"/>
      <c r="AE2013" s="101"/>
      <c r="AF2013" s="101"/>
      <c r="AG2013" s="101"/>
      <c r="AH2013" s="101"/>
      <c r="AI2013" s="101"/>
      <c r="AJ2013" s="101"/>
      <c r="AK2013" s="101"/>
      <c r="AL2013" s="101"/>
      <c r="AM2013" s="101"/>
      <c r="AN2013" s="101"/>
    </row>
    <row r="2014" spans="1:40" ht="16.5" customHeight="1" x14ac:dyDescent="0.3">
      <c r="A2014" s="59"/>
      <c r="B2014" s="68" t="str">
        <f>" Q2 = "&amp;Z2014&amp;" 인 /"&amp;AB2014&amp;" hr/일 = "&amp;AD2014&amp;" hr/일 "</f>
        <v xml:space="preserve"> Q2 = 2 인 /8 hr/일 = 0.250 hr/일 </v>
      </c>
      <c r="C2014" s="69"/>
      <c r="D2014" s="69"/>
      <c r="E2014" s="69"/>
      <c r="F2014" s="69"/>
      <c r="G2014" s="17" t="s">
        <v>1752</v>
      </c>
      <c r="Z2014" s="102">
        <v>2</v>
      </c>
      <c r="AA2014" s="35" t="s">
        <v>1413</v>
      </c>
      <c r="AB2014" s="102">
        <v>8</v>
      </c>
      <c r="AC2014" s="35" t="s">
        <v>1410</v>
      </c>
      <c r="AD2014" s="103" t="str">
        <f>TEXT(ROUND(Z2014/AB2014,3),"#,0.000")</f>
        <v>0.250</v>
      </c>
      <c r="AE2014" s="101"/>
      <c r="AF2014" s="101"/>
      <c r="AG2014" s="101"/>
      <c r="AH2014" s="101"/>
      <c r="AI2014" s="101"/>
      <c r="AJ2014" s="101"/>
      <c r="AK2014" s="101"/>
      <c r="AL2014" s="101"/>
      <c r="AM2014" s="101"/>
      <c r="AN2014" s="101"/>
    </row>
    <row r="2015" spans="1:40" ht="16.5" customHeight="1" x14ac:dyDescent="0.3">
      <c r="A2015" s="69"/>
      <c r="B2015" s="69"/>
      <c r="C2015" s="69"/>
      <c r="D2015" s="69"/>
      <c r="E2015" s="69"/>
      <c r="F2015" s="69"/>
      <c r="G2015" s="17" t="s">
        <v>1405</v>
      </c>
      <c r="Z2015" s="101"/>
      <c r="AA2015" s="101"/>
      <c r="AB2015" s="101"/>
      <c r="AC2015" s="101"/>
      <c r="AD2015" s="101"/>
      <c r="AE2015" s="101"/>
      <c r="AF2015" s="101"/>
      <c r="AG2015" s="101"/>
      <c r="AH2015" s="101"/>
      <c r="AI2015" s="101"/>
      <c r="AJ2015" s="101"/>
      <c r="AK2015" s="101"/>
      <c r="AL2015" s="101"/>
      <c r="AM2015" s="101"/>
      <c r="AN2015" s="101"/>
    </row>
    <row r="2016" spans="1:40" ht="16.5" customHeight="1" x14ac:dyDescent="0.3">
      <c r="A2016" s="59"/>
      <c r="B2016" s="68" t="str">
        <f>" Q = "&amp;Z2016&amp;" ㎥/일 /"&amp;AB2016&amp;" hr/일 = "&amp;AD2016&amp;" ㎥/hr "</f>
        <v xml:space="preserve"> Q = 50 ㎥/일 /8 hr/일 = 6.250 ㎥/hr </v>
      </c>
      <c r="C2016" s="69"/>
      <c r="D2016" s="69"/>
      <c r="E2016" s="69"/>
      <c r="F2016" s="69"/>
      <c r="G2016" s="17" t="s">
        <v>2162</v>
      </c>
      <c r="Z2016" s="102">
        <v>50</v>
      </c>
      <c r="AA2016" s="35" t="s">
        <v>1413</v>
      </c>
      <c r="AB2016" s="102">
        <v>8</v>
      </c>
      <c r="AC2016" s="35" t="s">
        <v>1410</v>
      </c>
      <c r="AD2016" s="103" t="str">
        <f>TEXT(ROUND(Z2016/AB2016,3),"#,0.000")</f>
        <v>6.250</v>
      </c>
      <c r="AE2016" s="101"/>
      <c r="AF2016" s="101"/>
      <c r="AG2016" s="101"/>
      <c r="AH2016" s="101"/>
      <c r="AI2016" s="101"/>
      <c r="AJ2016" s="101"/>
      <c r="AK2016" s="101"/>
      <c r="AL2016" s="101"/>
      <c r="AM2016" s="101"/>
      <c r="AN2016" s="101"/>
    </row>
    <row r="2017" spans="1:40" ht="16.5" customHeight="1" x14ac:dyDescent="0.3">
      <c r="A2017" s="69"/>
      <c r="B2017" s="69"/>
      <c r="C2017" s="69"/>
      <c r="D2017" s="69"/>
      <c r="E2017" s="69"/>
      <c r="F2017" s="69"/>
      <c r="G2017" s="17" t="s">
        <v>1405</v>
      </c>
      <c r="Z2017" s="101"/>
      <c r="AA2017" s="101"/>
      <c r="AB2017" s="101"/>
      <c r="AC2017" s="101"/>
      <c r="AD2017" s="101"/>
      <c r="AE2017" s="101"/>
      <c r="AF2017" s="101"/>
      <c r="AG2017" s="101"/>
      <c r="AH2017" s="101"/>
      <c r="AI2017" s="101"/>
      <c r="AJ2017" s="101"/>
      <c r="AK2017" s="101"/>
      <c r="AL2017" s="101"/>
      <c r="AM2017" s="101"/>
      <c r="AN2017" s="101"/>
    </row>
    <row r="2018" spans="1:40" ht="16.5" customHeight="1" x14ac:dyDescent="0.3">
      <c r="A2018" s="59"/>
      <c r="B2018" s="68" t="s">
        <v>2164</v>
      </c>
      <c r="C2018" s="69"/>
      <c r="D2018" s="69"/>
      <c r="E2018" s="69"/>
      <c r="F2018" s="69"/>
      <c r="G2018" s="17" t="s">
        <v>2163</v>
      </c>
      <c r="Z2018" s="101"/>
      <c r="AA2018" s="101"/>
      <c r="AB2018" s="101"/>
      <c r="AC2018" s="101"/>
      <c r="AD2018" s="101"/>
      <c r="AE2018" s="101"/>
      <c r="AF2018" s="101"/>
      <c r="AG2018" s="101"/>
      <c r="AH2018" s="101"/>
      <c r="AI2018" s="101"/>
      <c r="AJ2018" s="101"/>
      <c r="AK2018" s="101"/>
      <c r="AL2018" s="101"/>
      <c r="AM2018" s="101"/>
      <c r="AN2018" s="101"/>
    </row>
    <row r="2019" spans="1:40" ht="16.5" customHeight="1" x14ac:dyDescent="0.3">
      <c r="A2019" s="69"/>
      <c r="B2019" s="69"/>
      <c r="C2019" s="69"/>
      <c r="D2019" s="69"/>
      <c r="E2019" s="69"/>
      <c r="F2019" s="69"/>
      <c r="G2019" s="17" t="s">
        <v>1405</v>
      </c>
      <c r="Z2019" s="101"/>
      <c r="AA2019" s="101"/>
      <c r="AB2019" s="101"/>
      <c r="AC2019" s="101"/>
      <c r="AD2019" s="101"/>
      <c r="AE2019" s="101"/>
      <c r="AF2019" s="101"/>
      <c r="AG2019" s="101"/>
      <c r="AH2019" s="101"/>
      <c r="AI2019" s="101"/>
      <c r="AJ2019" s="101"/>
      <c r="AK2019" s="101"/>
      <c r="AL2019" s="101"/>
      <c r="AM2019" s="101"/>
      <c r="AN2019" s="101"/>
    </row>
    <row r="2020" spans="1:40" ht="16.5" customHeight="1" x14ac:dyDescent="0.3">
      <c r="A2020" s="59" t="s">
        <v>2166</v>
      </c>
      <c r="B2020" s="89" t="str">
        <f>"   합판(내수1급,12m/m) : "&amp;TEXT(I2020,"#,##0"&amp;IF(I2020&lt;&gt;INT(I2020),".###",""))&amp;" * "&amp;AA2020&amp;" ㎡  *"&amp;AC2020&amp;"= "&amp;TEXT(C2020,"#,##0.0")&amp;""</f>
        <v xml:space="preserve">   합판(내수1급,12m/m) : 14,750 * 1.03 ㎡  *0.327= 4,967.9</v>
      </c>
      <c r="C2020" s="91">
        <f>E2020+D2020+F2020</f>
        <v>4967.8999999999996</v>
      </c>
      <c r="D2020" s="91">
        <f>IF(H2020=0,0,ROUNDDOWN(J2020*H2020,1))</f>
        <v>0</v>
      </c>
      <c r="E2020" s="91">
        <f>IF(H2020=0,0,ROUNDDOWN(K2020*H2020,1))</f>
        <v>4967.8999999999996</v>
      </c>
      <c r="F2020" s="91">
        <f>IF(H2020=0,0,ROUNDDOWN(L2020*H2020,1))</f>
        <v>0</v>
      </c>
      <c r="G2020" s="17" t="s">
        <v>2165</v>
      </c>
      <c r="H2020" s="97">
        <f>ROUNDUP(AE2020,14-LEN(ABS(INT(AE2020))))</f>
        <v>0.33681</v>
      </c>
      <c r="I2020" s="98">
        <f>K2020+J2020+L2020</f>
        <v>14750</v>
      </c>
      <c r="K2020" s="38">
        <f>재료비목록표!E54</f>
        <v>14750</v>
      </c>
      <c r="M2020" s="35" t="s">
        <v>2167</v>
      </c>
      <c r="N2020" s="35" t="s">
        <v>1262</v>
      </c>
      <c r="O2020" s="35" t="s">
        <v>1214</v>
      </c>
      <c r="X2020" s="100" t="str">
        <f>재료비목록표!B54&amp;" / "&amp;재료비목록표!C54</f>
        <v>합판 / 내수합판, 1급, 15×1220×2440mm</v>
      </c>
      <c r="Y2020" s="3" t="str">
        <f ca="1">HYPERLINK("#"&amp;재료비목록표!G2&amp;"!A"&amp;ROW(재료비목록표!A54),"자재51 →")</f>
        <v>자재51 →</v>
      </c>
      <c r="Z2020" s="35" t="s">
        <v>1446</v>
      </c>
      <c r="AA2020" s="104">
        <v>1.03</v>
      </c>
      <c r="AB2020" s="35" t="s">
        <v>1436</v>
      </c>
      <c r="AC2020" s="104">
        <v>0.32700000000000001</v>
      </c>
      <c r="AD2020" s="35" t="s">
        <v>1410</v>
      </c>
      <c r="AE2020" s="103">
        <f>1*AA2020*AC2020</f>
        <v>0.33681</v>
      </c>
      <c r="AF2020" s="101"/>
      <c r="AG2020" s="101"/>
      <c r="AH2020" s="101"/>
      <c r="AI2020" s="101"/>
      <c r="AJ2020" s="101"/>
      <c r="AK2020" s="101"/>
      <c r="AL2020" s="101"/>
      <c r="AM2020" s="101"/>
      <c r="AN2020" s="101"/>
    </row>
    <row r="2021" spans="1:40" ht="16.5" customHeight="1" x14ac:dyDescent="0.3">
      <c r="A2021" s="69"/>
      <c r="B2021" s="69"/>
      <c r="C2021" s="69"/>
      <c r="D2021" s="69"/>
      <c r="E2021" s="69"/>
      <c r="F2021" s="69"/>
      <c r="G2021" s="17" t="s">
        <v>1405</v>
      </c>
      <c r="Z2021" s="101"/>
      <c r="AA2021" s="101"/>
      <c r="AB2021" s="101"/>
      <c r="AC2021" s="101"/>
      <c r="AD2021" s="101"/>
      <c r="AE2021" s="101"/>
      <c r="AF2021" s="101"/>
      <c r="AG2021" s="101"/>
      <c r="AH2021" s="101"/>
      <c r="AI2021" s="101"/>
      <c r="AJ2021" s="101"/>
      <c r="AK2021" s="101"/>
      <c r="AL2021" s="101"/>
      <c r="AM2021" s="101"/>
      <c r="AN2021" s="101"/>
    </row>
    <row r="2022" spans="1:40" ht="16.5" customHeight="1" x14ac:dyDescent="0.3">
      <c r="A2022" s="59" t="s">
        <v>2169</v>
      </c>
      <c r="B2022" s="89" t="str">
        <f>"   각재(외송) : "&amp;TEXT(I2022,"#,##0"&amp;IF(I2022&lt;&gt;INT(I2022),".###",""))&amp;" * "&amp;AA2022&amp;" ㎥  *"&amp;AC2022&amp;"= "&amp;TEXT(C2022,"#,##0.0")&amp;""</f>
        <v xml:space="preserve">   각재(외송) : 581,559 * 0.038 ㎥  *0.327= 7,226.4</v>
      </c>
      <c r="C2022" s="91">
        <f>E2022+D2022+F2022</f>
        <v>7226.4</v>
      </c>
      <c r="D2022" s="91">
        <f>IF(H2022=0,0,ROUNDDOWN(J2022*H2022,1))</f>
        <v>0</v>
      </c>
      <c r="E2022" s="91">
        <f>IF(H2022=0,0,ROUNDDOWN(K2022*H2022,1))</f>
        <v>7226.4</v>
      </c>
      <c r="F2022" s="91">
        <f>IF(H2022=0,0,ROUNDDOWN(L2022*H2022,1))</f>
        <v>0</v>
      </c>
      <c r="G2022" s="17" t="s">
        <v>2168</v>
      </c>
      <c r="H2022" s="97">
        <f>ROUNDUP(AE2022,14-LEN(ABS(INT(AE2022))))</f>
        <v>1.2426E-2</v>
      </c>
      <c r="I2022" s="98">
        <f>K2022+J2022+L2022</f>
        <v>581559</v>
      </c>
      <c r="K2022" s="38">
        <f>재료비목록표!E11</f>
        <v>581559</v>
      </c>
      <c r="M2022" s="35" t="s">
        <v>2170</v>
      </c>
      <c r="N2022" s="35" t="s">
        <v>1262</v>
      </c>
      <c r="O2022" s="35" t="s">
        <v>1214</v>
      </c>
      <c r="X2022" s="100" t="str">
        <f>재료비목록표!B11&amp;" / "&amp;재료비목록표!C11</f>
        <v>각재 / 각재, 외송</v>
      </c>
      <c r="Y2022" s="3" t="str">
        <f ca="1">HYPERLINK("#"&amp;재료비목록표!G2&amp;"!A"&amp;ROW(재료비목록표!A11),"자재8 →")</f>
        <v>자재8 →</v>
      </c>
      <c r="Z2022" s="35" t="s">
        <v>1446</v>
      </c>
      <c r="AA2022" s="104">
        <v>3.7999999999999999E-2</v>
      </c>
      <c r="AB2022" s="35" t="s">
        <v>1436</v>
      </c>
      <c r="AC2022" s="104">
        <v>0.32700000000000001</v>
      </c>
      <c r="AD2022" s="35" t="s">
        <v>1410</v>
      </c>
      <c r="AE2022" s="103">
        <f>1*AA2022*AC2022</f>
        <v>1.2426E-2</v>
      </c>
      <c r="AF2022" s="101"/>
      <c r="AG2022" s="101"/>
      <c r="AH2022" s="101"/>
      <c r="AI2022" s="101"/>
      <c r="AJ2022" s="101"/>
      <c r="AK2022" s="101"/>
      <c r="AL2022" s="101"/>
      <c r="AM2022" s="101"/>
      <c r="AN2022" s="101"/>
    </row>
    <row r="2023" spans="1:40" ht="16.5" customHeight="1" x14ac:dyDescent="0.3">
      <c r="A2023" s="69"/>
      <c r="B2023" s="69"/>
      <c r="C2023" s="69"/>
      <c r="D2023" s="69"/>
      <c r="E2023" s="69"/>
      <c r="F2023" s="69"/>
      <c r="G2023" s="17" t="s">
        <v>1405</v>
      </c>
      <c r="Z2023" s="101"/>
      <c r="AA2023" s="101"/>
      <c r="AB2023" s="101"/>
      <c r="AC2023" s="101"/>
      <c r="AD2023" s="101"/>
      <c r="AE2023" s="101"/>
      <c r="AF2023" s="101"/>
      <c r="AG2023" s="101"/>
      <c r="AH2023" s="101"/>
      <c r="AI2023" s="101"/>
      <c r="AJ2023" s="101"/>
      <c r="AK2023" s="101"/>
      <c r="AL2023" s="101"/>
      <c r="AM2023" s="101"/>
      <c r="AN2023" s="101"/>
    </row>
    <row r="2024" spans="1:40" ht="16.5" customHeight="1" x14ac:dyDescent="0.3">
      <c r="A2024" s="59"/>
      <c r="B2024" s="68" t="s">
        <v>1260</v>
      </c>
      <c r="C2024" s="92">
        <f>E2024+D2024+F2024</f>
        <v>12194.3</v>
      </c>
      <c r="D2024" s="92">
        <f>SUMIF(N2007:N2023,M2024,D2007:D2023)</f>
        <v>0</v>
      </c>
      <c r="E2024" s="92">
        <f>SUMIF(N2007:N2023,M2024,E2007:E2023)</f>
        <v>12194.3</v>
      </c>
      <c r="F2024" s="92">
        <f>SUMIF(N2007:N2023,M2024,F2007:F2023)</f>
        <v>0</v>
      </c>
      <c r="G2024" s="17" t="s">
        <v>1430</v>
      </c>
      <c r="M2024" s="35" t="s">
        <v>1262</v>
      </c>
      <c r="N2024" s="35" t="s">
        <v>1253</v>
      </c>
      <c r="Z2024" s="101"/>
      <c r="AA2024" s="101"/>
      <c r="AB2024" s="101"/>
      <c r="AC2024" s="101"/>
      <c r="AD2024" s="101"/>
      <c r="AE2024" s="101"/>
      <c r="AF2024" s="101"/>
      <c r="AG2024" s="101"/>
      <c r="AH2024" s="101"/>
      <c r="AI2024" s="101"/>
      <c r="AJ2024" s="101"/>
      <c r="AK2024" s="101"/>
      <c r="AL2024" s="101"/>
      <c r="AM2024" s="101"/>
      <c r="AN2024" s="101"/>
    </row>
    <row r="2025" spans="1:40" ht="16.5" customHeight="1" x14ac:dyDescent="0.3">
      <c r="A2025" s="69"/>
      <c r="B2025" s="69"/>
      <c r="C2025" s="90"/>
      <c r="D2025" s="90"/>
      <c r="E2025" s="90"/>
      <c r="F2025" s="90"/>
      <c r="G2025" s="17" t="s">
        <v>1405</v>
      </c>
      <c r="Z2025" s="101"/>
      <c r="AA2025" s="101"/>
      <c r="AB2025" s="101"/>
      <c r="AC2025" s="101"/>
      <c r="AD2025" s="101"/>
      <c r="AE2025" s="101"/>
      <c r="AF2025" s="101"/>
      <c r="AG2025" s="101"/>
      <c r="AH2025" s="101"/>
      <c r="AI2025" s="101"/>
      <c r="AJ2025" s="101"/>
      <c r="AK2025" s="101"/>
      <c r="AL2025" s="101"/>
      <c r="AM2025" s="101"/>
      <c r="AN2025" s="101"/>
    </row>
    <row r="2026" spans="1:40" ht="16.5" customHeight="1" x14ac:dyDescent="0.3">
      <c r="A2026" s="59"/>
      <c r="B2026" s="68" t="s">
        <v>2172</v>
      </c>
      <c r="C2026" s="69"/>
      <c r="D2026" s="69"/>
      <c r="E2026" s="69"/>
      <c r="F2026" s="69"/>
      <c r="G2026" s="17" t="s">
        <v>2171</v>
      </c>
      <c r="Z2026" s="101"/>
      <c r="AA2026" s="101"/>
      <c r="AB2026" s="101"/>
      <c r="AC2026" s="101"/>
      <c r="AD2026" s="101"/>
      <c r="AE2026" s="101"/>
      <c r="AF2026" s="101"/>
      <c r="AG2026" s="101"/>
      <c r="AH2026" s="101"/>
      <c r="AI2026" s="101"/>
      <c r="AJ2026" s="101"/>
      <c r="AK2026" s="101"/>
      <c r="AL2026" s="101"/>
      <c r="AM2026" s="101"/>
      <c r="AN2026" s="101"/>
    </row>
    <row r="2027" spans="1:40" ht="16.5" customHeight="1" x14ac:dyDescent="0.3">
      <c r="A2027" s="69"/>
      <c r="B2027" s="69"/>
      <c r="C2027" s="69"/>
      <c r="D2027" s="69"/>
      <c r="E2027" s="69"/>
      <c r="F2027" s="69"/>
      <c r="G2027" s="17" t="s">
        <v>1405</v>
      </c>
      <c r="Z2027" s="101"/>
      <c r="AA2027" s="101"/>
      <c r="AB2027" s="101"/>
      <c r="AC2027" s="101"/>
      <c r="AD2027" s="101"/>
      <c r="AE2027" s="101"/>
      <c r="AF2027" s="101"/>
      <c r="AG2027" s="101"/>
      <c r="AH2027" s="101"/>
      <c r="AI2027" s="101"/>
      <c r="AJ2027" s="101"/>
      <c r="AK2027" s="101"/>
      <c r="AL2027" s="101"/>
      <c r="AM2027" s="101"/>
      <c r="AN2027" s="101"/>
    </row>
    <row r="2028" spans="1:40" ht="16.5" customHeight="1" x14ac:dyDescent="0.3">
      <c r="A2028" s="59"/>
      <c r="B2028" s="89" t="str">
        <f>"    손료계산 : "&amp;TEXT(I2028,"#,##0.0")&amp;" * "&amp;AA2028&amp;" %  = "&amp;TEXT(C2028,"#,##0.0")&amp;""</f>
        <v xml:space="preserve">    손료계산 : 12,194.3 * 11 %  = 1,341.3</v>
      </c>
      <c r="C2028" s="91">
        <f>E2028+D2028+F2028</f>
        <v>1341.3</v>
      </c>
      <c r="D2028" s="91">
        <f>IF(H2028=0,0,ROUNDDOWN(J2028*H2028/100,1))</f>
        <v>0</v>
      </c>
      <c r="E2028" s="91">
        <f>IF(H2028=0,0,ROUNDDOWN(K2028*H2028/100,1))</f>
        <v>1341.3</v>
      </c>
      <c r="F2028" s="91">
        <f>IF(H2028=0,0,ROUNDDOWN(L2028*H2028/100,1))</f>
        <v>0</v>
      </c>
      <c r="G2028" s="17" t="s">
        <v>2173</v>
      </c>
      <c r="H2028" s="97">
        <f>ROUNDUP(AC2028,14-LEN(ABS(INT(AC2028))))</f>
        <v>11</v>
      </c>
      <c r="I2028" s="98">
        <f>K2028+J2028+L2028</f>
        <v>12194.3</v>
      </c>
      <c r="J2028" s="36">
        <v>0</v>
      </c>
      <c r="K2028" s="38">
        <f>E2020+E2022</f>
        <v>12194.3</v>
      </c>
      <c r="L2028" s="36">
        <v>0</v>
      </c>
      <c r="M2028" s="35" t="s">
        <v>1059</v>
      </c>
      <c r="N2028" s="35" t="s">
        <v>1262</v>
      </c>
      <c r="Z2028" s="35" t="s">
        <v>1446</v>
      </c>
      <c r="AA2028" s="102">
        <v>11</v>
      </c>
      <c r="AB2028" s="35" t="s">
        <v>1410</v>
      </c>
      <c r="AC2028" s="103">
        <f>1*AA2028</f>
        <v>11</v>
      </c>
      <c r="AD2028" s="101"/>
      <c r="AE2028" s="101"/>
      <c r="AF2028" s="101"/>
      <c r="AG2028" s="101"/>
      <c r="AH2028" s="101"/>
      <c r="AI2028" s="101"/>
      <c r="AJ2028" s="101"/>
      <c r="AK2028" s="101"/>
      <c r="AL2028" s="101"/>
      <c r="AM2028" s="101"/>
      <c r="AN2028" s="101"/>
    </row>
    <row r="2029" spans="1:40" ht="16.5" customHeight="1" x14ac:dyDescent="0.3">
      <c r="A2029" s="69"/>
      <c r="B2029" s="69"/>
      <c r="C2029" s="69"/>
      <c r="D2029" s="69"/>
      <c r="E2029" s="69"/>
      <c r="F2029" s="69"/>
      <c r="G2029" s="17" t="s">
        <v>1405</v>
      </c>
      <c r="Z2029" s="101"/>
      <c r="AA2029" s="101"/>
      <c r="AB2029" s="101"/>
      <c r="AC2029" s="101"/>
      <c r="AD2029" s="101"/>
      <c r="AE2029" s="101"/>
      <c r="AF2029" s="101"/>
      <c r="AG2029" s="101"/>
      <c r="AH2029" s="101"/>
      <c r="AI2029" s="101"/>
      <c r="AJ2029" s="101"/>
      <c r="AK2029" s="101"/>
      <c r="AL2029" s="101"/>
      <c r="AM2029" s="101"/>
      <c r="AN2029" s="101"/>
    </row>
    <row r="2030" spans="1:40" ht="16.5" customHeight="1" x14ac:dyDescent="0.3">
      <c r="A2030" s="59"/>
      <c r="B2030" s="68" t="s">
        <v>1995</v>
      </c>
      <c r="C2030" s="69"/>
      <c r="D2030" s="69"/>
      <c r="E2030" s="69"/>
      <c r="F2030" s="69"/>
      <c r="G2030" s="17" t="s">
        <v>1994</v>
      </c>
      <c r="Z2030" s="101"/>
      <c r="AA2030" s="101"/>
      <c r="AB2030" s="101"/>
      <c r="AC2030" s="101"/>
      <c r="AD2030" s="101"/>
      <c r="AE2030" s="101"/>
      <c r="AF2030" s="101"/>
      <c r="AG2030" s="101"/>
      <c r="AH2030" s="101"/>
      <c r="AI2030" s="101"/>
      <c r="AJ2030" s="101"/>
      <c r="AK2030" s="101"/>
      <c r="AL2030" s="101"/>
      <c r="AM2030" s="101"/>
      <c r="AN2030" s="101"/>
    </row>
    <row r="2031" spans="1:40" ht="16.5" customHeight="1" x14ac:dyDescent="0.3">
      <c r="A2031" s="69"/>
      <c r="B2031" s="69"/>
      <c r="C2031" s="69"/>
      <c r="D2031" s="69"/>
      <c r="E2031" s="69"/>
      <c r="F2031" s="69"/>
      <c r="G2031" s="17" t="s">
        <v>1405</v>
      </c>
      <c r="Z2031" s="101"/>
      <c r="AA2031" s="101"/>
      <c r="AB2031" s="101"/>
      <c r="AC2031" s="101"/>
      <c r="AD2031" s="101"/>
      <c r="AE2031" s="101"/>
      <c r="AF2031" s="101"/>
      <c r="AG2031" s="101"/>
      <c r="AH2031" s="101"/>
      <c r="AI2031" s="101"/>
      <c r="AJ2031" s="101"/>
      <c r="AK2031" s="101"/>
      <c r="AL2031" s="101"/>
      <c r="AM2031" s="101"/>
      <c r="AN2031" s="101"/>
    </row>
    <row r="2032" spans="1:40" ht="16.5" customHeight="1" x14ac:dyDescent="0.3">
      <c r="A2032" s="59" t="s">
        <v>2175</v>
      </c>
      <c r="B2032" s="89" t="str">
        <f>"   형틀목공 : "&amp;TEXT(I2032,"#,##0"&amp;IF(I2032&lt;&gt;INT(I2032),".###",""))&amp;" * Q1 / Q  인  = "&amp;TEXT(C2032,"#,##0.0")&amp;" "</f>
        <v xml:space="preserve">   형틀목공 : 275,790 * Q1 / Q  인  = 27,579.0 </v>
      </c>
      <c r="C2032" s="91">
        <f>E2032+D2032+F2032</f>
        <v>27579</v>
      </c>
      <c r="D2032" s="91">
        <f>IF(H2032=0,0,ROUNDDOWN(J2032*H2032,1))</f>
        <v>27579</v>
      </c>
      <c r="E2032" s="91">
        <f>IF(H2032=0,0,ROUNDDOWN(K2032*H2032,1))</f>
        <v>0</v>
      </c>
      <c r="F2032" s="91">
        <f>IF(H2032=0,0,ROUNDDOWN(L2032*H2032,1))</f>
        <v>0</v>
      </c>
      <c r="G2032" s="17" t="s">
        <v>2174</v>
      </c>
      <c r="H2032" s="97">
        <f>ROUNDUP(AE2032,14-LEN(ABS(INT(AE2032))))</f>
        <v>0.1</v>
      </c>
      <c r="I2032" s="98">
        <f>K2032+J2032+L2032</f>
        <v>275790</v>
      </c>
      <c r="J2032" s="38">
        <f>노무비목록표!E16</f>
        <v>275790</v>
      </c>
      <c r="M2032" s="35" t="s">
        <v>2176</v>
      </c>
      <c r="N2032" s="35" t="s">
        <v>1262</v>
      </c>
      <c r="O2032" s="35" t="s">
        <v>1214</v>
      </c>
      <c r="X2032" s="100" t="str">
        <f>노무비목록표!B16&amp;" / "&amp;노무비목록표!C16</f>
        <v xml:space="preserve">형틀목공 / </v>
      </c>
      <c r="Y2032" s="3" t="str">
        <f ca="1">HYPERLINK("#"&amp;노무비목록표!G2&amp;"!A"&amp;ROW(노무비목록표!A16),"노무13 →")</f>
        <v>노무13 →</v>
      </c>
      <c r="Z2032" s="35" t="s">
        <v>1446</v>
      </c>
      <c r="AA2032" s="103" t="str">
        <f>AD2012</f>
        <v>0.625</v>
      </c>
      <c r="AB2032" s="35" t="s">
        <v>1413</v>
      </c>
      <c r="AC2032" s="103" t="str">
        <f>AD2016</f>
        <v>6.250</v>
      </c>
      <c r="AD2032" s="35" t="s">
        <v>1410</v>
      </c>
      <c r="AE2032" s="103">
        <f>1*AD2012/AD2016</f>
        <v>0.1</v>
      </c>
      <c r="AF2032" s="101"/>
      <c r="AG2032" s="101"/>
      <c r="AH2032" s="101"/>
      <c r="AI2032" s="101"/>
      <c r="AJ2032" s="101"/>
      <c r="AK2032" s="101"/>
      <c r="AL2032" s="101"/>
      <c r="AM2032" s="101"/>
      <c r="AN2032" s="101"/>
    </row>
    <row r="2033" spans="1:40" ht="16.5" customHeight="1" x14ac:dyDescent="0.3">
      <c r="A2033" s="69"/>
      <c r="B2033" s="69"/>
      <c r="C2033" s="69"/>
      <c r="D2033" s="69"/>
      <c r="E2033" s="69"/>
      <c r="F2033" s="69"/>
      <c r="G2033" s="17" t="s">
        <v>1405</v>
      </c>
      <c r="Z2033" s="101"/>
      <c r="AA2033" s="101"/>
      <c r="AB2033" s="101"/>
      <c r="AC2033" s="101"/>
      <c r="AD2033" s="101"/>
      <c r="AE2033" s="101"/>
      <c r="AF2033" s="101"/>
      <c r="AG2033" s="101"/>
      <c r="AH2033" s="101"/>
      <c r="AI2033" s="101"/>
      <c r="AJ2033" s="101"/>
      <c r="AK2033" s="101"/>
      <c r="AL2033" s="101"/>
      <c r="AM2033" s="101"/>
      <c r="AN2033" s="101"/>
    </row>
    <row r="2034" spans="1:40" ht="16.5" customHeight="1" x14ac:dyDescent="0.3">
      <c r="A2034" s="59" t="s">
        <v>1419</v>
      </c>
      <c r="B2034" s="89" t="str">
        <f>"   보통인부 : "&amp;TEXT(I2034,"#,##0"&amp;IF(I2034&lt;&gt;INT(I2034),".###",""))&amp;" * Q2 / Q  인  = "&amp;TEXT(C2034,"#,##0.0")&amp;" "</f>
        <v xml:space="preserve">   보통인부 : 172,068 * Q2 / Q  인  = 6,882.7 </v>
      </c>
      <c r="C2034" s="91">
        <f>E2034+D2034+F2034</f>
        <v>6882.7</v>
      </c>
      <c r="D2034" s="91">
        <f>IF(H2034=0,0,ROUNDDOWN(J2034*H2034,1))</f>
        <v>6882.7</v>
      </c>
      <c r="E2034" s="91">
        <f>IF(H2034=0,0,ROUNDDOWN(K2034*H2034,1))</f>
        <v>0</v>
      </c>
      <c r="F2034" s="91">
        <f>IF(H2034=0,0,ROUNDDOWN(L2034*H2034,1))</f>
        <v>0</v>
      </c>
      <c r="G2034" s="17" t="s">
        <v>2177</v>
      </c>
      <c r="H2034" s="97">
        <f>ROUNDUP(AE2034,14-LEN(ABS(INT(AE2034))))</f>
        <v>0.04</v>
      </c>
      <c r="I2034" s="98">
        <f>K2034+J2034+L2034</f>
        <v>172068</v>
      </c>
      <c r="J2034" s="38">
        <f>노무비목록표!E8</f>
        <v>172068</v>
      </c>
      <c r="M2034" s="35" t="s">
        <v>1219</v>
      </c>
      <c r="N2034" s="35" t="s">
        <v>1262</v>
      </c>
      <c r="O2034" s="35" t="s">
        <v>1214</v>
      </c>
      <c r="X2034" s="100" t="str">
        <f>노무비목록표!B8&amp;" / "&amp;노무비목록표!C8</f>
        <v xml:space="preserve">보통인부 / </v>
      </c>
      <c r="Y2034" s="3" t="str">
        <f ca="1">HYPERLINK("#"&amp;노무비목록표!G2&amp;"!A"&amp;ROW(노무비목록표!A8),"노무5 →")</f>
        <v>노무5 →</v>
      </c>
      <c r="Z2034" s="35" t="s">
        <v>1446</v>
      </c>
      <c r="AA2034" s="103" t="str">
        <f>AD2014</f>
        <v>0.250</v>
      </c>
      <c r="AB2034" s="35" t="s">
        <v>1413</v>
      </c>
      <c r="AC2034" s="103" t="str">
        <f>AD2016</f>
        <v>6.250</v>
      </c>
      <c r="AD2034" s="35" t="s">
        <v>1410</v>
      </c>
      <c r="AE2034" s="103">
        <f>1*AD2014/AD2016</f>
        <v>0.04</v>
      </c>
      <c r="AF2034" s="101"/>
      <c r="AG2034" s="101"/>
      <c r="AH2034" s="101"/>
      <c r="AI2034" s="101"/>
      <c r="AJ2034" s="101"/>
      <c r="AK2034" s="101"/>
      <c r="AL2034" s="101"/>
      <c r="AM2034" s="101"/>
      <c r="AN2034" s="101"/>
    </row>
    <row r="2035" spans="1:40" ht="16.5" customHeight="1" x14ac:dyDescent="0.3">
      <c r="A2035" s="69"/>
      <c r="B2035" s="69"/>
      <c r="C2035" s="69"/>
      <c r="D2035" s="69"/>
      <c r="E2035" s="69"/>
      <c r="F2035" s="69"/>
      <c r="G2035" s="17" t="s">
        <v>1405</v>
      </c>
      <c r="Z2035" s="101"/>
      <c r="AA2035" s="101"/>
      <c r="AB2035" s="101"/>
      <c r="AC2035" s="101"/>
      <c r="AD2035" s="101"/>
      <c r="AE2035" s="101"/>
      <c r="AF2035" s="101"/>
      <c r="AG2035" s="101"/>
      <c r="AH2035" s="101"/>
      <c r="AI2035" s="101"/>
      <c r="AJ2035" s="101"/>
      <c r="AK2035" s="101"/>
      <c r="AL2035" s="101"/>
      <c r="AM2035" s="101"/>
      <c r="AN2035" s="101"/>
    </row>
    <row r="2036" spans="1:40" ht="16.5" customHeight="1" x14ac:dyDescent="0.3">
      <c r="A2036" s="59"/>
      <c r="B2036" s="89" t="str">
        <f>"   공구손료 : "&amp;TEXT(I2036,"#,##0.0")&amp;" * "&amp;AA2036&amp;" %  = "&amp;TEXT(C2036,"#,##0.0")&amp;""</f>
        <v xml:space="preserve">   공구손료 : 34,461.7 * 1 %  = 344.6</v>
      </c>
      <c r="C2036" s="91">
        <f>E2036+D2036+F2036</f>
        <v>344.6</v>
      </c>
      <c r="D2036" s="91">
        <f>IF(H2036=0,0,ROUNDDOWN(J2036*H2036/100,1))</f>
        <v>0</v>
      </c>
      <c r="E2036" s="91">
        <f>IF(H2036=0,0,ROUNDDOWN(K2036*H2036/100,1))</f>
        <v>0</v>
      </c>
      <c r="F2036" s="91">
        <f>IF(H2036=0,0,ROUNDDOWN(L2036*H2036/100,1))</f>
        <v>344.6</v>
      </c>
      <c r="G2036" s="17" t="s">
        <v>2178</v>
      </c>
      <c r="H2036" s="97">
        <f>ROUNDUP(AC2036,14-LEN(ABS(INT(AC2036))))</f>
        <v>1</v>
      </c>
      <c r="I2036" s="98">
        <f>K2036+J2036+L2036</f>
        <v>34461.699999999997</v>
      </c>
      <c r="J2036" s="36">
        <v>0</v>
      </c>
      <c r="K2036" s="36">
        <v>0</v>
      </c>
      <c r="L2036" s="38">
        <f>D2020+D2022+D2032+D2034</f>
        <v>34461.699999999997</v>
      </c>
      <c r="M2036" s="35" t="s">
        <v>1059</v>
      </c>
      <c r="N2036" s="35" t="s">
        <v>1262</v>
      </c>
      <c r="Z2036" s="35" t="s">
        <v>1446</v>
      </c>
      <c r="AA2036" s="102">
        <v>1</v>
      </c>
      <c r="AB2036" s="35" t="s">
        <v>1410</v>
      </c>
      <c r="AC2036" s="103">
        <f>1*AA2036</f>
        <v>1</v>
      </c>
      <c r="AD2036" s="101"/>
      <c r="AE2036" s="101"/>
      <c r="AF2036" s="101"/>
      <c r="AG2036" s="101"/>
      <c r="AH2036" s="101"/>
      <c r="AI2036" s="101"/>
      <c r="AJ2036" s="101"/>
      <c r="AK2036" s="101"/>
      <c r="AL2036" s="101"/>
      <c r="AM2036" s="101"/>
      <c r="AN2036" s="101"/>
    </row>
    <row r="2037" spans="1:40" ht="16.5" customHeight="1" x14ac:dyDescent="0.3">
      <c r="A2037" s="69"/>
      <c r="B2037" s="69"/>
      <c r="C2037" s="69"/>
      <c r="D2037" s="69"/>
      <c r="E2037" s="69"/>
      <c r="F2037" s="69"/>
      <c r="G2037" s="17" t="s">
        <v>1405</v>
      </c>
      <c r="Z2037" s="101"/>
      <c r="AA2037" s="101"/>
      <c r="AB2037" s="101"/>
      <c r="AC2037" s="101"/>
      <c r="AD2037" s="101"/>
      <c r="AE2037" s="101"/>
      <c r="AF2037" s="101"/>
      <c r="AG2037" s="101"/>
      <c r="AH2037" s="101"/>
      <c r="AI2037" s="101"/>
      <c r="AJ2037" s="101"/>
      <c r="AK2037" s="101"/>
      <c r="AL2037" s="101"/>
      <c r="AM2037" s="101"/>
      <c r="AN2037" s="101"/>
    </row>
    <row r="2038" spans="1:40" ht="16.5" customHeight="1" x14ac:dyDescent="0.3">
      <c r="A2038" s="59"/>
      <c r="B2038" s="68" t="s">
        <v>1260</v>
      </c>
      <c r="C2038" s="92">
        <f>E2038+D2038+F2038</f>
        <v>36147.599999999999</v>
      </c>
      <c r="D2038" s="92">
        <f>SUMIF(N2025:N2037,M2038,D2025:D2037)</f>
        <v>34461.699999999997</v>
      </c>
      <c r="E2038" s="92">
        <f>SUMIF(N2025:N2037,M2038,E2025:E2037)</f>
        <v>1341.3</v>
      </c>
      <c r="F2038" s="92">
        <f>SUMIF(N2025:N2037,M2038,F2025:F2037)</f>
        <v>344.6</v>
      </c>
      <c r="G2038" s="17" t="s">
        <v>1526</v>
      </c>
      <c r="M2038" s="35" t="s">
        <v>1262</v>
      </c>
      <c r="N2038" s="35" t="s">
        <v>1253</v>
      </c>
      <c r="Z2038" s="101"/>
      <c r="AA2038" s="101"/>
      <c r="AB2038" s="101"/>
      <c r="AC2038" s="101"/>
      <c r="AD2038" s="101"/>
      <c r="AE2038" s="101"/>
      <c r="AF2038" s="101"/>
      <c r="AG2038" s="101"/>
      <c r="AH2038" s="101"/>
      <c r="AI2038" s="101"/>
      <c r="AJ2038" s="101"/>
      <c r="AK2038" s="101"/>
      <c r="AL2038" s="101"/>
      <c r="AM2038" s="101"/>
      <c r="AN2038" s="101"/>
    </row>
    <row r="2039" spans="1:40" ht="16.5" customHeight="1" x14ac:dyDescent="0.3">
      <c r="A2039" s="69"/>
      <c r="B2039" s="69"/>
      <c r="C2039" s="90"/>
      <c r="D2039" s="90"/>
      <c r="E2039" s="90"/>
      <c r="F2039" s="90"/>
      <c r="G2039" s="17" t="s">
        <v>1405</v>
      </c>
      <c r="Z2039" s="101"/>
      <c r="AA2039" s="101"/>
      <c r="AB2039" s="101"/>
      <c r="AC2039" s="101"/>
      <c r="AD2039" s="101"/>
      <c r="AE2039" s="101"/>
      <c r="AF2039" s="101"/>
      <c r="AG2039" s="101"/>
      <c r="AH2039" s="101"/>
      <c r="AI2039" s="101"/>
      <c r="AJ2039" s="101"/>
      <c r="AK2039" s="101"/>
      <c r="AL2039" s="101"/>
      <c r="AM2039" s="101"/>
      <c r="AN2039" s="101"/>
    </row>
    <row r="2040" spans="1:40" ht="16.5" customHeight="1" x14ac:dyDescent="0.3">
      <c r="A2040" s="59"/>
      <c r="B2040" s="68" t="s">
        <v>1251</v>
      </c>
      <c r="C2040" s="92">
        <f>E2040+D2040+F2040</f>
        <v>48341.899999999994</v>
      </c>
      <c r="D2040" s="92">
        <f>SUMIF(N2007:N2039,M2040,D2007:D2039)</f>
        <v>34461.699999999997</v>
      </c>
      <c r="E2040" s="92">
        <f>SUMIF(N2007:N2039,M2040,E2007:E2039)</f>
        <v>13535.599999999999</v>
      </c>
      <c r="F2040" s="92">
        <f>SUMIF(N2007:N2039,M2040,F2007:F2039)</f>
        <v>344.6</v>
      </c>
      <c r="G2040" s="17" t="s">
        <v>1476</v>
      </c>
      <c r="M2040" s="35" t="s">
        <v>1253</v>
      </c>
      <c r="N2040" s="35" t="s">
        <v>1209</v>
      </c>
      <c r="Z2040" s="101"/>
      <c r="AA2040" s="101"/>
      <c r="AB2040" s="101"/>
      <c r="AC2040" s="101"/>
      <c r="AD2040" s="101"/>
      <c r="AE2040" s="101"/>
      <c r="AF2040" s="101"/>
      <c r="AG2040" s="101"/>
      <c r="AH2040" s="101"/>
      <c r="AI2040" s="101"/>
      <c r="AJ2040" s="101"/>
      <c r="AK2040" s="101"/>
      <c r="AL2040" s="101"/>
      <c r="AM2040" s="101"/>
      <c r="AN2040" s="101"/>
    </row>
    <row r="2041" spans="1:40" ht="16.5" customHeight="1" x14ac:dyDescent="0.3">
      <c r="A2041" s="69"/>
      <c r="B2041" s="69"/>
      <c r="C2041" s="90"/>
      <c r="D2041" s="90"/>
      <c r="E2041" s="90"/>
      <c r="F2041" s="90"/>
      <c r="Z2041" s="101"/>
      <c r="AA2041" s="101"/>
      <c r="AB2041" s="101"/>
      <c r="AC2041" s="101"/>
      <c r="AD2041" s="101"/>
      <c r="AE2041" s="101"/>
      <c r="AF2041" s="101"/>
      <c r="AG2041" s="101"/>
      <c r="AH2041" s="101"/>
      <c r="AI2041" s="101"/>
      <c r="AJ2041" s="101"/>
      <c r="AK2041" s="101"/>
      <c r="AL2041" s="101"/>
      <c r="AM2041" s="101"/>
      <c r="AN2041" s="101"/>
    </row>
    <row r="2042" spans="1:40" ht="16.5" customHeight="1" x14ac:dyDescent="0.3">
      <c r="A2042" s="69"/>
      <c r="B2042" s="69"/>
      <c r="C2042" s="69"/>
      <c r="D2042" s="69"/>
      <c r="E2042" s="69"/>
      <c r="F2042" s="69"/>
      <c r="Z2042" s="101"/>
      <c r="AA2042" s="101"/>
      <c r="AB2042" s="101"/>
      <c r="AC2042" s="101"/>
      <c r="AD2042" s="101"/>
      <c r="AE2042" s="101"/>
      <c r="AF2042" s="101"/>
      <c r="AG2042" s="101"/>
      <c r="AH2042" s="101"/>
      <c r="AI2042" s="101"/>
      <c r="AJ2042" s="101"/>
      <c r="AK2042" s="101"/>
      <c r="AL2042" s="101"/>
      <c r="AM2042" s="101"/>
      <c r="AN2042" s="101"/>
    </row>
    <row r="2043" spans="1:40" ht="16.5" customHeight="1" x14ac:dyDescent="0.3">
      <c r="A2043" s="69"/>
      <c r="B2043" s="69"/>
      <c r="C2043" s="69"/>
      <c r="D2043" s="69"/>
      <c r="E2043" s="69"/>
      <c r="F2043" s="69"/>
      <c r="Z2043" s="101"/>
      <c r="AA2043" s="101"/>
      <c r="AB2043" s="101"/>
      <c r="AC2043" s="101"/>
      <c r="AD2043" s="101"/>
      <c r="AE2043" s="101"/>
      <c r="AF2043" s="101"/>
      <c r="AG2043" s="101"/>
      <c r="AH2043" s="101"/>
      <c r="AI2043" s="101"/>
      <c r="AJ2043" s="101"/>
      <c r="AK2043" s="101"/>
      <c r="AL2043" s="101"/>
      <c r="AM2043" s="101"/>
      <c r="AN2043" s="101"/>
    </row>
    <row r="2044" spans="1:40" ht="16.5" customHeight="1" x14ac:dyDescent="0.3">
      <c r="A2044" s="69"/>
      <c r="B2044" s="69"/>
      <c r="C2044" s="69"/>
      <c r="D2044" s="69"/>
      <c r="E2044" s="69"/>
      <c r="F2044" s="69"/>
      <c r="Z2044" s="101"/>
      <c r="AA2044" s="101"/>
      <c r="AB2044" s="101"/>
      <c r="AC2044" s="101"/>
      <c r="AD2044" s="101"/>
      <c r="AE2044" s="101"/>
      <c r="AF2044" s="101"/>
      <c r="AG2044" s="101"/>
      <c r="AH2044" s="101"/>
      <c r="AI2044" s="101"/>
      <c r="AJ2044" s="101"/>
      <c r="AK2044" s="101"/>
      <c r="AL2044" s="101"/>
      <c r="AM2044" s="101"/>
      <c r="AN2044" s="101"/>
    </row>
    <row r="2045" spans="1:40" ht="16.5" customHeight="1" x14ac:dyDescent="0.3">
      <c r="A2045" s="69"/>
      <c r="B2045" s="69"/>
      <c r="C2045" s="69"/>
      <c r="D2045" s="69"/>
      <c r="E2045" s="69"/>
      <c r="F2045" s="69"/>
      <c r="Z2045" s="101"/>
      <c r="AA2045" s="101"/>
      <c r="AB2045" s="101"/>
      <c r="AC2045" s="101"/>
      <c r="AD2045" s="101"/>
      <c r="AE2045" s="101"/>
      <c r="AF2045" s="101"/>
      <c r="AG2045" s="101"/>
      <c r="AH2045" s="101"/>
      <c r="AI2045" s="101"/>
      <c r="AJ2045" s="101"/>
      <c r="AK2045" s="101"/>
      <c r="AL2045" s="101"/>
      <c r="AM2045" s="101"/>
      <c r="AN2045" s="101"/>
    </row>
    <row r="2046" spans="1:40" ht="16.5" customHeight="1" x14ac:dyDescent="0.3">
      <c r="A2046" s="69"/>
      <c r="B2046" s="69"/>
      <c r="C2046" s="69"/>
      <c r="D2046" s="69"/>
      <c r="E2046" s="69"/>
      <c r="F2046" s="69"/>
      <c r="Z2046" s="101"/>
      <c r="AA2046" s="101"/>
      <c r="AB2046" s="101"/>
      <c r="AC2046" s="101"/>
      <c r="AD2046" s="101"/>
      <c r="AE2046" s="101"/>
      <c r="AF2046" s="101"/>
      <c r="AG2046" s="101"/>
      <c r="AH2046" s="101"/>
      <c r="AI2046" s="101"/>
      <c r="AJ2046" s="101"/>
      <c r="AK2046" s="101"/>
      <c r="AL2046" s="101"/>
      <c r="AM2046" s="101"/>
      <c r="AN2046" s="101"/>
    </row>
    <row r="2047" spans="1:40" ht="16.5" customHeight="1" x14ac:dyDescent="0.3">
      <c r="A2047" s="69"/>
      <c r="B2047" s="69"/>
      <c r="C2047" s="69"/>
      <c r="D2047" s="69"/>
      <c r="E2047" s="69"/>
      <c r="F2047" s="69"/>
      <c r="Z2047" s="101"/>
      <c r="AA2047" s="101"/>
      <c r="AB2047" s="101"/>
      <c r="AC2047" s="101"/>
      <c r="AD2047" s="101"/>
      <c r="AE2047" s="101"/>
      <c r="AF2047" s="101"/>
      <c r="AG2047" s="101"/>
      <c r="AH2047" s="101"/>
      <c r="AI2047" s="101"/>
      <c r="AJ2047" s="101"/>
      <c r="AK2047" s="101"/>
      <c r="AL2047" s="101"/>
      <c r="AM2047" s="101"/>
      <c r="AN2047" s="101"/>
    </row>
    <row r="2048" spans="1:40" ht="16.5" customHeight="1" x14ac:dyDescent="0.3">
      <c r="A2048" s="69"/>
      <c r="B2048" s="69"/>
      <c r="C2048" s="69"/>
      <c r="D2048" s="69"/>
      <c r="E2048" s="69"/>
      <c r="F2048" s="69"/>
      <c r="Z2048" s="101"/>
      <c r="AA2048" s="101"/>
      <c r="AB2048" s="101"/>
      <c r="AC2048" s="101"/>
      <c r="AD2048" s="101"/>
      <c r="AE2048" s="101"/>
      <c r="AF2048" s="101"/>
      <c r="AG2048" s="101"/>
      <c r="AH2048" s="101"/>
      <c r="AI2048" s="101"/>
      <c r="AJ2048" s="101"/>
      <c r="AK2048" s="101"/>
      <c r="AL2048" s="101"/>
      <c r="AM2048" s="101"/>
      <c r="AN2048" s="101"/>
    </row>
    <row r="2049" spans="1:40" ht="16.5" customHeight="1" x14ac:dyDescent="0.3">
      <c r="A2049" s="69"/>
      <c r="B2049" s="69"/>
      <c r="C2049" s="69"/>
      <c r="D2049" s="69"/>
      <c r="E2049" s="69"/>
      <c r="F2049" s="69"/>
      <c r="Z2049" s="101"/>
      <c r="AA2049" s="101"/>
      <c r="AB2049" s="101"/>
      <c r="AC2049" s="101"/>
      <c r="AD2049" s="101"/>
      <c r="AE2049" s="101"/>
      <c r="AF2049" s="101"/>
      <c r="AG2049" s="101"/>
      <c r="AH2049" s="101"/>
      <c r="AI2049" s="101"/>
      <c r="AJ2049" s="101"/>
      <c r="AK2049" s="101"/>
      <c r="AL2049" s="101"/>
      <c r="AM2049" s="101"/>
      <c r="AN2049" s="101"/>
    </row>
    <row r="2050" spans="1:40" ht="16.5" customHeight="1" x14ac:dyDescent="0.3">
      <c r="A2050" s="69"/>
      <c r="B2050" s="69"/>
      <c r="C2050" s="69"/>
      <c r="D2050" s="69"/>
      <c r="E2050" s="69"/>
      <c r="F2050" s="69"/>
      <c r="Z2050" s="101"/>
      <c r="AA2050" s="101"/>
      <c r="AB2050" s="101"/>
      <c r="AC2050" s="101"/>
      <c r="AD2050" s="101"/>
      <c r="AE2050" s="101"/>
      <c r="AF2050" s="101"/>
      <c r="AG2050" s="101"/>
      <c r="AH2050" s="101"/>
      <c r="AI2050" s="101"/>
      <c r="AJ2050" s="101"/>
      <c r="AK2050" s="101"/>
      <c r="AL2050" s="101"/>
      <c r="AM2050" s="101"/>
      <c r="AN2050" s="101"/>
    </row>
    <row r="2051" spans="1:40" ht="16.5" customHeight="1" x14ac:dyDescent="0.3">
      <c r="A2051" s="69"/>
      <c r="B2051" s="69"/>
      <c r="C2051" s="69"/>
      <c r="D2051" s="69"/>
      <c r="E2051" s="69"/>
      <c r="F2051" s="69"/>
      <c r="Z2051" s="101"/>
      <c r="AA2051" s="101"/>
      <c r="AB2051" s="101"/>
      <c r="AC2051" s="101"/>
      <c r="AD2051" s="101"/>
      <c r="AE2051" s="101"/>
      <c r="AF2051" s="101"/>
      <c r="AG2051" s="101"/>
      <c r="AH2051" s="101"/>
      <c r="AI2051" s="101"/>
      <c r="AJ2051" s="101"/>
      <c r="AK2051" s="101"/>
      <c r="AL2051" s="101"/>
      <c r="AM2051" s="101"/>
      <c r="AN2051" s="101"/>
    </row>
    <row r="2052" spans="1:40" ht="16.5" customHeight="1" x14ac:dyDescent="0.3">
      <c r="A2052" s="69"/>
      <c r="B2052" s="69"/>
      <c r="C2052" s="69"/>
      <c r="D2052" s="69"/>
      <c r="E2052" s="69"/>
      <c r="F2052" s="69"/>
      <c r="Z2052" s="101"/>
      <c r="AA2052" s="101"/>
      <c r="AB2052" s="101"/>
      <c r="AC2052" s="101"/>
      <c r="AD2052" s="101"/>
      <c r="AE2052" s="101"/>
      <c r="AF2052" s="101"/>
      <c r="AG2052" s="101"/>
      <c r="AH2052" s="101"/>
      <c r="AI2052" s="101"/>
      <c r="AJ2052" s="101"/>
      <c r="AK2052" s="101"/>
      <c r="AL2052" s="101"/>
      <c r="AM2052" s="101"/>
      <c r="AN2052" s="101"/>
    </row>
    <row r="2053" spans="1:40" ht="16.5" customHeight="1" x14ac:dyDescent="0.3">
      <c r="A2053" s="74"/>
      <c r="B2053" s="74"/>
      <c r="C2053" s="74"/>
      <c r="D2053" s="74"/>
      <c r="E2053" s="74"/>
      <c r="F2053" s="74"/>
      <c r="Z2053" s="101"/>
      <c r="AA2053" s="101"/>
      <c r="AB2053" s="101"/>
      <c r="AC2053" s="101"/>
      <c r="AD2053" s="101"/>
      <c r="AE2053" s="101"/>
      <c r="AF2053" s="101"/>
      <c r="AG2053" s="101"/>
      <c r="AH2053" s="101"/>
      <c r="AI2053" s="101"/>
      <c r="AJ2053" s="101"/>
      <c r="AK2053" s="101"/>
      <c r="AL2053" s="101"/>
      <c r="AM2053" s="101"/>
      <c r="AN2053" s="101"/>
    </row>
    <row r="2054" spans="1:40" ht="16.5" customHeight="1" x14ac:dyDescent="0.3">
      <c r="A2054" s="150" t="s">
        <v>1477</v>
      </c>
      <c r="B2054" s="143"/>
      <c r="C2054" s="47">
        <f>E2054+D2054+F2054</f>
        <v>48340</v>
      </c>
      <c r="D2054" s="46">
        <f>ROUNDDOWN(SUMIF(N2007:N2040,M2054,D2007:D2040),0)</f>
        <v>34461</v>
      </c>
      <c r="E2054" s="55">
        <f>ROUNDDOWN(SUMIF(N2007:N2040,M2054,E2007:E2040),0)</f>
        <v>13535</v>
      </c>
      <c r="F2054" s="47">
        <f>ROUNDDOWN(SUMIF(N2007:N2040,M2054,F2007:F2040),0)</f>
        <v>344</v>
      </c>
      <c r="M2054" s="35" t="s">
        <v>1209</v>
      </c>
      <c r="Z2054" s="101"/>
      <c r="AA2054" s="101"/>
      <c r="AB2054" s="101"/>
      <c r="AC2054" s="101"/>
      <c r="AD2054" s="101"/>
      <c r="AE2054" s="101"/>
      <c r="AF2054" s="101"/>
      <c r="AG2054" s="101"/>
      <c r="AH2054" s="101"/>
      <c r="AI2054" s="101"/>
      <c r="AJ2054" s="101"/>
      <c r="AK2054" s="101"/>
      <c r="AL2054" s="101"/>
      <c r="AM2054" s="101"/>
      <c r="AN2054" s="101"/>
    </row>
    <row r="2055" spans="1:40" ht="16.5" customHeight="1" x14ac:dyDescent="0.3">
      <c r="A2055" s="86" t="s">
        <v>219</v>
      </c>
      <c r="B2055" s="88" t="s">
        <v>219</v>
      </c>
      <c r="C2055" s="151">
        <f>C2104</f>
        <v>88211</v>
      </c>
      <c r="D2055" s="151">
        <f>D2104</f>
        <v>84688</v>
      </c>
      <c r="E2055" s="151">
        <f>E2104</f>
        <v>1722</v>
      </c>
      <c r="F2055" s="151">
        <f>F2104</f>
        <v>1801</v>
      </c>
      <c r="G2055" s="84" t="str">
        <f>HYPERLINK("#G"&amp;ROW(G2067),"_x0005_`BDCOD|D04424_x0007_`POSS|"&amp;ROW(G2057)&amp;"_x0007_`POSE|"&amp;ROW(G2067)&amp;"_x0007_`")</f>
        <v>_x0005_`BDCOD|D04424_x0007_`POSS|2057_x0007_`POSE|2067_x0007_`</v>
      </c>
      <c r="Z2055" s="101"/>
      <c r="AA2055" s="101"/>
      <c r="AB2055" s="101"/>
      <c r="AC2055" s="101"/>
      <c r="AD2055" s="101"/>
      <c r="AE2055" s="101"/>
      <c r="AF2055" s="101"/>
      <c r="AG2055" s="101"/>
      <c r="AH2055" s="101"/>
      <c r="AI2055" s="101"/>
      <c r="AJ2055" s="101"/>
      <c r="AK2055" s="101"/>
      <c r="AL2055" s="101"/>
      <c r="AM2055" s="101"/>
      <c r="AN2055" s="101"/>
    </row>
    <row r="2056" spans="1:40" ht="16.5" customHeight="1" x14ac:dyDescent="0.3">
      <c r="A2056" s="87"/>
      <c r="B2056" s="88" t="s">
        <v>218</v>
      </c>
      <c r="C2056" s="136"/>
      <c r="D2056" s="136"/>
      <c r="E2056" s="136"/>
      <c r="F2056" s="136"/>
      <c r="M2056" s="35" t="s">
        <v>2179</v>
      </c>
      <c r="Z2056" s="101"/>
      <c r="AA2056" s="101"/>
      <c r="AB2056" s="101"/>
      <c r="AC2056" s="101"/>
      <c r="AD2056" s="101"/>
      <c r="AE2056" s="101"/>
      <c r="AF2056" s="101"/>
      <c r="AG2056" s="101"/>
      <c r="AH2056" s="101"/>
      <c r="AI2056" s="101"/>
      <c r="AJ2056" s="101"/>
      <c r="AK2056" s="101"/>
      <c r="AL2056" s="101"/>
      <c r="AM2056" s="101"/>
      <c r="AN2056" s="101"/>
    </row>
    <row r="2057" spans="1:40" ht="16.5" customHeight="1" x14ac:dyDescent="0.3">
      <c r="A2057" s="59"/>
      <c r="B2057" s="68" t="s">
        <v>2181</v>
      </c>
      <c r="C2057" s="90"/>
      <c r="D2057" s="90"/>
      <c r="E2057" s="90"/>
      <c r="F2057" s="90"/>
      <c r="G2057" s="17" t="s">
        <v>2180</v>
      </c>
      <c r="Z2057" s="101"/>
      <c r="AA2057" s="101"/>
      <c r="AB2057" s="101"/>
      <c r="AC2057" s="101"/>
      <c r="AD2057" s="101"/>
      <c r="AE2057" s="101"/>
      <c r="AF2057" s="101"/>
      <c r="AG2057" s="101"/>
      <c r="AH2057" s="101"/>
      <c r="AI2057" s="101"/>
      <c r="AJ2057" s="101"/>
      <c r="AK2057" s="101"/>
      <c r="AL2057" s="101"/>
      <c r="AM2057" s="101"/>
      <c r="AN2057" s="101"/>
    </row>
    <row r="2058" spans="1:40" ht="16.5" customHeight="1" x14ac:dyDescent="0.3">
      <c r="A2058" s="69"/>
      <c r="B2058" s="69"/>
      <c r="C2058" s="69"/>
      <c r="D2058" s="69"/>
      <c r="E2058" s="69"/>
      <c r="F2058" s="69"/>
      <c r="G2058" s="17" t="s">
        <v>1405</v>
      </c>
      <c r="Z2058" s="101"/>
      <c r="AA2058" s="101"/>
      <c r="AB2058" s="101"/>
      <c r="AC2058" s="101"/>
      <c r="AD2058" s="101"/>
      <c r="AE2058" s="101"/>
      <c r="AF2058" s="101"/>
      <c r="AG2058" s="101"/>
      <c r="AH2058" s="101"/>
      <c r="AI2058" s="101"/>
      <c r="AJ2058" s="101"/>
      <c r="AK2058" s="101"/>
      <c r="AL2058" s="101"/>
      <c r="AM2058" s="101"/>
      <c r="AN2058" s="101"/>
    </row>
    <row r="2059" spans="1:40" ht="16.5" customHeight="1" x14ac:dyDescent="0.3">
      <c r="A2059" s="59"/>
      <c r="B2059" s="68" t="s">
        <v>2183</v>
      </c>
      <c r="C2059" s="69"/>
      <c r="D2059" s="69"/>
      <c r="E2059" s="69"/>
      <c r="F2059" s="69"/>
      <c r="G2059" s="17" t="s">
        <v>2182</v>
      </c>
      <c r="Z2059" s="101"/>
      <c r="AA2059" s="101"/>
      <c r="AB2059" s="101"/>
      <c r="AC2059" s="101"/>
      <c r="AD2059" s="101"/>
      <c r="AE2059" s="101"/>
      <c r="AF2059" s="101"/>
      <c r="AG2059" s="101"/>
      <c r="AH2059" s="101"/>
      <c r="AI2059" s="101"/>
      <c r="AJ2059" s="101"/>
      <c r="AK2059" s="101"/>
      <c r="AL2059" s="101"/>
      <c r="AM2059" s="101"/>
      <c r="AN2059" s="101"/>
    </row>
    <row r="2060" spans="1:40" ht="16.5" customHeight="1" x14ac:dyDescent="0.3">
      <c r="A2060" s="69"/>
      <c r="B2060" s="69"/>
      <c r="C2060" s="69"/>
      <c r="D2060" s="69"/>
      <c r="E2060" s="69"/>
      <c r="F2060" s="69"/>
      <c r="G2060" s="17" t="s">
        <v>1405</v>
      </c>
      <c r="Z2060" s="101"/>
      <c r="AA2060" s="101"/>
      <c r="AB2060" s="101"/>
      <c r="AC2060" s="101"/>
      <c r="AD2060" s="101"/>
      <c r="AE2060" s="101"/>
      <c r="AF2060" s="101"/>
      <c r="AG2060" s="101"/>
      <c r="AH2060" s="101"/>
      <c r="AI2060" s="101"/>
      <c r="AJ2060" s="101"/>
      <c r="AK2060" s="101"/>
      <c r="AL2060" s="101"/>
      <c r="AM2060" s="101"/>
      <c r="AN2060" s="101"/>
    </row>
    <row r="2061" spans="1:40" ht="16.5" customHeight="1" x14ac:dyDescent="0.3">
      <c r="A2061" s="59" t="s">
        <v>2185</v>
      </c>
      <c r="B2061" s="89" t="str">
        <f>" 조경공 : "&amp;TEXT(I2061,"#,##0"&amp;IF(I2061&lt;&gt;INT(I2061),".###",""))&amp;" * "&amp;AA2061&amp;" 인  / "&amp;AC2061&amp;" (1/ton)  = "&amp;TEXT(C2061,"#,##0.0")&amp;""</f>
        <v xml:space="preserve"> 조경공 : 235,204 * 1 인  / 13 (1/ton)  = 18,092.6</v>
      </c>
      <c r="C2061" s="91">
        <f>E2061+D2061+F2061</f>
        <v>18092.599999999999</v>
      </c>
      <c r="D2061" s="91">
        <f>IF(H2061=0,0,ROUNDDOWN(J2061*H2061,1))</f>
        <v>18092.599999999999</v>
      </c>
      <c r="E2061" s="91">
        <f>IF(H2061=0,0,ROUNDDOWN(K2061*H2061,1))</f>
        <v>0</v>
      </c>
      <c r="F2061" s="91">
        <f>IF(H2061=0,0,ROUNDDOWN(L2061*H2061,1))</f>
        <v>0</v>
      </c>
      <c r="G2061" s="17" t="s">
        <v>2184</v>
      </c>
      <c r="H2061" s="97">
        <f>ROUNDUP(AE2061,14-LEN(ABS(INT(AE2061))))</f>
        <v>7.6923076923100006E-2</v>
      </c>
      <c r="I2061" s="98">
        <f>K2061+J2061+L2061</f>
        <v>235204</v>
      </c>
      <c r="J2061" s="38">
        <f>노무비목록표!E11</f>
        <v>235204</v>
      </c>
      <c r="M2061" s="35" t="s">
        <v>2186</v>
      </c>
      <c r="N2061" s="35" t="s">
        <v>1253</v>
      </c>
      <c r="X2061" s="100" t="str">
        <f>노무비목록표!B11&amp;" / "&amp;노무비목록표!C11</f>
        <v xml:space="preserve">조경공 / </v>
      </c>
      <c r="Y2061" s="3" t="str">
        <f ca="1">HYPERLINK("#"&amp;노무비목록표!G2&amp;"!A"&amp;ROW(노무비목록표!A11),"노무8 →")</f>
        <v>노무8 →</v>
      </c>
      <c r="Z2061" s="35" t="s">
        <v>1446</v>
      </c>
      <c r="AA2061" s="102">
        <v>1</v>
      </c>
      <c r="AB2061" s="35" t="s">
        <v>1413</v>
      </c>
      <c r="AC2061" s="102">
        <v>13</v>
      </c>
      <c r="AD2061" s="35" t="s">
        <v>1410</v>
      </c>
      <c r="AE2061" s="103">
        <f>1*AA2061/AC2061</f>
        <v>7.6923076923076927E-2</v>
      </c>
      <c r="AF2061" s="101"/>
      <c r="AG2061" s="101"/>
      <c r="AH2061" s="101"/>
      <c r="AI2061" s="101"/>
      <c r="AJ2061" s="101"/>
      <c r="AK2061" s="101"/>
      <c r="AL2061" s="101"/>
      <c r="AM2061" s="101"/>
      <c r="AN2061" s="101"/>
    </row>
    <row r="2062" spans="1:40" ht="16.5" customHeight="1" x14ac:dyDescent="0.3">
      <c r="A2062" s="69"/>
      <c r="B2062" s="69"/>
      <c r="C2062" s="69"/>
      <c r="D2062" s="69"/>
      <c r="E2062" s="69"/>
      <c r="F2062" s="69"/>
      <c r="G2062" s="17" t="s">
        <v>1405</v>
      </c>
      <c r="Z2062" s="101"/>
      <c r="AA2062" s="101"/>
      <c r="AB2062" s="101"/>
      <c r="AC2062" s="101"/>
      <c r="AD2062" s="101"/>
      <c r="AE2062" s="101"/>
      <c r="AF2062" s="101"/>
      <c r="AG2062" s="101"/>
      <c r="AH2062" s="101"/>
      <c r="AI2062" s="101"/>
      <c r="AJ2062" s="101"/>
      <c r="AK2062" s="101"/>
      <c r="AL2062" s="101"/>
      <c r="AM2062" s="101"/>
      <c r="AN2062" s="101"/>
    </row>
    <row r="2063" spans="1:40" ht="16.5" customHeight="1" x14ac:dyDescent="0.3">
      <c r="A2063" s="59" t="s">
        <v>2188</v>
      </c>
      <c r="B2063" s="89" t="str">
        <f>" 석  공: "&amp;TEXT(I2063,"#,##0"&amp;IF(I2063&lt;&gt;INT(I2063),".###",""))&amp;" * "&amp;AA2063&amp;" 인 / "&amp;AC2063&amp;" (1일/ton)  = "&amp;TEXT(C2063,"#,##0.0")&amp;""</f>
        <v xml:space="preserve"> 석  공: 268,908 * 3 인 / 13 (1일/ton)  = 62,055.6</v>
      </c>
      <c r="C2063" s="91">
        <f>E2063+D2063+F2063</f>
        <v>62055.6</v>
      </c>
      <c r="D2063" s="91">
        <f>IF(H2063=0,0,ROUNDDOWN(J2063*H2063,1))</f>
        <v>62055.6</v>
      </c>
      <c r="E2063" s="91">
        <f>IF(H2063=0,0,ROUNDDOWN(K2063*H2063,1))</f>
        <v>0</v>
      </c>
      <c r="F2063" s="91">
        <f>IF(H2063=0,0,ROUNDDOWN(L2063*H2063,1))</f>
        <v>0</v>
      </c>
      <c r="G2063" s="17" t="s">
        <v>2187</v>
      </c>
      <c r="H2063" s="97">
        <f>ROUNDUP(AE2063,14-LEN(ABS(INT(AE2063))))</f>
        <v>0.2307692307693</v>
      </c>
      <c r="I2063" s="98">
        <f>K2063+J2063+L2063</f>
        <v>268908</v>
      </c>
      <c r="J2063" s="38">
        <f>노무비목록표!E9</f>
        <v>268908</v>
      </c>
      <c r="M2063" s="35" t="s">
        <v>2189</v>
      </c>
      <c r="N2063" s="35" t="s">
        <v>1253</v>
      </c>
      <c r="X2063" s="100" t="str">
        <f>노무비목록표!B9&amp;" / "&amp;노무비목록표!C9</f>
        <v xml:space="preserve">석공 / </v>
      </c>
      <c r="Y2063" s="3" t="str">
        <f ca="1">HYPERLINK("#"&amp;노무비목록표!G2&amp;"!A"&amp;ROW(노무비목록표!A9),"노무6 →")</f>
        <v>노무6 →</v>
      </c>
      <c r="Z2063" s="35" t="s">
        <v>1446</v>
      </c>
      <c r="AA2063" s="102">
        <v>3</v>
      </c>
      <c r="AB2063" s="35" t="s">
        <v>1413</v>
      </c>
      <c r="AC2063" s="102">
        <v>13</v>
      </c>
      <c r="AD2063" s="35" t="s">
        <v>1410</v>
      </c>
      <c r="AE2063" s="103">
        <f>1*AA2063/AC2063</f>
        <v>0.23076923076923078</v>
      </c>
      <c r="AF2063" s="101"/>
      <c r="AG2063" s="101"/>
      <c r="AH2063" s="101"/>
      <c r="AI2063" s="101"/>
      <c r="AJ2063" s="101"/>
      <c r="AK2063" s="101"/>
      <c r="AL2063" s="101"/>
      <c r="AM2063" s="101"/>
      <c r="AN2063" s="101"/>
    </row>
    <row r="2064" spans="1:40" ht="16.5" customHeight="1" x14ac:dyDescent="0.3">
      <c r="A2064" s="69"/>
      <c r="B2064" s="69"/>
      <c r="C2064" s="69"/>
      <c r="D2064" s="69"/>
      <c r="E2064" s="69"/>
      <c r="F2064" s="69"/>
      <c r="G2064" s="17" t="s">
        <v>1405</v>
      </c>
      <c r="Z2064" s="101"/>
      <c r="AA2064" s="101"/>
      <c r="AB2064" s="101"/>
      <c r="AC2064" s="101"/>
      <c r="AD2064" s="101"/>
      <c r="AE2064" s="101"/>
      <c r="AF2064" s="101"/>
      <c r="AG2064" s="101"/>
      <c r="AH2064" s="101"/>
      <c r="AI2064" s="101"/>
      <c r="AJ2064" s="101"/>
      <c r="AK2064" s="101"/>
      <c r="AL2064" s="101"/>
      <c r="AM2064" s="101"/>
      <c r="AN2064" s="101"/>
    </row>
    <row r="2065" spans="1:40" ht="16.5" customHeight="1" x14ac:dyDescent="0.3">
      <c r="A2065" s="59" t="s">
        <v>278</v>
      </c>
      <c r="B2065" s="89" t="str">
        <f>" 굴삭기: "&amp;TEXT(I2065,"#,##0"&amp;IF(I2065&lt;&gt;INT(I2065),".###",""))&amp;" * "&amp;AA2065&amp;" 인  / "&amp;AC2065&amp;" (1일/ton)   hr  = "&amp;TEXT(C2065,"#,##0.0")&amp;""</f>
        <v xml:space="preserve"> 굴삭기: 104,829 * 1 인  / 13 (1일/ton)   hr  = 8,063.7</v>
      </c>
      <c r="C2065" s="91">
        <f>E2065+D2065+F2065</f>
        <v>8063.7</v>
      </c>
      <c r="D2065" s="91">
        <f>IF(H2065=0,0,ROUNDDOWN(J2065*H2065,1))</f>
        <v>4540</v>
      </c>
      <c r="E2065" s="91">
        <f>IF(H2065=0,0,ROUNDDOWN(K2065*H2065,1))</f>
        <v>1722</v>
      </c>
      <c r="F2065" s="91">
        <f>IF(H2065=0,0,ROUNDDOWN(L2065*H2065,1))</f>
        <v>1801.7</v>
      </c>
      <c r="G2065" s="17" t="s">
        <v>2190</v>
      </c>
      <c r="H2065" s="97">
        <f>ROUNDUP(AE2065,14-LEN(ABS(INT(AE2065))))</f>
        <v>7.6923076923100006E-2</v>
      </c>
      <c r="I2065" s="98">
        <f>K2065+J2065+L2065</f>
        <v>104829</v>
      </c>
      <c r="J2065" s="38">
        <f>중기목록표!F9</f>
        <v>59020</v>
      </c>
      <c r="K2065" s="38">
        <f>중기목록표!G9</f>
        <v>22386</v>
      </c>
      <c r="L2065" s="38">
        <f>중기목록표!H9</f>
        <v>23423</v>
      </c>
      <c r="M2065" s="35" t="s">
        <v>1853</v>
      </c>
      <c r="N2065" s="35" t="s">
        <v>1253</v>
      </c>
      <c r="X2065" s="100" t="str">
        <f>중기목록표!B9&amp;" / "&amp;중기목록표!C9</f>
        <v>굴착기(무한궤도) / 0.6㎥</v>
      </c>
      <c r="Y2065" s="3" t="str">
        <f ca="1">HYPERLINK("#"&amp;중기목록표!J2&amp;"!A"&amp;ROW(중기목록표!A9),"중기6 →")</f>
        <v>중기6 →</v>
      </c>
      <c r="Z2065" s="35" t="s">
        <v>1446</v>
      </c>
      <c r="AA2065" s="102">
        <v>1</v>
      </c>
      <c r="AB2065" s="35" t="s">
        <v>1413</v>
      </c>
      <c r="AC2065" s="102">
        <v>13</v>
      </c>
      <c r="AD2065" s="35" t="s">
        <v>1410</v>
      </c>
      <c r="AE2065" s="103">
        <f>1*AA2065/AC2065</f>
        <v>7.6923076923076927E-2</v>
      </c>
      <c r="AF2065" s="101"/>
      <c r="AG2065" s="101"/>
      <c r="AH2065" s="101"/>
      <c r="AI2065" s="101"/>
      <c r="AJ2065" s="101"/>
      <c r="AK2065" s="101"/>
      <c r="AL2065" s="101"/>
      <c r="AM2065" s="101"/>
      <c r="AN2065" s="101"/>
    </row>
    <row r="2066" spans="1:40" ht="16.5" customHeight="1" x14ac:dyDescent="0.3">
      <c r="A2066" s="69"/>
      <c r="B2066" s="69"/>
      <c r="C2066" s="69"/>
      <c r="D2066" s="69"/>
      <c r="E2066" s="69"/>
      <c r="F2066" s="69"/>
      <c r="G2066" s="17" t="s">
        <v>1405</v>
      </c>
      <c r="Z2066" s="101"/>
      <c r="AA2066" s="101"/>
      <c r="AB2066" s="101"/>
      <c r="AC2066" s="101"/>
      <c r="AD2066" s="101"/>
      <c r="AE2066" s="101"/>
      <c r="AF2066" s="101"/>
      <c r="AG2066" s="101"/>
      <c r="AH2066" s="101"/>
      <c r="AI2066" s="101"/>
      <c r="AJ2066" s="101"/>
      <c r="AK2066" s="101"/>
      <c r="AL2066" s="101"/>
      <c r="AM2066" s="101"/>
      <c r="AN2066" s="101"/>
    </row>
    <row r="2067" spans="1:40" ht="16.5" customHeight="1" x14ac:dyDescent="0.3">
      <c r="A2067" s="59"/>
      <c r="B2067" s="68" t="s">
        <v>1251</v>
      </c>
      <c r="C2067" s="92">
        <f>E2067+D2067+F2067</f>
        <v>88211.9</v>
      </c>
      <c r="D2067" s="92">
        <f>SUMIF(N2057:N2066,M2067,D2057:D2066)</f>
        <v>84688.2</v>
      </c>
      <c r="E2067" s="92">
        <f>SUMIF(N2057:N2066,M2067,E2057:E2066)</f>
        <v>1722</v>
      </c>
      <c r="F2067" s="92">
        <f>SUMIF(N2057:N2066,M2067,F2057:F2066)</f>
        <v>1801.7</v>
      </c>
      <c r="G2067" s="17" t="s">
        <v>1476</v>
      </c>
      <c r="M2067" s="35" t="s">
        <v>1253</v>
      </c>
      <c r="N2067" s="35" t="s">
        <v>1209</v>
      </c>
      <c r="Z2067" s="101"/>
      <c r="AA2067" s="101"/>
      <c r="AB2067" s="101"/>
      <c r="AC2067" s="101"/>
      <c r="AD2067" s="101"/>
      <c r="AE2067" s="101"/>
      <c r="AF2067" s="101"/>
      <c r="AG2067" s="101"/>
      <c r="AH2067" s="101"/>
      <c r="AI2067" s="101"/>
      <c r="AJ2067" s="101"/>
      <c r="AK2067" s="101"/>
      <c r="AL2067" s="101"/>
      <c r="AM2067" s="101"/>
      <c r="AN2067" s="101"/>
    </row>
    <row r="2068" spans="1:40" ht="16.5" customHeight="1" x14ac:dyDescent="0.3">
      <c r="A2068" s="69"/>
      <c r="B2068" s="69"/>
      <c r="C2068" s="90"/>
      <c r="D2068" s="90"/>
      <c r="E2068" s="90"/>
      <c r="F2068" s="90"/>
      <c r="Z2068" s="101"/>
      <c r="AA2068" s="101"/>
      <c r="AB2068" s="101"/>
      <c r="AC2068" s="101"/>
      <c r="AD2068" s="101"/>
      <c r="AE2068" s="101"/>
      <c r="AF2068" s="101"/>
      <c r="AG2068" s="101"/>
      <c r="AH2068" s="101"/>
      <c r="AI2068" s="101"/>
      <c r="AJ2068" s="101"/>
      <c r="AK2068" s="101"/>
      <c r="AL2068" s="101"/>
      <c r="AM2068" s="101"/>
      <c r="AN2068" s="101"/>
    </row>
    <row r="2069" spans="1:40" ht="16.5" customHeight="1" x14ac:dyDescent="0.3">
      <c r="A2069" s="69"/>
      <c r="B2069" s="69"/>
      <c r="C2069" s="69"/>
      <c r="D2069" s="69"/>
      <c r="E2069" s="69"/>
      <c r="F2069" s="69"/>
      <c r="Z2069" s="101"/>
      <c r="AA2069" s="101"/>
      <c r="AB2069" s="101"/>
      <c r="AC2069" s="101"/>
      <c r="AD2069" s="101"/>
      <c r="AE2069" s="101"/>
      <c r="AF2069" s="101"/>
      <c r="AG2069" s="101"/>
      <c r="AH2069" s="101"/>
      <c r="AI2069" s="101"/>
      <c r="AJ2069" s="101"/>
      <c r="AK2069" s="101"/>
      <c r="AL2069" s="101"/>
      <c r="AM2069" s="101"/>
      <c r="AN2069" s="101"/>
    </row>
    <row r="2070" spans="1:40" ht="16.5" customHeight="1" x14ac:dyDescent="0.3">
      <c r="A2070" s="69"/>
      <c r="B2070" s="69"/>
      <c r="C2070" s="69"/>
      <c r="D2070" s="69"/>
      <c r="E2070" s="69"/>
      <c r="F2070" s="69"/>
      <c r="Z2070" s="101"/>
      <c r="AA2070" s="101"/>
      <c r="AB2070" s="101"/>
      <c r="AC2070" s="101"/>
      <c r="AD2070" s="101"/>
      <c r="AE2070" s="101"/>
      <c r="AF2070" s="101"/>
      <c r="AG2070" s="101"/>
      <c r="AH2070" s="101"/>
      <c r="AI2070" s="101"/>
      <c r="AJ2070" s="101"/>
      <c r="AK2070" s="101"/>
      <c r="AL2070" s="101"/>
      <c r="AM2070" s="101"/>
      <c r="AN2070" s="101"/>
    </row>
    <row r="2071" spans="1:40" ht="16.5" customHeight="1" x14ac:dyDescent="0.3">
      <c r="A2071" s="69"/>
      <c r="B2071" s="69"/>
      <c r="C2071" s="69"/>
      <c r="D2071" s="69"/>
      <c r="E2071" s="69"/>
      <c r="F2071" s="69"/>
      <c r="Z2071" s="101"/>
      <c r="AA2071" s="101"/>
      <c r="AB2071" s="101"/>
      <c r="AC2071" s="101"/>
      <c r="AD2071" s="101"/>
      <c r="AE2071" s="101"/>
      <c r="AF2071" s="101"/>
      <c r="AG2071" s="101"/>
      <c r="AH2071" s="101"/>
      <c r="AI2071" s="101"/>
      <c r="AJ2071" s="101"/>
      <c r="AK2071" s="101"/>
      <c r="AL2071" s="101"/>
      <c r="AM2071" s="101"/>
      <c r="AN2071" s="101"/>
    </row>
    <row r="2072" spans="1:40" ht="16.5" customHeight="1" x14ac:dyDescent="0.3">
      <c r="A2072" s="69"/>
      <c r="B2072" s="69"/>
      <c r="C2072" s="69"/>
      <c r="D2072" s="69"/>
      <c r="E2072" s="69"/>
      <c r="F2072" s="69"/>
      <c r="Z2072" s="101"/>
      <c r="AA2072" s="101"/>
      <c r="AB2072" s="101"/>
      <c r="AC2072" s="101"/>
      <c r="AD2072" s="101"/>
      <c r="AE2072" s="101"/>
      <c r="AF2072" s="101"/>
      <c r="AG2072" s="101"/>
      <c r="AH2072" s="101"/>
      <c r="AI2072" s="101"/>
      <c r="AJ2072" s="101"/>
      <c r="AK2072" s="101"/>
      <c r="AL2072" s="101"/>
      <c r="AM2072" s="101"/>
      <c r="AN2072" s="101"/>
    </row>
    <row r="2073" spans="1:40" ht="16.5" customHeight="1" x14ac:dyDescent="0.3">
      <c r="A2073" s="69"/>
      <c r="B2073" s="69"/>
      <c r="C2073" s="69"/>
      <c r="D2073" s="69"/>
      <c r="E2073" s="69"/>
      <c r="F2073" s="69"/>
      <c r="Z2073" s="101"/>
      <c r="AA2073" s="101"/>
      <c r="AB2073" s="101"/>
      <c r="AC2073" s="101"/>
      <c r="AD2073" s="101"/>
      <c r="AE2073" s="101"/>
      <c r="AF2073" s="101"/>
      <c r="AG2073" s="101"/>
      <c r="AH2073" s="101"/>
      <c r="AI2073" s="101"/>
      <c r="AJ2073" s="101"/>
      <c r="AK2073" s="101"/>
      <c r="AL2073" s="101"/>
      <c r="AM2073" s="101"/>
      <c r="AN2073" s="101"/>
    </row>
    <row r="2074" spans="1:40" ht="16.5" customHeight="1" x14ac:dyDescent="0.3">
      <c r="A2074" s="69"/>
      <c r="B2074" s="69"/>
      <c r="C2074" s="69"/>
      <c r="D2074" s="69"/>
      <c r="E2074" s="69"/>
      <c r="F2074" s="69"/>
      <c r="Z2074" s="101"/>
      <c r="AA2074" s="101"/>
      <c r="AB2074" s="101"/>
      <c r="AC2074" s="101"/>
      <c r="AD2074" s="101"/>
      <c r="AE2074" s="101"/>
      <c r="AF2074" s="101"/>
      <c r="AG2074" s="101"/>
      <c r="AH2074" s="101"/>
      <c r="AI2074" s="101"/>
      <c r="AJ2074" s="101"/>
      <c r="AK2074" s="101"/>
      <c r="AL2074" s="101"/>
      <c r="AM2074" s="101"/>
      <c r="AN2074" s="101"/>
    </row>
    <row r="2075" spans="1:40" ht="16.5" customHeight="1" x14ac:dyDescent="0.3">
      <c r="A2075" s="69"/>
      <c r="B2075" s="69"/>
      <c r="C2075" s="69"/>
      <c r="D2075" s="69"/>
      <c r="E2075" s="69"/>
      <c r="F2075" s="69"/>
      <c r="Z2075" s="101"/>
      <c r="AA2075" s="101"/>
      <c r="AB2075" s="101"/>
      <c r="AC2075" s="101"/>
      <c r="AD2075" s="101"/>
      <c r="AE2075" s="101"/>
      <c r="AF2075" s="101"/>
      <c r="AG2075" s="101"/>
      <c r="AH2075" s="101"/>
      <c r="AI2075" s="101"/>
      <c r="AJ2075" s="101"/>
      <c r="AK2075" s="101"/>
      <c r="AL2075" s="101"/>
      <c r="AM2075" s="101"/>
      <c r="AN2075" s="101"/>
    </row>
    <row r="2076" spans="1:40" ht="16.5" customHeight="1" x14ac:dyDescent="0.3">
      <c r="A2076" s="69"/>
      <c r="B2076" s="69"/>
      <c r="C2076" s="69"/>
      <c r="D2076" s="69"/>
      <c r="E2076" s="69"/>
      <c r="F2076" s="69"/>
      <c r="Z2076" s="101"/>
      <c r="AA2076" s="101"/>
      <c r="AB2076" s="101"/>
      <c r="AC2076" s="101"/>
      <c r="AD2076" s="101"/>
      <c r="AE2076" s="101"/>
      <c r="AF2076" s="101"/>
      <c r="AG2076" s="101"/>
      <c r="AH2076" s="101"/>
      <c r="AI2076" s="101"/>
      <c r="AJ2076" s="101"/>
      <c r="AK2076" s="101"/>
      <c r="AL2076" s="101"/>
      <c r="AM2076" s="101"/>
      <c r="AN2076" s="101"/>
    </row>
    <row r="2077" spans="1:40" ht="16.5" customHeight="1" x14ac:dyDescent="0.3">
      <c r="A2077" s="69"/>
      <c r="B2077" s="69"/>
      <c r="C2077" s="69"/>
      <c r="D2077" s="69"/>
      <c r="E2077" s="69"/>
      <c r="F2077" s="69"/>
      <c r="Z2077" s="101"/>
      <c r="AA2077" s="101"/>
      <c r="AB2077" s="101"/>
      <c r="AC2077" s="101"/>
      <c r="AD2077" s="101"/>
      <c r="AE2077" s="101"/>
      <c r="AF2077" s="101"/>
      <c r="AG2077" s="101"/>
      <c r="AH2077" s="101"/>
      <c r="AI2077" s="101"/>
      <c r="AJ2077" s="101"/>
      <c r="AK2077" s="101"/>
      <c r="AL2077" s="101"/>
      <c r="AM2077" s="101"/>
      <c r="AN2077" s="101"/>
    </row>
    <row r="2078" spans="1:40" ht="16.5" customHeight="1" x14ac:dyDescent="0.3">
      <c r="A2078" s="69"/>
      <c r="B2078" s="69"/>
      <c r="C2078" s="69"/>
      <c r="D2078" s="69"/>
      <c r="E2078" s="69"/>
      <c r="F2078" s="69"/>
      <c r="Z2078" s="101"/>
      <c r="AA2078" s="101"/>
      <c r="AB2078" s="101"/>
      <c r="AC2078" s="101"/>
      <c r="AD2078" s="101"/>
      <c r="AE2078" s="101"/>
      <c r="AF2078" s="101"/>
      <c r="AG2078" s="101"/>
      <c r="AH2078" s="101"/>
      <c r="AI2078" s="101"/>
      <c r="AJ2078" s="101"/>
      <c r="AK2078" s="101"/>
      <c r="AL2078" s="101"/>
      <c r="AM2078" s="101"/>
      <c r="AN2078" s="101"/>
    </row>
    <row r="2079" spans="1:40" ht="16.5" customHeight="1" x14ac:dyDescent="0.3">
      <c r="A2079" s="69"/>
      <c r="B2079" s="69"/>
      <c r="C2079" s="69"/>
      <c r="D2079" s="69"/>
      <c r="E2079" s="69"/>
      <c r="F2079" s="69"/>
      <c r="Z2079" s="101"/>
      <c r="AA2079" s="101"/>
      <c r="AB2079" s="101"/>
      <c r="AC2079" s="101"/>
      <c r="AD2079" s="101"/>
      <c r="AE2079" s="101"/>
      <c r="AF2079" s="101"/>
      <c r="AG2079" s="101"/>
      <c r="AH2079" s="101"/>
      <c r="AI2079" s="101"/>
      <c r="AJ2079" s="101"/>
      <c r="AK2079" s="101"/>
      <c r="AL2079" s="101"/>
      <c r="AM2079" s="101"/>
      <c r="AN2079" s="101"/>
    </row>
    <row r="2080" spans="1:40" ht="16.5" customHeight="1" x14ac:dyDescent="0.3">
      <c r="A2080" s="69"/>
      <c r="B2080" s="69"/>
      <c r="C2080" s="69"/>
      <c r="D2080" s="69"/>
      <c r="E2080" s="69"/>
      <c r="F2080" s="69"/>
      <c r="Z2080" s="101"/>
      <c r="AA2080" s="101"/>
      <c r="AB2080" s="101"/>
      <c r="AC2080" s="101"/>
      <c r="AD2080" s="101"/>
      <c r="AE2080" s="101"/>
      <c r="AF2080" s="101"/>
      <c r="AG2080" s="101"/>
      <c r="AH2080" s="101"/>
      <c r="AI2080" s="101"/>
      <c r="AJ2080" s="101"/>
      <c r="AK2080" s="101"/>
      <c r="AL2080" s="101"/>
      <c r="AM2080" s="101"/>
      <c r="AN2080" s="101"/>
    </row>
    <row r="2081" spans="1:40" ht="16.5" customHeight="1" x14ac:dyDescent="0.3">
      <c r="A2081" s="69"/>
      <c r="B2081" s="69"/>
      <c r="C2081" s="69"/>
      <c r="D2081" s="69"/>
      <c r="E2081" s="69"/>
      <c r="F2081" s="69"/>
      <c r="Z2081" s="101"/>
      <c r="AA2081" s="101"/>
      <c r="AB2081" s="101"/>
      <c r="AC2081" s="101"/>
      <c r="AD2081" s="101"/>
      <c r="AE2081" s="101"/>
      <c r="AF2081" s="101"/>
      <c r="AG2081" s="101"/>
      <c r="AH2081" s="101"/>
      <c r="AI2081" s="101"/>
      <c r="AJ2081" s="101"/>
      <c r="AK2081" s="101"/>
      <c r="AL2081" s="101"/>
      <c r="AM2081" s="101"/>
      <c r="AN2081" s="101"/>
    </row>
    <row r="2082" spans="1:40" ht="16.5" customHeight="1" x14ac:dyDescent="0.3">
      <c r="A2082" s="69"/>
      <c r="B2082" s="69"/>
      <c r="C2082" s="69"/>
      <c r="D2082" s="69"/>
      <c r="E2082" s="69"/>
      <c r="F2082" s="69"/>
      <c r="Z2082" s="101"/>
      <c r="AA2082" s="101"/>
      <c r="AB2082" s="101"/>
      <c r="AC2082" s="101"/>
      <c r="AD2082" s="101"/>
      <c r="AE2082" s="101"/>
      <c r="AF2082" s="101"/>
      <c r="AG2082" s="101"/>
      <c r="AH2082" s="101"/>
      <c r="AI2082" s="101"/>
      <c r="AJ2082" s="101"/>
      <c r="AK2082" s="101"/>
      <c r="AL2082" s="101"/>
      <c r="AM2082" s="101"/>
      <c r="AN2082" s="101"/>
    </row>
    <row r="2083" spans="1:40" ht="16.5" customHeight="1" x14ac:dyDescent="0.3">
      <c r="A2083" s="69"/>
      <c r="B2083" s="69"/>
      <c r="C2083" s="69"/>
      <c r="D2083" s="69"/>
      <c r="E2083" s="69"/>
      <c r="F2083" s="69"/>
      <c r="Z2083" s="101"/>
      <c r="AA2083" s="101"/>
      <c r="AB2083" s="101"/>
      <c r="AC2083" s="101"/>
      <c r="AD2083" s="101"/>
      <c r="AE2083" s="101"/>
      <c r="AF2083" s="101"/>
      <c r="AG2083" s="101"/>
      <c r="AH2083" s="101"/>
      <c r="AI2083" s="101"/>
      <c r="AJ2083" s="101"/>
      <c r="AK2083" s="101"/>
      <c r="AL2083" s="101"/>
      <c r="AM2083" s="101"/>
      <c r="AN2083" s="101"/>
    </row>
    <row r="2084" spans="1:40" ht="16.5" customHeight="1" x14ac:dyDescent="0.3">
      <c r="A2084" s="69"/>
      <c r="B2084" s="69"/>
      <c r="C2084" s="69"/>
      <c r="D2084" s="69"/>
      <c r="E2084" s="69"/>
      <c r="F2084" s="69"/>
      <c r="Z2084" s="101"/>
      <c r="AA2084" s="101"/>
      <c r="AB2084" s="101"/>
      <c r="AC2084" s="101"/>
      <c r="AD2084" s="101"/>
      <c r="AE2084" s="101"/>
      <c r="AF2084" s="101"/>
      <c r="AG2084" s="101"/>
      <c r="AH2084" s="101"/>
      <c r="AI2084" s="101"/>
      <c r="AJ2084" s="101"/>
      <c r="AK2084" s="101"/>
      <c r="AL2084" s="101"/>
      <c r="AM2084" s="101"/>
      <c r="AN2084" s="101"/>
    </row>
    <row r="2085" spans="1:40" ht="16.5" customHeight="1" x14ac:dyDescent="0.3">
      <c r="A2085" s="69"/>
      <c r="B2085" s="69"/>
      <c r="C2085" s="69"/>
      <c r="D2085" s="69"/>
      <c r="E2085" s="69"/>
      <c r="F2085" s="69"/>
      <c r="Z2085" s="101"/>
      <c r="AA2085" s="101"/>
      <c r="AB2085" s="101"/>
      <c r="AC2085" s="101"/>
      <c r="AD2085" s="101"/>
      <c r="AE2085" s="101"/>
      <c r="AF2085" s="101"/>
      <c r="AG2085" s="101"/>
      <c r="AH2085" s="101"/>
      <c r="AI2085" s="101"/>
      <c r="AJ2085" s="101"/>
      <c r="AK2085" s="101"/>
      <c r="AL2085" s="101"/>
      <c r="AM2085" s="101"/>
      <c r="AN2085" s="101"/>
    </row>
    <row r="2086" spans="1:40" ht="16.5" customHeight="1" x14ac:dyDescent="0.3">
      <c r="A2086" s="69"/>
      <c r="B2086" s="69"/>
      <c r="C2086" s="69"/>
      <c r="D2086" s="69"/>
      <c r="E2086" s="69"/>
      <c r="F2086" s="69"/>
      <c r="Z2086" s="101"/>
      <c r="AA2086" s="101"/>
      <c r="AB2086" s="101"/>
      <c r="AC2086" s="101"/>
      <c r="AD2086" s="101"/>
      <c r="AE2086" s="101"/>
      <c r="AF2086" s="101"/>
      <c r="AG2086" s="101"/>
      <c r="AH2086" s="101"/>
      <c r="AI2086" s="101"/>
      <c r="AJ2086" s="101"/>
      <c r="AK2086" s="101"/>
      <c r="AL2086" s="101"/>
      <c r="AM2086" s="101"/>
      <c r="AN2086" s="101"/>
    </row>
    <row r="2087" spans="1:40" ht="16.5" customHeight="1" x14ac:dyDescent="0.3">
      <c r="A2087" s="69"/>
      <c r="B2087" s="69"/>
      <c r="C2087" s="69"/>
      <c r="D2087" s="69"/>
      <c r="E2087" s="69"/>
      <c r="F2087" s="69"/>
      <c r="Z2087" s="101"/>
      <c r="AA2087" s="101"/>
      <c r="AB2087" s="101"/>
      <c r="AC2087" s="101"/>
      <c r="AD2087" s="101"/>
      <c r="AE2087" s="101"/>
      <c r="AF2087" s="101"/>
      <c r="AG2087" s="101"/>
      <c r="AH2087" s="101"/>
      <c r="AI2087" s="101"/>
      <c r="AJ2087" s="101"/>
      <c r="AK2087" s="101"/>
      <c r="AL2087" s="101"/>
      <c r="AM2087" s="101"/>
      <c r="AN2087" s="101"/>
    </row>
    <row r="2088" spans="1:40" ht="16.5" customHeight="1" x14ac:dyDescent="0.3">
      <c r="A2088" s="69"/>
      <c r="B2088" s="69"/>
      <c r="C2088" s="69"/>
      <c r="D2088" s="69"/>
      <c r="E2088" s="69"/>
      <c r="F2088" s="69"/>
      <c r="Z2088" s="101"/>
      <c r="AA2088" s="101"/>
      <c r="AB2088" s="101"/>
      <c r="AC2088" s="101"/>
      <c r="AD2088" s="101"/>
      <c r="AE2088" s="101"/>
      <c r="AF2088" s="101"/>
      <c r="AG2088" s="101"/>
      <c r="AH2088" s="101"/>
      <c r="AI2088" s="101"/>
      <c r="AJ2088" s="101"/>
      <c r="AK2088" s="101"/>
      <c r="AL2088" s="101"/>
      <c r="AM2088" s="101"/>
      <c r="AN2088" s="101"/>
    </row>
    <row r="2089" spans="1:40" ht="16.5" customHeight="1" x14ac:dyDescent="0.3">
      <c r="A2089" s="69"/>
      <c r="B2089" s="69"/>
      <c r="C2089" s="69"/>
      <c r="D2089" s="69"/>
      <c r="E2089" s="69"/>
      <c r="F2089" s="69"/>
      <c r="Z2089" s="101"/>
      <c r="AA2089" s="101"/>
      <c r="AB2089" s="101"/>
      <c r="AC2089" s="101"/>
      <c r="AD2089" s="101"/>
      <c r="AE2089" s="101"/>
      <c r="AF2089" s="101"/>
      <c r="AG2089" s="101"/>
      <c r="AH2089" s="101"/>
      <c r="AI2089" s="101"/>
      <c r="AJ2089" s="101"/>
      <c r="AK2089" s="101"/>
      <c r="AL2089" s="101"/>
      <c r="AM2089" s="101"/>
      <c r="AN2089" s="101"/>
    </row>
    <row r="2090" spans="1:40" ht="16.5" customHeight="1" x14ac:dyDescent="0.3">
      <c r="A2090" s="69"/>
      <c r="B2090" s="69"/>
      <c r="C2090" s="69"/>
      <c r="D2090" s="69"/>
      <c r="E2090" s="69"/>
      <c r="F2090" s="69"/>
      <c r="Z2090" s="101"/>
      <c r="AA2090" s="101"/>
      <c r="AB2090" s="101"/>
      <c r="AC2090" s="101"/>
      <c r="AD2090" s="101"/>
      <c r="AE2090" s="101"/>
      <c r="AF2090" s="101"/>
      <c r="AG2090" s="101"/>
      <c r="AH2090" s="101"/>
      <c r="AI2090" s="101"/>
      <c r="AJ2090" s="101"/>
      <c r="AK2090" s="101"/>
      <c r="AL2090" s="101"/>
      <c r="AM2090" s="101"/>
      <c r="AN2090" s="101"/>
    </row>
    <row r="2091" spans="1:40" ht="16.5" customHeight="1" x14ac:dyDescent="0.3">
      <c r="A2091" s="69"/>
      <c r="B2091" s="69"/>
      <c r="C2091" s="69"/>
      <c r="D2091" s="69"/>
      <c r="E2091" s="69"/>
      <c r="F2091" s="69"/>
      <c r="Z2091" s="101"/>
      <c r="AA2091" s="101"/>
      <c r="AB2091" s="101"/>
      <c r="AC2091" s="101"/>
      <c r="AD2091" s="101"/>
      <c r="AE2091" s="101"/>
      <c r="AF2091" s="101"/>
      <c r="AG2091" s="101"/>
      <c r="AH2091" s="101"/>
      <c r="AI2091" s="101"/>
      <c r="AJ2091" s="101"/>
      <c r="AK2091" s="101"/>
      <c r="AL2091" s="101"/>
      <c r="AM2091" s="101"/>
      <c r="AN2091" s="101"/>
    </row>
    <row r="2092" spans="1:40" ht="16.5" customHeight="1" x14ac:dyDescent="0.3">
      <c r="A2092" s="69"/>
      <c r="B2092" s="69"/>
      <c r="C2092" s="69"/>
      <c r="D2092" s="69"/>
      <c r="E2092" s="69"/>
      <c r="F2092" s="69"/>
      <c r="Z2092" s="101"/>
      <c r="AA2092" s="101"/>
      <c r="AB2092" s="101"/>
      <c r="AC2092" s="101"/>
      <c r="AD2092" s="101"/>
      <c r="AE2092" s="101"/>
      <c r="AF2092" s="101"/>
      <c r="AG2092" s="101"/>
      <c r="AH2092" s="101"/>
      <c r="AI2092" s="101"/>
      <c r="AJ2092" s="101"/>
      <c r="AK2092" s="101"/>
      <c r="AL2092" s="101"/>
      <c r="AM2092" s="101"/>
      <c r="AN2092" s="101"/>
    </row>
    <row r="2093" spans="1:40" ht="16.5" customHeight="1" x14ac:dyDescent="0.3">
      <c r="A2093" s="69"/>
      <c r="B2093" s="69"/>
      <c r="C2093" s="69"/>
      <c r="D2093" s="69"/>
      <c r="E2093" s="69"/>
      <c r="F2093" s="69"/>
      <c r="Z2093" s="101"/>
      <c r="AA2093" s="101"/>
      <c r="AB2093" s="101"/>
      <c r="AC2093" s="101"/>
      <c r="AD2093" s="101"/>
      <c r="AE2093" s="101"/>
      <c r="AF2093" s="101"/>
      <c r="AG2093" s="101"/>
      <c r="AH2093" s="101"/>
      <c r="AI2093" s="101"/>
      <c r="AJ2093" s="101"/>
      <c r="AK2093" s="101"/>
      <c r="AL2093" s="101"/>
      <c r="AM2093" s="101"/>
      <c r="AN2093" s="101"/>
    </row>
    <row r="2094" spans="1:40" ht="16.5" customHeight="1" x14ac:dyDescent="0.3">
      <c r="A2094" s="69"/>
      <c r="B2094" s="69"/>
      <c r="C2094" s="69"/>
      <c r="D2094" s="69"/>
      <c r="E2094" s="69"/>
      <c r="F2094" s="69"/>
      <c r="Z2094" s="101"/>
      <c r="AA2094" s="101"/>
      <c r="AB2094" s="101"/>
      <c r="AC2094" s="101"/>
      <c r="AD2094" s="101"/>
      <c r="AE2094" s="101"/>
      <c r="AF2094" s="101"/>
      <c r="AG2094" s="101"/>
      <c r="AH2094" s="101"/>
      <c r="AI2094" s="101"/>
      <c r="AJ2094" s="101"/>
      <c r="AK2094" s="101"/>
      <c r="AL2094" s="101"/>
      <c r="AM2094" s="101"/>
      <c r="AN2094" s="101"/>
    </row>
    <row r="2095" spans="1:40" ht="16.5" customHeight="1" x14ac:dyDescent="0.3">
      <c r="A2095" s="69"/>
      <c r="B2095" s="69"/>
      <c r="C2095" s="69"/>
      <c r="D2095" s="69"/>
      <c r="E2095" s="69"/>
      <c r="F2095" s="69"/>
      <c r="Z2095" s="101"/>
      <c r="AA2095" s="101"/>
      <c r="AB2095" s="101"/>
      <c r="AC2095" s="101"/>
      <c r="AD2095" s="101"/>
      <c r="AE2095" s="101"/>
      <c r="AF2095" s="101"/>
      <c r="AG2095" s="101"/>
      <c r="AH2095" s="101"/>
      <c r="AI2095" s="101"/>
      <c r="AJ2095" s="101"/>
      <c r="AK2095" s="101"/>
      <c r="AL2095" s="101"/>
      <c r="AM2095" s="101"/>
      <c r="AN2095" s="101"/>
    </row>
    <row r="2096" spans="1:40" ht="16.5" customHeight="1" x14ac:dyDescent="0.3">
      <c r="A2096" s="69"/>
      <c r="B2096" s="69"/>
      <c r="C2096" s="69"/>
      <c r="D2096" s="69"/>
      <c r="E2096" s="69"/>
      <c r="F2096" s="69"/>
      <c r="Z2096" s="101"/>
      <c r="AA2096" s="101"/>
      <c r="AB2096" s="101"/>
      <c r="AC2096" s="101"/>
      <c r="AD2096" s="101"/>
      <c r="AE2096" s="101"/>
      <c r="AF2096" s="101"/>
      <c r="AG2096" s="101"/>
      <c r="AH2096" s="101"/>
      <c r="AI2096" s="101"/>
      <c r="AJ2096" s="101"/>
      <c r="AK2096" s="101"/>
      <c r="AL2096" s="101"/>
      <c r="AM2096" s="101"/>
      <c r="AN2096" s="101"/>
    </row>
    <row r="2097" spans="1:40" ht="16.5" customHeight="1" x14ac:dyDescent="0.3">
      <c r="A2097" s="69"/>
      <c r="B2097" s="69"/>
      <c r="C2097" s="69"/>
      <c r="D2097" s="69"/>
      <c r="E2097" s="69"/>
      <c r="F2097" s="69"/>
      <c r="Z2097" s="101"/>
      <c r="AA2097" s="101"/>
      <c r="AB2097" s="101"/>
      <c r="AC2097" s="101"/>
      <c r="AD2097" s="101"/>
      <c r="AE2097" s="101"/>
      <c r="AF2097" s="101"/>
      <c r="AG2097" s="101"/>
      <c r="AH2097" s="101"/>
      <c r="AI2097" s="101"/>
      <c r="AJ2097" s="101"/>
      <c r="AK2097" s="101"/>
      <c r="AL2097" s="101"/>
      <c r="AM2097" s="101"/>
      <c r="AN2097" s="101"/>
    </row>
    <row r="2098" spans="1:40" ht="16.5" customHeight="1" x14ac:dyDescent="0.3">
      <c r="A2098" s="69"/>
      <c r="B2098" s="69"/>
      <c r="C2098" s="69"/>
      <c r="D2098" s="69"/>
      <c r="E2098" s="69"/>
      <c r="F2098" s="69"/>
      <c r="Z2098" s="101"/>
      <c r="AA2098" s="101"/>
      <c r="AB2098" s="101"/>
      <c r="AC2098" s="101"/>
      <c r="AD2098" s="101"/>
      <c r="AE2098" s="101"/>
      <c r="AF2098" s="101"/>
      <c r="AG2098" s="101"/>
      <c r="AH2098" s="101"/>
      <c r="AI2098" s="101"/>
      <c r="AJ2098" s="101"/>
      <c r="AK2098" s="101"/>
      <c r="AL2098" s="101"/>
      <c r="AM2098" s="101"/>
      <c r="AN2098" s="101"/>
    </row>
    <row r="2099" spans="1:40" ht="16.5" customHeight="1" x14ac:dyDescent="0.3">
      <c r="A2099" s="69"/>
      <c r="B2099" s="69"/>
      <c r="C2099" s="69"/>
      <c r="D2099" s="69"/>
      <c r="E2099" s="69"/>
      <c r="F2099" s="69"/>
      <c r="Z2099" s="101"/>
      <c r="AA2099" s="101"/>
      <c r="AB2099" s="101"/>
      <c r="AC2099" s="101"/>
      <c r="AD2099" s="101"/>
      <c r="AE2099" s="101"/>
      <c r="AF2099" s="101"/>
      <c r="AG2099" s="101"/>
      <c r="AH2099" s="101"/>
      <c r="AI2099" s="101"/>
      <c r="AJ2099" s="101"/>
      <c r="AK2099" s="101"/>
      <c r="AL2099" s="101"/>
      <c r="AM2099" s="101"/>
      <c r="AN2099" s="101"/>
    </row>
    <row r="2100" spans="1:40" ht="16.5" customHeight="1" x14ac:dyDescent="0.3">
      <c r="A2100" s="69"/>
      <c r="B2100" s="69"/>
      <c r="C2100" s="69"/>
      <c r="D2100" s="69"/>
      <c r="E2100" s="69"/>
      <c r="F2100" s="69"/>
      <c r="Z2100" s="101"/>
      <c r="AA2100" s="101"/>
      <c r="AB2100" s="101"/>
      <c r="AC2100" s="101"/>
      <c r="AD2100" s="101"/>
      <c r="AE2100" s="101"/>
      <c r="AF2100" s="101"/>
      <c r="AG2100" s="101"/>
      <c r="AH2100" s="101"/>
      <c r="AI2100" s="101"/>
      <c r="AJ2100" s="101"/>
      <c r="AK2100" s="101"/>
      <c r="AL2100" s="101"/>
      <c r="AM2100" s="101"/>
      <c r="AN2100" s="101"/>
    </row>
    <row r="2101" spans="1:40" ht="16.5" customHeight="1" x14ac:dyDescent="0.3">
      <c r="A2101" s="69"/>
      <c r="B2101" s="69"/>
      <c r="C2101" s="69"/>
      <c r="D2101" s="69"/>
      <c r="E2101" s="69"/>
      <c r="F2101" s="69"/>
      <c r="Z2101" s="101"/>
      <c r="AA2101" s="101"/>
      <c r="AB2101" s="101"/>
      <c r="AC2101" s="101"/>
      <c r="AD2101" s="101"/>
      <c r="AE2101" s="101"/>
      <c r="AF2101" s="101"/>
      <c r="AG2101" s="101"/>
      <c r="AH2101" s="101"/>
      <c r="AI2101" s="101"/>
      <c r="AJ2101" s="101"/>
      <c r="AK2101" s="101"/>
      <c r="AL2101" s="101"/>
      <c r="AM2101" s="101"/>
      <c r="AN2101" s="101"/>
    </row>
    <row r="2102" spans="1:40" ht="16.5" customHeight="1" x14ac:dyDescent="0.3">
      <c r="A2102" s="69"/>
      <c r="B2102" s="69"/>
      <c r="C2102" s="69"/>
      <c r="D2102" s="69"/>
      <c r="E2102" s="69"/>
      <c r="F2102" s="69"/>
      <c r="Z2102" s="101"/>
      <c r="AA2102" s="101"/>
      <c r="AB2102" s="101"/>
      <c r="AC2102" s="101"/>
      <c r="AD2102" s="101"/>
      <c r="AE2102" s="101"/>
      <c r="AF2102" s="101"/>
      <c r="AG2102" s="101"/>
      <c r="AH2102" s="101"/>
      <c r="AI2102" s="101"/>
      <c r="AJ2102" s="101"/>
      <c r="AK2102" s="101"/>
      <c r="AL2102" s="101"/>
      <c r="AM2102" s="101"/>
      <c r="AN2102" s="101"/>
    </row>
    <row r="2103" spans="1:40" ht="16.5" customHeight="1" x14ac:dyDescent="0.3">
      <c r="A2103" s="74"/>
      <c r="B2103" s="74"/>
      <c r="C2103" s="74"/>
      <c r="D2103" s="74"/>
      <c r="E2103" s="74"/>
      <c r="F2103" s="74"/>
      <c r="Z2103" s="101"/>
      <c r="AA2103" s="101"/>
      <c r="AB2103" s="101"/>
      <c r="AC2103" s="101"/>
      <c r="AD2103" s="101"/>
      <c r="AE2103" s="101"/>
      <c r="AF2103" s="101"/>
      <c r="AG2103" s="101"/>
      <c r="AH2103" s="101"/>
      <c r="AI2103" s="101"/>
      <c r="AJ2103" s="101"/>
      <c r="AK2103" s="101"/>
      <c r="AL2103" s="101"/>
      <c r="AM2103" s="101"/>
      <c r="AN2103" s="101"/>
    </row>
    <row r="2104" spans="1:40" ht="16.5" customHeight="1" x14ac:dyDescent="0.3">
      <c r="A2104" s="150" t="s">
        <v>1477</v>
      </c>
      <c r="B2104" s="143"/>
      <c r="C2104" s="47">
        <f>E2104+D2104+F2104</f>
        <v>88211</v>
      </c>
      <c r="D2104" s="46">
        <f>ROUNDDOWN(SUMIF(N2057:N2067,M2104,D2057:D2067),0)</f>
        <v>84688</v>
      </c>
      <c r="E2104" s="55">
        <f>ROUNDDOWN(SUMIF(N2057:N2067,M2104,E2057:E2067),0)</f>
        <v>1722</v>
      </c>
      <c r="F2104" s="47">
        <f>ROUNDDOWN(SUMIF(N2057:N2067,M2104,F2057:F2067),0)</f>
        <v>1801</v>
      </c>
      <c r="M2104" s="35" t="s">
        <v>1209</v>
      </c>
      <c r="Z2104" s="101"/>
      <c r="AA2104" s="101"/>
      <c r="AB2104" s="101"/>
      <c r="AC2104" s="101"/>
      <c r="AD2104" s="101"/>
      <c r="AE2104" s="101"/>
      <c r="AF2104" s="101"/>
      <c r="AG2104" s="101"/>
      <c r="AH2104" s="101"/>
      <c r="AI2104" s="101"/>
      <c r="AJ2104" s="101"/>
      <c r="AK2104" s="101"/>
      <c r="AL2104" s="101"/>
      <c r="AM2104" s="101"/>
      <c r="AN2104" s="101"/>
    </row>
    <row r="2105" spans="1:40" ht="16.5" customHeight="1" x14ac:dyDescent="0.3">
      <c r="A2105" s="86" t="s">
        <v>223</v>
      </c>
      <c r="B2105" s="88" t="s">
        <v>223</v>
      </c>
      <c r="C2105" s="151">
        <f>C2154</f>
        <v>149157</v>
      </c>
      <c r="D2105" s="151">
        <f>D2154</f>
        <v>109545</v>
      </c>
      <c r="E2105" s="151">
        <f>E2154</f>
        <v>17788</v>
      </c>
      <c r="F2105" s="151">
        <f>F2154</f>
        <v>21824</v>
      </c>
      <c r="G2105" s="84" t="str">
        <f>HYPERLINK("#G"&amp;ROW(G2140),"_x0005_`BDCOD|D00589_x0007_`POSS|"&amp;ROW(G2107)&amp;"_x0007_`POSE|"&amp;ROW(G2140)&amp;"_x0007_`")</f>
        <v>_x0005_`BDCOD|D00589_x0007_`POSS|2107_x0007_`POSE|2140_x0007_`</v>
      </c>
      <c r="Z2105" s="101"/>
      <c r="AA2105" s="101"/>
      <c r="AB2105" s="101"/>
      <c r="AC2105" s="101"/>
      <c r="AD2105" s="101"/>
      <c r="AE2105" s="101"/>
      <c r="AF2105" s="101"/>
      <c r="AG2105" s="101"/>
      <c r="AH2105" s="101"/>
      <c r="AI2105" s="101"/>
      <c r="AJ2105" s="101"/>
      <c r="AK2105" s="101"/>
      <c r="AL2105" s="101"/>
      <c r="AM2105" s="101"/>
      <c r="AN2105" s="101"/>
    </row>
    <row r="2106" spans="1:40" ht="16.5" customHeight="1" x14ac:dyDescent="0.3">
      <c r="A2106" s="87"/>
      <c r="B2106" s="88" t="s">
        <v>222</v>
      </c>
      <c r="C2106" s="136"/>
      <c r="D2106" s="136"/>
      <c r="E2106" s="136"/>
      <c r="F2106" s="136"/>
      <c r="M2106" s="35" t="s">
        <v>2191</v>
      </c>
      <c r="Z2106" s="101"/>
      <c r="AA2106" s="101"/>
      <c r="AB2106" s="101"/>
      <c r="AC2106" s="101"/>
      <c r="AD2106" s="101"/>
      <c r="AE2106" s="101"/>
      <c r="AF2106" s="101"/>
      <c r="AG2106" s="101"/>
      <c r="AH2106" s="101"/>
      <c r="AI2106" s="101"/>
      <c r="AJ2106" s="101"/>
      <c r="AK2106" s="101"/>
      <c r="AL2106" s="101"/>
      <c r="AM2106" s="101"/>
      <c r="AN2106" s="101"/>
    </row>
    <row r="2107" spans="1:40" ht="16.5" customHeight="1" x14ac:dyDescent="0.3">
      <c r="A2107" s="69"/>
      <c r="B2107" s="69"/>
      <c r="C2107" s="90"/>
      <c r="D2107" s="90"/>
      <c r="E2107" s="90"/>
      <c r="F2107" s="90"/>
      <c r="G2107" s="17" t="s">
        <v>1405</v>
      </c>
      <c r="Z2107" s="101"/>
      <c r="AA2107" s="101"/>
      <c r="AB2107" s="101"/>
      <c r="AC2107" s="101"/>
      <c r="AD2107" s="101"/>
      <c r="AE2107" s="101"/>
      <c r="AF2107" s="101"/>
      <c r="AG2107" s="101"/>
      <c r="AH2107" s="101"/>
      <c r="AI2107" s="101"/>
      <c r="AJ2107" s="101"/>
      <c r="AK2107" s="101"/>
      <c r="AL2107" s="101"/>
      <c r="AM2107" s="101"/>
      <c r="AN2107" s="101"/>
    </row>
    <row r="2108" spans="1:40" ht="16.5" customHeight="1" x14ac:dyDescent="0.3">
      <c r="A2108" s="59"/>
      <c r="B2108" s="68" t="s">
        <v>2193</v>
      </c>
      <c r="C2108" s="69"/>
      <c r="D2108" s="69"/>
      <c r="E2108" s="69"/>
      <c r="F2108" s="69"/>
      <c r="G2108" s="17" t="s">
        <v>2192</v>
      </c>
      <c r="Z2108" s="101"/>
      <c r="AA2108" s="101"/>
      <c r="AB2108" s="101"/>
      <c r="AC2108" s="101"/>
      <c r="AD2108" s="101"/>
      <c r="AE2108" s="101"/>
      <c r="AF2108" s="101"/>
      <c r="AG2108" s="101"/>
      <c r="AH2108" s="101"/>
      <c r="AI2108" s="101"/>
      <c r="AJ2108" s="101"/>
      <c r="AK2108" s="101"/>
      <c r="AL2108" s="101"/>
      <c r="AM2108" s="101"/>
      <c r="AN2108" s="101"/>
    </row>
    <row r="2109" spans="1:40" ht="16.5" customHeight="1" x14ac:dyDescent="0.3">
      <c r="A2109" s="69"/>
      <c r="B2109" s="69"/>
      <c r="C2109" s="69"/>
      <c r="D2109" s="69"/>
      <c r="E2109" s="69"/>
      <c r="F2109" s="69"/>
      <c r="G2109" s="17" t="s">
        <v>1405</v>
      </c>
      <c r="Z2109" s="101"/>
      <c r="AA2109" s="101"/>
      <c r="AB2109" s="101"/>
      <c r="AC2109" s="101"/>
      <c r="AD2109" s="101"/>
      <c r="AE2109" s="101"/>
      <c r="AF2109" s="101"/>
      <c r="AG2109" s="101"/>
      <c r="AH2109" s="101"/>
      <c r="AI2109" s="101"/>
      <c r="AJ2109" s="101"/>
      <c r="AK2109" s="101"/>
      <c r="AL2109" s="101"/>
      <c r="AM2109" s="101"/>
      <c r="AN2109" s="101"/>
    </row>
    <row r="2110" spans="1:40" ht="16.5" customHeight="1" x14ac:dyDescent="0.3">
      <c r="A2110" s="59"/>
      <c r="B2110" s="68" t="str">
        <f>"    일당 시공량  Q = "&amp;Z2110&amp;" 본/일 "</f>
        <v xml:space="preserve">    일당 시공량  Q = 10 본/일 </v>
      </c>
      <c r="C2110" s="69"/>
      <c r="D2110" s="69"/>
      <c r="E2110" s="69"/>
      <c r="F2110" s="69"/>
      <c r="G2110" s="17" t="s">
        <v>2194</v>
      </c>
      <c r="Z2110" s="102">
        <v>10</v>
      </c>
      <c r="AA2110" s="35" t="s">
        <v>1410</v>
      </c>
      <c r="AB2110" s="103">
        <f>Z2110</f>
        <v>10</v>
      </c>
      <c r="AC2110" s="101"/>
      <c r="AD2110" s="101"/>
      <c r="AE2110" s="101"/>
      <c r="AF2110" s="101"/>
      <c r="AG2110" s="101"/>
      <c r="AH2110" s="101"/>
      <c r="AI2110" s="101"/>
      <c r="AJ2110" s="101"/>
      <c r="AK2110" s="101"/>
      <c r="AL2110" s="101"/>
      <c r="AM2110" s="101"/>
      <c r="AN2110" s="101"/>
    </row>
    <row r="2111" spans="1:40" ht="16.5" customHeight="1" x14ac:dyDescent="0.3">
      <c r="A2111" s="69"/>
      <c r="B2111" s="69"/>
      <c r="C2111" s="69"/>
      <c r="D2111" s="69"/>
      <c r="E2111" s="69"/>
      <c r="F2111" s="69"/>
      <c r="G2111" s="17" t="s">
        <v>1405</v>
      </c>
      <c r="Z2111" s="101"/>
      <c r="AA2111" s="101"/>
      <c r="AB2111" s="101"/>
      <c r="AC2111" s="101"/>
      <c r="AD2111" s="101"/>
      <c r="AE2111" s="101"/>
      <c r="AF2111" s="101"/>
      <c r="AG2111" s="101"/>
      <c r="AH2111" s="101"/>
      <c r="AI2111" s="101"/>
      <c r="AJ2111" s="101"/>
      <c r="AK2111" s="101"/>
      <c r="AL2111" s="101"/>
      <c r="AM2111" s="101"/>
      <c r="AN2111" s="101"/>
    </row>
    <row r="2112" spans="1:40" ht="16.5" customHeight="1" x14ac:dyDescent="0.3">
      <c r="A2112" s="59"/>
      <c r="B2112" s="68" t="str">
        <f>"    시간당 시공량:   Q1 = Q / "&amp;AB2112&amp;" = "&amp;AD2112&amp;"    본/Hr "</f>
        <v xml:space="preserve">    시간당 시공량:   Q1 = Q / 8 = 1.250    본/Hr </v>
      </c>
      <c r="C2112" s="69"/>
      <c r="D2112" s="69"/>
      <c r="E2112" s="69"/>
      <c r="F2112" s="69"/>
      <c r="G2112" s="17" t="s">
        <v>2195</v>
      </c>
      <c r="Z2112" s="103">
        <f>AB2110</f>
        <v>10</v>
      </c>
      <c r="AA2112" s="35" t="s">
        <v>1413</v>
      </c>
      <c r="AB2112" s="102">
        <v>8</v>
      </c>
      <c r="AC2112" s="35" t="s">
        <v>1410</v>
      </c>
      <c r="AD2112" s="103" t="str">
        <f>TEXT(ROUND(AB2110/AB2112,3),"#,0.000")</f>
        <v>1.250</v>
      </c>
      <c r="AE2112" s="101"/>
      <c r="AF2112" s="101"/>
      <c r="AG2112" s="101"/>
      <c r="AH2112" s="101"/>
      <c r="AI2112" s="101"/>
      <c r="AJ2112" s="101"/>
      <c r="AK2112" s="101"/>
      <c r="AL2112" s="101"/>
      <c r="AM2112" s="101"/>
      <c r="AN2112" s="101"/>
    </row>
    <row r="2113" spans="1:40" ht="16.5" customHeight="1" x14ac:dyDescent="0.3">
      <c r="A2113" s="69"/>
      <c r="B2113" s="69"/>
      <c r="C2113" s="69"/>
      <c r="D2113" s="69"/>
      <c r="E2113" s="69"/>
      <c r="F2113" s="69"/>
      <c r="G2113" s="17" t="s">
        <v>1405</v>
      </c>
      <c r="Z2113" s="101"/>
      <c r="AA2113" s="101"/>
      <c r="AB2113" s="101"/>
      <c r="AC2113" s="101"/>
      <c r="AD2113" s="101"/>
      <c r="AE2113" s="101"/>
      <c r="AF2113" s="101"/>
      <c r="AG2113" s="101"/>
      <c r="AH2113" s="101"/>
      <c r="AI2113" s="101"/>
      <c r="AJ2113" s="101"/>
      <c r="AK2113" s="101"/>
      <c r="AL2113" s="101"/>
      <c r="AM2113" s="101"/>
      <c r="AN2113" s="101"/>
    </row>
    <row r="2114" spans="1:40" ht="16.5" customHeight="1" x14ac:dyDescent="0.3">
      <c r="A2114" s="59"/>
      <c r="B2114" s="68" t="s">
        <v>2197</v>
      </c>
      <c r="C2114" s="69"/>
      <c r="D2114" s="69"/>
      <c r="E2114" s="69"/>
      <c r="F2114" s="69"/>
      <c r="G2114" s="17" t="s">
        <v>2196</v>
      </c>
      <c r="Z2114" s="101"/>
      <c r="AA2114" s="101"/>
      <c r="AB2114" s="101"/>
      <c r="AC2114" s="101"/>
      <c r="AD2114" s="101"/>
      <c r="AE2114" s="101"/>
      <c r="AF2114" s="101"/>
      <c r="AG2114" s="101"/>
      <c r="AH2114" s="101"/>
      <c r="AI2114" s="101"/>
      <c r="AJ2114" s="101"/>
      <c r="AK2114" s="101"/>
      <c r="AL2114" s="101"/>
      <c r="AM2114" s="101"/>
      <c r="AN2114" s="101"/>
    </row>
    <row r="2115" spans="1:40" ht="16.5" customHeight="1" x14ac:dyDescent="0.3">
      <c r="A2115" s="69"/>
      <c r="B2115" s="69"/>
      <c r="C2115" s="69"/>
      <c r="D2115" s="69"/>
      <c r="E2115" s="69"/>
      <c r="F2115" s="69"/>
      <c r="G2115" s="17" t="s">
        <v>1405</v>
      </c>
      <c r="Z2115" s="101"/>
      <c r="AA2115" s="101"/>
      <c r="AB2115" s="101"/>
      <c r="AC2115" s="101"/>
      <c r="AD2115" s="101"/>
      <c r="AE2115" s="101"/>
      <c r="AF2115" s="101"/>
      <c r="AG2115" s="101"/>
      <c r="AH2115" s="101"/>
      <c r="AI2115" s="101"/>
      <c r="AJ2115" s="101"/>
      <c r="AK2115" s="101"/>
      <c r="AL2115" s="101"/>
      <c r="AM2115" s="101"/>
      <c r="AN2115" s="101"/>
    </row>
    <row r="2116" spans="1:40" ht="16.5" customHeight="1" x14ac:dyDescent="0.3">
      <c r="A2116" s="69"/>
      <c r="B2116" s="69"/>
      <c r="C2116" s="69"/>
      <c r="D2116" s="69"/>
      <c r="E2116" s="69"/>
      <c r="F2116" s="69"/>
      <c r="G2116" s="17" t="s">
        <v>1405</v>
      </c>
      <c r="Z2116" s="101"/>
      <c r="AA2116" s="101"/>
      <c r="AB2116" s="101"/>
      <c r="AC2116" s="101"/>
      <c r="AD2116" s="101"/>
      <c r="AE2116" s="101"/>
      <c r="AF2116" s="101"/>
      <c r="AG2116" s="101"/>
      <c r="AH2116" s="101"/>
      <c r="AI2116" s="101"/>
      <c r="AJ2116" s="101"/>
      <c r="AK2116" s="101"/>
      <c r="AL2116" s="101"/>
      <c r="AM2116" s="101"/>
      <c r="AN2116" s="101"/>
    </row>
    <row r="2117" spans="1:40" ht="16.5" customHeight="1" x14ac:dyDescent="0.3">
      <c r="A2117" s="59" t="s">
        <v>2199</v>
      </c>
      <c r="B2117" s="89" t="str">
        <f>"     배관공(수도) : "&amp;TEXT(I2117,"#,##0"&amp;IF(I2117&lt;&gt;INT(I2117),".###",""))&amp;" * "&amp;AA2117&amp;" 인 / Q 인 = "&amp;TEXT(C2117,"#,##0.0")&amp;""</f>
        <v xml:space="preserve">     배관공(수도) : 262,580 * 2 인 / Q 인 = 52,516.0</v>
      </c>
      <c r="C2117" s="91">
        <f>E2117+D2117+F2117</f>
        <v>52516</v>
      </c>
      <c r="D2117" s="91">
        <f>IF(H2117=0,0,ROUNDDOWN(J2117*H2117,1))</f>
        <v>52516</v>
      </c>
      <c r="E2117" s="91">
        <f>IF(H2117=0,0,ROUNDDOWN(K2117*H2117,1))</f>
        <v>0</v>
      </c>
      <c r="F2117" s="91">
        <f>IF(H2117=0,0,ROUNDDOWN(L2117*H2117,1))</f>
        <v>0</v>
      </c>
      <c r="G2117" s="17" t="s">
        <v>2198</v>
      </c>
      <c r="H2117" s="97">
        <f>ROUNDUP(AE2117,14-LEN(ABS(INT(AE2117))))</f>
        <v>0.2</v>
      </c>
      <c r="I2117" s="98">
        <f>K2117+J2117+L2117</f>
        <v>262580</v>
      </c>
      <c r="J2117" s="38">
        <f>노무비목록표!E7</f>
        <v>262580</v>
      </c>
      <c r="M2117" s="35" t="s">
        <v>1279</v>
      </c>
      <c r="N2117" s="35" t="s">
        <v>1262</v>
      </c>
      <c r="O2117" s="35" t="s">
        <v>1214</v>
      </c>
      <c r="X2117" s="100" t="str">
        <f>노무비목록표!B7&amp;" / "&amp;노무비목록표!C7</f>
        <v xml:space="preserve">배관공(수도) / </v>
      </c>
      <c r="Y2117" s="3" t="str">
        <f ca="1">HYPERLINK("#"&amp;노무비목록표!G2&amp;"!A"&amp;ROW(노무비목록표!A7),"노무4 →")</f>
        <v>노무4 →</v>
      </c>
      <c r="Z2117" s="35" t="s">
        <v>1446</v>
      </c>
      <c r="AA2117" s="102">
        <v>2</v>
      </c>
      <c r="AB2117" s="35" t="s">
        <v>1413</v>
      </c>
      <c r="AC2117" s="103">
        <f>AB2110</f>
        <v>10</v>
      </c>
      <c r="AD2117" s="35" t="s">
        <v>1410</v>
      </c>
      <c r="AE2117" s="103">
        <f>1*AA2117/AB2110</f>
        <v>0.2</v>
      </c>
      <c r="AF2117" s="101"/>
      <c r="AG2117" s="101"/>
      <c r="AH2117" s="101"/>
      <c r="AI2117" s="101"/>
      <c r="AJ2117" s="101"/>
      <c r="AK2117" s="101"/>
      <c r="AL2117" s="101"/>
      <c r="AM2117" s="101"/>
      <c r="AN2117" s="101"/>
    </row>
    <row r="2118" spans="1:40" ht="16.5" customHeight="1" x14ac:dyDescent="0.3">
      <c r="A2118" s="69"/>
      <c r="B2118" s="69"/>
      <c r="C2118" s="69"/>
      <c r="D2118" s="69"/>
      <c r="E2118" s="69"/>
      <c r="F2118" s="69"/>
      <c r="G2118" s="17" t="s">
        <v>1405</v>
      </c>
      <c r="Z2118" s="101"/>
      <c r="AA2118" s="101"/>
      <c r="AB2118" s="101"/>
      <c r="AC2118" s="101"/>
      <c r="AD2118" s="101"/>
      <c r="AE2118" s="101"/>
      <c r="AF2118" s="101"/>
      <c r="AG2118" s="101"/>
      <c r="AH2118" s="101"/>
      <c r="AI2118" s="101"/>
      <c r="AJ2118" s="101"/>
      <c r="AK2118" s="101"/>
      <c r="AL2118" s="101"/>
      <c r="AM2118" s="101"/>
      <c r="AN2118" s="101"/>
    </row>
    <row r="2119" spans="1:40" ht="16.5" customHeight="1" x14ac:dyDescent="0.3">
      <c r="A2119" s="59" t="s">
        <v>1419</v>
      </c>
      <c r="B2119" s="89" t="str">
        <f>"     보통인부 : "&amp;TEXT(I2119,"#,##0"&amp;IF(I2119&lt;&gt;INT(I2119),".###",""))&amp;" * "&amp;AA2119&amp;" 인 / Q 인 = "&amp;TEXT(C2119,"#,##0.0")&amp;""</f>
        <v xml:space="preserve">     보통인부 : 172,068 * 1 인 / Q 인 = 17,206.8</v>
      </c>
      <c r="C2119" s="91">
        <f>E2119+D2119+F2119</f>
        <v>17206.8</v>
      </c>
      <c r="D2119" s="91">
        <f>IF(H2119=0,0,ROUNDDOWN(J2119*H2119,1))</f>
        <v>17206.8</v>
      </c>
      <c r="E2119" s="91">
        <f>IF(H2119=0,0,ROUNDDOWN(K2119*H2119,1))</f>
        <v>0</v>
      </c>
      <c r="F2119" s="91">
        <f>IF(H2119=0,0,ROUNDDOWN(L2119*H2119,1))</f>
        <v>0</v>
      </c>
      <c r="G2119" s="17" t="s">
        <v>2200</v>
      </c>
      <c r="H2119" s="97">
        <f>ROUNDUP(AE2119,14-LEN(ABS(INT(AE2119))))</f>
        <v>0.1</v>
      </c>
      <c r="I2119" s="98">
        <f>K2119+J2119+L2119</f>
        <v>172068</v>
      </c>
      <c r="J2119" s="38">
        <f>노무비목록표!E8</f>
        <v>172068</v>
      </c>
      <c r="M2119" s="35" t="s">
        <v>1219</v>
      </c>
      <c r="N2119" s="35" t="s">
        <v>1262</v>
      </c>
      <c r="O2119" s="35" t="s">
        <v>1214</v>
      </c>
      <c r="X2119" s="100" t="str">
        <f>노무비목록표!B8&amp;" / "&amp;노무비목록표!C8</f>
        <v xml:space="preserve">보통인부 / </v>
      </c>
      <c r="Y2119" s="3" t="str">
        <f ca="1">HYPERLINK("#"&amp;노무비목록표!G2&amp;"!A"&amp;ROW(노무비목록표!A8),"노무5 →")</f>
        <v>노무5 →</v>
      </c>
      <c r="Z2119" s="35" t="s">
        <v>1446</v>
      </c>
      <c r="AA2119" s="102">
        <v>1</v>
      </c>
      <c r="AB2119" s="35" t="s">
        <v>1413</v>
      </c>
      <c r="AC2119" s="103">
        <f>AB2110</f>
        <v>10</v>
      </c>
      <c r="AD2119" s="35" t="s">
        <v>1410</v>
      </c>
      <c r="AE2119" s="103">
        <f>1*AA2119/AB2110</f>
        <v>0.1</v>
      </c>
      <c r="AF2119" s="101"/>
      <c r="AG2119" s="101"/>
      <c r="AH2119" s="101"/>
      <c r="AI2119" s="101"/>
      <c r="AJ2119" s="101"/>
      <c r="AK2119" s="101"/>
      <c r="AL2119" s="101"/>
      <c r="AM2119" s="101"/>
      <c r="AN2119" s="101"/>
    </row>
    <row r="2120" spans="1:40" ht="16.5" customHeight="1" x14ac:dyDescent="0.3">
      <c r="A2120" s="69"/>
      <c r="B2120" s="69"/>
      <c r="C2120" s="69"/>
      <c r="D2120" s="69"/>
      <c r="E2120" s="69"/>
      <c r="F2120" s="69"/>
      <c r="G2120" s="17" t="s">
        <v>1405</v>
      </c>
      <c r="Z2120" s="101"/>
      <c r="AA2120" s="101"/>
      <c r="AB2120" s="101"/>
      <c r="AC2120" s="101"/>
      <c r="AD2120" s="101"/>
      <c r="AE2120" s="101"/>
      <c r="AF2120" s="101"/>
      <c r="AG2120" s="101"/>
      <c r="AH2120" s="101"/>
      <c r="AI2120" s="101"/>
      <c r="AJ2120" s="101"/>
      <c r="AK2120" s="101"/>
      <c r="AL2120" s="101"/>
      <c r="AM2120" s="101"/>
      <c r="AN2120" s="101"/>
    </row>
    <row r="2121" spans="1:40" ht="16.5" customHeight="1" x14ac:dyDescent="0.3">
      <c r="A2121" s="59"/>
      <c r="B2121" s="89" t="str">
        <f>"    공구손료 및 경장비(임팩트렌치, 발전기 등) : "&amp;TEXT(I2121,"#,##0.0")&amp;" * "&amp;AA2121&amp;" %  = "&amp;TEXT(C2121,"#,##0.0")&amp;""</f>
        <v xml:space="preserve">    공구손료 및 경장비(임팩트렌치, 발전기 등) : 69,722.8 * 4 %  = 2,788.9</v>
      </c>
      <c r="C2121" s="91">
        <f>E2121+D2121+F2121</f>
        <v>2788.9</v>
      </c>
      <c r="D2121" s="91">
        <f>IF(H2121=0,0,ROUNDDOWN(J2121*H2121/100,1))</f>
        <v>0</v>
      </c>
      <c r="E2121" s="91">
        <f>IF(H2121=0,0,ROUNDDOWN(K2121*H2121/100,1))</f>
        <v>0</v>
      </c>
      <c r="F2121" s="91">
        <f>IF(H2121=0,0,ROUNDDOWN(L2121*H2121/100,1))</f>
        <v>2788.9</v>
      </c>
      <c r="G2121" s="17" t="s">
        <v>2201</v>
      </c>
      <c r="H2121" s="97">
        <f>ROUNDUP(AC2121,14-LEN(ABS(INT(AC2121))))</f>
        <v>4</v>
      </c>
      <c r="I2121" s="98">
        <f>K2121+J2121+L2121</f>
        <v>69722.8</v>
      </c>
      <c r="J2121" s="36">
        <v>0</v>
      </c>
      <c r="K2121" s="36">
        <v>0</v>
      </c>
      <c r="L2121" s="38">
        <f>D2117+D2119</f>
        <v>69722.8</v>
      </c>
      <c r="M2121" s="35" t="s">
        <v>1059</v>
      </c>
      <c r="N2121" s="35" t="s">
        <v>1262</v>
      </c>
      <c r="Z2121" s="35" t="s">
        <v>1446</v>
      </c>
      <c r="AA2121" s="102">
        <v>4</v>
      </c>
      <c r="AB2121" s="35" t="s">
        <v>1410</v>
      </c>
      <c r="AC2121" s="103">
        <f>1*AA2121</f>
        <v>4</v>
      </c>
      <c r="AD2121" s="101"/>
      <c r="AE2121" s="101"/>
      <c r="AF2121" s="101"/>
      <c r="AG2121" s="101"/>
      <c r="AH2121" s="101"/>
      <c r="AI2121" s="101"/>
      <c r="AJ2121" s="101"/>
      <c r="AK2121" s="101"/>
      <c r="AL2121" s="101"/>
      <c r="AM2121" s="101"/>
      <c r="AN2121" s="101"/>
    </row>
    <row r="2122" spans="1:40" ht="16.5" customHeight="1" x14ac:dyDescent="0.3">
      <c r="A2122" s="69"/>
      <c r="B2122" s="69"/>
      <c r="C2122" s="69"/>
      <c r="D2122" s="69"/>
      <c r="E2122" s="69"/>
      <c r="F2122" s="69"/>
      <c r="G2122" s="17" t="s">
        <v>1405</v>
      </c>
      <c r="Z2122" s="101"/>
      <c r="AA2122" s="101"/>
      <c r="AB2122" s="101"/>
      <c r="AC2122" s="101"/>
      <c r="AD2122" s="101"/>
      <c r="AE2122" s="101"/>
      <c r="AF2122" s="101"/>
      <c r="AG2122" s="101"/>
      <c r="AH2122" s="101"/>
      <c r="AI2122" s="101"/>
      <c r="AJ2122" s="101"/>
      <c r="AK2122" s="101"/>
      <c r="AL2122" s="101"/>
      <c r="AM2122" s="101"/>
      <c r="AN2122" s="101"/>
    </row>
    <row r="2123" spans="1:40" ht="16.5" customHeight="1" x14ac:dyDescent="0.3">
      <c r="A2123" s="59"/>
      <c r="B2123" s="68" t="s">
        <v>1260</v>
      </c>
      <c r="C2123" s="92">
        <f>E2123+D2123+F2123</f>
        <v>72511.7</v>
      </c>
      <c r="D2123" s="92">
        <f>SUMIF(N2107:N2122,M2123,D2107:D2122)</f>
        <v>69722.8</v>
      </c>
      <c r="E2123" s="92">
        <f>SUMIF(N2107:N2122,M2123,E2107:E2122)</f>
        <v>0</v>
      </c>
      <c r="F2123" s="92">
        <f>SUMIF(N2107:N2122,M2123,F2107:F2122)</f>
        <v>2788.9</v>
      </c>
      <c r="G2123" s="17" t="s">
        <v>1430</v>
      </c>
      <c r="M2123" s="35" t="s">
        <v>1262</v>
      </c>
      <c r="N2123" s="35" t="s">
        <v>1253</v>
      </c>
      <c r="Z2123" s="101"/>
      <c r="AA2123" s="101"/>
      <c r="AB2123" s="101"/>
      <c r="AC2123" s="101"/>
      <c r="AD2123" s="101"/>
      <c r="AE2123" s="101"/>
      <c r="AF2123" s="101"/>
      <c r="AG2123" s="101"/>
      <c r="AH2123" s="101"/>
      <c r="AI2123" s="101"/>
      <c r="AJ2123" s="101"/>
      <c r="AK2123" s="101"/>
      <c r="AL2123" s="101"/>
      <c r="AM2123" s="101"/>
      <c r="AN2123" s="101"/>
    </row>
    <row r="2124" spans="1:40" ht="16.5" customHeight="1" x14ac:dyDescent="0.3">
      <c r="A2124" s="69"/>
      <c r="B2124" s="69"/>
      <c r="C2124" s="90"/>
      <c r="D2124" s="90"/>
      <c r="E2124" s="90"/>
      <c r="F2124" s="90"/>
      <c r="G2124" s="17" t="s">
        <v>1405</v>
      </c>
      <c r="Z2124" s="101"/>
      <c r="AA2124" s="101"/>
      <c r="AB2124" s="101"/>
      <c r="AC2124" s="101"/>
      <c r="AD2124" s="101"/>
      <c r="AE2124" s="101"/>
      <c r="AF2124" s="101"/>
      <c r="AG2124" s="101"/>
      <c r="AH2124" s="101"/>
      <c r="AI2124" s="101"/>
      <c r="AJ2124" s="101"/>
      <c r="AK2124" s="101"/>
      <c r="AL2124" s="101"/>
      <c r="AM2124" s="101"/>
      <c r="AN2124" s="101"/>
    </row>
    <row r="2125" spans="1:40" ht="16.5" customHeight="1" x14ac:dyDescent="0.3">
      <c r="A2125" s="59"/>
      <c r="B2125" s="68" t="s">
        <v>2203</v>
      </c>
      <c r="C2125" s="69"/>
      <c r="D2125" s="69"/>
      <c r="E2125" s="69"/>
      <c r="F2125" s="69"/>
      <c r="G2125" s="17" t="s">
        <v>2202</v>
      </c>
      <c r="Z2125" s="101"/>
      <c r="AA2125" s="101"/>
      <c r="AB2125" s="101"/>
      <c r="AC2125" s="101"/>
      <c r="AD2125" s="101"/>
      <c r="AE2125" s="101"/>
      <c r="AF2125" s="101"/>
      <c r="AG2125" s="101"/>
      <c r="AH2125" s="101"/>
      <c r="AI2125" s="101"/>
      <c r="AJ2125" s="101"/>
      <c r="AK2125" s="101"/>
      <c r="AL2125" s="101"/>
      <c r="AM2125" s="101"/>
      <c r="AN2125" s="101"/>
    </row>
    <row r="2126" spans="1:40" ht="16.5" customHeight="1" x14ac:dyDescent="0.3">
      <c r="A2126" s="69"/>
      <c r="B2126" s="69"/>
      <c r="C2126" s="69"/>
      <c r="D2126" s="69"/>
      <c r="E2126" s="69"/>
      <c r="F2126" s="69"/>
      <c r="G2126" s="17" t="s">
        <v>1405</v>
      </c>
      <c r="Z2126" s="101"/>
      <c r="AA2126" s="101"/>
      <c r="AB2126" s="101"/>
      <c r="AC2126" s="101"/>
      <c r="AD2126" s="101"/>
      <c r="AE2126" s="101"/>
      <c r="AF2126" s="101"/>
      <c r="AG2126" s="101"/>
      <c r="AH2126" s="101"/>
      <c r="AI2126" s="101"/>
      <c r="AJ2126" s="101"/>
      <c r="AK2126" s="101"/>
      <c r="AL2126" s="101"/>
      <c r="AM2126" s="101"/>
      <c r="AN2126" s="101"/>
    </row>
    <row r="2127" spans="1:40" ht="16.5" customHeight="1" x14ac:dyDescent="0.3">
      <c r="A2127" s="59"/>
      <c r="B2127" s="68" t="s">
        <v>2205</v>
      </c>
      <c r="C2127" s="69"/>
      <c r="D2127" s="69"/>
      <c r="E2127" s="69"/>
      <c r="F2127" s="69"/>
      <c r="G2127" s="17" t="s">
        <v>2204</v>
      </c>
      <c r="Z2127" s="101"/>
      <c r="AA2127" s="101"/>
      <c r="AB2127" s="101"/>
      <c r="AC2127" s="101"/>
      <c r="AD2127" s="101"/>
      <c r="AE2127" s="101"/>
      <c r="AF2127" s="101"/>
      <c r="AG2127" s="101"/>
      <c r="AH2127" s="101"/>
      <c r="AI2127" s="101"/>
      <c r="AJ2127" s="101"/>
      <c r="AK2127" s="101"/>
      <c r="AL2127" s="101"/>
      <c r="AM2127" s="101"/>
      <c r="AN2127" s="101"/>
    </row>
    <row r="2128" spans="1:40" ht="16.5" customHeight="1" x14ac:dyDescent="0.3">
      <c r="A2128" s="69"/>
      <c r="B2128" s="69"/>
      <c r="C2128" s="69"/>
      <c r="D2128" s="69"/>
      <c r="E2128" s="69"/>
      <c r="F2128" s="69"/>
      <c r="G2128" s="17" t="s">
        <v>1405</v>
      </c>
      <c r="Z2128" s="101"/>
      <c r="AA2128" s="101"/>
      <c r="AB2128" s="101"/>
      <c r="AC2128" s="101"/>
      <c r="AD2128" s="101"/>
      <c r="AE2128" s="101"/>
      <c r="AF2128" s="101"/>
      <c r="AG2128" s="101"/>
      <c r="AH2128" s="101"/>
      <c r="AI2128" s="101"/>
      <c r="AJ2128" s="101"/>
      <c r="AK2128" s="101"/>
      <c r="AL2128" s="101"/>
      <c r="AM2128" s="101"/>
      <c r="AN2128" s="101"/>
    </row>
    <row r="2129" spans="1:40" ht="16.5" customHeight="1" x14ac:dyDescent="0.3">
      <c r="A2129" s="59"/>
      <c r="B2129" s="68" t="s">
        <v>2207</v>
      </c>
      <c r="C2129" s="69"/>
      <c r="D2129" s="69"/>
      <c r="E2129" s="69"/>
      <c r="F2129" s="69"/>
      <c r="G2129" s="17" t="s">
        <v>2206</v>
      </c>
      <c r="Z2129" s="101"/>
      <c r="AA2129" s="101"/>
      <c r="AB2129" s="101"/>
      <c r="AC2129" s="101"/>
      <c r="AD2129" s="101"/>
      <c r="AE2129" s="101"/>
      <c r="AF2129" s="101"/>
      <c r="AG2129" s="101"/>
      <c r="AH2129" s="101"/>
      <c r="AI2129" s="101"/>
      <c r="AJ2129" s="101"/>
      <c r="AK2129" s="101"/>
      <c r="AL2129" s="101"/>
      <c r="AM2129" s="101"/>
      <c r="AN2129" s="101"/>
    </row>
    <row r="2130" spans="1:40" ht="16.5" customHeight="1" x14ac:dyDescent="0.3">
      <c r="A2130" s="69"/>
      <c r="B2130" s="69"/>
      <c r="C2130" s="69"/>
      <c r="D2130" s="69"/>
      <c r="E2130" s="69"/>
      <c r="F2130" s="69"/>
      <c r="G2130" s="17" t="s">
        <v>1405</v>
      </c>
      <c r="Z2130" s="101"/>
      <c r="AA2130" s="101"/>
      <c r="AB2130" s="101"/>
      <c r="AC2130" s="101"/>
      <c r="AD2130" s="101"/>
      <c r="AE2130" s="101"/>
      <c r="AF2130" s="101"/>
      <c r="AG2130" s="101"/>
      <c r="AH2130" s="101"/>
      <c r="AI2130" s="101"/>
      <c r="AJ2130" s="101"/>
      <c r="AK2130" s="101"/>
      <c r="AL2130" s="101"/>
      <c r="AM2130" s="101"/>
      <c r="AN2130" s="101"/>
    </row>
    <row r="2131" spans="1:40" ht="16.5" customHeight="1" x14ac:dyDescent="0.3">
      <c r="A2131" s="59" t="s">
        <v>2209</v>
      </c>
      <c r="B2131" s="89" t="str">
        <f>"  노 무 비 :  "&amp;TEXT(I2131,"#,##0"&amp;IF(I2131&lt;&gt;INT(I2131),".###",""))&amp;" / Q1 = "&amp;TEXT(C2131,"#,##0.0")&amp;""</f>
        <v xml:space="preserve">  노 무 비 :  49,778 / Q1 = 39,822.4</v>
      </c>
      <c r="C2131" s="91">
        <f>E2131+D2131+F2131</f>
        <v>39822.400000000001</v>
      </c>
      <c r="D2131" s="91">
        <f>IF(H2131=0,0,ROUNDDOWN(J2131*H2131,1))</f>
        <v>39822.400000000001</v>
      </c>
      <c r="E2131" s="91">
        <f>IF(H2131=0,0,ROUNDDOWN(K2131*H2131,1))</f>
        <v>0</v>
      </c>
      <c r="F2131" s="91">
        <f>IF(H2131=0,0,ROUNDDOWN(L2131*H2131,1))</f>
        <v>0</v>
      </c>
      <c r="G2131" s="17" t="s">
        <v>2208</v>
      </c>
      <c r="H2131" s="97">
        <f>ROUNDUP(AC2131,14-LEN(ABS(INT(AC2131))))</f>
        <v>0.8</v>
      </c>
      <c r="I2131" s="98">
        <f>K2131+J2131+L2131</f>
        <v>49778</v>
      </c>
      <c r="J2131" s="38">
        <f>중기목록표!F34</f>
        <v>49778</v>
      </c>
      <c r="M2131" s="35" t="s">
        <v>2210</v>
      </c>
      <c r="N2131" s="35" t="s">
        <v>1262</v>
      </c>
      <c r="O2131" s="35" t="s">
        <v>1214</v>
      </c>
      <c r="X2131" s="100" t="str">
        <f>중기목록표!B34&amp;" / "&amp;중기목록표!C34</f>
        <v>트럭탑재형 크레인 / 10톤</v>
      </c>
      <c r="Y2131" s="3" t="str">
        <f ca="1">HYPERLINK("#"&amp;중기목록표!J2&amp;"!A"&amp;ROW(중기목록표!A34),"중기31 →")</f>
        <v>중기31 →</v>
      </c>
      <c r="Z2131" s="35" t="s">
        <v>1417</v>
      </c>
      <c r="AA2131" s="103" t="str">
        <f>AD2112</f>
        <v>1.250</v>
      </c>
      <c r="AB2131" s="35" t="s">
        <v>1410</v>
      </c>
      <c r="AC2131" s="103">
        <f>1/AD2112</f>
        <v>0.8</v>
      </c>
      <c r="AD2131" s="101"/>
      <c r="AE2131" s="101"/>
      <c r="AF2131" s="101"/>
      <c r="AG2131" s="101"/>
      <c r="AH2131" s="101"/>
      <c r="AI2131" s="101"/>
      <c r="AJ2131" s="101"/>
      <c r="AK2131" s="101"/>
      <c r="AL2131" s="101"/>
      <c r="AM2131" s="101"/>
      <c r="AN2131" s="101"/>
    </row>
    <row r="2132" spans="1:40" ht="16.5" customHeight="1" x14ac:dyDescent="0.3">
      <c r="A2132" s="69"/>
      <c r="B2132" s="69"/>
      <c r="C2132" s="69"/>
      <c r="D2132" s="69"/>
      <c r="E2132" s="69"/>
      <c r="F2132" s="69"/>
      <c r="G2132" s="17" t="s">
        <v>1405</v>
      </c>
      <c r="Z2132" s="101"/>
      <c r="AA2132" s="101"/>
      <c r="AB2132" s="101"/>
      <c r="AC2132" s="101"/>
      <c r="AD2132" s="101"/>
      <c r="AE2132" s="101"/>
      <c r="AF2132" s="101"/>
      <c r="AG2132" s="101"/>
      <c r="AH2132" s="101"/>
      <c r="AI2132" s="101"/>
      <c r="AJ2132" s="101"/>
      <c r="AK2132" s="101"/>
      <c r="AL2132" s="101"/>
      <c r="AM2132" s="101"/>
      <c r="AN2132" s="101"/>
    </row>
    <row r="2133" spans="1:40" ht="16.5" customHeight="1" x14ac:dyDescent="0.3">
      <c r="A2133" s="59" t="s">
        <v>2212</v>
      </c>
      <c r="B2133" s="89" t="str">
        <f>"  재 료 비 :  "&amp;TEXT(I2133,"#,##0"&amp;IF(I2133&lt;&gt;INT(I2133),".###",""))&amp;" / Q1 = "&amp;TEXT(C2133,"#,##0.0")&amp;""</f>
        <v xml:space="preserve">  재 료 비 :  22,235 / Q1 = 17,788.0</v>
      </c>
      <c r="C2133" s="91">
        <f>E2133+D2133+F2133</f>
        <v>17788</v>
      </c>
      <c r="D2133" s="91">
        <f>IF(H2133=0,0,ROUNDDOWN(J2133*H2133,1))</f>
        <v>0</v>
      </c>
      <c r="E2133" s="91">
        <f>IF(H2133=0,0,ROUNDDOWN(K2133*H2133,1))</f>
        <v>17788</v>
      </c>
      <c r="F2133" s="91">
        <f>IF(H2133=0,0,ROUNDDOWN(L2133*H2133,1))</f>
        <v>0</v>
      </c>
      <c r="G2133" s="17" t="s">
        <v>2211</v>
      </c>
      <c r="H2133" s="97">
        <f>ROUNDUP(AC2133,14-LEN(ABS(INT(AC2133))))</f>
        <v>0.8</v>
      </c>
      <c r="I2133" s="98">
        <f>K2133+J2133+L2133</f>
        <v>22235</v>
      </c>
      <c r="K2133" s="38">
        <f>중기목록표!G34</f>
        <v>22235</v>
      </c>
      <c r="M2133" s="35" t="s">
        <v>2210</v>
      </c>
      <c r="N2133" s="35" t="s">
        <v>1262</v>
      </c>
      <c r="O2133" s="35" t="s">
        <v>1214</v>
      </c>
      <c r="X2133" s="100" t="str">
        <f>중기목록표!B34&amp;" / "&amp;중기목록표!C34</f>
        <v>트럭탑재형 크레인 / 10톤</v>
      </c>
      <c r="Y2133" s="3" t="str">
        <f ca="1">HYPERLINK("#"&amp;중기목록표!J2&amp;"!A"&amp;ROW(중기목록표!A34),"중기31 →")</f>
        <v>중기31 →</v>
      </c>
      <c r="Z2133" s="35" t="s">
        <v>1417</v>
      </c>
      <c r="AA2133" s="103" t="str">
        <f>AD2112</f>
        <v>1.250</v>
      </c>
      <c r="AB2133" s="35" t="s">
        <v>1410</v>
      </c>
      <c r="AC2133" s="103">
        <f>1/AD2112</f>
        <v>0.8</v>
      </c>
      <c r="AD2133" s="101"/>
      <c r="AE2133" s="101"/>
      <c r="AF2133" s="101"/>
      <c r="AG2133" s="101"/>
      <c r="AH2133" s="101"/>
      <c r="AI2133" s="101"/>
      <c r="AJ2133" s="101"/>
      <c r="AK2133" s="101"/>
      <c r="AL2133" s="101"/>
      <c r="AM2133" s="101"/>
      <c r="AN2133" s="101"/>
    </row>
    <row r="2134" spans="1:40" ht="16.5" customHeight="1" x14ac:dyDescent="0.3">
      <c r="A2134" s="69"/>
      <c r="B2134" s="69"/>
      <c r="C2134" s="69"/>
      <c r="D2134" s="69"/>
      <c r="E2134" s="69"/>
      <c r="F2134" s="69"/>
      <c r="G2134" s="17" t="s">
        <v>1405</v>
      </c>
      <c r="Z2134" s="101"/>
      <c r="AA2134" s="101"/>
      <c r="AB2134" s="101"/>
      <c r="AC2134" s="101"/>
      <c r="AD2134" s="101"/>
      <c r="AE2134" s="101"/>
      <c r="AF2134" s="101"/>
      <c r="AG2134" s="101"/>
      <c r="AH2134" s="101"/>
      <c r="AI2134" s="101"/>
      <c r="AJ2134" s="101"/>
      <c r="AK2134" s="101"/>
      <c r="AL2134" s="101"/>
      <c r="AM2134" s="101"/>
      <c r="AN2134" s="101"/>
    </row>
    <row r="2135" spans="1:40" ht="16.5" customHeight="1" x14ac:dyDescent="0.3">
      <c r="A2135" s="59" t="s">
        <v>2214</v>
      </c>
      <c r="B2135" s="89" t="str">
        <f>"  경    비 :  "&amp;TEXT(I2135,"#,##0"&amp;IF(I2135&lt;&gt;INT(I2135),".###",""))&amp;" / Q1 = "&amp;TEXT(C2135,"#,##0.0")&amp;""</f>
        <v xml:space="preserve">  경    비 :  23,795 / Q1 = 19,036.0</v>
      </c>
      <c r="C2135" s="91">
        <f>E2135+D2135+F2135</f>
        <v>19036</v>
      </c>
      <c r="D2135" s="91">
        <f>IF(H2135=0,0,ROUNDDOWN(J2135*H2135,1))</f>
        <v>0</v>
      </c>
      <c r="E2135" s="91">
        <f>IF(H2135=0,0,ROUNDDOWN(K2135*H2135,1))</f>
        <v>0</v>
      </c>
      <c r="F2135" s="91">
        <f>IF(H2135=0,0,ROUNDDOWN(L2135*H2135,1))</f>
        <v>19036</v>
      </c>
      <c r="G2135" s="17" t="s">
        <v>2213</v>
      </c>
      <c r="H2135" s="97">
        <f>ROUNDUP(AC2135,14-LEN(ABS(INT(AC2135))))</f>
        <v>0.8</v>
      </c>
      <c r="I2135" s="98">
        <f>K2135+J2135+L2135</f>
        <v>23795</v>
      </c>
      <c r="L2135" s="38">
        <f>중기목록표!H34</f>
        <v>23795</v>
      </c>
      <c r="M2135" s="35" t="s">
        <v>2210</v>
      </c>
      <c r="N2135" s="35" t="s">
        <v>1262</v>
      </c>
      <c r="O2135" s="35" t="s">
        <v>1214</v>
      </c>
      <c r="X2135" s="100" t="str">
        <f>중기목록표!B34&amp;" / "&amp;중기목록표!C34</f>
        <v>트럭탑재형 크레인 / 10톤</v>
      </c>
      <c r="Y2135" s="3" t="str">
        <f ca="1">HYPERLINK("#"&amp;중기목록표!J2&amp;"!A"&amp;ROW(중기목록표!A34),"중기31 →")</f>
        <v>중기31 →</v>
      </c>
      <c r="Z2135" s="35" t="s">
        <v>1417</v>
      </c>
      <c r="AA2135" s="103" t="str">
        <f>AD2112</f>
        <v>1.250</v>
      </c>
      <c r="AB2135" s="35" t="s">
        <v>1410</v>
      </c>
      <c r="AC2135" s="103">
        <f>1/AD2112</f>
        <v>0.8</v>
      </c>
      <c r="AD2135" s="101"/>
      <c r="AE2135" s="101"/>
      <c r="AF2135" s="101"/>
      <c r="AG2135" s="101"/>
      <c r="AH2135" s="101"/>
      <c r="AI2135" s="101"/>
      <c r="AJ2135" s="101"/>
      <c r="AK2135" s="101"/>
      <c r="AL2135" s="101"/>
      <c r="AM2135" s="101"/>
      <c r="AN2135" s="101"/>
    </row>
    <row r="2136" spans="1:40" ht="16.5" customHeight="1" x14ac:dyDescent="0.3">
      <c r="A2136" s="69"/>
      <c r="B2136" s="69"/>
      <c r="C2136" s="69"/>
      <c r="D2136" s="69"/>
      <c r="E2136" s="69"/>
      <c r="F2136" s="69"/>
      <c r="G2136" s="17" t="s">
        <v>1405</v>
      </c>
      <c r="Z2136" s="101"/>
      <c r="AA2136" s="101"/>
      <c r="AB2136" s="101"/>
      <c r="AC2136" s="101"/>
      <c r="AD2136" s="101"/>
      <c r="AE2136" s="101"/>
      <c r="AF2136" s="101"/>
      <c r="AG2136" s="101"/>
      <c r="AH2136" s="101"/>
      <c r="AI2136" s="101"/>
      <c r="AJ2136" s="101"/>
      <c r="AK2136" s="101"/>
      <c r="AL2136" s="101"/>
      <c r="AM2136" s="101"/>
      <c r="AN2136" s="101"/>
    </row>
    <row r="2137" spans="1:40" ht="16.5" customHeight="1" x14ac:dyDescent="0.3">
      <c r="A2137" s="59"/>
      <c r="B2137" s="68" t="s">
        <v>1260</v>
      </c>
      <c r="C2137" s="92">
        <f>E2137+D2137+F2137</f>
        <v>76646.399999999994</v>
      </c>
      <c r="D2137" s="92">
        <f>SUMIF(N2124:N2136,M2137,D2124:D2136)</f>
        <v>39822.400000000001</v>
      </c>
      <c r="E2137" s="92">
        <f>SUMIF(N2124:N2136,M2137,E2124:E2136)</f>
        <v>17788</v>
      </c>
      <c r="F2137" s="92">
        <f>SUMIF(N2124:N2136,M2137,F2124:F2136)</f>
        <v>19036</v>
      </c>
      <c r="G2137" s="17" t="s">
        <v>1430</v>
      </c>
      <c r="M2137" s="35" t="s">
        <v>1262</v>
      </c>
      <c r="N2137" s="35" t="s">
        <v>1253</v>
      </c>
      <c r="Z2137" s="101"/>
      <c r="AA2137" s="101"/>
      <c r="AB2137" s="101"/>
      <c r="AC2137" s="101"/>
      <c r="AD2137" s="101"/>
      <c r="AE2137" s="101"/>
      <c r="AF2137" s="101"/>
      <c r="AG2137" s="101"/>
      <c r="AH2137" s="101"/>
      <c r="AI2137" s="101"/>
      <c r="AJ2137" s="101"/>
      <c r="AK2137" s="101"/>
      <c r="AL2137" s="101"/>
      <c r="AM2137" s="101"/>
      <c r="AN2137" s="101"/>
    </row>
    <row r="2138" spans="1:40" ht="16.5" customHeight="1" x14ac:dyDescent="0.3">
      <c r="A2138" s="69"/>
      <c r="B2138" s="69"/>
      <c r="C2138" s="90"/>
      <c r="D2138" s="90"/>
      <c r="E2138" s="90"/>
      <c r="F2138" s="90"/>
      <c r="G2138" s="17" t="s">
        <v>1405</v>
      </c>
      <c r="Z2138" s="101"/>
      <c r="AA2138" s="101"/>
      <c r="AB2138" s="101"/>
      <c r="AC2138" s="101"/>
      <c r="AD2138" s="101"/>
      <c r="AE2138" s="101"/>
      <c r="AF2138" s="101"/>
      <c r="AG2138" s="101"/>
      <c r="AH2138" s="101"/>
      <c r="AI2138" s="101"/>
      <c r="AJ2138" s="101"/>
      <c r="AK2138" s="101"/>
      <c r="AL2138" s="101"/>
      <c r="AM2138" s="101"/>
      <c r="AN2138" s="101"/>
    </row>
    <row r="2139" spans="1:40" ht="16.5" customHeight="1" x14ac:dyDescent="0.3">
      <c r="A2139" s="59"/>
      <c r="B2139" s="68" t="s">
        <v>1251</v>
      </c>
      <c r="C2139" s="92">
        <f>E2139+D2139+F2139</f>
        <v>149158.1</v>
      </c>
      <c r="D2139" s="92">
        <f>SUMIF(N2107:N2138,M2139,D2107:D2138)</f>
        <v>109545.20000000001</v>
      </c>
      <c r="E2139" s="92">
        <f>SUMIF(N2107:N2138,M2139,E2107:E2138)</f>
        <v>17788</v>
      </c>
      <c r="F2139" s="92">
        <f>SUMIF(N2107:N2138,M2139,F2107:F2138)</f>
        <v>21824.9</v>
      </c>
      <c r="G2139" s="17" t="s">
        <v>1476</v>
      </c>
      <c r="M2139" s="35" t="s">
        <v>1253</v>
      </c>
      <c r="N2139" s="35" t="s">
        <v>1209</v>
      </c>
      <c r="Z2139" s="101"/>
      <c r="AA2139" s="101"/>
      <c r="AB2139" s="101"/>
      <c r="AC2139" s="101"/>
      <c r="AD2139" s="101"/>
      <c r="AE2139" s="101"/>
      <c r="AF2139" s="101"/>
      <c r="AG2139" s="101"/>
      <c r="AH2139" s="101"/>
      <c r="AI2139" s="101"/>
      <c r="AJ2139" s="101"/>
      <c r="AK2139" s="101"/>
      <c r="AL2139" s="101"/>
      <c r="AM2139" s="101"/>
      <c r="AN2139" s="101"/>
    </row>
    <row r="2140" spans="1:40" ht="16.5" customHeight="1" x14ac:dyDescent="0.3">
      <c r="A2140" s="69"/>
      <c r="B2140" s="69"/>
      <c r="C2140" s="90"/>
      <c r="D2140" s="90"/>
      <c r="E2140" s="90"/>
      <c r="F2140" s="90"/>
      <c r="G2140" s="17" t="s">
        <v>1405</v>
      </c>
      <c r="Z2140" s="101"/>
      <c r="AA2140" s="101"/>
      <c r="AB2140" s="101"/>
      <c r="AC2140" s="101"/>
      <c r="AD2140" s="101"/>
      <c r="AE2140" s="101"/>
      <c r="AF2140" s="101"/>
      <c r="AG2140" s="101"/>
      <c r="AH2140" s="101"/>
      <c r="AI2140" s="101"/>
      <c r="AJ2140" s="101"/>
      <c r="AK2140" s="101"/>
      <c r="AL2140" s="101"/>
      <c r="AM2140" s="101"/>
      <c r="AN2140" s="101"/>
    </row>
    <row r="2141" spans="1:40" ht="16.5" customHeight="1" x14ac:dyDescent="0.3">
      <c r="A2141" s="69"/>
      <c r="B2141" s="69"/>
      <c r="C2141" s="69"/>
      <c r="D2141" s="69"/>
      <c r="E2141" s="69"/>
      <c r="F2141" s="69"/>
      <c r="Z2141" s="101"/>
      <c r="AA2141" s="101"/>
      <c r="AB2141" s="101"/>
      <c r="AC2141" s="101"/>
      <c r="AD2141" s="101"/>
      <c r="AE2141" s="101"/>
      <c r="AF2141" s="101"/>
      <c r="AG2141" s="101"/>
      <c r="AH2141" s="101"/>
      <c r="AI2141" s="101"/>
      <c r="AJ2141" s="101"/>
      <c r="AK2141" s="101"/>
      <c r="AL2141" s="101"/>
      <c r="AM2141" s="101"/>
      <c r="AN2141" s="101"/>
    </row>
    <row r="2142" spans="1:40" ht="16.5" customHeight="1" x14ac:dyDescent="0.3">
      <c r="A2142" s="69"/>
      <c r="B2142" s="69"/>
      <c r="C2142" s="69"/>
      <c r="D2142" s="69"/>
      <c r="E2142" s="69"/>
      <c r="F2142" s="69"/>
      <c r="Z2142" s="101"/>
      <c r="AA2142" s="101"/>
      <c r="AB2142" s="101"/>
      <c r="AC2142" s="101"/>
      <c r="AD2142" s="101"/>
      <c r="AE2142" s="101"/>
      <c r="AF2142" s="101"/>
      <c r="AG2142" s="101"/>
      <c r="AH2142" s="101"/>
      <c r="AI2142" s="101"/>
      <c r="AJ2142" s="101"/>
      <c r="AK2142" s="101"/>
      <c r="AL2142" s="101"/>
      <c r="AM2142" s="101"/>
      <c r="AN2142" s="101"/>
    </row>
    <row r="2143" spans="1:40" ht="16.5" customHeight="1" x14ac:dyDescent="0.3">
      <c r="A2143" s="69"/>
      <c r="B2143" s="69"/>
      <c r="C2143" s="69"/>
      <c r="D2143" s="69"/>
      <c r="E2143" s="69"/>
      <c r="F2143" s="69"/>
      <c r="Z2143" s="101"/>
      <c r="AA2143" s="101"/>
      <c r="AB2143" s="101"/>
      <c r="AC2143" s="101"/>
      <c r="AD2143" s="101"/>
      <c r="AE2143" s="101"/>
      <c r="AF2143" s="101"/>
      <c r="AG2143" s="101"/>
      <c r="AH2143" s="101"/>
      <c r="AI2143" s="101"/>
      <c r="AJ2143" s="101"/>
      <c r="AK2143" s="101"/>
      <c r="AL2143" s="101"/>
      <c r="AM2143" s="101"/>
      <c r="AN2143" s="101"/>
    </row>
    <row r="2144" spans="1:40" ht="16.5" customHeight="1" x14ac:dyDescent="0.3">
      <c r="A2144" s="69"/>
      <c r="B2144" s="69"/>
      <c r="C2144" s="69"/>
      <c r="D2144" s="69"/>
      <c r="E2144" s="69"/>
      <c r="F2144" s="69"/>
      <c r="Z2144" s="101"/>
      <c r="AA2144" s="101"/>
      <c r="AB2144" s="101"/>
      <c r="AC2144" s="101"/>
      <c r="AD2144" s="101"/>
      <c r="AE2144" s="101"/>
      <c r="AF2144" s="101"/>
      <c r="AG2144" s="101"/>
      <c r="AH2144" s="101"/>
      <c r="AI2144" s="101"/>
      <c r="AJ2144" s="101"/>
      <c r="AK2144" s="101"/>
      <c r="AL2144" s="101"/>
      <c r="AM2144" s="101"/>
      <c r="AN2144" s="101"/>
    </row>
    <row r="2145" spans="1:40" ht="16.5" customHeight="1" x14ac:dyDescent="0.3">
      <c r="A2145" s="69"/>
      <c r="B2145" s="69"/>
      <c r="C2145" s="69"/>
      <c r="D2145" s="69"/>
      <c r="E2145" s="69"/>
      <c r="F2145" s="69"/>
      <c r="Z2145" s="101"/>
      <c r="AA2145" s="101"/>
      <c r="AB2145" s="101"/>
      <c r="AC2145" s="101"/>
      <c r="AD2145" s="101"/>
      <c r="AE2145" s="101"/>
      <c r="AF2145" s="101"/>
      <c r="AG2145" s="101"/>
      <c r="AH2145" s="101"/>
      <c r="AI2145" s="101"/>
      <c r="AJ2145" s="101"/>
      <c r="AK2145" s="101"/>
      <c r="AL2145" s="101"/>
      <c r="AM2145" s="101"/>
      <c r="AN2145" s="101"/>
    </row>
    <row r="2146" spans="1:40" ht="16.5" customHeight="1" x14ac:dyDescent="0.3">
      <c r="A2146" s="69"/>
      <c r="B2146" s="69"/>
      <c r="C2146" s="69"/>
      <c r="D2146" s="69"/>
      <c r="E2146" s="69"/>
      <c r="F2146" s="69"/>
      <c r="Z2146" s="101"/>
      <c r="AA2146" s="101"/>
      <c r="AB2146" s="101"/>
      <c r="AC2146" s="101"/>
      <c r="AD2146" s="101"/>
      <c r="AE2146" s="101"/>
      <c r="AF2146" s="101"/>
      <c r="AG2146" s="101"/>
      <c r="AH2146" s="101"/>
      <c r="AI2146" s="101"/>
      <c r="AJ2146" s="101"/>
      <c r="AK2146" s="101"/>
      <c r="AL2146" s="101"/>
      <c r="AM2146" s="101"/>
      <c r="AN2146" s="101"/>
    </row>
    <row r="2147" spans="1:40" ht="16.5" customHeight="1" x14ac:dyDescent="0.3">
      <c r="A2147" s="69"/>
      <c r="B2147" s="69"/>
      <c r="C2147" s="69"/>
      <c r="D2147" s="69"/>
      <c r="E2147" s="69"/>
      <c r="F2147" s="69"/>
      <c r="Z2147" s="101"/>
      <c r="AA2147" s="101"/>
      <c r="AB2147" s="101"/>
      <c r="AC2147" s="101"/>
      <c r="AD2147" s="101"/>
      <c r="AE2147" s="101"/>
      <c r="AF2147" s="101"/>
      <c r="AG2147" s="101"/>
      <c r="AH2147" s="101"/>
      <c r="AI2147" s="101"/>
      <c r="AJ2147" s="101"/>
      <c r="AK2147" s="101"/>
      <c r="AL2147" s="101"/>
      <c r="AM2147" s="101"/>
      <c r="AN2147" s="101"/>
    </row>
    <row r="2148" spans="1:40" ht="16.5" customHeight="1" x14ac:dyDescent="0.3">
      <c r="A2148" s="69"/>
      <c r="B2148" s="69"/>
      <c r="C2148" s="69"/>
      <c r="D2148" s="69"/>
      <c r="E2148" s="69"/>
      <c r="F2148" s="69"/>
      <c r="Z2148" s="101"/>
      <c r="AA2148" s="101"/>
      <c r="AB2148" s="101"/>
      <c r="AC2148" s="101"/>
      <c r="AD2148" s="101"/>
      <c r="AE2148" s="101"/>
      <c r="AF2148" s="101"/>
      <c r="AG2148" s="101"/>
      <c r="AH2148" s="101"/>
      <c r="AI2148" s="101"/>
      <c r="AJ2148" s="101"/>
      <c r="AK2148" s="101"/>
      <c r="AL2148" s="101"/>
      <c r="AM2148" s="101"/>
      <c r="AN2148" s="101"/>
    </row>
    <row r="2149" spans="1:40" ht="16.5" customHeight="1" x14ac:dyDescent="0.3">
      <c r="A2149" s="69"/>
      <c r="B2149" s="69"/>
      <c r="C2149" s="69"/>
      <c r="D2149" s="69"/>
      <c r="E2149" s="69"/>
      <c r="F2149" s="69"/>
      <c r="Z2149" s="101"/>
      <c r="AA2149" s="101"/>
      <c r="AB2149" s="101"/>
      <c r="AC2149" s="101"/>
      <c r="AD2149" s="101"/>
      <c r="AE2149" s="101"/>
      <c r="AF2149" s="101"/>
      <c r="AG2149" s="101"/>
      <c r="AH2149" s="101"/>
      <c r="AI2149" s="101"/>
      <c r="AJ2149" s="101"/>
      <c r="AK2149" s="101"/>
      <c r="AL2149" s="101"/>
      <c r="AM2149" s="101"/>
      <c r="AN2149" s="101"/>
    </row>
    <row r="2150" spans="1:40" ht="16.5" customHeight="1" x14ac:dyDescent="0.3">
      <c r="A2150" s="69"/>
      <c r="B2150" s="69"/>
      <c r="C2150" s="69"/>
      <c r="D2150" s="69"/>
      <c r="E2150" s="69"/>
      <c r="F2150" s="69"/>
      <c r="Z2150" s="101"/>
      <c r="AA2150" s="101"/>
      <c r="AB2150" s="101"/>
      <c r="AC2150" s="101"/>
      <c r="AD2150" s="101"/>
      <c r="AE2150" s="101"/>
      <c r="AF2150" s="101"/>
      <c r="AG2150" s="101"/>
      <c r="AH2150" s="101"/>
      <c r="AI2150" s="101"/>
      <c r="AJ2150" s="101"/>
      <c r="AK2150" s="101"/>
      <c r="AL2150" s="101"/>
      <c r="AM2150" s="101"/>
      <c r="AN2150" s="101"/>
    </row>
    <row r="2151" spans="1:40" ht="16.5" customHeight="1" x14ac:dyDescent="0.3">
      <c r="A2151" s="69"/>
      <c r="B2151" s="69"/>
      <c r="C2151" s="69"/>
      <c r="D2151" s="69"/>
      <c r="E2151" s="69"/>
      <c r="F2151" s="69"/>
      <c r="Z2151" s="101"/>
      <c r="AA2151" s="101"/>
      <c r="AB2151" s="101"/>
      <c r="AC2151" s="101"/>
      <c r="AD2151" s="101"/>
      <c r="AE2151" s="101"/>
      <c r="AF2151" s="101"/>
      <c r="AG2151" s="101"/>
      <c r="AH2151" s="101"/>
      <c r="AI2151" s="101"/>
      <c r="AJ2151" s="101"/>
      <c r="AK2151" s="101"/>
      <c r="AL2151" s="101"/>
      <c r="AM2151" s="101"/>
      <c r="AN2151" s="101"/>
    </row>
    <row r="2152" spans="1:40" ht="16.5" customHeight="1" x14ac:dyDescent="0.3">
      <c r="A2152" s="69"/>
      <c r="B2152" s="69"/>
      <c r="C2152" s="69"/>
      <c r="D2152" s="69"/>
      <c r="E2152" s="69"/>
      <c r="F2152" s="69"/>
      <c r="Z2152" s="101"/>
      <c r="AA2152" s="101"/>
      <c r="AB2152" s="101"/>
      <c r="AC2152" s="101"/>
      <c r="AD2152" s="101"/>
      <c r="AE2152" s="101"/>
      <c r="AF2152" s="101"/>
      <c r="AG2152" s="101"/>
      <c r="AH2152" s="101"/>
      <c r="AI2152" s="101"/>
      <c r="AJ2152" s="101"/>
      <c r="AK2152" s="101"/>
      <c r="AL2152" s="101"/>
      <c r="AM2152" s="101"/>
      <c r="AN2152" s="101"/>
    </row>
    <row r="2153" spans="1:40" ht="16.5" customHeight="1" x14ac:dyDescent="0.3">
      <c r="A2153" s="74"/>
      <c r="B2153" s="74"/>
      <c r="C2153" s="74"/>
      <c r="D2153" s="74"/>
      <c r="E2153" s="74"/>
      <c r="F2153" s="74"/>
      <c r="Z2153" s="101"/>
      <c r="AA2153" s="101"/>
      <c r="AB2153" s="101"/>
      <c r="AC2153" s="101"/>
      <c r="AD2153" s="101"/>
      <c r="AE2153" s="101"/>
      <c r="AF2153" s="101"/>
      <c r="AG2153" s="101"/>
      <c r="AH2153" s="101"/>
      <c r="AI2153" s="101"/>
      <c r="AJ2153" s="101"/>
      <c r="AK2153" s="101"/>
      <c r="AL2153" s="101"/>
      <c r="AM2153" s="101"/>
      <c r="AN2153" s="101"/>
    </row>
    <row r="2154" spans="1:40" ht="16.5" customHeight="1" x14ac:dyDescent="0.3">
      <c r="A2154" s="150" t="s">
        <v>1477</v>
      </c>
      <c r="B2154" s="143"/>
      <c r="C2154" s="47">
        <f>E2154+D2154+F2154</f>
        <v>149157</v>
      </c>
      <c r="D2154" s="46">
        <f>ROUNDDOWN(SUMIF(N2107:N2140,M2154,D2107:D2140),0)</f>
        <v>109545</v>
      </c>
      <c r="E2154" s="55">
        <f>ROUNDDOWN(SUMIF(N2107:N2140,M2154,E2107:E2140),0)</f>
        <v>17788</v>
      </c>
      <c r="F2154" s="47">
        <f>ROUNDDOWN(SUMIF(N2107:N2140,M2154,F2107:F2140),0)</f>
        <v>21824</v>
      </c>
      <c r="M2154" s="35" t="s">
        <v>1209</v>
      </c>
      <c r="Z2154" s="101"/>
      <c r="AA2154" s="101"/>
      <c r="AB2154" s="101"/>
      <c r="AC2154" s="101"/>
      <c r="AD2154" s="101"/>
      <c r="AE2154" s="101"/>
      <c r="AF2154" s="101"/>
      <c r="AG2154" s="101"/>
      <c r="AH2154" s="101"/>
      <c r="AI2154" s="101"/>
      <c r="AJ2154" s="101"/>
      <c r="AK2154" s="101"/>
      <c r="AL2154" s="101"/>
      <c r="AM2154" s="101"/>
      <c r="AN2154" s="101"/>
    </row>
    <row r="2155" spans="1:40" ht="16.5" customHeight="1" x14ac:dyDescent="0.3">
      <c r="A2155" s="86" t="s">
        <v>226</v>
      </c>
      <c r="B2155" s="88" t="s">
        <v>226</v>
      </c>
      <c r="C2155" s="151">
        <f>C2204</f>
        <v>74578</v>
      </c>
      <c r="D2155" s="151">
        <f>D2204</f>
        <v>54772</v>
      </c>
      <c r="E2155" s="151">
        <f>E2204</f>
        <v>8894</v>
      </c>
      <c r="F2155" s="151">
        <f>F2204</f>
        <v>10912</v>
      </c>
      <c r="G2155" s="84" t="str">
        <f>HYPERLINK("#G"&amp;ROW(G2189),"_x0005_`BDCOD|D00591_x0007_`POSS|"&amp;ROW(G2157)&amp;"_x0007_`POSE|"&amp;ROW(G2189)&amp;"_x0007_`")</f>
        <v>_x0005_`BDCOD|D00591_x0007_`POSS|2157_x0007_`POSE|2189_x0007_`</v>
      </c>
      <c r="Z2155" s="101"/>
      <c r="AA2155" s="101"/>
      <c r="AB2155" s="101"/>
      <c r="AC2155" s="101"/>
      <c r="AD2155" s="101"/>
      <c r="AE2155" s="101"/>
      <c r="AF2155" s="101"/>
      <c r="AG2155" s="101"/>
      <c r="AH2155" s="101"/>
      <c r="AI2155" s="101"/>
      <c r="AJ2155" s="101"/>
      <c r="AK2155" s="101"/>
      <c r="AL2155" s="101"/>
      <c r="AM2155" s="101"/>
      <c r="AN2155" s="101"/>
    </row>
    <row r="2156" spans="1:40" ht="16.5" customHeight="1" x14ac:dyDescent="0.3">
      <c r="A2156" s="87"/>
      <c r="B2156" s="88" t="s">
        <v>225</v>
      </c>
      <c r="C2156" s="136"/>
      <c r="D2156" s="136"/>
      <c r="E2156" s="136"/>
      <c r="F2156" s="136"/>
      <c r="M2156" s="35" t="s">
        <v>2215</v>
      </c>
      <c r="Z2156" s="101"/>
      <c r="AA2156" s="101"/>
      <c r="AB2156" s="101"/>
      <c r="AC2156" s="101"/>
      <c r="AD2156" s="101"/>
      <c r="AE2156" s="101"/>
      <c r="AF2156" s="101"/>
      <c r="AG2156" s="101"/>
      <c r="AH2156" s="101"/>
      <c r="AI2156" s="101"/>
      <c r="AJ2156" s="101"/>
      <c r="AK2156" s="101"/>
      <c r="AL2156" s="101"/>
      <c r="AM2156" s="101"/>
      <c r="AN2156" s="101"/>
    </row>
    <row r="2157" spans="1:40" ht="16.5" customHeight="1" x14ac:dyDescent="0.3">
      <c r="A2157" s="69"/>
      <c r="B2157" s="69"/>
      <c r="C2157" s="90"/>
      <c r="D2157" s="90"/>
      <c r="E2157" s="90"/>
      <c r="F2157" s="90"/>
      <c r="G2157" s="17" t="s">
        <v>1405</v>
      </c>
      <c r="Z2157" s="101"/>
      <c r="AA2157" s="101"/>
      <c r="AB2157" s="101"/>
      <c r="AC2157" s="101"/>
      <c r="AD2157" s="101"/>
      <c r="AE2157" s="101"/>
      <c r="AF2157" s="101"/>
      <c r="AG2157" s="101"/>
      <c r="AH2157" s="101"/>
      <c r="AI2157" s="101"/>
      <c r="AJ2157" s="101"/>
      <c r="AK2157" s="101"/>
      <c r="AL2157" s="101"/>
      <c r="AM2157" s="101"/>
      <c r="AN2157" s="101"/>
    </row>
    <row r="2158" spans="1:40" ht="16.5" customHeight="1" x14ac:dyDescent="0.3">
      <c r="A2158" s="59"/>
      <c r="B2158" s="68" t="s">
        <v>2193</v>
      </c>
      <c r="C2158" s="69"/>
      <c r="D2158" s="69"/>
      <c r="E2158" s="69"/>
      <c r="F2158" s="69"/>
      <c r="G2158" s="17" t="s">
        <v>2192</v>
      </c>
      <c r="Z2158" s="101"/>
      <c r="AA2158" s="101"/>
      <c r="AB2158" s="101"/>
      <c r="AC2158" s="101"/>
      <c r="AD2158" s="101"/>
      <c r="AE2158" s="101"/>
      <c r="AF2158" s="101"/>
      <c r="AG2158" s="101"/>
      <c r="AH2158" s="101"/>
      <c r="AI2158" s="101"/>
      <c r="AJ2158" s="101"/>
      <c r="AK2158" s="101"/>
      <c r="AL2158" s="101"/>
      <c r="AM2158" s="101"/>
      <c r="AN2158" s="101"/>
    </row>
    <row r="2159" spans="1:40" ht="16.5" customHeight="1" x14ac:dyDescent="0.3">
      <c r="A2159" s="69"/>
      <c r="B2159" s="69"/>
      <c r="C2159" s="69"/>
      <c r="D2159" s="69"/>
      <c r="E2159" s="69"/>
      <c r="F2159" s="69"/>
      <c r="G2159" s="17" t="s">
        <v>1405</v>
      </c>
      <c r="Z2159" s="101"/>
      <c r="AA2159" s="101"/>
      <c r="AB2159" s="101"/>
      <c r="AC2159" s="101"/>
      <c r="AD2159" s="101"/>
      <c r="AE2159" s="101"/>
      <c r="AF2159" s="101"/>
      <c r="AG2159" s="101"/>
      <c r="AH2159" s="101"/>
      <c r="AI2159" s="101"/>
      <c r="AJ2159" s="101"/>
      <c r="AK2159" s="101"/>
      <c r="AL2159" s="101"/>
      <c r="AM2159" s="101"/>
      <c r="AN2159" s="101"/>
    </row>
    <row r="2160" spans="1:40" ht="16.5" customHeight="1" x14ac:dyDescent="0.3">
      <c r="A2160" s="59"/>
      <c r="B2160" s="68" t="str">
        <f>"    일당 시공량  Q = "&amp;Z2160&amp;" 본/일 "</f>
        <v xml:space="preserve">    일당 시공량  Q = 10 본/일 </v>
      </c>
      <c r="C2160" s="69"/>
      <c r="D2160" s="69"/>
      <c r="E2160" s="69"/>
      <c r="F2160" s="69"/>
      <c r="G2160" s="17" t="s">
        <v>2194</v>
      </c>
      <c r="Z2160" s="102">
        <v>10</v>
      </c>
      <c r="AA2160" s="35" t="s">
        <v>1410</v>
      </c>
      <c r="AB2160" s="103">
        <f>Z2160</f>
        <v>10</v>
      </c>
      <c r="AC2160" s="101"/>
      <c r="AD2160" s="101"/>
      <c r="AE2160" s="101"/>
      <c r="AF2160" s="101"/>
      <c r="AG2160" s="101"/>
      <c r="AH2160" s="101"/>
      <c r="AI2160" s="101"/>
      <c r="AJ2160" s="101"/>
      <c r="AK2160" s="101"/>
      <c r="AL2160" s="101"/>
      <c r="AM2160" s="101"/>
      <c r="AN2160" s="101"/>
    </row>
    <row r="2161" spans="1:40" ht="16.5" customHeight="1" x14ac:dyDescent="0.3">
      <c r="A2161" s="69"/>
      <c r="B2161" s="69"/>
      <c r="C2161" s="69"/>
      <c r="D2161" s="69"/>
      <c r="E2161" s="69"/>
      <c r="F2161" s="69"/>
      <c r="G2161" s="17" t="s">
        <v>1405</v>
      </c>
      <c r="Z2161" s="101"/>
      <c r="AA2161" s="101"/>
      <c r="AB2161" s="101"/>
      <c r="AC2161" s="101"/>
      <c r="AD2161" s="101"/>
      <c r="AE2161" s="101"/>
      <c r="AF2161" s="101"/>
      <c r="AG2161" s="101"/>
      <c r="AH2161" s="101"/>
      <c r="AI2161" s="101"/>
      <c r="AJ2161" s="101"/>
      <c r="AK2161" s="101"/>
      <c r="AL2161" s="101"/>
      <c r="AM2161" s="101"/>
      <c r="AN2161" s="101"/>
    </row>
    <row r="2162" spans="1:40" ht="16.5" customHeight="1" x14ac:dyDescent="0.3">
      <c r="A2162" s="59"/>
      <c r="B2162" s="68" t="str">
        <f>"    시간당 시공량:   Q1 = Q / "&amp;AB2162&amp;" = "&amp;AD2162&amp;"    본/Hr "</f>
        <v xml:space="preserve">    시간당 시공량:   Q1 = Q / 8 = 1.250    본/Hr </v>
      </c>
      <c r="C2162" s="69"/>
      <c r="D2162" s="69"/>
      <c r="E2162" s="69"/>
      <c r="F2162" s="69"/>
      <c r="G2162" s="17" t="s">
        <v>2195</v>
      </c>
      <c r="Z2162" s="103">
        <f>AB2160</f>
        <v>10</v>
      </c>
      <c r="AA2162" s="35" t="s">
        <v>1413</v>
      </c>
      <c r="AB2162" s="102">
        <v>8</v>
      </c>
      <c r="AC2162" s="35" t="s">
        <v>1410</v>
      </c>
      <c r="AD2162" s="103" t="str">
        <f>TEXT(ROUND(AB2160/AB2162,3),"#,0.000")</f>
        <v>1.250</v>
      </c>
      <c r="AE2162" s="101"/>
      <c r="AF2162" s="101"/>
      <c r="AG2162" s="101"/>
      <c r="AH2162" s="101"/>
      <c r="AI2162" s="101"/>
      <c r="AJ2162" s="101"/>
      <c r="AK2162" s="101"/>
      <c r="AL2162" s="101"/>
      <c r="AM2162" s="101"/>
      <c r="AN2162" s="101"/>
    </row>
    <row r="2163" spans="1:40" ht="16.5" customHeight="1" x14ac:dyDescent="0.3">
      <c r="A2163" s="69"/>
      <c r="B2163" s="69"/>
      <c r="C2163" s="69"/>
      <c r="D2163" s="69"/>
      <c r="E2163" s="69"/>
      <c r="F2163" s="69"/>
      <c r="G2163" s="17" t="s">
        <v>1405</v>
      </c>
      <c r="Z2163" s="101"/>
      <c r="AA2163" s="101"/>
      <c r="AB2163" s="101"/>
      <c r="AC2163" s="101"/>
      <c r="AD2163" s="101"/>
      <c r="AE2163" s="101"/>
      <c r="AF2163" s="101"/>
      <c r="AG2163" s="101"/>
      <c r="AH2163" s="101"/>
      <c r="AI2163" s="101"/>
      <c r="AJ2163" s="101"/>
      <c r="AK2163" s="101"/>
      <c r="AL2163" s="101"/>
      <c r="AM2163" s="101"/>
      <c r="AN2163" s="101"/>
    </row>
    <row r="2164" spans="1:40" ht="16.5" customHeight="1" x14ac:dyDescent="0.3">
      <c r="A2164" s="59"/>
      <c r="B2164" s="68" t="s">
        <v>2197</v>
      </c>
      <c r="C2164" s="69"/>
      <c r="D2164" s="69"/>
      <c r="E2164" s="69"/>
      <c r="F2164" s="69"/>
      <c r="G2164" s="17" t="s">
        <v>2196</v>
      </c>
      <c r="Z2164" s="101"/>
      <c r="AA2164" s="101"/>
      <c r="AB2164" s="101"/>
      <c r="AC2164" s="101"/>
      <c r="AD2164" s="101"/>
      <c r="AE2164" s="101"/>
      <c r="AF2164" s="101"/>
      <c r="AG2164" s="101"/>
      <c r="AH2164" s="101"/>
      <c r="AI2164" s="101"/>
      <c r="AJ2164" s="101"/>
      <c r="AK2164" s="101"/>
      <c r="AL2164" s="101"/>
      <c r="AM2164" s="101"/>
      <c r="AN2164" s="101"/>
    </row>
    <row r="2165" spans="1:40" ht="16.5" customHeight="1" x14ac:dyDescent="0.3">
      <c r="A2165" s="69"/>
      <c r="B2165" s="69"/>
      <c r="C2165" s="69"/>
      <c r="D2165" s="69"/>
      <c r="E2165" s="69"/>
      <c r="F2165" s="69"/>
      <c r="G2165" s="17" t="s">
        <v>1405</v>
      </c>
      <c r="Z2165" s="101"/>
      <c r="AA2165" s="101"/>
      <c r="AB2165" s="101"/>
      <c r="AC2165" s="101"/>
      <c r="AD2165" s="101"/>
      <c r="AE2165" s="101"/>
      <c r="AF2165" s="101"/>
      <c r="AG2165" s="101"/>
      <c r="AH2165" s="101"/>
      <c r="AI2165" s="101"/>
      <c r="AJ2165" s="101"/>
      <c r="AK2165" s="101"/>
      <c r="AL2165" s="101"/>
      <c r="AM2165" s="101"/>
      <c r="AN2165" s="101"/>
    </row>
    <row r="2166" spans="1:40" ht="16.5" customHeight="1" x14ac:dyDescent="0.3">
      <c r="A2166" s="69"/>
      <c r="B2166" s="69"/>
      <c r="C2166" s="69"/>
      <c r="D2166" s="69"/>
      <c r="E2166" s="69"/>
      <c r="F2166" s="69"/>
      <c r="G2166" s="17" t="s">
        <v>1405</v>
      </c>
      <c r="Z2166" s="101"/>
      <c r="AA2166" s="101"/>
      <c r="AB2166" s="101"/>
      <c r="AC2166" s="101"/>
      <c r="AD2166" s="101"/>
      <c r="AE2166" s="101"/>
      <c r="AF2166" s="101"/>
      <c r="AG2166" s="101"/>
      <c r="AH2166" s="101"/>
      <c r="AI2166" s="101"/>
      <c r="AJ2166" s="101"/>
      <c r="AK2166" s="101"/>
      <c r="AL2166" s="101"/>
      <c r="AM2166" s="101"/>
      <c r="AN2166" s="101"/>
    </row>
    <row r="2167" spans="1:40" ht="16.5" customHeight="1" x14ac:dyDescent="0.3">
      <c r="A2167" s="59" t="s">
        <v>2199</v>
      </c>
      <c r="B2167" s="89" t="str">
        <f>"     배관공(수도) : "&amp;TEXT(I2167,"#,##0"&amp;IF(I2167&lt;&gt;INT(I2167),".###",""))&amp;" * "&amp;AA2167&amp;" 인 / Q 인  * ("&amp;AE2167&amp;"/"&amp;AG2167&amp;")= "&amp;TEXT(C2167,"#,##0.0")&amp;""</f>
        <v xml:space="preserve">     배관공(수도) : 262,580 * 2 인 / Q 인  * (1/2)= 26,258.0</v>
      </c>
      <c r="C2167" s="91">
        <f>E2167+D2167+F2167</f>
        <v>26258</v>
      </c>
      <c r="D2167" s="91">
        <f>IF(H2167=0,0,ROUNDDOWN(J2167*H2167,1))</f>
        <v>26258</v>
      </c>
      <c r="E2167" s="91">
        <f>IF(H2167=0,0,ROUNDDOWN(K2167*H2167,1))</f>
        <v>0</v>
      </c>
      <c r="F2167" s="91">
        <f>IF(H2167=0,0,ROUNDDOWN(L2167*H2167,1))</f>
        <v>0</v>
      </c>
      <c r="G2167" s="17" t="s">
        <v>2216</v>
      </c>
      <c r="H2167" s="97">
        <f>ROUNDUP(AJ2167,14-LEN(ABS(INT(AJ2167))))</f>
        <v>0.1</v>
      </c>
      <c r="I2167" s="98">
        <f>K2167+J2167+L2167</f>
        <v>262580</v>
      </c>
      <c r="J2167" s="38">
        <f>노무비목록표!E7</f>
        <v>262580</v>
      </c>
      <c r="M2167" s="35" t="s">
        <v>1279</v>
      </c>
      <c r="N2167" s="35" t="s">
        <v>1262</v>
      </c>
      <c r="O2167" s="35" t="s">
        <v>1214</v>
      </c>
      <c r="X2167" s="100" t="str">
        <f>노무비목록표!B7&amp;" / "&amp;노무비목록표!C7</f>
        <v xml:space="preserve">배관공(수도) / </v>
      </c>
      <c r="Y2167" s="3" t="str">
        <f ca="1">HYPERLINK("#"&amp;노무비목록표!G2&amp;"!A"&amp;ROW(노무비목록표!A7),"노무4 →")</f>
        <v>노무4 →</v>
      </c>
      <c r="Z2167" s="35" t="s">
        <v>1446</v>
      </c>
      <c r="AA2167" s="102">
        <v>2</v>
      </c>
      <c r="AB2167" s="35" t="s">
        <v>1413</v>
      </c>
      <c r="AC2167" s="103">
        <f>AB2160</f>
        <v>10</v>
      </c>
      <c r="AD2167" s="35" t="s">
        <v>2217</v>
      </c>
      <c r="AE2167" s="102">
        <v>1</v>
      </c>
      <c r="AF2167" s="35" t="s">
        <v>1413</v>
      </c>
      <c r="AG2167" s="102">
        <v>2</v>
      </c>
      <c r="AH2167" s="35" t="s">
        <v>1468</v>
      </c>
      <c r="AI2167" s="35" t="s">
        <v>1410</v>
      </c>
      <c r="AJ2167" s="103">
        <f>1*AA2167/AB2160*(AE2167/AG2167)</f>
        <v>0.1</v>
      </c>
      <c r="AK2167" s="101"/>
      <c r="AL2167" s="101"/>
      <c r="AM2167" s="101"/>
      <c r="AN2167" s="101"/>
    </row>
    <row r="2168" spans="1:40" ht="16.5" customHeight="1" x14ac:dyDescent="0.3">
      <c r="A2168" s="69"/>
      <c r="B2168" s="69"/>
      <c r="C2168" s="69"/>
      <c r="D2168" s="69"/>
      <c r="E2168" s="69"/>
      <c r="F2168" s="69"/>
      <c r="G2168" s="17" t="s">
        <v>1405</v>
      </c>
      <c r="Z2168" s="101"/>
      <c r="AA2168" s="101"/>
      <c r="AB2168" s="101"/>
      <c r="AC2168" s="101"/>
      <c r="AD2168" s="101"/>
      <c r="AE2168" s="101"/>
      <c r="AF2168" s="101"/>
      <c r="AG2168" s="101"/>
      <c r="AH2168" s="101"/>
      <c r="AI2168" s="101"/>
      <c r="AJ2168" s="101"/>
      <c r="AK2168" s="101"/>
      <c r="AL2168" s="101"/>
      <c r="AM2168" s="101"/>
      <c r="AN2168" s="101"/>
    </row>
    <row r="2169" spans="1:40" ht="16.5" customHeight="1" x14ac:dyDescent="0.3">
      <c r="A2169" s="59" t="s">
        <v>1419</v>
      </c>
      <c r="B2169" s="89" t="str">
        <f>"     보통인부 : "&amp;TEXT(I2169,"#,##0"&amp;IF(I2169&lt;&gt;INT(I2169),".###",""))&amp;" * "&amp;AA2169&amp;" 인 / Q 인 * ("&amp;AE2169&amp;"/"&amp;AG2169&amp;")= "&amp;TEXT(C2169,"#,##0.0")&amp;""</f>
        <v xml:space="preserve">     보통인부 : 172,068 * 1 인 / Q 인 * (1/2)= 8,603.4</v>
      </c>
      <c r="C2169" s="91">
        <f>E2169+D2169+F2169</f>
        <v>8603.4</v>
      </c>
      <c r="D2169" s="91">
        <f>IF(H2169=0,0,ROUNDDOWN(J2169*H2169,1))</f>
        <v>8603.4</v>
      </c>
      <c r="E2169" s="91">
        <f>IF(H2169=0,0,ROUNDDOWN(K2169*H2169,1))</f>
        <v>0</v>
      </c>
      <c r="F2169" s="91">
        <f>IF(H2169=0,0,ROUNDDOWN(L2169*H2169,1))</f>
        <v>0</v>
      </c>
      <c r="G2169" s="17" t="s">
        <v>2218</v>
      </c>
      <c r="H2169" s="97">
        <f>ROUNDUP(AJ2169,14-LEN(ABS(INT(AJ2169))))</f>
        <v>0.05</v>
      </c>
      <c r="I2169" s="98">
        <f>K2169+J2169+L2169</f>
        <v>172068</v>
      </c>
      <c r="J2169" s="38">
        <f>노무비목록표!E8</f>
        <v>172068</v>
      </c>
      <c r="M2169" s="35" t="s">
        <v>1219</v>
      </c>
      <c r="N2169" s="35" t="s">
        <v>1262</v>
      </c>
      <c r="O2169" s="35" t="s">
        <v>1214</v>
      </c>
      <c r="X2169" s="100" t="str">
        <f>노무비목록표!B8&amp;" / "&amp;노무비목록표!C8</f>
        <v xml:space="preserve">보통인부 / </v>
      </c>
      <c r="Y2169" s="3" t="str">
        <f ca="1">HYPERLINK("#"&amp;노무비목록표!G2&amp;"!A"&amp;ROW(노무비목록표!A8),"노무5 →")</f>
        <v>노무5 →</v>
      </c>
      <c r="Z2169" s="35" t="s">
        <v>1446</v>
      </c>
      <c r="AA2169" s="102">
        <v>1</v>
      </c>
      <c r="AB2169" s="35" t="s">
        <v>1413</v>
      </c>
      <c r="AC2169" s="103">
        <f>AB2160</f>
        <v>10</v>
      </c>
      <c r="AD2169" s="35" t="s">
        <v>2217</v>
      </c>
      <c r="AE2169" s="102">
        <v>1</v>
      </c>
      <c r="AF2169" s="35" t="s">
        <v>1413</v>
      </c>
      <c r="AG2169" s="102">
        <v>2</v>
      </c>
      <c r="AH2169" s="35" t="s">
        <v>1468</v>
      </c>
      <c r="AI2169" s="35" t="s">
        <v>1410</v>
      </c>
      <c r="AJ2169" s="103">
        <f>1*AA2169/AB2160*(AE2169/AG2169)</f>
        <v>0.05</v>
      </c>
      <c r="AK2169" s="101"/>
      <c r="AL2169" s="101"/>
      <c r="AM2169" s="101"/>
      <c r="AN2169" s="101"/>
    </row>
    <row r="2170" spans="1:40" ht="16.5" customHeight="1" x14ac:dyDescent="0.3">
      <c r="A2170" s="69"/>
      <c r="B2170" s="69"/>
      <c r="C2170" s="69"/>
      <c r="D2170" s="69"/>
      <c r="E2170" s="69"/>
      <c r="F2170" s="69"/>
      <c r="G2170" s="17" t="s">
        <v>1405</v>
      </c>
      <c r="Z2170" s="101"/>
      <c r="AA2170" s="101"/>
      <c r="AB2170" s="101"/>
      <c r="AC2170" s="101"/>
      <c r="AD2170" s="101"/>
      <c r="AE2170" s="101"/>
      <c r="AF2170" s="101"/>
      <c r="AG2170" s="101"/>
      <c r="AH2170" s="101"/>
      <c r="AI2170" s="101"/>
      <c r="AJ2170" s="101"/>
      <c r="AK2170" s="101"/>
      <c r="AL2170" s="101"/>
      <c r="AM2170" s="101"/>
      <c r="AN2170" s="101"/>
    </row>
    <row r="2171" spans="1:40" ht="16.5" customHeight="1" x14ac:dyDescent="0.3">
      <c r="A2171" s="59"/>
      <c r="B2171" s="89" t="str">
        <f>"    공구손료 및 경장비(임팩트렌치, 발전기 등) : "&amp;TEXT(I2171,"#,##0.0")&amp;" * "&amp;AA2171&amp;" %  = "&amp;TEXT(C2171,"#,##0.0")&amp;""</f>
        <v xml:space="preserve">    공구손료 및 경장비(임팩트렌치, 발전기 등) : 34,861.4 * 4 %  = 1,394.4</v>
      </c>
      <c r="C2171" s="91">
        <f>E2171+D2171+F2171</f>
        <v>1394.4</v>
      </c>
      <c r="D2171" s="91">
        <f>IF(H2171=0,0,ROUNDDOWN(J2171*H2171/100,1))</f>
        <v>0</v>
      </c>
      <c r="E2171" s="91">
        <f>IF(H2171=0,0,ROUNDDOWN(K2171*H2171/100,1))</f>
        <v>0</v>
      </c>
      <c r="F2171" s="91">
        <f>IF(H2171=0,0,ROUNDDOWN(L2171*H2171/100,1))</f>
        <v>1394.4</v>
      </c>
      <c r="G2171" s="17" t="s">
        <v>2201</v>
      </c>
      <c r="H2171" s="97">
        <f>ROUNDUP(AC2171,14-LEN(ABS(INT(AC2171))))</f>
        <v>4</v>
      </c>
      <c r="I2171" s="98">
        <f>K2171+J2171+L2171</f>
        <v>34861.4</v>
      </c>
      <c r="J2171" s="36">
        <v>0</v>
      </c>
      <c r="K2171" s="36">
        <v>0</v>
      </c>
      <c r="L2171" s="38">
        <f>D2167+D2169</f>
        <v>34861.4</v>
      </c>
      <c r="M2171" s="35" t="s">
        <v>1059</v>
      </c>
      <c r="N2171" s="35" t="s">
        <v>1262</v>
      </c>
      <c r="Z2171" s="35" t="s">
        <v>1446</v>
      </c>
      <c r="AA2171" s="102">
        <v>4</v>
      </c>
      <c r="AB2171" s="35" t="s">
        <v>1410</v>
      </c>
      <c r="AC2171" s="103">
        <f>1*AA2171</f>
        <v>4</v>
      </c>
      <c r="AD2171" s="101"/>
      <c r="AE2171" s="101"/>
      <c r="AF2171" s="101"/>
      <c r="AG2171" s="101"/>
      <c r="AH2171" s="101"/>
      <c r="AI2171" s="101"/>
      <c r="AJ2171" s="101"/>
      <c r="AK2171" s="101"/>
      <c r="AL2171" s="101"/>
      <c r="AM2171" s="101"/>
      <c r="AN2171" s="101"/>
    </row>
    <row r="2172" spans="1:40" ht="16.5" customHeight="1" x14ac:dyDescent="0.3">
      <c r="A2172" s="69"/>
      <c r="B2172" s="69"/>
      <c r="C2172" s="69"/>
      <c r="D2172" s="69"/>
      <c r="E2172" s="69"/>
      <c r="F2172" s="69"/>
      <c r="G2172" s="17" t="s">
        <v>1405</v>
      </c>
      <c r="Z2172" s="101"/>
      <c r="AA2172" s="101"/>
      <c r="AB2172" s="101"/>
      <c r="AC2172" s="101"/>
      <c r="AD2172" s="101"/>
      <c r="AE2172" s="101"/>
      <c r="AF2172" s="101"/>
      <c r="AG2172" s="101"/>
      <c r="AH2172" s="101"/>
      <c r="AI2172" s="101"/>
      <c r="AJ2172" s="101"/>
      <c r="AK2172" s="101"/>
      <c r="AL2172" s="101"/>
      <c r="AM2172" s="101"/>
      <c r="AN2172" s="101"/>
    </row>
    <row r="2173" spans="1:40" ht="16.5" customHeight="1" x14ac:dyDescent="0.3">
      <c r="A2173" s="59"/>
      <c r="B2173" s="68" t="s">
        <v>1260</v>
      </c>
      <c r="C2173" s="92">
        <f>E2173+D2173+F2173</f>
        <v>36255.800000000003</v>
      </c>
      <c r="D2173" s="92">
        <f>SUMIF(N2157:N2172,M2173,D2157:D2172)</f>
        <v>34861.4</v>
      </c>
      <c r="E2173" s="92">
        <f>SUMIF(N2157:N2172,M2173,E2157:E2172)</f>
        <v>0</v>
      </c>
      <c r="F2173" s="92">
        <f>SUMIF(N2157:N2172,M2173,F2157:F2172)</f>
        <v>1394.4</v>
      </c>
      <c r="G2173" s="17" t="s">
        <v>1430</v>
      </c>
      <c r="M2173" s="35" t="s">
        <v>1262</v>
      </c>
      <c r="N2173" s="35" t="s">
        <v>1253</v>
      </c>
      <c r="Z2173" s="101"/>
      <c r="AA2173" s="101"/>
      <c r="AB2173" s="101"/>
      <c r="AC2173" s="101"/>
      <c r="AD2173" s="101"/>
      <c r="AE2173" s="101"/>
      <c r="AF2173" s="101"/>
      <c r="AG2173" s="101"/>
      <c r="AH2173" s="101"/>
      <c r="AI2173" s="101"/>
      <c r="AJ2173" s="101"/>
      <c r="AK2173" s="101"/>
      <c r="AL2173" s="101"/>
      <c r="AM2173" s="101"/>
      <c r="AN2173" s="101"/>
    </row>
    <row r="2174" spans="1:40" ht="16.5" customHeight="1" x14ac:dyDescent="0.3">
      <c r="A2174" s="69"/>
      <c r="B2174" s="69"/>
      <c r="C2174" s="90"/>
      <c r="D2174" s="90"/>
      <c r="E2174" s="90"/>
      <c r="F2174" s="90"/>
      <c r="G2174" s="17" t="s">
        <v>1405</v>
      </c>
      <c r="Z2174" s="101"/>
      <c r="AA2174" s="101"/>
      <c r="AB2174" s="101"/>
      <c r="AC2174" s="101"/>
      <c r="AD2174" s="101"/>
      <c r="AE2174" s="101"/>
      <c r="AF2174" s="101"/>
      <c r="AG2174" s="101"/>
      <c r="AH2174" s="101"/>
      <c r="AI2174" s="101"/>
      <c r="AJ2174" s="101"/>
      <c r="AK2174" s="101"/>
      <c r="AL2174" s="101"/>
      <c r="AM2174" s="101"/>
      <c r="AN2174" s="101"/>
    </row>
    <row r="2175" spans="1:40" ht="16.5" customHeight="1" x14ac:dyDescent="0.3">
      <c r="A2175" s="59"/>
      <c r="B2175" s="68" t="s">
        <v>2203</v>
      </c>
      <c r="C2175" s="69"/>
      <c r="D2175" s="69"/>
      <c r="E2175" s="69"/>
      <c r="F2175" s="69"/>
      <c r="G2175" s="17" t="s">
        <v>2202</v>
      </c>
      <c r="Z2175" s="101"/>
      <c r="AA2175" s="101"/>
      <c r="AB2175" s="101"/>
      <c r="AC2175" s="101"/>
      <c r="AD2175" s="101"/>
      <c r="AE2175" s="101"/>
      <c r="AF2175" s="101"/>
      <c r="AG2175" s="101"/>
      <c r="AH2175" s="101"/>
      <c r="AI2175" s="101"/>
      <c r="AJ2175" s="101"/>
      <c r="AK2175" s="101"/>
      <c r="AL2175" s="101"/>
      <c r="AM2175" s="101"/>
      <c r="AN2175" s="101"/>
    </row>
    <row r="2176" spans="1:40" ht="16.5" customHeight="1" x14ac:dyDescent="0.3">
      <c r="A2176" s="69"/>
      <c r="B2176" s="69"/>
      <c r="C2176" s="69"/>
      <c r="D2176" s="69"/>
      <c r="E2176" s="69"/>
      <c r="F2176" s="69"/>
      <c r="G2176" s="17" t="s">
        <v>1405</v>
      </c>
      <c r="Z2176" s="101"/>
      <c r="AA2176" s="101"/>
      <c r="AB2176" s="101"/>
      <c r="AC2176" s="101"/>
      <c r="AD2176" s="101"/>
      <c r="AE2176" s="101"/>
      <c r="AF2176" s="101"/>
      <c r="AG2176" s="101"/>
      <c r="AH2176" s="101"/>
      <c r="AI2176" s="101"/>
      <c r="AJ2176" s="101"/>
      <c r="AK2176" s="101"/>
      <c r="AL2176" s="101"/>
      <c r="AM2176" s="101"/>
      <c r="AN2176" s="101"/>
    </row>
    <row r="2177" spans="1:40" ht="16.5" customHeight="1" x14ac:dyDescent="0.3">
      <c r="A2177" s="59"/>
      <c r="B2177" s="68" t="s">
        <v>2205</v>
      </c>
      <c r="C2177" s="69"/>
      <c r="D2177" s="69"/>
      <c r="E2177" s="69"/>
      <c r="F2177" s="69"/>
      <c r="G2177" s="17" t="s">
        <v>2204</v>
      </c>
      <c r="Z2177" s="101"/>
      <c r="AA2177" s="101"/>
      <c r="AB2177" s="101"/>
      <c r="AC2177" s="101"/>
      <c r="AD2177" s="101"/>
      <c r="AE2177" s="101"/>
      <c r="AF2177" s="101"/>
      <c r="AG2177" s="101"/>
      <c r="AH2177" s="101"/>
      <c r="AI2177" s="101"/>
      <c r="AJ2177" s="101"/>
      <c r="AK2177" s="101"/>
      <c r="AL2177" s="101"/>
      <c r="AM2177" s="101"/>
      <c r="AN2177" s="101"/>
    </row>
    <row r="2178" spans="1:40" ht="16.5" customHeight="1" x14ac:dyDescent="0.3">
      <c r="A2178" s="69"/>
      <c r="B2178" s="69"/>
      <c r="C2178" s="69"/>
      <c r="D2178" s="69"/>
      <c r="E2178" s="69"/>
      <c r="F2178" s="69"/>
      <c r="G2178" s="17" t="s">
        <v>1405</v>
      </c>
      <c r="Z2178" s="101"/>
      <c r="AA2178" s="101"/>
      <c r="AB2178" s="101"/>
      <c r="AC2178" s="101"/>
      <c r="AD2178" s="101"/>
      <c r="AE2178" s="101"/>
      <c r="AF2178" s="101"/>
      <c r="AG2178" s="101"/>
      <c r="AH2178" s="101"/>
      <c r="AI2178" s="101"/>
      <c r="AJ2178" s="101"/>
      <c r="AK2178" s="101"/>
      <c r="AL2178" s="101"/>
      <c r="AM2178" s="101"/>
      <c r="AN2178" s="101"/>
    </row>
    <row r="2179" spans="1:40" ht="16.5" customHeight="1" x14ac:dyDescent="0.3">
      <c r="A2179" s="59"/>
      <c r="B2179" s="68" t="s">
        <v>2207</v>
      </c>
      <c r="C2179" s="69"/>
      <c r="D2179" s="69"/>
      <c r="E2179" s="69"/>
      <c r="F2179" s="69"/>
      <c r="G2179" s="17" t="s">
        <v>2206</v>
      </c>
      <c r="Z2179" s="101"/>
      <c r="AA2179" s="101"/>
      <c r="AB2179" s="101"/>
      <c r="AC2179" s="101"/>
      <c r="AD2179" s="101"/>
      <c r="AE2179" s="101"/>
      <c r="AF2179" s="101"/>
      <c r="AG2179" s="101"/>
      <c r="AH2179" s="101"/>
      <c r="AI2179" s="101"/>
      <c r="AJ2179" s="101"/>
      <c r="AK2179" s="101"/>
      <c r="AL2179" s="101"/>
      <c r="AM2179" s="101"/>
      <c r="AN2179" s="101"/>
    </row>
    <row r="2180" spans="1:40" ht="16.5" customHeight="1" x14ac:dyDescent="0.3">
      <c r="A2180" s="69"/>
      <c r="B2180" s="69"/>
      <c r="C2180" s="69"/>
      <c r="D2180" s="69"/>
      <c r="E2180" s="69"/>
      <c r="F2180" s="69"/>
      <c r="G2180" s="17" t="s">
        <v>1405</v>
      </c>
      <c r="Z2180" s="101"/>
      <c r="AA2180" s="101"/>
      <c r="AB2180" s="101"/>
      <c r="AC2180" s="101"/>
      <c r="AD2180" s="101"/>
      <c r="AE2180" s="101"/>
      <c r="AF2180" s="101"/>
      <c r="AG2180" s="101"/>
      <c r="AH2180" s="101"/>
      <c r="AI2180" s="101"/>
      <c r="AJ2180" s="101"/>
      <c r="AK2180" s="101"/>
      <c r="AL2180" s="101"/>
      <c r="AM2180" s="101"/>
      <c r="AN2180" s="101"/>
    </row>
    <row r="2181" spans="1:40" ht="16.5" customHeight="1" x14ac:dyDescent="0.3">
      <c r="A2181" s="59" t="s">
        <v>2209</v>
      </c>
      <c r="B2181" s="89" t="str">
        <f>"  노 무 비 :  "&amp;TEXT(I2181,"#,##0"&amp;IF(I2181&lt;&gt;INT(I2181),".###",""))&amp;" / Q1 * ("&amp;AC2181&amp;"/"&amp;AE2181&amp;")= "&amp;TEXT(C2181,"#,##0.0")&amp;""</f>
        <v xml:space="preserve">  노 무 비 :  49,778 / Q1 * (1/2)= 19,911.2</v>
      </c>
      <c r="C2181" s="91">
        <f>E2181+D2181+F2181</f>
        <v>19911.2</v>
      </c>
      <c r="D2181" s="91">
        <f>IF(H2181=0,0,ROUNDDOWN(J2181*H2181,1))</f>
        <v>19911.2</v>
      </c>
      <c r="E2181" s="91">
        <f>IF(H2181=0,0,ROUNDDOWN(K2181*H2181,1))</f>
        <v>0</v>
      </c>
      <c r="F2181" s="91">
        <f>IF(H2181=0,0,ROUNDDOWN(L2181*H2181,1))</f>
        <v>0</v>
      </c>
      <c r="G2181" s="17" t="s">
        <v>2219</v>
      </c>
      <c r="H2181" s="97">
        <f>ROUNDUP(AH2181,14-LEN(ABS(INT(AH2181))))</f>
        <v>0.4</v>
      </c>
      <c r="I2181" s="98">
        <f>K2181+J2181+L2181</f>
        <v>49778</v>
      </c>
      <c r="J2181" s="38">
        <f>중기목록표!F34</f>
        <v>49778</v>
      </c>
      <c r="M2181" s="35" t="s">
        <v>2210</v>
      </c>
      <c r="N2181" s="35" t="s">
        <v>1262</v>
      </c>
      <c r="O2181" s="35" t="s">
        <v>1214</v>
      </c>
      <c r="X2181" s="100" t="str">
        <f>중기목록표!B34&amp;" / "&amp;중기목록표!C34</f>
        <v>트럭탑재형 크레인 / 10톤</v>
      </c>
      <c r="Y2181" s="3" t="str">
        <f ca="1">HYPERLINK("#"&amp;중기목록표!J2&amp;"!A"&amp;ROW(중기목록표!A34),"중기31 →")</f>
        <v>중기31 →</v>
      </c>
      <c r="Z2181" s="35" t="s">
        <v>1417</v>
      </c>
      <c r="AA2181" s="103" t="str">
        <f>AD2162</f>
        <v>1.250</v>
      </c>
      <c r="AB2181" s="35" t="s">
        <v>2217</v>
      </c>
      <c r="AC2181" s="102">
        <v>1</v>
      </c>
      <c r="AD2181" s="35" t="s">
        <v>1413</v>
      </c>
      <c r="AE2181" s="102">
        <v>2</v>
      </c>
      <c r="AF2181" s="35" t="s">
        <v>1468</v>
      </c>
      <c r="AG2181" s="35" t="s">
        <v>1410</v>
      </c>
      <c r="AH2181" s="103">
        <f>1/AD2162*(AC2181/AE2181)</f>
        <v>0.4</v>
      </c>
      <c r="AI2181" s="101"/>
      <c r="AJ2181" s="101"/>
      <c r="AK2181" s="101"/>
      <c r="AL2181" s="101"/>
      <c r="AM2181" s="101"/>
      <c r="AN2181" s="101"/>
    </row>
    <row r="2182" spans="1:40" ht="16.5" customHeight="1" x14ac:dyDescent="0.3">
      <c r="A2182" s="69"/>
      <c r="B2182" s="69"/>
      <c r="C2182" s="69"/>
      <c r="D2182" s="69"/>
      <c r="E2182" s="69"/>
      <c r="F2182" s="69"/>
      <c r="G2182" s="17" t="s">
        <v>1405</v>
      </c>
      <c r="Z2182" s="101"/>
      <c r="AA2182" s="101"/>
      <c r="AB2182" s="101"/>
      <c r="AC2182" s="101"/>
      <c r="AD2182" s="101"/>
      <c r="AE2182" s="101"/>
      <c r="AF2182" s="101"/>
      <c r="AG2182" s="101"/>
      <c r="AH2182" s="101"/>
      <c r="AI2182" s="101"/>
      <c r="AJ2182" s="101"/>
      <c r="AK2182" s="101"/>
      <c r="AL2182" s="101"/>
      <c r="AM2182" s="101"/>
      <c r="AN2182" s="101"/>
    </row>
    <row r="2183" spans="1:40" ht="16.5" customHeight="1" x14ac:dyDescent="0.3">
      <c r="A2183" s="59" t="s">
        <v>2212</v>
      </c>
      <c r="B2183" s="89" t="str">
        <f>"  재 료 비 :  "&amp;TEXT(I2183,"#,##0"&amp;IF(I2183&lt;&gt;INT(I2183),".###",""))&amp;" / Q1 * ("&amp;AC2183&amp;"/"&amp;AE2183&amp;")= "&amp;TEXT(C2183,"#,##0.0")&amp;""</f>
        <v xml:space="preserve">  재 료 비 :  22,235 / Q1 * (1/2)= 8,894.0</v>
      </c>
      <c r="C2183" s="91">
        <f>E2183+D2183+F2183</f>
        <v>8894</v>
      </c>
      <c r="D2183" s="91">
        <f>IF(H2183=0,0,ROUNDDOWN(J2183*H2183,1))</f>
        <v>0</v>
      </c>
      <c r="E2183" s="91">
        <f>IF(H2183=0,0,ROUNDDOWN(K2183*H2183,1))</f>
        <v>8894</v>
      </c>
      <c r="F2183" s="91">
        <f>IF(H2183=0,0,ROUNDDOWN(L2183*H2183,1))</f>
        <v>0</v>
      </c>
      <c r="G2183" s="17" t="s">
        <v>2220</v>
      </c>
      <c r="H2183" s="97">
        <f>ROUNDUP(AH2183,14-LEN(ABS(INT(AH2183))))</f>
        <v>0.4</v>
      </c>
      <c r="I2183" s="98">
        <f>K2183+J2183+L2183</f>
        <v>22235</v>
      </c>
      <c r="K2183" s="38">
        <f>중기목록표!G34</f>
        <v>22235</v>
      </c>
      <c r="M2183" s="35" t="s">
        <v>2210</v>
      </c>
      <c r="N2183" s="35" t="s">
        <v>1262</v>
      </c>
      <c r="O2183" s="35" t="s">
        <v>1214</v>
      </c>
      <c r="X2183" s="100" t="str">
        <f>중기목록표!B34&amp;" / "&amp;중기목록표!C34</f>
        <v>트럭탑재형 크레인 / 10톤</v>
      </c>
      <c r="Y2183" s="3" t="str">
        <f ca="1">HYPERLINK("#"&amp;중기목록표!J2&amp;"!A"&amp;ROW(중기목록표!A34),"중기31 →")</f>
        <v>중기31 →</v>
      </c>
      <c r="Z2183" s="35" t="s">
        <v>1417</v>
      </c>
      <c r="AA2183" s="103" t="str">
        <f>AD2162</f>
        <v>1.250</v>
      </c>
      <c r="AB2183" s="35" t="s">
        <v>2217</v>
      </c>
      <c r="AC2183" s="102">
        <v>1</v>
      </c>
      <c r="AD2183" s="35" t="s">
        <v>1413</v>
      </c>
      <c r="AE2183" s="102">
        <v>2</v>
      </c>
      <c r="AF2183" s="35" t="s">
        <v>1468</v>
      </c>
      <c r="AG2183" s="35" t="s">
        <v>1410</v>
      </c>
      <c r="AH2183" s="103">
        <f>1/AD2162*(AC2183/AE2183)</f>
        <v>0.4</v>
      </c>
      <c r="AI2183" s="101"/>
      <c r="AJ2183" s="101"/>
      <c r="AK2183" s="101"/>
      <c r="AL2183" s="101"/>
      <c r="AM2183" s="101"/>
      <c r="AN2183" s="101"/>
    </row>
    <row r="2184" spans="1:40" ht="16.5" customHeight="1" x14ac:dyDescent="0.3">
      <c r="A2184" s="69"/>
      <c r="B2184" s="69"/>
      <c r="C2184" s="69"/>
      <c r="D2184" s="69"/>
      <c r="E2184" s="69"/>
      <c r="F2184" s="69"/>
      <c r="G2184" s="17" t="s">
        <v>1405</v>
      </c>
      <c r="Z2184" s="101"/>
      <c r="AA2184" s="101"/>
      <c r="AB2184" s="101"/>
      <c r="AC2184" s="101"/>
      <c r="AD2184" s="101"/>
      <c r="AE2184" s="101"/>
      <c r="AF2184" s="101"/>
      <c r="AG2184" s="101"/>
      <c r="AH2184" s="101"/>
      <c r="AI2184" s="101"/>
      <c r="AJ2184" s="101"/>
      <c r="AK2184" s="101"/>
      <c r="AL2184" s="101"/>
      <c r="AM2184" s="101"/>
      <c r="AN2184" s="101"/>
    </row>
    <row r="2185" spans="1:40" ht="16.5" customHeight="1" x14ac:dyDescent="0.3">
      <c r="A2185" s="59" t="s">
        <v>2214</v>
      </c>
      <c r="B2185" s="89" t="str">
        <f>"  경    비 :  "&amp;TEXT(I2185,"#,##0"&amp;IF(I2185&lt;&gt;INT(I2185),".###",""))&amp;" / Q1 * ("&amp;AC2185&amp;"/"&amp;AE2185&amp;")= "&amp;TEXT(C2185,"#,##0.0")&amp;""</f>
        <v xml:space="preserve">  경    비 :  23,795 / Q1 * (1/2)= 9,518.0</v>
      </c>
      <c r="C2185" s="91">
        <f>E2185+D2185+F2185</f>
        <v>9518</v>
      </c>
      <c r="D2185" s="91">
        <f>IF(H2185=0,0,ROUNDDOWN(J2185*H2185,1))</f>
        <v>0</v>
      </c>
      <c r="E2185" s="91">
        <f>IF(H2185=0,0,ROUNDDOWN(K2185*H2185,1))</f>
        <v>0</v>
      </c>
      <c r="F2185" s="91">
        <f>IF(H2185=0,0,ROUNDDOWN(L2185*H2185,1))</f>
        <v>9518</v>
      </c>
      <c r="G2185" s="17" t="s">
        <v>2221</v>
      </c>
      <c r="H2185" s="97">
        <f>ROUNDUP(AH2185,14-LEN(ABS(INT(AH2185))))</f>
        <v>0.4</v>
      </c>
      <c r="I2185" s="98">
        <f>K2185+J2185+L2185</f>
        <v>23795</v>
      </c>
      <c r="L2185" s="38">
        <f>중기목록표!H34</f>
        <v>23795</v>
      </c>
      <c r="M2185" s="35" t="s">
        <v>2210</v>
      </c>
      <c r="N2185" s="35" t="s">
        <v>1262</v>
      </c>
      <c r="O2185" s="35" t="s">
        <v>1214</v>
      </c>
      <c r="X2185" s="100" t="str">
        <f>중기목록표!B34&amp;" / "&amp;중기목록표!C34</f>
        <v>트럭탑재형 크레인 / 10톤</v>
      </c>
      <c r="Y2185" s="3" t="str">
        <f ca="1">HYPERLINK("#"&amp;중기목록표!J2&amp;"!A"&amp;ROW(중기목록표!A34),"중기31 →")</f>
        <v>중기31 →</v>
      </c>
      <c r="Z2185" s="35" t="s">
        <v>1417</v>
      </c>
      <c r="AA2185" s="103" t="str">
        <f>AD2162</f>
        <v>1.250</v>
      </c>
      <c r="AB2185" s="35" t="s">
        <v>2217</v>
      </c>
      <c r="AC2185" s="102">
        <v>1</v>
      </c>
      <c r="AD2185" s="35" t="s">
        <v>1413</v>
      </c>
      <c r="AE2185" s="102">
        <v>2</v>
      </c>
      <c r="AF2185" s="35" t="s">
        <v>1468</v>
      </c>
      <c r="AG2185" s="35" t="s">
        <v>1410</v>
      </c>
      <c r="AH2185" s="103">
        <f>1/AD2162*(AC2185/AE2185)</f>
        <v>0.4</v>
      </c>
      <c r="AI2185" s="101"/>
      <c r="AJ2185" s="101"/>
      <c r="AK2185" s="101"/>
      <c r="AL2185" s="101"/>
      <c r="AM2185" s="101"/>
      <c r="AN2185" s="101"/>
    </row>
    <row r="2186" spans="1:40" ht="16.5" customHeight="1" x14ac:dyDescent="0.3">
      <c r="A2186" s="69"/>
      <c r="B2186" s="69"/>
      <c r="C2186" s="69"/>
      <c r="D2186" s="69"/>
      <c r="E2186" s="69"/>
      <c r="F2186" s="69"/>
      <c r="G2186" s="17" t="s">
        <v>1405</v>
      </c>
      <c r="Z2186" s="101"/>
      <c r="AA2186" s="101"/>
      <c r="AB2186" s="101"/>
      <c r="AC2186" s="101"/>
      <c r="AD2186" s="101"/>
      <c r="AE2186" s="101"/>
      <c r="AF2186" s="101"/>
      <c r="AG2186" s="101"/>
      <c r="AH2186" s="101"/>
      <c r="AI2186" s="101"/>
      <c r="AJ2186" s="101"/>
      <c r="AK2186" s="101"/>
      <c r="AL2186" s="101"/>
      <c r="AM2186" s="101"/>
      <c r="AN2186" s="101"/>
    </row>
    <row r="2187" spans="1:40" ht="16.5" customHeight="1" x14ac:dyDescent="0.3">
      <c r="A2187" s="59"/>
      <c r="B2187" s="68" t="s">
        <v>1260</v>
      </c>
      <c r="C2187" s="92">
        <f>E2187+D2187+F2187</f>
        <v>38323.199999999997</v>
      </c>
      <c r="D2187" s="92">
        <f>SUMIF(N2174:N2186,M2187,D2174:D2186)</f>
        <v>19911.2</v>
      </c>
      <c r="E2187" s="92">
        <f>SUMIF(N2174:N2186,M2187,E2174:E2186)</f>
        <v>8894</v>
      </c>
      <c r="F2187" s="92">
        <f>SUMIF(N2174:N2186,M2187,F2174:F2186)</f>
        <v>9518</v>
      </c>
      <c r="G2187" s="17" t="s">
        <v>1430</v>
      </c>
      <c r="M2187" s="35" t="s">
        <v>1262</v>
      </c>
      <c r="N2187" s="35" t="s">
        <v>1253</v>
      </c>
      <c r="Z2187" s="101"/>
      <c r="AA2187" s="101"/>
      <c r="AB2187" s="101"/>
      <c r="AC2187" s="101"/>
      <c r="AD2187" s="101"/>
      <c r="AE2187" s="101"/>
      <c r="AF2187" s="101"/>
      <c r="AG2187" s="101"/>
      <c r="AH2187" s="101"/>
      <c r="AI2187" s="101"/>
      <c r="AJ2187" s="101"/>
      <c r="AK2187" s="101"/>
      <c r="AL2187" s="101"/>
      <c r="AM2187" s="101"/>
      <c r="AN2187" s="101"/>
    </row>
    <row r="2188" spans="1:40" ht="16.5" customHeight="1" x14ac:dyDescent="0.3">
      <c r="A2188" s="69"/>
      <c r="B2188" s="69"/>
      <c r="C2188" s="90"/>
      <c r="D2188" s="90"/>
      <c r="E2188" s="90"/>
      <c r="F2188" s="90"/>
      <c r="G2188" s="17" t="s">
        <v>1405</v>
      </c>
      <c r="Z2188" s="101"/>
      <c r="AA2188" s="101"/>
      <c r="AB2188" s="101"/>
      <c r="AC2188" s="101"/>
      <c r="AD2188" s="101"/>
      <c r="AE2188" s="101"/>
      <c r="AF2188" s="101"/>
      <c r="AG2188" s="101"/>
      <c r="AH2188" s="101"/>
      <c r="AI2188" s="101"/>
      <c r="AJ2188" s="101"/>
      <c r="AK2188" s="101"/>
      <c r="AL2188" s="101"/>
      <c r="AM2188" s="101"/>
      <c r="AN2188" s="101"/>
    </row>
    <row r="2189" spans="1:40" ht="16.5" customHeight="1" x14ac:dyDescent="0.3">
      <c r="A2189" s="59"/>
      <c r="B2189" s="68" t="s">
        <v>1251</v>
      </c>
      <c r="C2189" s="92">
        <f>E2189+D2189+F2189</f>
        <v>74579</v>
      </c>
      <c r="D2189" s="92">
        <f>SUMIF(N2157:N2188,M2189,D2157:D2188)</f>
        <v>54772.600000000006</v>
      </c>
      <c r="E2189" s="92">
        <f>SUMIF(N2157:N2188,M2189,E2157:E2188)</f>
        <v>8894</v>
      </c>
      <c r="F2189" s="92">
        <f>SUMIF(N2157:N2188,M2189,F2157:F2188)</f>
        <v>10912.4</v>
      </c>
      <c r="G2189" s="17" t="s">
        <v>1476</v>
      </c>
      <c r="M2189" s="35" t="s">
        <v>1253</v>
      </c>
      <c r="N2189" s="35" t="s">
        <v>1209</v>
      </c>
      <c r="Z2189" s="101"/>
      <c r="AA2189" s="101"/>
      <c r="AB2189" s="101"/>
      <c r="AC2189" s="101"/>
      <c r="AD2189" s="101"/>
      <c r="AE2189" s="101"/>
      <c r="AF2189" s="101"/>
      <c r="AG2189" s="101"/>
      <c r="AH2189" s="101"/>
      <c r="AI2189" s="101"/>
      <c r="AJ2189" s="101"/>
      <c r="AK2189" s="101"/>
      <c r="AL2189" s="101"/>
      <c r="AM2189" s="101"/>
      <c r="AN2189" s="101"/>
    </row>
    <row r="2190" spans="1:40" ht="16.5" customHeight="1" x14ac:dyDescent="0.3">
      <c r="A2190" s="69"/>
      <c r="B2190" s="69"/>
      <c r="C2190" s="90"/>
      <c r="D2190" s="90"/>
      <c r="E2190" s="90"/>
      <c r="F2190" s="90"/>
      <c r="Z2190" s="101"/>
      <c r="AA2190" s="101"/>
      <c r="AB2190" s="101"/>
      <c r="AC2190" s="101"/>
      <c r="AD2190" s="101"/>
      <c r="AE2190" s="101"/>
      <c r="AF2190" s="101"/>
      <c r="AG2190" s="101"/>
      <c r="AH2190" s="101"/>
      <c r="AI2190" s="101"/>
      <c r="AJ2190" s="101"/>
      <c r="AK2190" s="101"/>
      <c r="AL2190" s="101"/>
      <c r="AM2190" s="101"/>
      <c r="AN2190" s="101"/>
    </row>
    <row r="2191" spans="1:40" ht="16.5" customHeight="1" x14ac:dyDescent="0.3">
      <c r="A2191" s="69"/>
      <c r="B2191" s="69"/>
      <c r="C2191" s="69"/>
      <c r="D2191" s="69"/>
      <c r="E2191" s="69"/>
      <c r="F2191" s="69"/>
      <c r="Z2191" s="101"/>
      <c r="AA2191" s="101"/>
      <c r="AB2191" s="101"/>
      <c r="AC2191" s="101"/>
      <c r="AD2191" s="101"/>
      <c r="AE2191" s="101"/>
      <c r="AF2191" s="101"/>
      <c r="AG2191" s="101"/>
      <c r="AH2191" s="101"/>
      <c r="AI2191" s="101"/>
      <c r="AJ2191" s="101"/>
      <c r="AK2191" s="101"/>
      <c r="AL2191" s="101"/>
      <c r="AM2191" s="101"/>
      <c r="AN2191" s="101"/>
    </row>
    <row r="2192" spans="1:40" ht="16.5" customHeight="1" x14ac:dyDescent="0.3">
      <c r="A2192" s="69"/>
      <c r="B2192" s="69"/>
      <c r="C2192" s="69"/>
      <c r="D2192" s="69"/>
      <c r="E2192" s="69"/>
      <c r="F2192" s="69"/>
      <c r="Z2192" s="101"/>
      <c r="AA2192" s="101"/>
      <c r="AB2192" s="101"/>
      <c r="AC2192" s="101"/>
      <c r="AD2192" s="101"/>
      <c r="AE2192" s="101"/>
      <c r="AF2192" s="101"/>
      <c r="AG2192" s="101"/>
      <c r="AH2192" s="101"/>
      <c r="AI2192" s="101"/>
      <c r="AJ2192" s="101"/>
      <c r="AK2192" s="101"/>
      <c r="AL2192" s="101"/>
      <c r="AM2192" s="101"/>
      <c r="AN2192" s="101"/>
    </row>
    <row r="2193" spans="1:40" ht="16.5" customHeight="1" x14ac:dyDescent="0.3">
      <c r="A2193" s="69"/>
      <c r="B2193" s="69"/>
      <c r="C2193" s="69"/>
      <c r="D2193" s="69"/>
      <c r="E2193" s="69"/>
      <c r="F2193" s="69"/>
      <c r="Z2193" s="101"/>
      <c r="AA2193" s="101"/>
      <c r="AB2193" s="101"/>
      <c r="AC2193" s="101"/>
      <c r="AD2193" s="101"/>
      <c r="AE2193" s="101"/>
      <c r="AF2193" s="101"/>
      <c r="AG2193" s="101"/>
      <c r="AH2193" s="101"/>
      <c r="AI2193" s="101"/>
      <c r="AJ2193" s="101"/>
      <c r="AK2193" s="101"/>
      <c r="AL2193" s="101"/>
      <c r="AM2193" s="101"/>
      <c r="AN2193" s="101"/>
    </row>
    <row r="2194" spans="1:40" ht="16.5" customHeight="1" x14ac:dyDescent="0.3">
      <c r="A2194" s="69"/>
      <c r="B2194" s="69"/>
      <c r="C2194" s="69"/>
      <c r="D2194" s="69"/>
      <c r="E2194" s="69"/>
      <c r="F2194" s="69"/>
      <c r="Z2194" s="101"/>
      <c r="AA2194" s="101"/>
      <c r="AB2194" s="101"/>
      <c r="AC2194" s="101"/>
      <c r="AD2194" s="101"/>
      <c r="AE2194" s="101"/>
      <c r="AF2194" s="101"/>
      <c r="AG2194" s="101"/>
      <c r="AH2194" s="101"/>
      <c r="AI2194" s="101"/>
      <c r="AJ2194" s="101"/>
      <c r="AK2194" s="101"/>
      <c r="AL2194" s="101"/>
      <c r="AM2194" s="101"/>
      <c r="AN2194" s="101"/>
    </row>
    <row r="2195" spans="1:40" ht="16.5" customHeight="1" x14ac:dyDescent="0.3">
      <c r="A2195" s="69"/>
      <c r="B2195" s="69"/>
      <c r="C2195" s="69"/>
      <c r="D2195" s="69"/>
      <c r="E2195" s="69"/>
      <c r="F2195" s="69"/>
      <c r="Z2195" s="101"/>
      <c r="AA2195" s="101"/>
      <c r="AB2195" s="101"/>
      <c r="AC2195" s="101"/>
      <c r="AD2195" s="101"/>
      <c r="AE2195" s="101"/>
      <c r="AF2195" s="101"/>
      <c r="AG2195" s="101"/>
      <c r="AH2195" s="101"/>
      <c r="AI2195" s="101"/>
      <c r="AJ2195" s="101"/>
      <c r="AK2195" s="101"/>
      <c r="AL2195" s="101"/>
      <c r="AM2195" s="101"/>
      <c r="AN2195" s="101"/>
    </row>
    <row r="2196" spans="1:40" ht="16.5" customHeight="1" x14ac:dyDescent="0.3">
      <c r="A2196" s="69"/>
      <c r="B2196" s="69"/>
      <c r="C2196" s="69"/>
      <c r="D2196" s="69"/>
      <c r="E2196" s="69"/>
      <c r="F2196" s="69"/>
      <c r="Z2196" s="101"/>
      <c r="AA2196" s="101"/>
      <c r="AB2196" s="101"/>
      <c r="AC2196" s="101"/>
      <c r="AD2196" s="101"/>
      <c r="AE2196" s="101"/>
      <c r="AF2196" s="101"/>
      <c r="AG2196" s="101"/>
      <c r="AH2196" s="101"/>
      <c r="AI2196" s="101"/>
      <c r="AJ2196" s="101"/>
      <c r="AK2196" s="101"/>
      <c r="AL2196" s="101"/>
      <c r="AM2196" s="101"/>
      <c r="AN2196" s="101"/>
    </row>
    <row r="2197" spans="1:40" ht="16.5" customHeight="1" x14ac:dyDescent="0.3">
      <c r="A2197" s="69"/>
      <c r="B2197" s="69"/>
      <c r="C2197" s="69"/>
      <c r="D2197" s="69"/>
      <c r="E2197" s="69"/>
      <c r="F2197" s="69"/>
      <c r="Z2197" s="101"/>
      <c r="AA2197" s="101"/>
      <c r="AB2197" s="101"/>
      <c r="AC2197" s="101"/>
      <c r="AD2197" s="101"/>
      <c r="AE2197" s="101"/>
      <c r="AF2197" s="101"/>
      <c r="AG2197" s="101"/>
      <c r="AH2197" s="101"/>
      <c r="AI2197" s="101"/>
      <c r="AJ2197" s="101"/>
      <c r="AK2197" s="101"/>
      <c r="AL2197" s="101"/>
      <c r="AM2197" s="101"/>
      <c r="AN2197" s="101"/>
    </row>
    <row r="2198" spans="1:40" ht="16.5" customHeight="1" x14ac:dyDescent="0.3">
      <c r="A2198" s="69"/>
      <c r="B2198" s="69"/>
      <c r="C2198" s="69"/>
      <c r="D2198" s="69"/>
      <c r="E2198" s="69"/>
      <c r="F2198" s="69"/>
      <c r="Z2198" s="101"/>
      <c r="AA2198" s="101"/>
      <c r="AB2198" s="101"/>
      <c r="AC2198" s="101"/>
      <c r="AD2198" s="101"/>
      <c r="AE2198" s="101"/>
      <c r="AF2198" s="101"/>
      <c r="AG2198" s="101"/>
      <c r="AH2198" s="101"/>
      <c r="AI2198" s="101"/>
      <c r="AJ2198" s="101"/>
      <c r="AK2198" s="101"/>
      <c r="AL2198" s="101"/>
      <c r="AM2198" s="101"/>
      <c r="AN2198" s="101"/>
    </row>
    <row r="2199" spans="1:40" ht="16.5" customHeight="1" x14ac:dyDescent="0.3">
      <c r="A2199" s="69"/>
      <c r="B2199" s="69"/>
      <c r="C2199" s="69"/>
      <c r="D2199" s="69"/>
      <c r="E2199" s="69"/>
      <c r="F2199" s="69"/>
      <c r="Z2199" s="101"/>
      <c r="AA2199" s="101"/>
      <c r="AB2199" s="101"/>
      <c r="AC2199" s="101"/>
      <c r="AD2199" s="101"/>
      <c r="AE2199" s="101"/>
      <c r="AF2199" s="101"/>
      <c r="AG2199" s="101"/>
      <c r="AH2199" s="101"/>
      <c r="AI2199" s="101"/>
      <c r="AJ2199" s="101"/>
      <c r="AK2199" s="101"/>
      <c r="AL2199" s="101"/>
      <c r="AM2199" s="101"/>
      <c r="AN2199" s="101"/>
    </row>
    <row r="2200" spans="1:40" ht="16.5" customHeight="1" x14ac:dyDescent="0.3">
      <c r="A2200" s="69"/>
      <c r="B2200" s="69"/>
      <c r="C2200" s="69"/>
      <c r="D2200" s="69"/>
      <c r="E2200" s="69"/>
      <c r="F2200" s="69"/>
      <c r="Z2200" s="101"/>
      <c r="AA2200" s="101"/>
      <c r="AB2200" s="101"/>
      <c r="AC2200" s="101"/>
      <c r="AD2200" s="101"/>
      <c r="AE2200" s="101"/>
      <c r="AF2200" s="101"/>
      <c r="AG2200" s="101"/>
      <c r="AH2200" s="101"/>
      <c r="AI2200" s="101"/>
      <c r="AJ2200" s="101"/>
      <c r="AK2200" s="101"/>
      <c r="AL2200" s="101"/>
      <c r="AM2200" s="101"/>
      <c r="AN2200" s="101"/>
    </row>
    <row r="2201" spans="1:40" ht="16.5" customHeight="1" x14ac:dyDescent="0.3">
      <c r="A2201" s="69"/>
      <c r="B2201" s="69"/>
      <c r="C2201" s="69"/>
      <c r="D2201" s="69"/>
      <c r="E2201" s="69"/>
      <c r="F2201" s="69"/>
      <c r="Z2201" s="101"/>
      <c r="AA2201" s="101"/>
      <c r="AB2201" s="101"/>
      <c r="AC2201" s="101"/>
      <c r="AD2201" s="101"/>
      <c r="AE2201" s="101"/>
      <c r="AF2201" s="101"/>
      <c r="AG2201" s="101"/>
      <c r="AH2201" s="101"/>
      <c r="AI2201" s="101"/>
      <c r="AJ2201" s="101"/>
      <c r="AK2201" s="101"/>
      <c r="AL2201" s="101"/>
      <c r="AM2201" s="101"/>
      <c r="AN2201" s="101"/>
    </row>
    <row r="2202" spans="1:40" ht="16.5" customHeight="1" x14ac:dyDescent="0.3">
      <c r="A2202" s="69"/>
      <c r="B2202" s="69"/>
      <c r="C2202" s="69"/>
      <c r="D2202" s="69"/>
      <c r="E2202" s="69"/>
      <c r="F2202" s="69"/>
      <c r="Z2202" s="101"/>
      <c r="AA2202" s="101"/>
      <c r="AB2202" s="101"/>
      <c r="AC2202" s="101"/>
      <c r="AD2202" s="101"/>
      <c r="AE2202" s="101"/>
      <c r="AF2202" s="101"/>
      <c r="AG2202" s="101"/>
      <c r="AH2202" s="101"/>
      <c r="AI2202" s="101"/>
      <c r="AJ2202" s="101"/>
      <c r="AK2202" s="101"/>
      <c r="AL2202" s="101"/>
      <c r="AM2202" s="101"/>
      <c r="AN2202" s="101"/>
    </row>
    <row r="2203" spans="1:40" ht="16.5" customHeight="1" x14ac:dyDescent="0.3">
      <c r="A2203" s="74"/>
      <c r="B2203" s="74"/>
      <c r="C2203" s="74"/>
      <c r="D2203" s="74"/>
      <c r="E2203" s="74"/>
      <c r="F2203" s="74"/>
      <c r="Z2203" s="101"/>
      <c r="AA2203" s="101"/>
      <c r="AB2203" s="101"/>
      <c r="AC2203" s="101"/>
      <c r="AD2203" s="101"/>
      <c r="AE2203" s="101"/>
      <c r="AF2203" s="101"/>
      <c r="AG2203" s="101"/>
      <c r="AH2203" s="101"/>
      <c r="AI2203" s="101"/>
      <c r="AJ2203" s="101"/>
      <c r="AK2203" s="101"/>
      <c r="AL2203" s="101"/>
      <c r="AM2203" s="101"/>
      <c r="AN2203" s="101"/>
    </row>
    <row r="2204" spans="1:40" ht="16.5" customHeight="1" x14ac:dyDescent="0.3">
      <c r="A2204" s="150" t="s">
        <v>1477</v>
      </c>
      <c r="B2204" s="143"/>
      <c r="C2204" s="47">
        <f>E2204+D2204+F2204</f>
        <v>74578</v>
      </c>
      <c r="D2204" s="46">
        <f>ROUNDDOWN(SUMIF(N2157:N2189,M2204,D2157:D2189),0)</f>
        <v>54772</v>
      </c>
      <c r="E2204" s="55">
        <f>ROUNDDOWN(SUMIF(N2157:N2189,M2204,E2157:E2189),0)</f>
        <v>8894</v>
      </c>
      <c r="F2204" s="47">
        <f>ROUNDDOWN(SUMIF(N2157:N2189,M2204,F2157:F2189),0)</f>
        <v>10912</v>
      </c>
      <c r="M2204" s="35" t="s">
        <v>1209</v>
      </c>
      <c r="Z2204" s="101"/>
      <c r="AA2204" s="101"/>
      <c r="AB2204" s="101"/>
      <c r="AC2204" s="101"/>
      <c r="AD2204" s="101"/>
      <c r="AE2204" s="101"/>
      <c r="AF2204" s="101"/>
      <c r="AG2204" s="101"/>
      <c r="AH2204" s="101"/>
      <c r="AI2204" s="101"/>
      <c r="AJ2204" s="101"/>
      <c r="AK2204" s="101"/>
      <c r="AL2204" s="101"/>
      <c r="AM2204" s="101"/>
      <c r="AN2204" s="101"/>
    </row>
    <row r="2205" spans="1:40" ht="16.5" customHeight="1" x14ac:dyDescent="0.3">
      <c r="A2205" s="86" t="s">
        <v>230</v>
      </c>
      <c r="B2205" s="88" t="s">
        <v>230</v>
      </c>
      <c r="C2205" s="151">
        <f>C2254</f>
        <v>96952</v>
      </c>
      <c r="D2205" s="151">
        <f>D2254</f>
        <v>71204</v>
      </c>
      <c r="E2205" s="151">
        <f>E2254</f>
        <v>11562</v>
      </c>
      <c r="F2205" s="151">
        <f>F2254</f>
        <v>14186</v>
      </c>
      <c r="G2205" s="84" t="str">
        <f>HYPERLINK("#G"&amp;ROW(G2241),"_x0005_`BDCOD|D04252_x0007_`POSS|"&amp;ROW(G2207)&amp;"_x0007_`POSE|"&amp;ROW(G2241)&amp;"_x0007_`")</f>
        <v>_x0005_`BDCOD|D04252_x0007_`POSS|2207_x0007_`POSE|2241_x0007_`</v>
      </c>
      <c r="Z2205" s="101"/>
      <c r="AA2205" s="101"/>
      <c r="AB2205" s="101"/>
      <c r="AC2205" s="101"/>
      <c r="AD2205" s="101"/>
      <c r="AE2205" s="101"/>
      <c r="AF2205" s="101"/>
      <c r="AG2205" s="101"/>
      <c r="AH2205" s="101"/>
      <c r="AI2205" s="101"/>
      <c r="AJ2205" s="101"/>
      <c r="AK2205" s="101"/>
      <c r="AL2205" s="101"/>
      <c r="AM2205" s="101"/>
      <c r="AN2205" s="101"/>
    </row>
    <row r="2206" spans="1:40" ht="16.5" customHeight="1" x14ac:dyDescent="0.3">
      <c r="A2206" s="87"/>
      <c r="B2206" s="88" t="s">
        <v>229</v>
      </c>
      <c r="C2206" s="136"/>
      <c r="D2206" s="136"/>
      <c r="E2206" s="136"/>
      <c r="F2206" s="136"/>
      <c r="M2206" s="35" t="s">
        <v>2222</v>
      </c>
      <c r="Z2206" s="101"/>
      <c r="AA2206" s="101"/>
      <c r="AB2206" s="101"/>
      <c r="AC2206" s="101"/>
      <c r="AD2206" s="101"/>
      <c r="AE2206" s="101"/>
      <c r="AF2206" s="101"/>
      <c r="AG2206" s="101"/>
      <c r="AH2206" s="101"/>
      <c r="AI2206" s="101"/>
      <c r="AJ2206" s="101"/>
      <c r="AK2206" s="101"/>
      <c r="AL2206" s="101"/>
      <c r="AM2206" s="101"/>
      <c r="AN2206" s="101"/>
    </row>
    <row r="2207" spans="1:40" ht="16.5" customHeight="1" x14ac:dyDescent="0.3">
      <c r="A2207" s="69"/>
      <c r="B2207" s="69"/>
      <c r="C2207" s="90"/>
      <c r="D2207" s="90"/>
      <c r="E2207" s="90"/>
      <c r="F2207" s="90"/>
      <c r="G2207" s="17" t="s">
        <v>1405</v>
      </c>
      <c r="Z2207" s="101"/>
      <c r="AA2207" s="101"/>
      <c r="AB2207" s="101"/>
      <c r="AC2207" s="101"/>
      <c r="AD2207" s="101"/>
      <c r="AE2207" s="101"/>
      <c r="AF2207" s="101"/>
      <c r="AG2207" s="101"/>
      <c r="AH2207" s="101"/>
      <c r="AI2207" s="101"/>
      <c r="AJ2207" s="101"/>
      <c r="AK2207" s="101"/>
      <c r="AL2207" s="101"/>
      <c r="AM2207" s="101"/>
      <c r="AN2207" s="101"/>
    </row>
    <row r="2208" spans="1:40" ht="16.5" customHeight="1" x14ac:dyDescent="0.3">
      <c r="A2208" s="59"/>
      <c r="B2208" s="68" t="s">
        <v>2193</v>
      </c>
      <c r="C2208" s="69"/>
      <c r="D2208" s="69"/>
      <c r="E2208" s="69"/>
      <c r="F2208" s="69"/>
      <c r="G2208" s="17" t="s">
        <v>2192</v>
      </c>
      <c r="Z2208" s="101"/>
      <c r="AA2208" s="101"/>
      <c r="AB2208" s="101"/>
      <c r="AC2208" s="101"/>
      <c r="AD2208" s="101"/>
      <c r="AE2208" s="101"/>
      <c r="AF2208" s="101"/>
      <c r="AG2208" s="101"/>
      <c r="AH2208" s="101"/>
      <c r="AI2208" s="101"/>
      <c r="AJ2208" s="101"/>
      <c r="AK2208" s="101"/>
      <c r="AL2208" s="101"/>
      <c r="AM2208" s="101"/>
      <c r="AN2208" s="101"/>
    </row>
    <row r="2209" spans="1:40" ht="16.5" customHeight="1" x14ac:dyDescent="0.3">
      <c r="A2209" s="69"/>
      <c r="B2209" s="69"/>
      <c r="C2209" s="69"/>
      <c r="D2209" s="69"/>
      <c r="E2209" s="69"/>
      <c r="F2209" s="69"/>
      <c r="G2209" s="17" t="s">
        <v>1405</v>
      </c>
      <c r="Z2209" s="101"/>
      <c r="AA2209" s="101"/>
      <c r="AB2209" s="101"/>
      <c r="AC2209" s="101"/>
      <c r="AD2209" s="101"/>
      <c r="AE2209" s="101"/>
      <c r="AF2209" s="101"/>
      <c r="AG2209" s="101"/>
      <c r="AH2209" s="101"/>
      <c r="AI2209" s="101"/>
      <c r="AJ2209" s="101"/>
      <c r="AK2209" s="101"/>
      <c r="AL2209" s="101"/>
      <c r="AM2209" s="101"/>
      <c r="AN2209" s="101"/>
    </row>
    <row r="2210" spans="1:40" ht="16.5" customHeight="1" x14ac:dyDescent="0.3">
      <c r="A2210" s="59"/>
      <c r="B2210" s="68" t="s">
        <v>2224</v>
      </c>
      <c r="C2210" s="69"/>
      <c r="D2210" s="69"/>
      <c r="E2210" s="69"/>
      <c r="F2210" s="69"/>
      <c r="G2210" s="17" t="s">
        <v>2223</v>
      </c>
      <c r="Z2210" s="101"/>
      <c r="AA2210" s="101"/>
      <c r="AB2210" s="101"/>
      <c r="AC2210" s="101"/>
      <c r="AD2210" s="101"/>
      <c r="AE2210" s="101"/>
      <c r="AF2210" s="101"/>
      <c r="AG2210" s="101"/>
      <c r="AH2210" s="101"/>
      <c r="AI2210" s="101"/>
      <c r="AJ2210" s="101"/>
      <c r="AK2210" s="101"/>
      <c r="AL2210" s="101"/>
      <c r="AM2210" s="101"/>
      <c r="AN2210" s="101"/>
    </row>
    <row r="2211" spans="1:40" ht="16.5" customHeight="1" x14ac:dyDescent="0.3">
      <c r="A2211" s="59"/>
      <c r="B2211" s="68" t="s">
        <v>2226</v>
      </c>
      <c r="C2211" s="69"/>
      <c r="D2211" s="69"/>
      <c r="E2211" s="69"/>
      <c r="F2211" s="69"/>
      <c r="G2211" s="17" t="s">
        <v>2225</v>
      </c>
      <c r="Z2211" s="101"/>
      <c r="AA2211" s="101"/>
      <c r="AB2211" s="101"/>
      <c r="AC2211" s="101"/>
      <c r="AD2211" s="101"/>
      <c r="AE2211" s="101"/>
      <c r="AF2211" s="101"/>
      <c r="AG2211" s="101"/>
      <c r="AH2211" s="101"/>
      <c r="AI2211" s="101"/>
      <c r="AJ2211" s="101"/>
      <c r="AK2211" s="101"/>
      <c r="AL2211" s="101"/>
      <c r="AM2211" s="101"/>
      <c r="AN2211" s="101"/>
    </row>
    <row r="2212" spans="1:40" ht="16.5" customHeight="1" x14ac:dyDescent="0.3">
      <c r="A2212" s="69"/>
      <c r="B2212" s="69"/>
      <c r="C2212" s="69"/>
      <c r="D2212" s="69"/>
      <c r="E2212" s="69"/>
      <c r="F2212" s="69"/>
      <c r="G2212" s="17" t="s">
        <v>1405</v>
      </c>
      <c r="Z2212" s="101"/>
      <c r="AA2212" s="101"/>
      <c r="AB2212" s="101"/>
      <c r="AC2212" s="101"/>
      <c r="AD2212" s="101"/>
      <c r="AE2212" s="101"/>
      <c r="AF2212" s="101"/>
      <c r="AG2212" s="101"/>
      <c r="AH2212" s="101"/>
      <c r="AI2212" s="101"/>
      <c r="AJ2212" s="101"/>
      <c r="AK2212" s="101"/>
      <c r="AL2212" s="101"/>
      <c r="AM2212" s="101"/>
      <c r="AN2212" s="101"/>
    </row>
    <row r="2213" spans="1:40" ht="16.5" customHeight="1" x14ac:dyDescent="0.3">
      <c r="A2213" s="59"/>
      <c r="B2213" s="68" t="str">
        <f>"    일당 시공량  Q = "&amp;Z2213&amp;" 본/일 "</f>
        <v xml:space="preserve">    일당 시공량  Q = 10 본/일 </v>
      </c>
      <c r="C2213" s="69"/>
      <c r="D2213" s="69"/>
      <c r="E2213" s="69"/>
      <c r="F2213" s="69"/>
      <c r="G2213" s="17" t="s">
        <v>2194</v>
      </c>
      <c r="Z2213" s="102">
        <v>10</v>
      </c>
      <c r="AA2213" s="35" t="s">
        <v>1410</v>
      </c>
      <c r="AB2213" s="103">
        <f>Z2213</f>
        <v>10</v>
      </c>
      <c r="AC2213" s="101"/>
      <c r="AD2213" s="101"/>
      <c r="AE2213" s="101"/>
      <c r="AF2213" s="101"/>
      <c r="AG2213" s="101"/>
      <c r="AH2213" s="101"/>
      <c r="AI2213" s="101"/>
      <c r="AJ2213" s="101"/>
      <c r="AK2213" s="101"/>
      <c r="AL2213" s="101"/>
      <c r="AM2213" s="101"/>
      <c r="AN2213" s="101"/>
    </row>
    <row r="2214" spans="1:40" ht="16.5" customHeight="1" x14ac:dyDescent="0.3">
      <c r="A2214" s="69"/>
      <c r="B2214" s="69"/>
      <c r="C2214" s="69"/>
      <c r="D2214" s="69"/>
      <c r="E2214" s="69"/>
      <c r="F2214" s="69"/>
      <c r="G2214" s="17" t="s">
        <v>1405</v>
      </c>
      <c r="Z2214" s="101"/>
      <c r="AA2214" s="101"/>
      <c r="AB2214" s="101"/>
      <c r="AC2214" s="101"/>
      <c r="AD2214" s="101"/>
      <c r="AE2214" s="101"/>
      <c r="AF2214" s="101"/>
      <c r="AG2214" s="101"/>
      <c r="AH2214" s="101"/>
      <c r="AI2214" s="101"/>
      <c r="AJ2214" s="101"/>
      <c r="AK2214" s="101"/>
      <c r="AL2214" s="101"/>
      <c r="AM2214" s="101"/>
      <c r="AN2214" s="101"/>
    </row>
    <row r="2215" spans="1:40" ht="16.5" customHeight="1" x14ac:dyDescent="0.3">
      <c r="A2215" s="59"/>
      <c r="B2215" s="68" t="str">
        <f>"    시간당 시공량:   Q1 = Q / "&amp;AB2215&amp;" = "&amp;AD2215&amp;"    본/Hr "</f>
        <v xml:space="preserve">    시간당 시공량:   Q1 = Q / 8 = 1.250    본/Hr </v>
      </c>
      <c r="C2215" s="69"/>
      <c r="D2215" s="69"/>
      <c r="E2215" s="69"/>
      <c r="F2215" s="69"/>
      <c r="G2215" s="17" t="s">
        <v>2195</v>
      </c>
      <c r="Z2215" s="103">
        <f>AB2213</f>
        <v>10</v>
      </c>
      <c r="AA2215" s="35" t="s">
        <v>1413</v>
      </c>
      <c r="AB2215" s="102">
        <v>8</v>
      </c>
      <c r="AC2215" s="35" t="s">
        <v>1410</v>
      </c>
      <c r="AD2215" s="103" t="str">
        <f>TEXT(ROUND(AB2213/AB2215,3),"#,0.000")</f>
        <v>1.250</v>
      </c>
      <c r="AE2215" s="101"/>
      <c r="AF2215" s="101"/>
      <c r="AG2215" s="101"/>
      <c r="AH2215" s="101"/>
      <c r="AI2215" s="101"/>
      <c r="AJ2215" s="101"/>
      <c r="AK2215" s="101"/>
      <c r="AL2215" s="101"/>
      <c r="AM2215" s="101"/>
      <c r="AN2215" s="101"/>
    </row>
    <row r="2216" spans="1:40" ht="16.5" customHeight="1" x14ac:dyDescent="0.3">
      <c r="A2216" s="69"/>
      <c r="B2216" s="69"/>
      <c r="C2216" s="69"/>
      <c r="D2216" s="69"/>
      <c r="E2216" s="69"/>
      <c r="F2216" s="69"/>
      <c r="G2216" s="17" t="s">
        <v>1405</v>
      </c>
      <c r="Z2216" s="101"/>
      <c r="AA2216" s="101"/>
      <c r="AB2216" s="101"/>
      <c r="AC2216" s="101"/>
      <c r="AD2216" s="101"/>
      <c r="AE2216" s="101"/>
      <c r="AF2216" s="101"/>
      <c r="AG2216" s="101"/>
      <c r="AH2216" s="101"/>
      <c r="AI2216" s="101"/>
      <c r="AJ2216" s="101"/>
      <c r="AK2216" s="101"/>
      <c r="AL2216" s="101"/>
      <c r="AM2216" s="101"/>
      <c r="AN2216" s="101"/>
    </row>
    <row r="2217" spans="1:40" ht="16.5" customHeight="1" x14ac:dyDescent="0.3">
      <c r="A2217" s="59"/>
      <c r="B2217" s="68" t="s">
        <v>2197</v>
      </c>
      <c r="C2217" s="69"/>
      <c r="D2217" s="69"/>
      <c r="E2217" s="69"/>
      <c r="F2217" s="69"/>
      <c r="G2217" s="17" t="s">
        <v>2196</v>
      </c>
      <c r="Z2217" s="101"/>
      <c r="AA2217" s="101"/>
      <c r="AB2217" s="101"/>
      <c r="AC2217" s="101"/>
      <c r="AD2217" s="101"/>
      <c r="AE2217" s="101"/>
      <c r="AF2217" s="101"/>
      <c r="AG2217" s="101"/>
      <c r="AH2217" s="101"/>
      <c r="AI2217" s="101"/>
      <c r="AJ2217" s="101"/>
      <c r="AK2217" s="101"/>
      <c r="AL2217" s="101"/>
      <c r="AM2217" s="101"/>
      <c r="AN2217" s="101"/>
    </row>
    <row r="2218" spans="1:40" ht="16.5" customHeight="1" x14ac:dyDescent="0.3">
      <c r="A2218" s="69"/>
      <c r="B2218" s="69"/>
      <c r="C2218" s="69"/>
      <c r="D2218" s="69"/>
      <c r="E2218" s="69"/>
      <c r="F2218" s="69"/>
      <c r="G2218" s="17" t="s">
        <v>1405</v>
      </c>
      <c r="Z2218" s="101"/>
      <c r="AA2218" s="101"/>
      <c r="AB2218" s="101"/>
      <c r="AC2218" s="101"/>
      <c r="AD2218" s="101"/>
      <c r="AE2218" s="101"/>
      <c r="AF2218" s="101"/>
      <c r="AG2218" s="101"/>
      <c r="AH2218" s="101"/>
      <c r="AI2218" s="101"/>
      <c r="AJ2218" s="101"/>
      <c r="AK2218" s="101"/>
      <c r="AL2218" s="101"/>
      <c r="AM2218" s="101"/>
      <c r="AN2218" s="101"/>
    </row>
    <row r="2219" spans="1:40" ht="16.5" customHeight="1" x14ac:dyDescent="0.3">
      <c r="A2219" s="59" t="s">
        <v>2199</v>
      </c>
      <c r="B2219" s="89" t="str">
        <f>"   배관공(수도) : "&amp;TEXT(I2219,"#,##0"&amp;IF(I2219&lt;&gt;INT(I2219),".###",""))&amp;" * "&amp;AA2219&amp;" 인 / Q 인 *("&amp;AE2219&amp;"/"&amp;AG2219&amp;")*"&amp;AI2219&amp;" (30%증) = "&amp;TEXT(C2219,"#,##0.0")&amp;""</f>
        <v xml:space="preserve">   배관공(수도) : 262,580 * 2 인 / Q 인 *(1/2)*1.3 (30%증) = 34,135.4</v>
      </c>
      <c r="C2219" s="91">
        <f>E2219+D2219+F2219</f>
        <v>34135.4</v>
      </c>
      <c r="D2219" s="91">
        <f>IF(H2219=0,0,ROUNDDOWN(J2219*H2219,1))</f>
        <v>34135.4</v>
      </c>
      <c r="E2219" s="91">
        <f>IF(H2219=0,0,ROUNDDOWN(K2219*H2219,1))</f>
        <v>0</v>
      </c>
      <c r="F2219" s="91">
        <f>IF(H2219=0,0,ROUNDDOWN(L2219*H2219,1))</f>
        <v>0</v>
      </c>
      <c r="G2219" s="17" t="s">
        <v>2227</v>
      </c>
      <c r="H2219" s="97">
        <f>ROUNDUP(AK2219,14-LEN(ABS(INT(AK2219))))</f>
        <v>0.13</v>
      </c>
      <c r="I2219" s="98">
        <f>K2219+J2219+L2219</f>
        <v>262580</v>
      </c>
      <c r="J2219" s="38">
        <f>노무비목록표!E7</f>
        <v>262580</v>
      </c>
      <c r="M2219" s="35" t="s">
        <v>1279</v>
      </c>
      <c r="N2219" s="35" t="s">
        <v>1262</v>
      </c>
      <c r="O2219" s="35" t="s">
        <v>1214</v>
      </c>
      <c r="X2219" s="100" t="str">
        <f>노무비목록표!B7&amp;" / "&amp;노무비목록표!C7</f>
        <v xml:space="preserve">배관공(수도) / </v>
      </c>
      <c r="Y2219" s="3" t="str">
        <f ca="1">HYPERLINK("#"&amp;노무비목록표!G2&amp;"!A"&amp;ROW(노무비목록표!A7),"노무4 →")</f>
        <v>노무4 →</v>
      </c>
      <c r="Z2219" s="35" t="s">
        <v>1446</v>
      </c>
      <c r="AA2219" s="102">
        <v>2</v>
      </c>
      <c r="AB2219" s="35" t="s">
        <v>1413</v>
      </c>
      <c r="AC2219" s="103">
        <f>AB2213</f>
        <v>10</v>
      </c>
      <c r="AD2219" s="35" t="s">
        <v>2217</v>
      </c>
      <c r="AE2219" s="102">
        <v>1</v>
      </c>
      <c r="AF2219" s="35" t="s">
        <v>1413</v>
      </c>
      <c r="AG2219" s="102">
        <v>2</v>
      </c>
      <c r="AH2219" s="35" t="s">
        <v>1458</v>
      </c>
      <c r="AI2219" s="104">
        <v>1.3</v>
      </c>
      <c r="AJ2219" s="35" t="s">
        <v>1410</v>
      </c>
      <c r="AK2219" s="103">
        <f>1*AA2219/AB2213*(AE2219/AG2219)*AI2219</f>
        <v>0.13</v>
      </c>
      <c r="AL2219" s="101"/>
      <c r="AM2219" s="101"/>
      <c r="AN2219" s="101"/>
    </row>
    <row r="2220" spans="1:40" ht="16.5" customHeight="1" x14ac:dyDescent="0.3">
      <c r="A2220" s="69"/>
      <c r="B2220" s="69"/>
      <c r="C2220" s="69"/>
      <c r="D2220" s="69"/>
      <c r="E2220" s="69"/>
      <c r="F2220" s="69"/>
      <c r="G2220" s="17" t="s">
        <v>1405</v>
      </c>
      <c r="Z2220" s="101"/>
      <c r="AA2220" s="101"/>
      <c r="AB2220" s="101"/>
      <c r="AC2220" s="101"/>
      <c r="AD2220" s="101"/>
      <c r="AE2220" s="101"/>
      <c r="AF2220" s="101"/>
      <c r="AG2220" s="101"/>
      <c r="AH2220" s="101"/>
      <c r="AI2220" s="101"/>
      <c r="AJ2220" s="101"/>
      <c r="AK2220" s="101"/>
      <c r="AL2220" s="101"/>
      <c r="AM2220" s="101"/>
      <c r="AN2220" s="101"/>
    </row>
    <row r="2221" spans="1:40" ht="16.5" customHeight="1" x14ac:dyDescent="0.3">
      <c r="A2221" s="59" t="s">
        <v>1419</v>
      </c>
      <c r="B2221" s="89" t="str">
        <f>"   보 통 인 부  : "&amp;TEXT(I2221,"#,##0"&amp;IF(I2221&lt;&gt;INT(I2221),".###",""))&amp;" * "&amp;AA2221&amp;" 인 / Q 인 *("&amp;AE2221&amp;"/"&amp;AG2221&amp;")*"&amp;AI2221&amp;" (30%증) = "&amp;TEXT(C2221,"#,##0.0")&amp;""</f>
        <v xml:space="preserve">   보 통 인 부  : 172,068 * 1 인 / Q 인 *(1/2)*1.3 (30%증) = 11,184.4</v>
      </c>
      <c r="C2221" s="91">
        <f>E2221+D2221+F2221</f>
        <v>11184.4</v>
      </c>
      <c r="D2221" s="91">
        <f>IF(H2221=0,0,ROUNDDOWN(J2221*H2221,1))</f>
        <v>11184.4</v>
      </c>
      <c r="E2221" s="91">
        <f>IF(H2221=0,0,ROUNDDOWN(K2221*H2221,1))</f>
        <v>0</v>
      </c>
      <c r="F2221" s="91">
        <f>IF(H2221=0,0,ROUNDDOWN(L2221*H2221,1))</f>
        <v>0</v>
      </c>
      <c r="G2221" s="17" t="s">
        <v>2228</v>
      </c>
      <c r="H2221" s="97">
        <f>ROUNDUP(AK2221,14-LEN(ABS(INT(AK2221))))</f>
        <v>6.5000000000000002E-2</v>
      </c>
      <c r="I2221" s="98">
        <f>K2221+J2221+L2221</f>
        <v>172068</v>
      </c>
      <c r="J2221" s="38">
        <f>노무비목록표!E8</f>
        <v>172068</v>
      </c>
      <c r="M2221" s="35" t="s">
        <v>1219</v>
      </c>
      <c r="N2221" s="35" t="s">
        <v>1262</v>
      </c>
      <c r="O2221" s="35" t="s">
        <v>1214</v>
      </c>
      <c r="X2221" s="100" t="str">
        <f>노무비목록표!B8&amp;" / "&amp;노무비목록표!C8</f>
        <v xml:space="preserve">보통인부 / </v>
      </c>
      <c r="Y2221" s="3" t="str">
        <f ca="1">HYPERLINK("#"&amp;노무비목록표!G2&amp;"!A"&amp;ROW(노무비목록표!A8),"노무5 →")</f>
        <v>노무5 →</v>
      </c>
      <c r="Z2221" s="35" t="s">
        <v>1446</v>
      </c>
      <c r="AA2221" s="102">
        <v>1</v>
      </c>
      <c r="AB2221" s="35" t="s">
        <v>1413</v>
      </c>
      <c r="AC2221" s="103">
        <f>AB2213</f>
        <v>10</v>
      </c>
      <c r="AD2221" s="35" t="s">
        <v>2217</v>
      </c>
      <c r="AE2221" s="102">
        <v>1</v>
      </c>
      <c r="AF2221" s="35" t="s">
        <v>1413</v>
      </c>
      <c r="AG2221" s="102">
        <v>2</v>
      </c>
      <c r="AH2221" s="35" t="s">
        <v>1458</v>
      </c>
      <c r="AI2221" s="104">
        <v>1.3</v>
      </c>
      <c r="AJ2221" s="35" t="s">
        <v>1410</v>
      </c>
      <c r="AK2221" s="103">
        <f>1*AA2221/AB2213*(AE2221/AG2221)*AI2221</f>
        <v>6.5000000000000002E-2</v>
      </c>
      <c r="AL2221" s="101"/>
      <c r="AM2221" s="101"/>
      <c r="AN2221" s="101"/>
    </row>
    <row r="2222" spans="1:40" ht="16.5" customHeight="1" x14ac:dyDescent="0.3">
      <c r="A2222" s="69"/>
      <c r="B2222" s="69"/>
      <c r="C2222" s="69"/>
      <c r="D2222" s="69"/>
      <c r="E2222" s="69"/>
      <c r="F2222" s="69"/>
      <c r="G2222" s="17" t="s">
        <v>1405</v>
      </c>
      <c r="Z2222" s="101"/>
      <c r="AA2222" s="101"/>
      <c r="AB2222" s="101"/>
      <c r="AC2222" s="101"/>
      <c r="AD2222" s="101"/>
      <c r="AE2222" s="101"/>
      <c r="AF2222" s="101"/>
      <c r="AG2222" s="101"/>
      <c r="AH2222" s="101"/>
      <c r="AI2222" s="101"/>
      <c r="AJ2222" s="101"/>
      <c r="AK2222" s="101"/>
      <c r="AL2222" s="101"/>
      <c r="AM2222" s="101"/>
      <c r="AN2222" s="101"/>
    </row>
    <row r="2223" spans="1:40" ht="16.5" customHeight="1" x14ac:dyDescent="0.3">
      <c r="A2223" s="59"/>
      <c r="B2223" s="89" t="str">
        <f>"   공구손료 및 경장비(임팩트렌치, 발전기 등) : "&amp;TEXT(I2223,"#,##0.0")&amp;" * "&amp;AA2223&amp;" %  = "&amp;TEXT(C2223,"#,##0.0")&amp;""</f>
        <v xml:space="preserve">   공구손료 및 경장비(임팩트렌치, 발전기 등) : 45,319.8 * 4 %  = 1,812.7</v>
      </c>
      <c r="C2223" s="91">
        <f>E2223+D2223+F2223</f>
        <v>1812.7</v>
      </c>
      <c r="D2223" s="91">
        <f>IF(H2223=0,0,ROUNDDOWN(J2223*H2223/100,1))</f>
        <v>0</v>
      </c>
      <c r="E2223" s="91">
        <f>IF(H2223=0,0,ROUNDDOWN(K2223*H2223/100,1))</f>
        <v>0</v>
      </c>
      <c r="F2223" s="91">
        <f>IF(H2223=0,0,ROUNDDOWN(L2223*H2223/100,1))</f>
        <v>1812.7</v>
      </c>
      <c r="G2223" s="17" t="s">
        <v>2229</v>
      </c>
      <c r="H2223" s="97">
        <f>ROUNDUP(AC2223,14-LEN(ABS(INT(AC2223))))</f>
        <v>4</v>
      </c>
      <c r="I2223" s="98">
        <f>K2223+J2223+L2223</f>
        <v>45319.8</v>
      </c>
      <c r="J2223" s="36">
        <v>0</v>
      </c>
      <c r="K2223" s="36">
        <v>0</v>
      </c>
      <c r="L2223" s="38">
        <f>D2219+D2221</f>
        <v>45319.8</v>
      </c>
      <c r="M2223" s="35" t="s">
        <v>1059</v>
      </c>
      <c r="N2223" s="35" t="s">
        <v>1262</v>
      </c>
      <c r="Z2223" s="35" t="s">
        <v>1446</v>
      </c>
      <c r="AA2223" s="102">
        <v>4</v>
      </c>
      <c r="AB2223" s="35" t="s">
        <v>1410</v>
      </c>
      <c r="AC2223" s="103">
        <f>1*AA2223</f>
        <v>4</v>
      </c>
      <c r="AD2223" s="101"/>
      <c r="AE2223" s="101"/>
      <c r="AF2223" s="101"/>
      <c r="AG2223" s="101"/>
      <c r="AH2223" s="101"/>
      <c r="AI2223" s="101"/>
      <c r="AJ2223" s="101"/>
      <c r="AK2223" s="101"/>
      <c r="AL2223" s="101"/>
      <c r="AM2223" s="101"/>
      <c r="AN2223" s="101"/>
    </row>
    <row r="2224" spans="1:40" ht="16.5" customHeight="1" x14ac:dyDescent="0.3">
      <c r="A2224" s="69"/>
      <c r="B2224" s="69"/>
      <c r="C2224" s="69"/>
      <c r="D2224" s="69"/>
      <c r="E2224" s="69"/>
      <c r="F2224" s="69"/>
      <c r="G2224" s="17" t="s">
        <v>1405</v>
      </c>
      <c r="Z2224" s="101"/>
      <c r="AA2224" s="101"/>
      <c r="AB2224" s="101"/>
      <c r="AC2224" s="101"/>
      <c r="AD2224" s="101"/>
      <c r="AE2224" s="101"/>
      <c r="AF2224" s="101"/>
      <c r="AG2224" s="101"/>
      <c r="AH2224" s="101"/>
      <c r="AI2224" s="101"/>
      <c r="AJ2224" s="101"/>
      <c r="AK2224" s="101"/>
      <c r="AL2224" s="101"/>
      <c r="AM2224" s="101"/>
      <c r="AN2224" s="101"/>
    </row>
    <row r="2225" spans="1:40" ht="16.5" customHeight="1" x14ac:dyDescent="0.3">
      <c r="A2225" s="59"/>
      <c r="B2225" s="68" t="s">
        <v>1260</v>
      </c>
      <c r="C2225" s="92">
        <f>E2225+D2225+F2225</f>
        <v>47132.5</v>
      </c>
      <c r="D2225" s="92">
        <f>SUMIF(N2207:N2224,M2225,D2207:D2224)</f>
        <v>45319.8</v>
      </c>
      <c r="E2225" s="92">
        <f>SUMIF(N2207:N2224,M2225,E2207:E2224)</f>
        <v>0</v>
      </c>
      <c r="F2225" s="92">
        <f>SUMIF(N2207:N2224,M2225,F2207:F2224)</f>
        <v>1812.7</v>
      </c>
      <c r="G2225" s="17" t="s">
        <v>1430</v>
      </c>
      <c r="M2225" s="35" t="s">
        <v>1262</v>
      </c>
      <c r="N2225" s="35" t="s">
        <v>1253</v>
      </c>
      <c r="Z2225" s="101"/>
      <c r="AA2225" s="101"/>
      <c r="AB2225" s="101"/>
      <c r="AC2225" s="101"/>
      <c r="AD2225" s="101"/>
      <c r="AE2225" s="101"/>
      <c r="AF2225" s="101"/>
      <c r="AG2225" s="101"/>
      <c r="AH2225" s="101"/>
      <c r="AI2225" s="101"/>
      <c r="AJ2225" s="101"/>
      <c r="AK2225" s="101"/>
      <c r="AL2225" s="101"/>
      <c r="AM2225" s="101"/>
      <c r="AN2225" s="101"/>
    </row>
    <row r="2226" spans="1:40" ht="16.5" customHeight="1" x14ac:dyDescent="0.3">
      <c r="A2226" s="69"/>
      <c r="B2226" s="69"/>
      <c r="C2226" s="90"/>
      <c r="D2226" s="90"/>
      <c r="E2226" s="90"/>
      <c r="F2226" s="90"/>
      <c r="G2226" s="17" t="s">
        <v>1405</v>
      </c>
      <c r="Z2226" s="101"/>
      <c r="AA2226" s="101"/>
      <c r="AB2226" s="101"/>
      <c r="AC2226" s="101"/>
      <c r="AD2226" s="101"/>
      <c r="AE2226" s="101"/>
      <c r="AF2226" s="101"/>
      <c r="AG2226" s="101"/>
      <c r="AH2226" s="101"/>
      <c r="AI2226" s="101"/>
      <c r="AJ2226" s="101"/>
      <c r="AK2226" s="101"/>
      <c r="AL2226" s="101"/>
      <c r="AM2226" s="101"/>
      <c r="AN2226" s="101"/>
    </row>
    <row r="2227" spans="1:40" ht="16.5" customHeight="1" x14ac:dyDescent="0.3">
      <c r="A2227" s="59"/>
      <c r="B2227" s="68" t="s">
        <v>2203</v>
      </c>
      <c r="C2227" s="69"/>
      <c r="D2227" s="69"/>
      <c r="E2227" s="69"/>
      <c r="F2227" s="69"/>
      <c r="G2227" s="17" t="s">
        <v>2202</v>
      </c>
      <c r="Z2227" s="101"/>
      <c r="AA2227" s="101"/>
      <c r="AB2227" s="101"/>
      <c r="AC2227" s="101"/>
      <c r="AD2227" s="101"/>
      <c r="AE2227" s="101"/>
      <c r="AF2227" s="101"/>
      <c r="AG2227" s="101"/>
      <c r="AH2227" s="101"/>
      <c r="AI2227" s="101"/>
      <c r="AJ2227" s="101"/>
      <c r="AK2227" s="101"/>
      <c r="AL2227" s="101"/>
      <c r="AM2227" s="101"/>
      <c r="AN2227" s="101"/>
    </row>
    <row r="2228" spans="1:40" ht="16.5" customHeight="1" x14ac:dyDescent="0.3">
      <c r="A2228" s="69"/>
      <c r="B2228" s="69"/>
      <c r="C2228" s="69"/>
      <c r="D2228" s="69"/>
      <c r="E2228" s="69"/>
      <c r="F2228" s="69"/>
      <c r="G2228" s="17" t="s">
        <v>1405</v>
      </c>
      <c r="Z2228" s="101"/>
      <c r="AA2228" s="101"/>
      <c r="AB2228" s="101"/>
      <c r="AC2228" s="101"/>
      <c r="AD2228" s="101"/>
      <c r="AE2228" s="101"/>
      <c r="AF2228" s="101"/>
      <c r="AG2228" s="101"/>
      <c r="AH2228" s="101"/>
      <c r="AI2228" s="101"/>
      <c r="AJ2228" s="101"/>
      <c r="AK2228" s="101"/>
      <c r="AL2228" s="101"/>
      <c r="AM2228" s="101"/>
      <c r="AN2228" s="101"/>
    </row>
    <row r="2229" spans="1:40" ht="16.5" customHeight="1" x14ac:dyDescent="0.3">
      <c r="A2229" s="59"/>
      <c r="B2229" s="68" t="s">
        <v>2205</v>
      </c>
      <c r="C2229" s="69"/>
      <c r="D2229" s="69"/>
      <c r="E2229" s="69"/>
      <c r="F2229" s="69"/>
      <c r="G2229" s="17" t="s">
        <v>2204</v>
      </c>
      <c r="Z2229" s="101"/>
      <c r="AA2229" s="101"/>
      <c r="AB2229" s="101"/>
      <c r="AC2229" s="101"/>
      <c r="AD2229" s="101"/>
      <c r="AE2229" s="101"/>
      <c r="AF2229" s="101"/>
      <c r="AG2229" s="101"/>
      <c r="AH2229" s="101"/>
      <c r="AI2229" s="101"/>
      <c r="AJ2229" s="101"/>
      <c r="AK2229" s="101"/>
      <c r="AL2229" s="101"/>
      <c r="AM2229" s="101"/>
      <c r="AN2229" s="101"/>
    </row>
    <row r="2230" spans="1:40" ht="16.5" customHeight="1" x14ac:dyDescent="0.3">
      <c r="A2230" s="69"/>
      <c r="B2230" s="69"/>
      <c r="C2230" s="69"/>
      <c r="D2230" s="69"/>
      <c r="E2230" s="69"/>
      <c r="F2230" s="69"/>
      <c r="G2230" s="17" t="s">
        <v>1405</v>
      </c>
      <c r="Z2230" s="101"/>
      <c r="AA2230" s="101"/>
      <c r="AB2230" s="101"/>
      <c r="AC2230" s="101"/>
      <c r="AD2230" s="101"/>
      <c r="AE2230" s="101"/>
      <c r="AF2230" s="101"/>
      <c r="AG2230" s="101"/>
      <c r="AH2230" s="101"/>
      <c r="AI2230" s="101"/>
      <c r="AJ2230" s="101"/>
      <c r="AK2230" s="101"/>
      <c r="AL2230" s="101"/>
      <c r="AM2230" s="101"/>
      <c r="AN2230" s="101"/>
    </row>
    <row r="2231" spans="1:40" ht="16.5" customHeight="1" x14ac:dyDescent="0.3">
      <c r="A2231" s="59"/>
      <c r="B2231" s="68" t="s">
        <v>2207</v>
      </c>
      <c r="C2231" s="69"/>
      <c r="D2231" s="69"/>
      <c r="E2231" s="69"/>
      <c r="F2231" s="69"/>
      <c r="G2231" s="17" t="s">
        <v>2206</v>
      </c>
      <c r="Z2231" s="101"/>
      <c r="AA2231" s="101"/>
      <c r="AB2231" s="101"/>
      <c r="AC2231" s="101"/>
      <c r="AD2231" s="101"/>
      <c r="AE2231" s="101"/>
      <c r="AF2231" s="101"/>
      <c r="AG2231" s="101"/>
      <c r="AH2231" s="101"/>
      <c r="AI2231" s="101"/>
      <c r="AJ2231" s="101"/>
      <c r="AK2231" s="101"/>
      <c r="AL2231" s="101"/>
      <c r="AM2231" s="101"/>
      <c r="AN2231" s="101"/>
    </row>
    <row r="2232" spans="1:40" ht="16.5" customHeight="1" x14ac:dyDescent="0.3">
      <c r="A2232" s="69"/>
      <c r="B2232" s="69"/>
      <c r="C2232" s="69"/>
      <c r="D2232" s="69"/>
      <c r="E2232" s="69"/>
      <c r="F2232" s="69"/>
      <c r="G2232" s="17" t="s">
        <v>1405</v>
      </c>
      <c r="Z2232" s="101"/>
      <c r="AA2232" s="101"/>
      <c r="AB2232" s="101"/>
      <c r="AC2232" s="101"/>
      <c r="AD2232" s="101"/>
      <c r="AE2232" s="101"/>
      <c r="AF2232" s="101"/>
      <c r="AG2232" s="101"/>
      <c r="AH2232" s="101"/>
      <c r="AI2232" s="101"/>
      <c r="AJ2232" s="101"/>
      <c r="AK2232" s="101"/>
      <c r="AL2232" s="101"/>
      <c r="AM2232" s="101"/>
      <c r="AN2232" s="101"/>
    </row>
    <row r="2233" spans="1:40" ht="16.5" customHeight="1" x14ac:dyDescent="0.3">
      <c r="A2233" s="59" t="s">
        <v>2209</v>
      </c>
      <c r="B2233" s="89" t="str">
        <f>"  노 무 비 :  "&amp;TEXT(I2233,"#,##0"&amp;IF(I2233&lt;&gt;INT(I2233),".###",""))&amp;" / Q1 *("&amp;AC2233&amp;"/"&amp;AE2233&amp;")*"&amp;AG2233&amp;" (30%증) = "&amp;TEXT(C2233,"#,##0.0")&amp;""</f>
        <v xml:space="preserve">  노 무 비 :  49,778 / Q1 *(1/2)*1.3 (30%증) = 25,884.5</v>
      </c>
      <c r="C2233" s="91">
        <f>E2233+D2233+F2233</f>
        <v>25884.5</v>
      </c>
      <c r="D2233" s="91">
        <f>IF(H2233=0,0,ROUNDDOWN(J2233*H2233,1))</f>
        <v>25884.5</v>
      </c>
      <c r="E2233" s="91">
        <f>IF(H2233=0,0,ROUNDDOWN(K2233*H2233,1))</f>
        <v>0</v>
      </c>
      <c r="F2233" s="91">
        <f>IF(H2233=0,0,ROUNDDOWN(L2233*H2233,1))</f>
        <v>0</v>
      </c>
      <c r="G2233" s="17" t="s">
        <v>2230</v>
      </c>
      <c r="H2233" s="97">
        <f>ROUNDUP(AI2233,14-LEN(ABS(INT(AI2233))))</f>
        <v>0.52</v>
      </c>
      <c r="I2233" s="98">
        <f>K2233+J2233+L2233</f>
        <v>49778</v>
      </c>
      <c r="J2233" s="38">
        <f>중기목록표!F34</f>
        <v>49778</v>
      </c>
      <c r="M2233" s="35" t="s">
        <v>2210</v>
      </c>
      <c r="N2233" s="35" t="s">
        <v>1262</v>
      </c>
      <c r="O2233" s="35" t="s">
        <v>1214</v>
      </c>
      <c r="X2233" s="100" t="str">
        <f>중기목록표!B34&amp;" / "&amp;중기목록표!C34</f>
        <v>트럭탑재형 크레인 / 10톤</v>
      </c>
      <c r="Y2233" s="3" t="str">
        <f ca="1">HYPERLINK("#"&amp;중기목록표!J2&amp;"!A"&amp;ROW(중기목록표!A34),"중기31 →")</f>
        <v>중기31 →</v>
      </c>
      <c r="Z2233" s="35" t="s">
        <v>1417</v>
      </c>
      <c r="AA2233" s="103" t="str">
        <f>AD2215</f>
        <v>1.250</v>
      </c>
      <c r="AB2233" s="35" t="s">
        <v>2217</v>
      </c>
      <c r="AC2233" s="102">
        <v>1</v>
      </c>
      <c r="AD2233" s="35" t="s">
        <v>1413</v>
      </c>
      <c r="AE2233" s="102">
        <v>2</v>
      </c>
      <c r="AF2233" s="35" t="s">
        <v>1458</v>
      </c>
      <c r="AG2233" s="104">
        <v>1.3</v>
      </c>
      <c r="AH2233" s="35" t="s">
        <v>1410</v>
      </c>
      <c r="AI2233" s="103">
        <f>1/AD2215*(AC2233/AE2233)*AG2233</f>
        <v>0.52</v>
      </c>
      <c r="AJ2233" s="101"/>
      <c r="AK2233" s="101"/>
      <c r="AL2233" s="101"/>
      <c r="AM2233" s="101"/>
      <c r="AN2233" s="101"/>
    </row>
    <row r="2234" spans="1:40" ht="16.5" customHeight="1" x14ac:dyDescent="0.3">
      <c r="A2234" s="69"/>
      <c r="B2234" s="69"/>
      <c r="C2234" s="69"/>
      <c r="D2234" s="69"/>
      <c r="E2234" s="69"/>
      <c r="F2234" s="69"/>
      <c r="G2234" s="17" t="s">
        <v>1405</v>
      </c>
      <c r="Z2234" s="101"/>
      <c r="AA2234" s="101"/>
      <c r="AB2234" s="101"/>
      <c r="AC2234" s="101"/>
      <c r="AD2234" s="101"/>
      <c r="AE2234" s="101"/>
      <c r="AF2234" s="101"/>
      <c r="AG2234" s="101"/>
      <c r="AH2234" s="101"/>
      <c r="AI2234" s="101"/>
      <c r="AJ2234" s="101"/>
      <c r="AK2234" s="101"/>
      <c r="AL2234" s="101"/>
      <c r="AM2234" s="101"/>
      <c r="AN2234" s="101"/>
    </row>
    <row r="2235" spans="1:40" ht="16.5" customHeight="1" x14ac:dyDescent="0.3">
      <c r="A2235" s="59" t="s">
        <v>2212</v>
      </c>
      <c r="B2235" s="89" t="str">
        <f>"  재 료 비 :  "&amp;TEXT(I2235,"#,##0"&amp;IF(I2235&lt;&gt;INT(I2235),".###",""))&amp;" / Q1 *("&amp;AC2235&amp;"/"&amp;AE2235&amp;")*"&amp;AG2235&amp;" (30%증) = "&amp;TEXT(C2235,"#,##0.0")&amp;""</f>
        <v xml:space="preserve">  재 료 비 :  22,235 / Q1 *(1/2)*1.3 (30%증) = 11,562.2</v>
      </c>
      <c r="C2235" s="91">
        <f>E2235+D2235+F2235</f>
        <v>11562.2</v>
      </c>
      <c r="D2235" s="91">
        <f>IF(H2235=0,0,ROUNDDOWN(J2235*H2235,1))</f>
        <v>0</v>
      </c>
      <c r="E2235" s="91">
        <f>IF(H2235=0,0,ROUNDDOWN(K2235*H2235,1))</f>
        <v>11562.2</v>
      </c>
      <c r="F2235" s="91">
        <f>IF(H2235=0,0,ROUNDDOWN(L2235*H2235,1))</f>
        <v>0</v>
      </c>
      <c r="G2235" s="17" t="s">
        <v>2231</v>
      </c>
      <c r="H2235" s="97">
        <f>ROUNDUP(AI2235,14-LEN(ABS(INT(AI2235))))</f>
        <v>0.52</v>
      </c>
      <c r="I2235" s="98">
        <f>K2235+J2235+L2235</f>
        <v>22235</v>
      </c>
      <c r="K2235" s="38">
        <f>중기목록표!G34</f>
        <v>22235</v>
      </c>
      <c r="M2235" s="35" t="s">
        <v>2210</v>
      </c>
      <c r="N2235" s="35" t="s">
        <v>1262</v>
      </c>
      <c r="O2235" s="35" t="s">
        <v>1214</v>
      </c>
      <c r="X2235" s="100" t="str">
        <f>중기목록표!B34&amp;" / "&amp;중기목록표!C34</f>
        <v>트럭탑재형 크레인 / 10톤</v>
      </c>
      <c r="Y2235" s="3" t="str">
        <f ca="1">HYPERLINK("#"&amp;중기목록표!J2&amp;"!A"&amp;ROW(중기목록표!A34),"중기31 →")</f>
        <v>중기31 →</v>
      </c>
      <c r="Z2235" s="35" t="s">
        <v>1417</v>
      </c>
      <c r="AA2235" s="103" t="str">
        <f>AD2215</f>
        <v>1.250</v>
      </c>
      <c r="AB2235" s="35" t="s">
        <v>2217</v>
      </c>
      <c r="AC2235" s="102">
        <v>1</v>
      </c>
      <c r="AD2235" s="35" t="s">
        <v>1413</v>
      </c>
      <c r="AE2235" s="102">
        <v>2</v>
      </c>
      <c r="AF2235" s="35" t="s">
        <v>1458</v>
      </c>
      <c r="AG2235" s="104">
        <v>1.3</v>
      </c>
      <c r="AH2235" s="35" t="s">
        <v>1410</v>
      </c>
      <c r="AI2235" s="103">
        <f>1/AD2215*(AC2235/AE2235)*AG2235</f>
        <v>0.52</v>
      </c>
      <c r="AJ2235" s="101"/>
      <c r="AK2235" s="101"/>
      <c r="AL2235" s="101"/>
      <c r="AM2235" s="101"/>
      <c r="AN2235" s="101"/>
    </row>
    <row r="2236" spans="1:40" ht="16.5" customHeight="1" x14ac:dyDescent="0.3">
      <c r="A2236" s="69"/>
      <c r="B2236" s="69"/>
      <c r="C2236" s="69"/>
      <c r="D2236" s="69"/>
      <c r="E2236" s="69"/>
      <c r="F2236" s="69"/>
      <c r="G2236" s="17" t="s">
        <v>1405</v>
      </c>
      <c r="Z2236" s="101"/>
      <c r="AA2236" s="101"/>
      <c r="AB2236" s="101"/>
      <c r="AC2236" s="101"/>
      <c r="AD2236" s="101"/>
      <c r="AE2236" s="101"/>
      <c r="AF2236" s="101"/>
      <c r="AG2236" s="101"/>
      <c r="AH2236" s="101"/>
      <c r="AI2236" s="101"/>
      <c r="AJ2236" s="101"/>
      <c r="AK2236" s="101"/>
      <c r="AL2236" s="101"/>
      <c r="AM2236" s="101"/>
      <c r="AN2236" s="101"/>
    </row>
    <row r="2237" spans="1:40" ht="16.5" customHeight="1" x14ac:dyDescent="0.3">
      <c r="A2237" s="59" t="s">
        <v>2214</v>
      </c>
      <c r="B2237" s="89" t="str">
        <f>"  경    비 :  "&amp;TEXT(I2237,"#,##0"&amp;IF(I2237&lt;&gt;INT(I2237),".###",""))&amp;" / Q1 *("&amp;AC2237&amp;"/"&amp;AE2237&amp;")*"&amp;AG2237&amp;" (30%증) = "&amp;TEXT(C2237,"#,##0.0")&amp;""</f>
        <v xml:space="preserve">  경    비 :  23,795 / Q1 *(1/2)*1.3 (30%증) = 12,373.4</v>
      </c>
      <c r="C2237" s="91">
        <f>E2237+D2237+F2237</f>
        <v>12373.4</v>
      </c>
      <c r="D2237" s="91">
        <f>IF(H2237=0,0,ROUNDDOWN(J2237*H2237,1))</f>
        <v>0</v>
      </c>
      <c r="E2237" s="91">
        <f>IF(H2237=0,0,ROUNDDOWN(K2237*H2237,1))</f>
        <v>0</v>
      </c>
      <c r="F2237" s="91">
        <f>IF(H2237=0,0,ROUNDDOWN(L2237*H2237,1))</f>
        <v>12373.4</v>
      </c>
      <c r="G2237" s="17" t="s">
        <v>2232</v>
      </c>
      <c r="H2237" s="97">
        <f>ROUNDUP(AI2237,14-LEN(ABS(INT(AI2237))))</f>
        <v>0.52</v>
      </c>
      <c r="I2237" s="98">
        <f>K2237+J2237+L2237</f>
        <v>23795</v>
      </c>
      <c r="L2237" s="38">
        <f>중기목록표!H34</f>
        <v>23795</v>
      </c>
      <c r="M2237" s="35" t="s">
        <v>2210</v>
      </c>
      <c r="N2237" s="35" t="s">
        <v>1262</v>
      </c>
      <c r="O2237" s="35" t="s">
        <v>1214</v>
      </c>
      <c r="X2237" s="100" t="str">
        <f>중기목록표!B34&amp;" / "&amp;중기목록표!C34</f>
        <v>트럭탑재형 크레인 / 10톤</v>
      </c>
      <c r="Y2237" s="3" t="str">
        <f ca="1">HYPERLINK("#"&amp;중기목록표!J2&amp;"!A"&amp;ROW(중기목록표!A34),"중기31 →")</f>
        <v>중기31 →</v>
      </c>
      <c r="Z2237" s="35" t="s">
        <v>1417</v>
      </c>
      <c r="AA2237" s="103" t="str">
        <f>AD2215</f>
        <v>1.250</v>
      </c>
      <c r="AB2237" s="35" t="s">
        <v>2217</v>
      </c>
      <c r="AC2237" s="102">
        <v>1</v>
      </c>
      <c r="AD2237" s="35" t="s">
        <v>1413</v>
      </c>
      <c r="AE2237" s="102">
        <v>2</v>
      </c>
      <c r="AF2237" s="35" t="s">
        <v>1458</v>
      </c>
      <c r="AG2237" s="104">
        <v>1.3</v>
      </c>
      <c r="AH2237" s="35" t="s">
        <v>1410</v>
      </c>
      <c r="AI2237" s="103">
        <f>1/AD2215*(AC2237/AE2237)*AG2237</f>
        <v>0.52</v>
      </c>
      <c r="AJ2237" s="101"/>
      <c r="AK2237" s="101"/>
      <c r="AL2237" s="101"/>
      <c r="AM2237" s="101"/>
      <c r="AN2237" s="101"/>
    </row>
    <row r="2238" spans="1:40" ht="16.5" customHeight="1" x14ac:dyDescent="0.3">
      <c r="A2238" s="69"/>
      <c r="B2238" s="69"/>
      <c r="C2238" s="69"/>
      <c r="D2238" s="69"/>
      <c r="E2238" s="69"/>
      <c r="F2238" s="69"/>
      <c r="G2238" s="17" t="s">
        <v>1405</v>
      </c>
      <c r="Z2238" s="101"/>
      <c r="AA2238" s="101"/>
      <c r="AB2238" s="101"/>
      <c r="AC2238" s="101"/>
      <c r="AD2238" s="101"/>
      <c r="AE2238" s="101"/>
      <c r="AF2238" s="101"/>
      <c r="AG2238" s="101"/>
      <c r="AH2238" s="101"/>
      <c r="AI2238" s="101"/>
      <c r="AJ2238" s="101"/>
      <c r="AK2238" s="101"/>
      <c r="AL2238" s="101"/>
      <c r="AM2238" s="101"/>
      <c r="AN2238" s="101"/>
    </row>
    <row r="2239" spans="1:40" ht="16.5" customHeight="1" x14ac:dyDescent="0.3">
      <c r="A2239" s="59"/>
      <c r="B2239" s="68" t="s">
        <v>1260</v>
      </c>
      <c r="C2239" s="92">
        <f>E2239+D2239+F2239</f>
        <v>49820.1</v>
      </c>
      <c r="D2239" s="92">
        <f>SUMIF(N2226:N2238,M2239,D2226:D2238)</f>
        <v>25884.5</v>
      </c>
      <c r="E2239" s="92">
        <f>SUMIF(N2226:N2238,M2239,E2226:E2238)</f>
        <v>11562.2</v>
      </c>
      <c r="F2239" s="92">
        <f>SUMIF(N2226:N2238,M2239,F2226:F2238)</f>
        <v>12373.4</v>
      </c>
      <c r="G2239" s="17" t="s">
        <v>1430</v>
      </c>
      <c r="M2239" s="35" t="s">
        <v>1262</v>
      </c>
      <c r="N2239" s="35" t="s">
        <v>1253</v>
      </c>
      <c r="Z2239" s="101"/>
      <c r="AA2239" s="101"/>
      <c r="AB2239" s="101"/>
      <c r="AC2239" s="101"/>
      <c r="AD2239" s="101"/>
      <c r="AE2239" s="101"/>
      <c r="AF2239" s="101"/>
      <c r="AG2239" s="101"/>
      <c r="AH2239" s="101"/>
      <c r="AI2239" s="101"/>
      <c r="AJ2239" s="101"/>
      <c r="AK2239" s="101"/>
      <c r="AL2239" s="101"/>
      <c r="AM2239" s="101"/>
      <c r="AN2239" s="101"/>
    </row>
    <row r="2240" spans="1:40" ht="16.5" customHeight="1" x14ac:dyDescent="0.3">
      <c r="A2240" s="69"/>
      <c r="B2240" s="69"/>
      <c r="C2240" s="90"/>
      <c r="D2240" s="90"/>
      <c r="E2240" s="90"/>
      <c r="F2240" s="90"/>
      <c r="G2240" s="17" t="s">
        <v>1405</v>
      </c>
      <c r="Z2240" s="101"/>
      <c r="AA2240" s="101"/>
      <c r="AB2240" s="101"/>
      <c r="AC2240" s="101"/>
      <c r="AD2240" s="101"/>
      <c r="AE2240" s="101"/>
      <c r="AF2240" s="101"/>
      <c r="AG2240" s="101"/>
      <c r="AH2240" s="101"/>
      <c r="AI2240" s="101"/>
      <c r="AJ2240" s="101"/>
      <c r="AK2240" s="101"/>
      <c r="AL2240" s="101"/>
      <c r="AM2240" s="101"/>
      <c r="AN2240" s="101"/>
    </row>
    <row r="2241" spans="1:40" ht="16.5" customHeight="1" x14ac:dyDescent="0.3">
      <c r="A2241" s="59"/>
      <c r="B2241" s="68" t="s">
        <v>1251</v>
      </c>
      <c r="C2241" s="92">
        <f>E2241+D2241+F2241</f>
        <v>96952.6</v>
      </c>
      <c r="D2241" s="92">
        <f>SUMIF(N2207:N2240,M2241,D2207:D2240)</f>
        <v>71204.3</v>
      </c>
      <c r="E2241" s="92">
        <f>SUMIF(N2207:N2240,M2241,E2207:E2240)</f>
        <v>11562.2</v>
      </c>
      <c r="F2241" s="92">
        <f>SUMIF(N2207:N2240,M2241,F2207:F2240)</f>
        <v>14186.1</v>
      </c>
      <c r="G2241" s="17" t="s">
        <v>1476</v>
      </c>
      <c r="M2241" s="35" t="s">
        <v>1253</v>
      </c>
      <c r="N2241" s="35" t="s">
        <v>1209</v>
      </c>
      <c r="Z2241" s="101"/>
      <c r="AA2241" s="101"/>
      <c r="AB2241" s="101"/>
      <c r="AC2241" s="101"/>
      <c r="AD2241" s="101"/>
      <c r="AE2241" s="101"/>
      <c r="AF2241" s="101"/>
      <c r="AG2241" s="101"/>
      <c r="AH2241" s="101"/>
      <c r="AI2241" s="101"/>
      <c r="AJ2241" s="101"/>
      <c r="AK2241" s="101"/>
      <c r="AL2241" s="101"/>
      <c r="AM2241" s="101"/>
      <c r="AN2241" s="101"/>
    </row>
    <row r="2242" spans="1:40" ht="16.5" customHeight="1" x14ac:dyDescent="0.3">
      <c r="A2242" s="69"/>
      <c r="B2242" s="69"/>
      <c r="C2242" s="90"/>
      <c r="D2242" s="90"/>
      <c r="E2242" s="90"/>
      <c r="F2242" s="90"/>
      <c r="Z2242" s="101"/>
      <c r="AA2242" s="101"/>
      <c r="AB2242" s="101"/>
      <c r="AC2242" s="101"/>
      <c r="AD2242" s="101"/>
      <c r="AE2242" s="101"/>
      <c r="AF2242" s="101"/>
      <c r="AG2242" s="101"/>
      <c r="AH2242" s="101"/>
      <c r="AI2242" s="101"/>
      <c r="AJ2242" s="101"/>
      <c r="AK2242" s="101"/>
      <c r="AL2242" s="101"/>
      <c r="AM2242" s="101"/>
      <c r="AN2242" s="101"/>
    </row>
    <row r="2243" spans="1:40" ht="16.5" customHeight="1" x14ac:dyDescent="0.3">
      <c r="A2243" s="69"/>
      <c r="B2243" s="69"/>
      <c r="C2243" s="69"/>
      <c r="D2243" s="69"/>
      <c r="E2243" s="69"/>
      <c r="F2243" s="69"/>
      <c r="Z2243" s="101"/>
      <c r="AA2243" s="101"/>
      <c r="AB2243" s="101"/>
      <c r="AC2243" s="101"/>
      <c r="AD2243" s="101"/>
      <c r="AE2243" s="101"/>
      <c r="AF2243" s="101"/>
      <c r="AG2243" s="101"/>
      <c r="AH2243" s="101"/>
      <c r="AI2243" s="101"/>
      <c r="AJ2243" s="101"/>
      <c r="AK2243" s="101"/>
      <c r="AL2243" s="101"/>
      <c r="AM2243" s="101"/>
      <c r="AN2243" s="101"/>
    </row>
    <row r="2244" spans="1:40" ht="16.5" customHeight="1" x14ac:dyDescent="0.3">
      <c r="A2244" s="69"/>
      <c r="B2244" s="69"/>
      <c r="C2244" s="69"/>
      <c r="D2244" s="69"/>
      <c r="E2244" s="69"/>
      <c r="F2244" s="69"/>
      <c r="Z2244" s="101"/>
      <c r="AA2244" s="101"/>
      <c r="AB2244" s="101"/>
      <c r="AC2244" s="101"/>
      <c r="AD2244" s="101"/>
      <c r="AE2244" s="101"/>
      <c r="AF2244" s="101"/>
      <c r="AG2244" s="101"/>
      <c r="AH2244" s="101"/>
      <c r="AI2244" s="101"/>
      <c r="AJ2244" s="101"/>
      <c r="AK2244" s="101"/>
      <c r="AL2244" s="101"/>
      <c r="AM2244" s="101"/>
      <c r="AN2244" s="101"/>
    </row>
    <row r="2245" spans="1:40" ht="16.5" customHeight="1" x14ac:dyDescent="0.3">
      <c r="A2245" s="69"/>
      <c r="B2245" s="69"/>
      <c r="C2245" s="69"/>
      <c r="D2245" s="69"/>
      <c r="E2245" s="69"/>
      <c r="F2245" s="69"/>
      <c r="Z2245" s="101"/>
      <c r="AA2245" s="101"/>
      <c r="AB2245" s="101"/>
      <c r="AC2245" s="101"/>
      <c r="AD2245" s="101"/>
      <c r="AE2245" s="101"/>
      <c r="AF2245" s="101"/>
      <c r="AG2245" s="101"/>
      <c r="AH2245" s="101"/>
      <c r="AI2245" s="101"/>
      <c r="AJ2245" s="101"/>
      <c r="AK2245" s="101"/>
      <c r="AL2245" s="101"/>
      <c r="AM2245" s="101"/>
      <c r="AN2245" s="101"/>
    </row>
    <row r="2246" spans="1:40" ht="16.5" customHeight="1" x14ac:dyDescent="0.3">
      <c r="A2246" s="69"/>
      <c r="B2246" s="69"/>
      <c r="C2246" s="69"/>
      <c r="D2246" s="69"/>
      <c r="E2246" s="69"/>
      <c r="F2246" s="69"/>
      <c r="Z2246" s="101"/>
      <c r="AA2246" s="101"/>
      <c r="AB2246" s="101"/>
      <c r="AC2246" s="101"/>
      <c r="AD2246" s="101"/>
      <c r="AE2246" s="101"/>
      <c r="AF2246" s="101"/>
      <c r="AG2246" s="101"/>
      <c r="AH2246" s="101"/>
      <c r="AI2246" s="101"/>
      <c r="AJ2246" s="101"/>
      <c r="AK2246" s="101"/>
      <c r="AL2246" s="101"/>
      <c r="AM2246" s="101"/>
      <c r="AN2246" s="101"/>
    </row>
    <row r="2247" spans="1:40" ht="16.5" customHeight="1" x14ac:dyDescent="0.3">
      <c r="A2247" s="69"/>
      <c r="B2247" s="69"/>
      <c r="C2247" s="69"/>
      <c r="D2247" s="69"/>
      <c r="E2247" s="69"/>
      <c r="F2247" s="69"/>
      <c r="Z2247" s="101"/>
      <c r="AA2247" s="101"/>
      <c r="AB2247" s="101"/>
      <c r="AC2247" s="101"/>
      <c r="AD2247" s="101"/>
      <c r="AE2247" s="101"/>
      <c r="AF2247" s="101"/>
      <c r="AG2247" s="101"/>
      <c r="AH2247" s="101"/>
      <c r="AI2247" s="101"/>
      <c r="AJ2247" s="101"/>
      <c r="AK2247" s="101"/>
      <c r="AL2247" s="101"/>
      <c r="AM2247" s="101"/>
      <c r="AN2247" s="101"/>
    </row>
    <row r="2248" spans="1:40" ht="16.5" customHeight="1" x14ac:dyDescent="0.3">
      <c r="A2248" s="69"/>
      <c r="B2248" s="69"/>
      <c r="C2248" s="69"/>
      <c r="D2248" s="69"/>
      <c r="E2248" s="69"/>
      <c r="F2248" s="69"/>
      <c r="Z2248" s="101"/>
      <c r="AA2248" s="101"/>
      <c r="AB2248" s="101"/>
      <c r="AC2248" s="101"/>
      <c r="AD2248" s="101"/>
      <c r="AE2248" s="101"/>
      <c r="AF2248" s="101"/>
      <c r="AG2248" s="101"/>
      <c r="AH2248" s="101"/>
      <c r="AI2248" s="101"/>
      <c r="AJ2248" s="101"/>
      <c r="AK2248" s="101"/>
      <c r="AL2248" s="101"/>
      <c r="AM2248" s="101"/>
      <c r="AN2248" s="101"/>
    </row>
    <row r="2249" spans="1:40" ht="16.5" customHeight="1" x14ac:dyDescent="0.3">
      <c r="A2249" s="69"/>
      <c r="B2249" s="69"/>
      <c r="C2249" s="69"/>
      <c r="D2249" s="69"/>
      <c r="E2249" s="69"/>
      <c r="F2249" s="69"/>
      <c r="Z2249" s="101"/>
      <c r="AA2249" s="101"/>
      <c r="AB2249" s="101"/>
      <c r="AC2249" s="101"/>
      <c r="AD2249" s="101"/>
      <c r="AE2249" s="101"/>
      <c r="AF2249" s="101"/>
      <c r="AG2249" s="101"/>
      <c r="AH2249" s="101"/>
      <c r="AI2249" s="101"/>
      <c r="AJ2249" s="101"/>
      <c r="AK2249" s="101"/>
      <c r="AL2249" s="101"/>
      <c r="AM2249" s="101"/>
      <c r="AN2249" s="101"/>
    </row>
    <row r="2250" spans="1:40" ht="16.5" customHeight="1" x14ac:dyDescent="0.3">
      <c r="A2250" s="69"/>
      <c r="B2250" s="69"/>
      <c r="C2250" s="69"/>
      <c r="D2250" s="69"/>
      <c r="E2250" s="69"/>
      <c r="F2250" s="69"/>
      <c r="Z2250" s="101"/>
      <c r="AA2250" s="101"/>
      <c r="AB2250" s="101"/>
      <c r="AC2250" s="101"/>
      <c r="AD2250" s="101"/>
      <c r="AE2250" s="101"/>
      <c r="AF2250" s="101"/>
      <c r="AG2250" s="101"/>
      <c r="AH2250" s="101"/>
      <c r="AI2250" s="101"/>
      <c r="AJ2250" s="101"/>
      <c r="AK2250" s="101"/>
      <c r="AL2250" s="101"/>
      <c r="AM2250" s="101"/>
      <c r="AN2250" s="101"/>
    </row>
    <row r="2251" spans="1:40" ht="16.5" customHeight="1" x14ac:dyDescent="0.3">
      <c r="A2251" s="69"/>
      <c r="B2251" s="69"/>
      <c r="C2251" s="69"/>
      <c r="D2251" s="69"/>
      <c r="E2251" s="69"/>
      <c r="F2251" s="69"/>
      <c r="Z2251" s="101"/>
      <c r="AA2251" s="101"/>
      <c r="AB2251" s="101"/>
      <c r="AC2251" s="101"/>
      <c r="AD2251" s="101"/>
      <c r="AE2251" s="101"/>
      <c r="AF2251" s="101"/>
      <c r="AG2251" s="101"/>
      <c r="AH2251" s="101"/>
      <c r="AI2251" s="101"/>
      <c r="AJ2251" s="101"/>
      <c r="AK2251" s="101"/>
      <c r="AL2251" s="101"/>
      <c r="AM2251" s="101"/>
      <c r="AN2251" s="101"/>
    </row>
    <row r="2252" spans="1:40" ht="16.5" customHeight="1" x14ac:dyDescent="0.3">
      <c r="A2252" s="69"/>
      <c r="B2252" s="69"/>
      <c r="C2252" s="69"/>
      <c r="D2252" s="69"/>
      <c r="E2252" s="69"/>
      <c r="F2252" s="69"/>
      <c r="Z2252" s="101"/>
      <c r="AA2252" s="101"/>
      <c r="AB2252" s="101"/>
      <c r="AC2252" s="101"/>
      <c r="AD2252" s="101"/>
      <c r="AE2252" s="101"/>
      <c r="AF2252" s="101"/>
      <c r="AG2252" s="101"/>
      <c r="AH2252" s="101"/>
      <c r="AI2252" s="101"/>
      <c r="AJ2252" s="101"/>
      <c r="AK2252" s="101"/>
      <c r="AL2252" s="101"/>
      <c r="AM2252" s="101"/>
      <c r="AN2252" s="101"/>
    </row>
    <row r="2253" spans="1:40" ht="16.5" customHeight="1" x14ac:dyDescent="0.3">
      <c r="A2253" s="74"/>
      <c r="B2253" s="74"/>
      <c r="C2253" s="74"/>
      <c r="D2253" s="74"/>
      <c r="E2253" s="74"/>
      <c r="F2253" s="74"/>
      <c r="Z2253" s="101"/>
      <c r="AA2253" s="101"/>
      <c r="AB2253" s="101"/>
      <c r="AC2253" s="101"/>
      <c r="AD2253" s="101"/>
      <c r="AE2253" s="101"/>
      <c r="AF2253" s="101"/>
      <c r="AG2253" s="101"/>
      <c r="AH2253" s="101"/>
      <c r="AI2253" s="101"/>
      <c r="AJ2253" s="101"/>
      <c r="AK2253" s="101"/>
      <c r="AL2253" s="101"/>
      <c r="AM2253" s="101"/>
      <c r="AN2253" s="101"/>
    </row>
    <row r="2254" spans="1:40" ht="16.5" customHeight="1" x14ac:dyDescent="0.3">
      <c r="A2254" s="150" t="s">
        <v>1477</v>
      </c>
      <c r="B2254" s="143"/>
      <c r="C2254" s="47">
        <f>E2254+D2254+F2254</f>
        <v>96952</v>
      </c>
      <c r="D2254" s="46">
        <f>ROUNDDOWN(SUMIF(N2207:N2241,M2254,D2207:D2241),0)</f>
        <v>71204</v>
      </c>
      <c r="E2254" s="55">
        <f>ROUNDDOWN(SUMIF(N2207:N2241,M2254,E2207:E2241),0)</f>
        <v>11562</v>
      </c>
      <c r="F2254" s="47">
        <f>ROUNDDOWN(SUMIF(N2207:N2241,M2254,F2207:F2241),0)</f>
        <v>14186</v>
      </c>
      <c r="M2254" s="35" t="s">
        <v>1209</v>
      </c>
      <c r="Z2254" s="101"/>
      <c r="AA2254" s="101"/>
      <c r="AB2254" s="101"/>
      <c r="AC2254" s="101"/>
      <c r="AD2254" s="101"/>
      <c r="AE2254" s="101"/>
      <c r="AF2254" s="101"/>
      <c r="AG2254" s="101"/>
      <c r="AH2254" s="101"/>
      <c r="AI2254" s="101"/>
      <c r="AJ2254" s="101"/>
      <c r="AK2254" s="101"/>
      <c r="AL2254" s="101"/>
      <c r="AM2254" s="101"/>
      <c r="AN2254" s="101"/>
    </row>
    <row r="2255" spans="1:40" ht="16.5" customHeight="1" x14ac:dyDescent="0.3">
      <c r="A2255" s="86" t="s">
        <v>234</v>
      </c>
      <c r="B2255" s="88" t="s">
        <v>234</v>
      </c>
      <c r="C2255" s="151">
        <f>C2304</f>
        <v>48891</v>
      </c>
      <c r="D2255" s="151">
        <f>D2304</f>
        <v>38000</v>
      </c>
      <c r="E2255" s="151">
        <f>E2304</f>
        <v>2533</v>
      </c>
      <c r="F2255" s="151">
        <f>F2304</f>
        <v>8358</v>
      </c>
      <c r="G2255" s="84" t="str">
        <f>HYPERLINK("#G"&amp;ROW(G2286),"_x0005_`BDCOD|D03799_x0007_`POSS|"&amp;ROW(G2257)&amp;"_x0007_`POSE|"&amp;ROW(G2286)&amp;"_x0007_`")</f>
        <v>_x0005_`BDCOD|D03799_x0007_`POSS|2257_x0007_`POSE|2286_x0007_`</v>
      </c>
      <c r="Z2255" s="101"/>
      <c r="AA2255" s="101"/>
      <c r="AB2255" s="101"/>
      <c r="AC2255" s="101"/>
      <c r="AD2255" s="101"/>
      <c r="AE2255" s="101"/>
      <c r="AF2255" s="101"/>
      <c r="AG2255" s="101"/>
      <c r="AH2255" s="101"/>
      <c r="AI2255" s="101"/>
      <c r="AJ2255" s="101"/>
      <c r="AK2255" s="101"/>
      <c r="AL2255" s="101"/>
      <c r="AM2255" s="101"/>
      <c r="AN2255" s="101"/>
    </row>
    <row r="2256" spans="1:40" ht="16.5" customHeight="1" x14ac:dyDescent="0.3">
      <c r="A2256" s="87"/>
      <c r="B2256" s="88" t="s">
        <v>233</v>
      </c>
      <c r="C2256" s="136"/>
      <c r="D2256" s="136"/>
      <c r="E2256" s="136"/>
      <c r="F2256" s="136"/>
      <c r="M2256" s="35" t="s">
        <v>2233</v>
      </c>
      <c r="Z2256" s="101"/>
      <c r="AA2256" s="101"/>
      <c r="AB2256" s="101"/>
      <c r="AC2256" s="101"/>
      <c r="AD2256" s="101"/>
      <c r="AE2256" s="101"/>
      <c r="AF2256" s="101"/>
      <c r="AG2256" s="101"/>
      <c r="AH2256" s="101"/>
      <c r="AI2256" s="101"/>
      <c r="AJ2256" s="101"/>
      <c r="AK2256" s="101"/>
      <c r="AL2256" s="101"/>
      <c r="AM2256" s="101"/>
      <c r="AN2256" s="101"/>
    </row>
    <row r="2257" spans="1:40" ht="16.5" customHeight="1" x14ac:dyDescent="0.3">
      <c r="A2257" s="59"/>
      <c r="B2257" s="68" t="s">
        <v>2235</v>
      </c>
      <c r="C2257" s="90"/>
      <c r="D2257" s="90"/>
      <c r="E2257" s="90"/>
      <c r="F2257" s="90"/>
      <c r="G2257" s="17" t="s">
        <v>2234</v>
      </c>
      <c r="Z2257" s="101"/>
      <c r="AA2257" s="101"/>
      <c r="AB2257" s="101"/>
      <c r="AC2257" s="101"/>
      <c r="AD2257" s="101"/>
      <c r="AE2257" s="101"/>
      <c r="AF2257" s="101"/>
      <c r="AG2257" s="101"/>
      <c r="AH2257" s="101"/>
      <c r="AI2257" s="101"/>
      <c r="AJ2257" s="101"/>
      <c r="AK2257" s="101"/>
      <c r="AL2257" s="101"/>
      <c r="AM2257" s="101"/>
      <c r="AN2257" s="101"/>
    </row>
    <row r="2258" spans="1:40" ht="16.5" customHeight="1" x14ac:dyDescent="0.3">
      <c r="A2258" s="69"/>
      <c r="B2258" s="69"/>
      <c r="C2258" s="69"/>
      <c r="D2258" s="69"/>
      <c r="E2258" s="69"/>
      <c r="F2258" s="69"/>
      <c r="G2258" s="17" t="s">
        <v>1405</v>
      </c>
      <c r="Z2258" s="101"/>
      <c r="AA2258" s="101"/>
      <c r="AB2258" s="101"/>
      <c r="AC2258" s="101"/>
      <c r="AD2258" s="101"/>
      <c r="AE2258" s="101"/>
      <c r="AF2258" s="101"/>
      <c r="AG2258" s="101"/>
      <c r="AH2258" s="101"/>
      <c r="AI2258" s="101"/>
      <c r="AJ2258" s="101"/>
      <c r="AK2258" s="101"/>
      <c r="AL2258" s="101"/>
      <c r="AM2258" s="101"/>
      <c r="AN2258" s="101"/>
    </row>
    <row r="2259" spans="1:40" ht="16.5" customHeight="1" x14ac:dyDescent="0.3">
      <c r="A2259" s="59"/>
      <c r="B2259" s="68" t="str">
        <f>" Q1 = "&amp;Z2259&amp;" 인 /"&amp;AB2259&amp;" hr/일 = "&amp;AD2259&amp;" hr/일 "</f>
        <v xml:space="preserve"> Q1 = 2 인 /8 hr/일 = 0.250 hr/일 </v>
      </c>
      <c r="C2259" s="69"/>
      <c r="D2259" s="69"/>
      <c r="E2259" s="69"/>
      <c r="F2259" s="69"/>
      <c r="G2259" s="17" t="s">
        <v>1694</v>
      </c>
      <c r="Z2259" s="102">
        <v>2</v>
      </c>
      <c r="AA2259" s="35" t="s">
        <v>1413</v>
      </c>
      <c r="AB2259" s="102">
        <v>8</v>
      </c>
      <c r="AC2259" s="35" t="s">
        <v>1410</v>
      </c>
      <c r="AD2259" s="103" t="str">
        <f>TEXT(ROUND(Z2259/AB2259,3),"#,0.000")</f>
        <v>0.250</v>
      </c>
      <c r="AE2259" s="101"/>
      <c r="AF2259" s="101"/>
      <c r="AG2259" s="101"/>
      <c r="AH2259" s="101"/>
      <c r="AI2259" s="101"/>
      <c r="AJ2259" s="101"/>
      <c r="AK2259" s="101"/>
      <c r="AL2259" s="101"/>
      <c r="AM2259" s="101"/>
      <c r="AN2259" s="101"/>
    </row>
    <row r="2260" spans="1:40" ht="16.5" customHeight="1" x14ac:dyDescent="0.3">
      <c r="A2260" s="69"/>
      <c r="B2260" s="69"/>
      <c r="C2260" s="69"/>
      <c r="D2260" s="69"/>
      <c r="E2260" s="69"/>
      <c r="F2260" s="69"/>
      <c r="G2260" s="17" t="s">
        <v>1405</v>
      </c>
      <c r="Z2260" s="101"/>
      <c r="AA2260" s="101"/>
      <c r="AB2260" s="101"/>
      <c r="AC2260" s="101"/>
      <c r="AD2260" s="101"/>
      <c r="AE2260" s="101"/>
      <c r="AF2260" s="101"/>
      <c r="AG2260" s="101"/>
      <c r="AH2260" s="101"/>
      <c r="AI2260" s="101"/>
      <c r="AJ2260" s="101"/>
      <c r="AK2260" s="101"/>
      <c r="AL2260" s="101"/>
      <c r="AM2260" s="101"/>
      <c r="AN2260" s="101"/>
    </row>
    <row r="2261" spans="1:40" ht="16.5" customHeight="1" x14ac:dyDescent="0.3">
      <c r="A2261" s="59"/>
      <c r="B2261" s="68" t="str">
        <f>" Q2 = "&amp;Z2261&amp;" 인 /"&amp;AB2261&amp;" hr/일 = "&amp;AD2261&amp;" hr/일 "</f>
        <v xml:space="preserve"> Q2 = 1 인 /8 hr/일 = 0.125 hr/일 </v>
      </c>
      <c r="C2261" s="69"/>
      <c r="D2261" s="69"/>
      <c r="E2261" s="69"/>
      <c r="F2261" s="69"/>
      <c r="G2261" s="17" t="s">
        <v>1712</v>
      </c>
      <c r="Z2261" s="102">
        <v>1</v>
      </c>
      <c r="AA2261" s="35" t="s">
        <v>1413</v>
      </c>
      <c r="AB2261" s="102">
        <v>8</v>
      </c>
      <c r="AC2261" s="35" t="s">
        <v>1410</v>
      </c>
      <c r="AD2261" s="103" t="str">
        <f>TEXT(ROUND(Z2261/AB2261,3),"#,0.000")</f>
        <v>0.125</v>
      </c>
      <c r="AE2261" s="101"/>
      <c r="AF2261" s="101"/>
      <c r="AG2261" s="101"/>
      <c r="AH2261" s="101"/>
      <c r="AI2261" s="101"/>
      <c r="AJ2261" s="101"/>
      <c r="AK2261" s="101"/>
      <c r="AL2261" s="101"/>
      <c r="AM2261" s="101"/>
      <c r="AN2261" s="101"/>
    </row>
    <row r="2262" spans="1:40" ht="16.5" customHeight="1" x14ac:dyDescent="0.3">
      <c r="A2262" s="69"/>
      <c r="B2262" s="69"/>
      <c r="C2262" s="69"/>
      <c r="D2262" s="69"/>
      <c r="E2262" s="69"/>
      <c r="F2262" s="69"/>
      <c r="G2262" s="17" t="s">
        <v>1405</v>
      </c>
      <c r="Z2262" s="101"/>
      <c r="AA2262" s="101"/>
      <c r="AB2262" s="101"/>
      <c r="AC2262" s="101"/>
      <c r="AD2262" s="101"/>
      <c r="AE2262" s="101"/>
      <c r="AF2262" s="101"/>
      <c r="AG2262" s="101"/>
      <c r="AH2262" s="101"/>
      <c r="AI2262" s="101"/>
      <c r="AJ2262" s="101"/>
      <c r="AK2262" s="101"/>
      <c r="AL2262" s="101"/>
      <c r="AM2262" s="101"/>
      <c r="AN2262" s="101"/>
    </row>
    <row r="2263" spans="1:40" ht="16.5" customHeight="1" x14ac:dyDescent="0.3">
      <c r="A2263" s="59"/>
      <c r="B2263" s="68" t="str">
        <f>" Q = "&amp;Z2263&amp;" 본/일 /"&amp;AB2263&amp;" hr/일 = "&amp;AD2263&amp;" ㎡/hr "</f>
        <v xml:space="preserve"> Q = 30 본/일 /8 hr/일 = 3.750 ㎡/hr </v>
      </c>
      <c r="C2263" s="69"/>
      <c r="D2263" s="69"/>
      <c r="E2263" s="69"/>
      <c r="F2263" s="69"/>
      <c r="G2263" s="17" t="s">
        <v>2236</v>
      </c>
      <c r="Z2263" s="102">
        <v>30</v>
      </c>
      <c r="AA2263" s="35" t="s">
        <v>1413</v>
      </c>
      <c r="AB2263" s="102">
        <v>8</v>
      </c>
      <c r="AC2263" s="35" t="s">
        <v>1410</v>
      </c>
      <c r="AD2263" s="103" t="str">
        <f>TEXT(ROUND(Z2263/AB2263,3),"#,0.000")</f>
        <v>3.750</v>
      </c>
      <c r="AE2263" s="101"/>
      <c r="AF2263" s="101"/>
      <c r="AG2263" s="101"/>
      <c r="AH2263" s="101"/>
      <c r="AI2263" s="101"/>
      <c r="AJ2263" s="101"/>
      <c r="AK2263" s="101"/>
      <c r="AL2263" s="101"/>
      <c r="AM2263" s="101"/>
      <c r="AN2263" s="101"/>
    </row>
    <row r="2264" spans="1:40" ht="16.5" customHeight="1" x14ac:dyDescent="0.3">
      <c r="A2264" s="69"/>
      <c r="B2264" s="69"/>
      <c r="C2264" s="69"/>
      <c r="D2264" s="69"/>
      <c r="E2264" s="69"/>
      <c r="F2264" s="69"/>
      <c r="G2264" s="17" t="s">
        <v>1405</v>
      </c>
      <c r="Z2264" s="101"/>
      <c r="AA2264" s="101"/>
      <c r="AB2264" s="101"/>
      <c r="AC2264" s="101"/>
      <c r="AD2264" s="101"/>
      <c r="AE2264" s="101"/>
      <c r="AF2264" s="101"/>
      <c r="AG2264" s="101"/>
      <c r="AH2264" s="101"/>
      <c r="AI2264" s="101"/>
      <c r="AJ2264" s="101"/>
      <c r="AK2264" s="101"/>
      <c r="AL2264" s="101"/>
      <c r="AM2264" s="101"/>
      <c r="AN2264" s="101"/>
    </row>
    <row r="2265" spans="1:40" ht="16.5" customHeight="1" x14ac:dyDescent="0.3">
      <c r="A2265" s="59"/>
      <c r="B2265" s="68" t="s">
        <v>2238</v>
      </c>
      <c r="C2265" s="69"/>
      <c r="D2265" s="69"/>
      <c r="E2265" s="69"/>
      <c r="F2265" s="69"/>
      <c r="G2265" s="17" t="s">
        <v>2237</v>
      </c>
      <c r="Z2265" s="101"/>
      <c r="AA2265" s="101"/>
      <c r="AB2265" s="101"/>
      <c r="AC2265" s="101"/>
      <c r="AD2265" s="101"/>
      <c r="AE2265" s="101"/>
      <c r="AF2265" s="101"/>
      <c r="AG2265" s="101"/>
      <c r="AH2265" s="101"/>
      <c r="AI2265" s="101"/>
      <c r="AJ2265" s="101"/>
      <c r="AK2265" s="101"/>
      <c r="AL2265" s="101"/>
      <c r="AM2265" s="101"/>
      <c r="AN2265" s="101"/>
    </row>
    <row r="2266" spans="1:40" ht="16.5" customHeight="1" x14ac:dyDescent="0.3">
      <c r="A2266" s="69"/>
      <c r="B2266" s="69"/>
      <c r="C2266" s="69"/>
      <c r="D2266" s="69"/>
      <c r="E2266" s="69"/>
      <c r="F2266" s="69"/>
      <c r="G2266" s="17" t="s">
        <v>1405</v>
      </c>
      <c r="Z2266" s="101"/>
      <c r="AA2266" s="101"/>
      <c r="AB2266" s="101"/>
      <c r="AC2266" s="101"/>
      <c r="AD2266" s="101"/>
      <c r="AE2266" s="101"/>
      <c r="AF2266" s="101"/>
      <c r="AG2266" s="101"/>
      <c r="AH2266" s="101"/>
      <c r="AI2266" s="101"/>
      <c r="AJ2266" s="101"/>
      <c r="AK2266" s="101"/>
      <c r="AL2266" s="101"/>
      <c r="AM2266" s="101"/>
      <c r="AN2266" s="101"/>
    </row>
    <row r="2267" spans="1:40" ht="16.5" customHeight="1" x14ac:dyDescent="0.3">
      <c r="A2267" s="59"/>
      <c r="B2267" s="68" t="s">
        <v>1928</v>
      </c>
      <c r="C2267" s="69"/>
      <c r="D2267" s="69"/>
      <c r="E2267" s="69"/>
      <c r="F2267" s="69"/>
      <c r="G2267" s="17" t="s">
        <v>1927</v>
      </c>
      <c r="Z2267" s="101"/>
      <c r="AA2267" s="101"/>
      <c r="AB2267" s="101"/>
      <c r="AC2267" s="101"/>
      <c r="AD2267" s="101"/>
      <c r="AE2267" s="101"/>
      <c r="AF2267" s="101"/>
      <c r="AG2267" s="101"/>
      <c r="AH2267" s="101"/>
      <c r="AI2267" s="101"/>
      <c r="AJ2267" s="101"/>
      <c r="AK2267" s="101"/>
      <c r="AL2267" s="101"/>
      <c r="AM2267" s="101"/>
      <c r="AN2267" s="101"/>
    </row>
    <row r="2268" spans="1:40" ht="16.5" customHeight="1" x14ac:dyDescent="0.3">
      <c r="A2268" s="69"/>
      <c r="B2268" s="69"/>
      <c r="C2268" s="69"/>
      <c r="D2268" s="69"/>
      <c r="E2268" s="69"/>
      <c r="F2268" s="69"/>
      <c r="G2268" s="17" t="s">
        <v>1405</v>
      </c>
      <c r="Z2268" s="101"/>
      <c r="AA2268" s="101"/>
      <c r="AB2268" s="101"/>
      <c r="AC2268" s="101"/>
      <c r="AD2268" s="101"/>
      <c r="AE2268" s="101"/>
      <c r="AF2268" s="101"/>
      <c r="AG2268" s="101"/>
      <c r="AH2268" s="101"/>
      <c r="AI2268" s="101"/>
      <c r="AJ2268" s="101"/>
      <c r="AK2268" s="101"/>
      <c r="AL2268" s="101"/>
      <c r="AM2268" s="101"/>
      <c r="AN2268" s="101"/>
    </row>
    <row r="2269" spans="1:40" ht="16.5" customHeight="1" x14ac:dyDescent="0.3">
      <c r="A2269" s="59" t="s">
        <v>2240</v>
      </c>
      <c r="B2269" s="89" t="str">
        <f>"  배 관 공 "&amp;TEXT(I2269,"#,##0"&amp;IF(I2269&lt;&gt;INT(I2269),".###",""))&amp;"*Q1/Q = "&amp;TEXT(C2269,"#,##0.0")&amp;""</f>
        <v xml:space="preserve">  배 관 공 247,897*Q1/Q = 16,526.4</v>
      </c>
      <c r="C2269" s="91">
        <f>E2269+D2269+F2269</f>
        <v>16526.400000000001</v>
      </c>
      <c r="D2269" s="91">
        <f>IF(H2269=0,0,ROUNDDOWN(J2269*H2269,1))</f>
        <v>16526.400000000001</v>
      </c>
      <c r="E2269" s="91">
        <f>IF(H2269=0,0,ROUNDDOWN(K2269*H2269,1))</f>
        <v>0</v>
      </c>
      <c r="F2269" s="91">
        <f>IF(H2269=0,0,ROUNDDOWN(L2269*H2269,1))</f>
        <v>0</v>
      </c>
      <c r="G2269" s="17" t="s">
        <v>2239</v>
      </c>
      <c r="H2269" s="97">
        <f>ROUNDUP(AE2269,14-LEN(ABS(INT(AE2269))))</f>
        <v>6.66666666667E-2</v>
      </c>
      <c r="I2269" s="98">
        <f>K2269+J2269+L2269</f>
        <v>247897</v>
      </c>
      <c r="J2269" s="38">
        <f>노무비목록표!E6</f>
        <v>247897</v>
      </c>
      <c r="M2269" s="35" t="s">
        <v>2241</v>
      </c>
      <c r="N2269" s="35" t="s">
        <v>1262</v>
      </c>
      <c r="O2269" s="35" t="s">
        <v>1214</v>
      </c>
      <c r="X2269" s="100" t="str">
        <f>노무비목록표!B6&amp;" / "&amp;노무비목록표!C6</f>
        <v xml:space="preserve">배관공 / </v>
      </c>
      <c r="Y2269" s="3" t="str">
        <f ca="1">HYPERLINK("#"&amp;노무비목록표!G2&amp;"!A"&amp;ROW(노무비목록표!A6),"노무3 →")</f>
        <v>노무3 →</v>
      </c>
      <c r="Z2269" s="35" t="s">
        <v>1446</v>
      </c>
      <c r="AA2269" s="103" t="str">
        <f>AD2259</f>
        <v>0.250</v>
      </c>
      <c r="AB2269" s="35" t="s">
        <v>1413</v>
      </c>
      <c r="AC2269" s="103" t="str">
        <f>AD2263</f>
        <v>3.750</v>
      </c>
      <c r="AD2269" s="35" t="s">
        <v>1410</v>
      </c>
      <c r="AE2269" s="103">
        <f>1*AD2259/AD2263</f>
        <v>6.6666666666666666E-2</v>
      </c>
      <c r="AF2269" s="101"/>
      <c r="AG2269" s="101"/>
      <c r="AH2269" s="101"/>
      <c r="AI2269" s="101"/>
      <c r="AJ2269" s="101"/>
      <c r="AK2269" s="101"/>
      <c r="AL2269" s="101"/>
      <c r="AM2269" s="101"/>
      <c r="AN2269" s="101"/>
    </row>
    <row r="2270" spans="1:40" ht="16.5" customHeight="1" x14ac:dyDescent="0.3">
      <c r="A2270" s="69"/>
      <c r="B2270" s="69"/>
      <c r="C2270" s="69"/>
      <c r="D2270" s="69"/>
      <c r="E2270" s="69"/>
      <c r="F2270" s="69"/>
      <c r="G2270" s="17" t="s">
        <v>1405</v>
      </c>
      <c r="Z2270" s="101"/>
      <c r="AA2270" s="101"/>
      <c r="AB2270" s="101"/>
      <c r="AC2270" s="101"/>
      <c r="AD2270" s="101"/>
      <c r="AE2270" s="101"/>
      <c r="AF2270" s="101"/>
      <c r="AG2270" s="101"/>
      <c r="AH2270" s="101"/>
      <c r="AI2270" s="101"/>
      <c r="AJ2270" s="101"/>
      <c r="AK2270" s="101"/>
      <c r="AL2270" s="101"/>
      <c r="AM2270" s="101"/>
      <c r="AN2270" s="101"/>
    </row>
    <row r="2271" spans="1:40" ht="16.5" customHeight="1" x14ac:dyDescent="0.3">
      <c r="A2271" s="59" t="s">
        <v>1419</v>
      </c>
      <c r="B2271" s="89" t="str">
        <f>"  인    부 "&amp;TEXT(I2271,"#,##0"&amp;IF(I2271&lt;&gt;INT(I2271),".###",""))&amp;" *Q2/Q= "&amp;TEXT(C2271,"#,##0.0")&amp;""</f>
        <v xml:space="preserve">  인    부 172,068 *Q2/Q= 5,735.6</v>
      </c>
      <c r="C2271" s="91">
        <f>E2271+D2271+F2271</f>
        <v>5735.6</v>
      </c>
      <c r="D2271" s="91">
        <f>IF(H2271=0,0,ROUNDDOWN(J2271*H2271,1))</f>
        <v>5735.6</v>
      </c>
      <c r="E2271" s="91">
        <f>IF(H2271=0,0,ROUNDDOWN(K2271*H2271,1))</f>
        <v>0</v>
      </c>
      <c r="F2271" s="91">
        <f>IF(H2271=0,0,ROUNDDOWN(L2271*H2271,1))</f>
        <v>0</v>
      </c>
      <c r="G2271" s="17" t="s">
        <v>2242</v>
      </c>
      <c r="H2271" s="97">
        <f>ROUNDUP(AE2271,14-LEN(ABS(INT(AE2271))))</f>
        <v>3.3333333333400002E-2</v>
      </c>
      <c r="I2271" s="98">
        <f>K2271+J2271+L2271</f>
        <v>172068</v>
      </c>
      <c r="J2271" s="38">
        <f>노무비목록표!E8</f>
        <v>172068</v>
      </c>
      <c r="M2271" s="35" t="s">
        <v>1219</v>
      </c>
      <c r="N2271" s="35" t="s">
        <v>1262</v>
      </c>
      <c r="O2271" s="35" t="s">
        <v>1214</v>
      </c>
      <c r="X2271" s="100" t="str">
        <f>노무비목록표!B8&amp;" / "&amp;노무비목록표!C8</f>
        <v xml:space="preserve">보통인부 / </v>
      </c>
      <c r="Y2271" s="3" t="str">
        <f ca="1">HYPERLINK("#"&amp;노무비목록표!G2&amp;"!A"&amp;ROW(노무비목록표!A8),"노무5 →")</f>
        <v>노무5 →</v>
      </c>
      <c r="Z2271" s="35" t="s">
        <v>1446</v>
      </c>
      <c r="AA2271" s="103" t="str">
        <f>AD2261</f>
        <v>0.125</v>
      </c>
      <c r="AB2271" s="35" t="s">
        <v>1413</v>
      </c>
      <c r="AC2271" s="103" t="str">
        <f>AD2263</f>
        <v>3.750</v>
      </c>
      <c r="AD2271" s="35" t="s">
        <v>1410</v>
      </c>
      <c r="AE2271" s="103">
        <f>1*AD2261/AD2263</f>
        <v>3.3333333333333333E-2</v>
      </c>
      <c r="AF2271" s="101"/>
      <c r="AG2271" s="101"/>
      <c r="AH2271" s="101"/>
      <c r="AI2271" s="101"/>
      <c r="AJ2271" s="101"/>
      <c r="AK2271" s="101"/>
      <c r="AL2271" s="101"/>
      <c r="AM2271" s="101"/>
      <c r="AN2271" s="101"/>
    </row>
    <row r="2272" spans="1:40" ht="16.5" customHeight="1" x14ac:dyDescent="0.3">
      <c r="A2272" s="69"/>
      <c r="B2272" s="69"/>
      <c r="C2272" s="69"/>
      <c r="D2272" s="69"/>
      <c r="E2272" s="69"/>
      <c r="F2272" s="69"/>
      <c r="G2272" s="17" t="s">
        <v>1405</v>
      </c>
      <c r="Z2272" s="101"/>
      <c r="AA2272" s="101"/>
      <c r="AB2272" s="101"/>
      <c r="AC2272" s="101"/>
      <c r="AD2272" s="101"/>
      <c r="AE2272" s="101"/>
      <c r="AF2272" s="101"/>
      <c r="AG2272" s="101"/>
      <c r="AH2272" s="101"/>
      <c r="AI2272" s="101"/>
      <c r="AJ2272" s="101"/>
      <c r="AK2272" s="101"/>
      <c r="AL2272" s="101"/>
      <c r="AM2272" s="101"/>
      <c r="AN2272" s="101"/>
    </row>
    <row r="2273" spans="1:40" ht="16.5" customHeight="1" x14ac:dyDescent="0.3">
      <c r="A2273" s="59"/>
      <c r="B2273" s="68" t="s">
        <v>1260</v>
      </c>
      <c r="C2273" s="92">
        <f>E2273+D2273+F2273</f>
        <v>22262</v>
      </c>
      <c r="D2273" s="92">
        <f>SUMIF(N2257:N2272,M2273,D2257:D2272)</f>
        <v>22262</v>
      </c>
      <c r="E2273" s="92">
        <f>SUMIF(N2257:N2272,M2273,E2257:E2272)</f>
        <v>0</v>
      </c>
      <c r="F2273" s="92">
        <f>SUMIF(N2257:N2272,M2273,F2257:F2272)</f>
        <v>0</v>
      </c>
      <c r="G2273" s="17" t="s">
        <v>1430</v>
      </c>
      <c r="M2273" s="35" t="s">
        <v>1262</v>
      </c>
      <c r="N2273" s="35" t="s">
        <v>1253</v>
      </c>
      <c r="Z2273" s="101"/>
      <c r="AA2273" s="101"/>
      <c r="AB2273" s="101"/>
      <c r="AC2273" s="101"/>
      <c r="AD2273" s="101"/>
      <c r="AE2273" s="101"/>
      <c r="AF2273" s="101"/>
      <c r="AG2273" s="101"/>
      <c r="AH2273" s="101"/>
      <c r="AI2273" s="101"/>
      <c r="AJ2273" s="101"/>
      <c r="AK2273" s="101"/>
      <c r="AL2273" s="101"/>
      <c r="AM2273" s="101"/>
      <c r="AN2273" s="101"/>
    </row>
    <row r="2274" spans="1:40" ht="16.5" customHeight="1" x14ac:dyDescent="0.3">
      <c r="A2274" s="69"/>
      <c r="B2274" s="69"/>
      <c r="C2274" s="90"/>
      <c r="D2274" s="90"/>
      <c r="E2274" s="90"/>
      <c r="F2274" s="90"/>
      <c r="G2274" s="17" t="s">
        <v>1405</v>
      </c>
      <c r="Z2274" s="101"/>
      <c r="AA2274" s="101"/>
      <c r="AB2274" s="101"/>
      <c r="AC2274" s="101"/>
      <c r="AD2274" s="101"/>
      <c r="AE2274" s="101"/>
      <c r="AF2274" s="101"/>
      <c r="AG2274" s="101"/>
      <c r="AH2274" s="101"/>
      <c r="AI2274" s="101"/>
      <c r="AJ2274" s="101"/>
      <c r="AK2274" s="101"/>
      <c r="AL2274" s="101"/>
      <c r="AM2274" s="101"/>
      <c r="AN2274" s="101"/>
    </row>
    <row r="2275" spans="1:40" ht="16.5" customHeight="1" x14ac:dyDescent="0.3">
      <c r="A2275" s="59"/>
      <c r="B2275" s="68" t="s">
        <v>2244</v>
      </c>
      <c r="C2275" s="69"/>
      <c r="D2275" s="69"/>
      <c r="E2275" s="69"/>
      <c r="F2275" s="69"/>
      <c r="G2275" s="17" t="s">
        <v>2243</v>
      </c>
      <c r="Z2275" s="101"/>
      <c r="AA2275" s="101"/>
      <c r="AB2275" s="101"/>
      <c r="AC2275" s="101"/>
      <c r="AD2275" s="101"/>
      <c r="AE2275" s="101"/>
      <c r="AF2275" s="101"/>
      <c r="AG2275" s="101"/>
      <c r="AH2275" s="101"/>
      <c r="AI2275" s="101"/>
      <c r="AJ2275" s="101"/>
      <c r="AK2275" s="101"/>
      <c r="AL2275" s="101"/>
      <c r="AM2275" s="101"/>
      <c r="AN2275" s="101"/>
    </row>
    <row r="2276" spans="1:40" ht="16.5" customHeight="1" x14ac:dyDescent="0.3">
      <c r="A2276" s="69"/>
      <c r="B2276" s="69"/>
      <c r="C2276" s="69"/>
      <c r="D2276" s="69"/>
      <c r="E2276" s="69"/>
      <c r="F2276" s="69"/>
      <c r="G2276" s="17" t="s">
        <v>1405</v>
      </c>
      <c r="Z2276" s="101"/>
      <c r="AA2276" s="101"/>
      <c r="AB2276" s="101"/>
      <c r="AC2276" s="101"/>
      <c r="AD2276" s="101"/>
      <c r="AE2276" s="101"/>
      <c r="AF2276" s="101"/>
      <c r="AG2276" s="101"/>
      <c r="AH2276" s="101"/>
      <c r="AI2276" s="101"/>
      <c r="AJ2276" s="101"/>
      <c r="AK2276" s="101"/>
      <c r="AL2276" s="101"/>
      <c r="AM2276" s="101"/>
      <c r="AN2276" s="101"/>
    </row>
    <row r="2277" spans="1:40" ht="16.5" customHeight="1" x14ac:dyDescent="0.3">
      <c r="A2277" s="59" t="s">
        <v>2246</v>
      </c>
      <c r="B2277" s="89" t="str">
        <f>" 노 무 비 :  "&amp;TEXT(I2277,"#,##0"&amp;IF(I2277&lt;&gt;INT(I2277),".###",""))&amp;" / Q = "&amp;TEXT(C2277,"#,##0.0")&amp;""</f>
        <v xml:space="preserve"> 노 무 비 :  59,020 / Q = 15,738.6</v>
      </c>
      <c r="C2277" s="91">
        <f>E2277+D2277+F2277</f>
        <v>15738.6</v>
      </c>
      <c r="D2277" s="91">
        <f>IF(H2277=0,0,ROUNDDOWN(J2277*H2277,1))</f>
        <v>15738.6</v>
      </c>
      <c r="E2277" s="91">
        <f>IF(H2277=0,0,ROUNDDOWN(K2277*H2277,1))</f>
        <v>0</v>
      </c>
      <c r="F2277" s="91">
        <f>IF(H2277=0,0,ROUNDDOWN(L2277*H2277,1))</f>
        <v>0</v>
      </c>
      <c r="G2277" s="17" t="s">
        <v>2245</v>
      </c>
      <c r="H2277" s="97">
        <f>ROUNDUP(AC2277,14-LEN(ABS(INT(AC2277))))</f>
        <v>0.26666666666669997</v>
      </c>
      <c r="I2277" s="98">
        <f>K2277+J2277+L2277</f>
        <v>59020</v>
      </c>
      <c r="J2277" s="38">
        <f>중기목록표!F29</f>
        <v>59020</v>
      </c>
      <c r="M2277" s="35" t="s">
        <v>1970</v>
      </c>
      <c r="N2277" s="35" t="s">
        <v>1262</v>
      </c>
      <c r="X2277" s="100" t="str">
        <f>중기목록표!B29&amp;" / "&amp;중기목록표!C29</f>
        <v>크레인(타이어) / 10톤</v>
      </c>
      <c r="Y2277" s="3" t="str">
        <f ca="1">HYPERLINK("#"&amp;중기목록표!J2&amp;"!A"&amp;ROW(중기목록표!A29),"중기26 →")</f>
        <v>중기26 →</v>
      </c>
      <c r="Z2277" s="35" t="s">
        <v>1417</v>
      </c>
      <c r="AA2277" s="103" t="str">
        <f>AD2263</f>
        <v>3.750</v>
      </c>
      <c r="AB2277" s="35" t="s">
        <v>1410</v>
      </c>
      <c r="AC2277" s="103">
        <f>1/AD2263</f>
        <v>0.26666666666666666</v>
      </c>
      <c r="AD2277" s="101"/>
      <c r="AE2277" s="101"/>
      <c r="AF2277" s="101"/>
      <c r="AG2277" s="101"/>
      <c r="AH2277" s="101"/>
      <c r="AI2277" s="101"/>
      <c r="AJ2277" s="101"/>
      <c r="AK2277" s="101"/>
      <c r="AL2277" s="101"/>
      <c r="AM2277" s="101"/>
      <c r="AN2277" s="101"/>
    </row>
    <row r="2278" spans="1:40" ht="16.5" customHeight="1" x14ac:dyDescent="0.3">
      <c r="A2278" s="69"/>
      <c r="B2278" s="69"/>
      <c r="C2278" s="69"/>
      <c r="D2278" s="69"/>
      <c r="E2278" s="69"/>
      <c r="F2278" s="69"/>
      <c r="G2278" s="17" t="s">
        <v>1405</v>
      </c>
      <c r="Z2278" s="101"/>
      <c r="AA2278" s="101"/>
      <c r="AB2278" s="101"/>
      <c r="AC2278" s="101"/>
      <c r="AD2278" s="101"/>
      <c r="AE2278" s="101"/>
      <c r="AF2278" s="101"/>
      <c r="AG2278" s="101"/>
      <c r="AH2278" s="101"/>
      <c r="AI2278" s="101"/>
      <c r="AJ2278" s="101"/>
      <c r="AK2278" s="101"/>
      <c r="AL2278" s="101"/>
      <c r="AM2278" s="101"/>
      <c r="AN2278" s="101"/>
    </row>
    <row r="2279" spans="1:40" ht="16.5" customHeight="1" x14ac:dyDescent="0.3">
      <c r="A2279" s="59" t="s">
        <v>2248</v>
      </c>
      <c r="B2279" s="89" t="str">
        <f>" 재 료 비 :  "&amp;TEXT(I2279,"#,##0"&amp;IF(I2279&lt;&gt;INT(I2279),".###",""))&amp;" / Q = "&amp;TEXT(C2279,"#,##0.0")&amp;""</f>
        <v xml:space="preserve"> 재 료 비 :  9,502 / Q = 2,533.8</v>
      </c>
      <c r="C2279" s="91">
        <f>E2279+D2279+F2279</f>
        <v>2533.8000000000002</v>
      </c>
      <c r="D2279" s="91">
        <f>IF(H2279=0,0,ROUNDDOWN(J2279*H2279,1))</f>
        <v>0</v>
      </c>
      <c r="E2279" s="91">
        <f>IF(H2279=0,0,ROUNDDOWN(K2279*H2279,1))</f>
        <v>2533.8000000000002</v>
      </c>
      <c r="F2279" s="91">
        <f>IF(H2279=0,0,ROUNDDOWN(L2279*H2279,1))</f>
        <v>0</v>
      </c>
      <c r="G2279" s="17" t="s">
        <v>2247</v>
      </c>
      <c r="H2279" s="97">
        <f>ROUNDUP(AC2279,14-LEN(ABS(INT(AC2279))))</f>
        <v>0.26666666666669997</v>
      </c>
      <c r="I2279" s="98">
        <f>K2279+J2279+L2279</f>
        <v>9502</v>
      </c>
      <c r="K2279" s="38">
        <f>중기목록표!G29</f>
        <v>9502</v>
      </c>
      <c r="M2279" s="35" t="s">
        <v>1970</v>
      </c>
      <c r="N2279" s="35" t="s">
        <v>1262</v>
      </c>
      <c r="X2279" s="100" t="str">
        <f>중기목록표!B29&amp;" / "&amp;중기목록표!C29</f>
        <v>크레인(타이어) / 10톤</v>
      </c>
      <c r="Y2279" s="3" t="str">
        <f ca="1">HYPERLINK("#"&amp;중기목록표!J2&amp;"!A"&amp;ROW(중기목록표!A29),"중기26 →")</f>
        <v>중기26 →</v>
      </c>
      <c r="Z2279" s="35" t="s">
        <v>1417</v>
      </c>
      <c r="AA2279" s="103" t="str">
        <f>AD2263</f>
        <v>3.750</v>
      </c>
      <c r="AB2279" s="35" t="s">
        <v>1410</v>
      </c>
      <c r="AC2279" s="103">
        <f>1/AD2263</f>
        <v>0.26666666666666666</v>
      </c>
      <c r="AD2279" s="101"/>
      <c r="AE2279" s="101"/>
      <c r="AF2279" s="101"/>
      <c r="AG2279" s="101"/>
      <c r="AH2279" s="101"/>
      <c r="AI2279" s="101"/>
      <c r="AJ2279" s="101"/>
      <c r="AK2279" s="101"/>
      <c r="AL2279" s="101"/>
      <c r="AM2279" s="101"/>
      <c r="AN2279" s="101"/>
    </row>
    <row r="2280" spans="1:40" ht="16.5" customHeight="1" x14ac:dyDescent="0.3">
      <c r="A2280" s="69"/>
      <c r="B2280" s="69"/>
      <c r="C2280" s="69"/>
      <c r="D2280" s="69"/>
      <c r="E2280" s="69"/>
      <c r="F2280" s="69"/>
      <c r="G2280" s="17" t="s">
        <v>1405</v>
      </c>
      <c r="Z2280" s="101"/>
      <c r="AA2280" s="101"/>
      <c r="AB2280" s="101"/>
      <c r="AC2280" s="101"/>
      <c r="AD2280" s="101"/>
      <c r="AE2280" s="101"/>
      <c r="AF2280" s="101"/>
      <c r="AG2280" s="101"/>
      <c r="AH2280" s="101"/>
      <c r="AI2280" s="101"/>
      <c r="AJ2280" s="101"/>
      <c r="AK2280" s="101"/>
      <c r="AL2280" s="101"/>
      <c r="AM2280" s="101"/>
      <c r="AN2280" s="101"/>
    </row>
    <row r="2281" spans="1:40" ht="16.5" customHeight="1" x14ac:dyDescent="0.3">
      <c r="A2281" s="59" t="s">
        <v>2250</v>
      </c>
      <c r="B2281" s="89" t="str">
        <f>" 경    비 :  "&amp;TEXT(I2281,"#,##0"&amp;IF(I2281&lt;&gt;INT(I2281),".###",""))&amp;" / Q = "&amp;TEXT(C2281,"#,##0.0")&amp;""</f>
        <v xml:space="preserve"> 경    비 :  31,344 / Q = 8,358.4</v>
      </c>
      <c r="C2281" s="91">
        <f>E2281+D2281+F2281</f>
        <v>8358.4</v>
      </c>
      <c r="D2281" s="91">
        <f>IF(H2281=0,0,ROUNDDOWN(J2281*H2281,1))</f>
        <v>0</v>
      </c>
      <c r="E2281" s="91">
        <f>IF(H2281=0,0,ROUNDDOWN(K2281*H2281,1))</f>
        <v>0</v>
      </c>
      <c r="F2281" s="91">
        <f>IF(H2281=0,0,ROUNDDOWN(L2281*H2281,1))</f>
        <v>8358.4</v>
      </c>
      <c r="G2281" s="17" t="s">
        <v>2249</v>
      </c>
      <c r="H2281" s="97">
        <f>ROUNDUP(AC2281,14-LEN(ABS(INT(AC2281))))</f>
        <v>0.26666666666669997</v>
      </c>
      <c r="I2281" s="98">
        <f>K2281+J2281+L2281</f>
        <v>31344</v>
      </c>
      <c r="L2281" s="38">
        <f>중기목록표!H29</f>
        <v>31344</v>
      </c>
      <c r="M2281" s="35" t="s">
        <v>1970</v>
      </c>
      <c r="N2281" s="35" t="s">
        <v>1262</v>
      </c>
      <c r="X2281" s="100" t="str">
        <f>중기목록표!B29&amp;" / "&amp;중기목록표!C29</f>
        <v>크레인(타이어) / 10톤</v>
      </c>
      <c r="Y2281" s="3" t="str">
        <f ca="1">HYPERLINK("#"&amp;중기목록표!J2&amp;"!A"&amp;ROW(중기목록표!A29),"중기26 →")</f>
        <v>중기26 →</v>
      </c>
      <c r="Z2281" s="35" t="s">
        <v>1417</v>
      </c>
      <c r="AA2281" s="103" t="str">
        <f>AD2263</f>
        <v>3.750</v>
      </c>
      <c r="AB2281" s="35" t="s">
        <v>1410</v>
      </c>
      <c r="AC2281" s="103">
        <f>1/AD2263</f>
        <v>0.26666666666666666</v>
      </c>
      <c r="AD2281" s="101"/>
      <c r="AE2281" s="101"/>
      <c r="AF2281" s="101"/>
      <c r="AG2281" s="101"/>
      <c r="AH2281" s="101"/>
      <c r="AI2281" s="101"/>
      <c r="AJ2281" s="101"/>
      <c r="AK2281" s="101"/>
      <c r="AL2281" s="101"/>
      <c r="AM2281" s="101"/>
      <c r="AN2281" s="101"/>
    </row>
    <row r="2282" spans="1:40" ht="16.5" customHeight="1" x14ac:dyDescent="0.3">
      <c r="A2282" s="69"/>
      <c r="B2282" s="69"/>
      <c r="C2282" s="69"/>
      <c r="D2282" s="69"/>
      <c r="E2282" s="69"/>
      <c r="F2282" s="69"/>
      <c r="G2282" s="17" t="s">
        <v>1405</v>
      </c>
      <c r="Z2282" s="101"/>
      <c r="AA2282" s="101"/>
      <c r="AB2282" s="101"/>
      <c r="AC2282" s="101"/>
      <c r="AD2282" s="101"/>
      <c r="AE2282" s="101"/>
      <c r="AF2282" s="101"/>
      <c r="AG2282" s="101"/>
      <c r="AH2282" s="101"/>
      <c r="AI2282" s="101"/>
      <c r="AJ2282" s="101"/>
      <c r="AK2282" s="101"/>
      <c r="AL2282" s="101"/>
      <c r="AM2282" s="101"/>
      <c r="AN2282" s="101"/>
    </row>
    <row r="2283" spans="1:40" ht="16.5" customHeight="1" x14ac:dyDescent="0.3">
      <c r="A2283" s="59"/>
      <c r="B2283" s="68" t="s">
        <v>1260</v>
      </c>
      <c r="C2283" s="92">
        <f>E2283+D2283+F2283</f>
        <v>26630.800000000003</v>
      </c>
      <c r="D2283" s="92">
        <f>SUMIF(N2274:N2282,M2283,D2274:D2282)</f>
        <v>15738.6</v>
      </c>
      <c r="E2283" s="92">
        <f>SUMIF(N2274:N2282,M2283,E2274:E2282)</f>
        <v>2533.8000000000002</v>
      </c>
      <c r="F2283" s="92">
        <f>SUMIF(N2274:N2282,M2283,F2274:F2282)</f>
        <v>8358.4</v>
      </c>
      <c r="G2283" s="17" t="s">
        <v>1430</v>
      </c>
      <c r="M2283" s="35" t="s">
        <v>1262</v>
      </c>
      <c r="N2283" s="35" t="s">
        <v>1253</v>
      </c>
      <c r="Z2283" s="101"/>
      <c r="AA2283" s="101"/>
      <c r="AB2283" s="101"/>
      <c r="AC2283" s="101"/>
      <c r="AD2283" s="101"/>
      <c r="AE2283" s="101"/>
      <c r="AF2283" s="101"/>
      <c r="AG2283" s="101"/>
      <c r="AH2283" s="101"/>
      <c r="AI2283" s="101"/>
      <c r="AJ2283" s="101"/>
      <c r="AK2283" s="101"/>
      <c r="AL2283" s="101"/>
      <c r="AM2283" s="101"/>
      <c r="AN2283" s="101"/>
    </row>
    <row r="2284" spans="1:40" ht="16.5" customHeight="1" x14ac:dyDescent="0.3">
      <c r="A2284" s="69"/>
      <c r="B2284" s="69"/>
      <c r="C2284" s="90"/>
      <c r="D2284" s="90"/>
      <c r="E2284" s="90"/>
      <c r="F2284" s="90"/>
      <c r="G2284" s="17" t="s">
        <v>1405</v>
      </c>
      <c r="Z2284" s="101"/>
      <c r="AA2284" s="101"/>
      <c r="AB2284" s="101"/>
      <c r="AC2284" s="101"/>
      <c r="AD2284" s="101"/>
      <c r="AE2284" s="101"/>
      <c r="AF2284" s="101"/>
      <c r="AG2284" s="101"/>
      <c r="AH2284" s="101"/>
      <c r="AI2284" s="101"/>
      <c r="AJ2284" s="101"/>
      <c r="AK2284" s="101"/>
      <c r="AL2284" s="101"/>
      <c r="AM2284" s="101"/>
      <c r="AN2284" s="101"/>
    </row>
    <row r="2285" spans="1:40" ht="16.5" customHeight="1" x14ac:dyDescent="0.3">
      <c r="A2285" s="59"/>
      <c r="B2285" s="68" t="s">
        <v>1251</v>
      </c>
      <c r="C2285" s="92">
        <f>E2285+D2285+F2285</f>
        <v>48892.800000000003</v>
      </c>
      <c r="D2285" s="92">
        <f>SUMIF(N2257:N2284,M2285,D2257:D2284)</f>
        <v>38000.6</v>
      </c>
      <c r="E2285" s="92">
        <f>SUMIF(N2257:N2284,M2285,E2257:E2284)</f>
        <v>2533.8000000000002</v>
      </c>
      <c r="F2285" s="92">
        <f>SUMIF(N2257:N2284,M2285,F2257:F2284)</f>
        <v>8358.4</v>
      </c>
      <c r="G2285" s="17" t="s">
        <v>1476</v>
      </c>
      <c r="M2285" s="35" t="s">
        <v>1253</v>
      </c>
      <c r="N2285" s="35" t="s">
        <v>1209</v>
      </c>
      <c r="Z2285" s="101"/>
      <c r="AA2285" s="101"/>
      <c r="AB2285" s="101"/>
      <c r="AC2285" s="101"/>
      <c r="AD2285" s="101"/>
      <c r="AE2285" s="101"/>
      <c r="AF2285" s="101"/>
      <c r="AG2285" s="101"/>
      <c r="AH2285" s="101"/>
      <c r="AI2285" s="101"/>
      <c r="AJ2285" s="101"/>
      <c r="AK2285" s="101"/>
      <c r="AL2285" s="101"/>
      <c r="AM2285" s="101"/>
      <c r="AN2285" s="101"/>
    </row>
    <row r="2286" spans="1:40" ht="16.5" customHeight="1" x14ac:dyDescent="0.3">
      <c r="A2286" s="69"/>
      <c r="B2286" s="69"/>
      <c r="C2286" s="90"/>
      <c r="D2286" s="90"/>
      <c r="E2286" s="90"/>
      <c r="F2286" s="90"/>
      <c r="G2286" s="17" t="s">
        <v>1936</v>
      </c>
      <c r="Z2286" s="101"/>
      <c r="AA2286" s="101"/>
      <c r="AB2286" s="101"/>
      <c r="AC2286" s="101"/>
      <c r="AD2286" s="101"/>
      <c r="AE2286" s="101"/>
      <c r="AF2286" s="101"/>
      <c r="AG2286" s="101"/>
      <c r="AH2286" s="101"/>
      <c r="AI2286" s="101"/>
      <c r="AJ2286" s="101"/>
      <c r="AK2286" s="101"/>
      <c r="AL2286" s="101"/>
      <c r="AM2286" s="101"/>
      <c r="AN2286" s="101"/>
    </row>
    <row r="2287" spans="1:40" ht="16.5" customHeight="1" x14ac:dyDescent="0.3">
      <c r="A2287" s="69"/>
      <c r="B2287" s="69"/>
      <c r="C2287" s="69"/>
      <c r="D2287" s="69"/>
      <c r="E2287" s="69"/>
      <c r="F2287" s="69"/>
      <c r="Z2287" s="101"/>
      <c r="AA2287" s="101"/>
      <c r="AB2287" s="101"/>
      <c r="AC2287" s="101"/>
      <c r="AD2287" s="101"/>
      <c r="AE2287" s="101"/>
      <c r="AF2287" s="101"/>
      <c r="AG2287" s="101"/>
      <c r="AH2287" s="101"/>
      <c r="AI2287" s="101"/>
      <c r="AJ2287" s="101"/>
      <c r="AK2287" s="101"/>
      <c r="AL2287" s="101"/>
      <c r="AM2287" s="101"/>
      <c r="AN2287" s="101"/>
    </row>
    <row r="2288" spans="1:40" ht="16.5" customHeight="1" x14ac:dyDescent="0.3">
      <c r="A2288" s="69"/>
      <c r="B2288" s="69"/>
      <c r="C2288" s="69"/>
      <c r="D2288" s="69"/>
      <c r="E2288" s="69"/>
      <c r="F2288" s="69"/>
      <c r="Z2288" s="101"/>
      <c r="AA2288" s="101"/>
      <c r="AB2288" s="101"/>
      <c r="AC2288" s="101"/>
      <c r="AD2288" s="101"/>
      <c r="AE2288" s="101"/>
      <c r="AF2288" s="101"/>
      <c r="AG2288" s="101"/>
      <c r="AH2288" s="101"/>
      <c r="AI2288" s="101"/>
      <c r="AJ2288" s="101"/>
      <c r="AK2288" s="101"/>
      <c r="AL2288" s="101"/>
      <c r="AM2288" s="101"/>
      <c r="AN2288" s="101"/>
    </row>
    <row r="2289" spans="1:40" ht="16.5" customHeight="1" x14ac:dyDescent="0.3">
      <c r="A2289" s="69"/>
      <c r="B2289" s="69"/>
      <c r="C2289" s="69"/>
      <c r="D2289" s="69"/>
      <c r="E2289" s="69"/>
      <c r="F2289" s="69"/>
      <c r="Z2289" s="101"/>
      <c r="AA2289" s="101"/>
      <c r="AB2289" s="101"/>
      <c r="AC2289" s="101"/>
      <c r="AD2289" s="101"/>
      <c r="AE2289" s="101"/>
      <c r="AF2289" s="101"/>
      <c r="AG2289" s="101"/>
      <c r="AH2289" s="101"/>
      <c r="AI2289" s="101"/>
      <c r="AJ2289" s="101"/>
      <c r="AK2289" s="101"/>
      <c r="AL2289" s="101"/>
      <c r="AM2289" s="101"/>
      <c r="AN2289" s="101"/>
    </row>
    <row r="2290" spans="1:40" ht="16.5" customHeight="1" x14ac:dyDescent="0.3">
      <c r="A2290" s="69"/>
      <c r="B2290" s="69"/>
      <c r="C2290" s="69"/>
      <c r="D2290" s="69"/>
      <c r="E2290" s="69"/>
      <c r="F2290" s="69"/>
      <c r="Z2290" s="101"/>
      <c r="AA2290" s="101"/>
      <c r="AB2290" s="101"/>
      <c r="AC2290" s="101"/>
      <c r="AD2290" s="101"/>
      <c r="AE2290" s="101"/>
      <c r="AF2290" s="101"/>
      <c r="AG2290" s="101"/>
      <c r="AH2290" s="101"/>
      <c r="AI2290" s="101"/>
      <c r="AJ2290" s="101"/>
      <c r="AK2290" s="101"/>
      <c r="AL2290" s="101"/>
      <c r="AM2290" s="101"/>
      <c r="AN2290" s="101"/>
    </row>
    <row r="2291" spans="1:40" ht="16.5" customHeight="1" x14ac:dyDescent="0.3">
      <c r="A2291" s="69"/>
      <c r="B2291" s="69"/>
      <c r="C2291" s="69"/>
      <c r="D2291" s="69"/>
      <c r="E2291" s="69"/>
      <c r="F2291" s="69"/>
      <c r="Z2291" s="101"/>
      <c r="AA2291" s="101"/>
      <c r="AB2291" s="101"/>
      <c r="AC2291" s="101"/>
      <c r="AD2291" s="101"/>
      <c r="AE2291" s="101"/>
      <c r="AF2291" s="101"/>
      <c r="AG2291" s="101"/>
      <c r="AH2291" s="101"/>
      <c r="AI2291" s="101"/>
      <c r="AJ2291" s="101"/>
      <c r="AK2291" s="101"/>
      <c r="AL2291" s="101"/>
      <c r="AM2291" s="101"/>
      <c r="AN2291" s="101"/>
    </row>
    <row r="2292" spans="1:40" ht="16.5" customHeight="1" x14ac:dyDescent="0.3">
      <c r="A2292" s="69"/>
      <c r="B2292" s="69"/>
      <c r="C2292" s="69"/>
      <c r="D2292" s="69"/>
      <c r="E2292" s="69"/>
      <c r="F2292" s="69"/>
      <c r="Z2292" s="101"/>
      <c r="AA2292" s="101"/>
      <c r="AB2292" s="101"/>
      <c r="AC2292" s="101"/>
      <c r="AD2292" s="101"/>
      <c r="AE2292" s="101"/>
      <c r="AF2292" s="101"/>
      <c r="AG2292" s="101"/>
      <c r="AH2292" s="101"/>
      <c r="AI2292" s="101"/>
      <c r="AJ2292" s="101"/>
      <c r="AK2292" s="101"/>
      <c r="AL2292" s="101"/>
      <c r="AM2292" s="101"/>
      <c r="AN2292" s="101"/>
    </row>
    <row r="2293" spans="1:40" ht="16.5" customHeight="1" x14ac:dyDescent="0.3">
      <c r="A2293" s="69"/>
      <c r="B2293" s="69"/>
      <c r="C2293" s="69"/>
      <c r="D2293" s="69"/>
      <c r="E2293" s="69"/>
      <c r="F2293" s="69"/>
      <c r="Z2293" s="101"/>
      <c r="AA2293" s="101"/>
      <c r="AB2293" s="101"/>
      <c r="AC2293" s="101"/>
      <c r="AD2293" s="101"/>
      <c r="AE2293" s="101"/>
      <c r="AF2293" s="101"/>
      <c r="AG2293" s="101"/>
      <c r="AH2293" s="101"/>
      <c r="AI2293" s="101"/>
      <c r="AJ2293" s="101"/>
      <c r="AK2293" s="101"/>
      <c r="AL2293" s="101"/>
      <c r="AM2293" s="101"/>
      <c r="AN2293" s="101"/>
    </row>
    <row r="2294" spans="1:40" ht="16.5" customHeight="1" x14ac:dyDescent="0.3">
      <c r="A2294" s="69"/>
      <c r="B2294" s="69"/>
      <c r="C2294" s="69"/>
      <c r="D2294" s="69"/>
      <c r="E2294" s="69"/>
      <c r="F2294" s="69"/>
      <c r="Z2294" s="101"/>
      <c r="AA2294" s="101"/>
      <c r="AB2294" s="101"/>
      <c r="AC2294" s="101"/>
      <c r="AD2294" s="101"/>
      <c r="AE2294" s="101"/>
      <c r="AF2294" s="101"/>
      <c r="AG2294" s="101"/>
      <c r="AH2294" s="101"/>
      <c r="AI2294" s="101"/>
      <c r="AJ2294" s="101"/>
      <c r="AK2294" s="101"/>
      <c r="AL2294" s="101"/>
      <c r="AM2294" s="101"/>
      <c r="AN2294" s="101"/>
    </row>
    <row r="2295" spans="1:40" ht="16.5" customHeight="1" x14ac:dyDescent="0.3">
      <c r="A2295" s="69"/>
      <c r="B2295" s="69"/>
      <c r="C2295" s="69"/>
      <c r="D2295" s="69"/>
      <c r="E2295" s="69"/>
      <c r="F2295" s="69"/>
      <c r="Z2295" s="101"/>
      <c r="AA2295" s="101"/>
      <c r="AB2295" s="101"/>
      <c r="AC2295" s="101"/>
      <c r="AD2295" s="101"/>
      <c r="AE2295" s="101"/>
      <c r="AF2295" s="101"/>
      <c r="AG2295" s="101"/>
      <c r="AH2295" s="101"/>
      <c r="AI2295" s="101"/>
      <c r="AJ2295" s="101"/>
      <c r="AK2295" s="101"/>
      <c r="AL2295" s="101"/>
      <c r="AM2295" s="101"/>
      <c r="AN2295" s="101"/>
    </row>
    <row r="2296" spans="1:40" ht="16.5" customHeight="1" x14ac:dyDescent="0.3">
      <c r="A2296" s="69"/>
      <c r="B2296" s="69"/>
      <c r="C2296" s="69"/>
      <c r="D2296" s="69"/>
      <c r="E2296" s="69"/>
      <c r="F2296" s="69"/>
      <c r="Z2296" s="101"/>
      <c r="AA2296" s="101"/>
      <c r="AB2296" s="101"/>
      <c r="AC2296" s="101"/>
      <c r="AD2296" s="101"/>
      <c r="AE2296" s="101"/>
      <c r="AF2296" s="101"/>
      <c r="AG2296" s="101"/>
      <c r="AH2296" s="101"/>
      <c r="AI2296" s="101"/>
      <c r="AJ2296" s="101"/>
      <c r="AK2296" s="101"/>
      <c r="AL2296" s="101"/>
      <c r="AM2296" s="101"/>
      <c r="AN2296" s="101"/>
    </row>
    <row r="2297" spans="1:40" ht="16.5" customHeight="1" x14ac:dyDescent="0.3">
      <c r="A2297" s="69"/>
      <c r="B2297" s="69"/>
      <c r="C2297" s="69"/>
      <c r="D2297" s="69"/>
      <c r="E2297" s="69"/>
      <c r="F2297" s="69"/>
      <c r="Z2297" s="101"/>
      <c r="AA2297" s="101"/>
      <c r="AB2297" s="101"/>
      <c r="AC2297" s="101"/>
      <c r="AD2297" s="101"/>
      <c r="AE2297" s="101"/>
      <c r="AF2297" s="101"/>
      <c r="AG2297" s="101"/>
      <c r="AH2297" s="101"/>
      <c r="AI2297" s="101"/>
      <c r="AJ2297" s="101"/>
      <c r="AK2297" s="101"/>
      <c r="AL2297" s="101"/>
      <c r="AM2297" s="101"/>
      <c r="AN2297" s="101"/>
    </row>
    <row r="2298" spans="1:40" ht="16.5" customHeight="1" x14ac:dyDescent="0.3">
      <c r="A2298" s="69"/>
      <c r="B2298" s="69"/>
      <c r="C2298" s="69"/>
      <c r="D2298" s="69"/>
      <c r="E2298" s="69"/>
      <c r="F2298" s="69"/>
      <c r="Z2298" s="101"/>
      <c r="AA2298" s="101"/>
      <c r="AB2298" s="101"/>
      <c r="AC2298" s="101"/>
      <c r="AD2298" s="101"/>
      <c r="AE2298" s="101"/>
      <c r="AF2298" s="101"/>
      <c r="AG2298" s="101"/>
      <c r="AH2298" s="101"/>
      <c r="AI2298" s="101"/>
      <c r="AJ2298" s="101"/>
      <c r="AK2298" s="101"/>
      <c r="AL2298" s="101"/>
      <c r="AM2298" s="101"/>
      <c r="AN2298" s="101"/>
    </row>
    <row r="2299" spans="1:40" ht="16.5" customHeight="1" x14ac:dyDescent="0.3">
      <c r="A2299" s="69"/>
      <c r="B2299" s="69"/>
      <c r="C2299" s="69"/>
      <c r="D2299" s="69"/>
      <c r="E2299" s="69"/>
      <c r="F2299" s="69"/>
      <c r="Z2299" s="101"/>
      <c r="AA2299" s="101"/>
      <c r="AB2299" s="101"/>
      <c r="AC2299" s="101"/>
      <c r="AD2299" s="101"/>
      <c r="AE2299" s="101"/>
      <c r="AF2299" s="101"/>
      <c r="AG2299" s="101"/>
      <c r="AH2299" s="101"/>
      <c r="AI2299" s="101"/>
      <c r="AJ2299" s="101"/>
      <c r="AK2299" s="101"/>
      <c r="AL2299" s="101"/>
      <c r="AM2299" s="101"/>
      <c r="AN2299" s="101"/>
    </row>
    <row r="2300" spans="1:40" ht="16.5" customHeight="1" x14ac:dyDescent="0.3">
      <c r="A2300" s="69"/>
      <c r="B2300" s="69"/>
      <c r="C2300" s="69"/>
      <c r="D2300" s="69"/>
      <c r="E2300" s="69"/>
      <c r="F2300" s="69"/>
      <c r="Z2300" s="101"/>
      <c r="AA2300" s="101"/>
      <c r="AB2300" s="101"/>
      <c r="AC2300" s="101"/>
      <c r="AD2300" s="101"/>
      <c r="AE2300" s="101"/>
      <c r="AF2300" s="101"/>
      <c r="AG2300" s="101"/>
      <c r="AH2300" s="101"/>
      <c r="AI2300" s="101"/>
      <c r="AJ2300" s="101"/>
      <c r="AK2300" s="101"/>
      <c r="AL2300" s="101"/>
      <c r="AM2300" s="101"/>
      <c r="AN2300" s="101"/>
    </row>
    <row r="2301" spans="1:40" ht="16.5" customHeight="1" x14ac:dyDescent="0.3">
      <c r="A2301" s="69"/>
      <c r="B2301" s="69"/>
      <c r="C2301" s="69"/>
      <c r="D2301" s="69"/>
      <c r="E2301" s="69"/>
      <c r="F2301" s="69"/>
      <c r="Z2301" s="101"/>
      <c r="AA2301" s="101"/>
      <c r="AB2301" s="101"/>
      <c r="AC2301" s="101"/>
      <c r="AD2301" s="101"/>
      <c r="AE2301" s="101"/>
      <c r="AF2301" s="101"/>
      <c r="AG2301" s="101"/>
      <c r="AH2301" s="101"/>
      <c r="AI2301" s="101"/>
      <c r="AJ2301" s="101"/>
      <c r="AK2301" s="101"/>
      <c r="AL2301" s="101"/>
      <c r="AM2301" s="101"/>
      <c r="AN2301" s="101"/>
    </row>
    <row r="2302" spans="1:40" ht="16.5" customHeight="1" x14ac:dyDescent="0.3">
      <c r="A2302" s="69"/>
      <c r="B2302" s="69"/>
      <c r="C2302" s="69"/>
      <c r="D2302" s="69"/>
      <c r="E2302" s="69"/>
      <c r="F2302" s="69"/>
      <c r="Z2302" s="101"/>
      <c r="AA2302" s="101"/>
      <c r="AB2302" s="101"/>
      <c r="AC2302" s="101"/>
      <c r="AD2302" s="101"/>
      <c r="AE2302" s="101"/>
      <c r="AF2302" s="101"/>
      <c r="AG2302" s="101"/>
      <c r="AH2302" s="101"/>
      <c r="AI2302" s="101"/>
      <c r="AJ2302" s="101"/>
      <c r="AK2302" s="101"/>
      <c r="AL2302" s="101"/>
      <c r="AM2302" s="101"/>
      <c r="AN2302" s="101"/>
    </row>
    <row r="2303" spans="1:40" ht="16.5" customHeight="1" x14ac:dyDescent="0.3">
      <c r="A2303" s="74"/>
      <c r="B2303" s="74"/>
      <c r="C2303" s="74"/>
      <c r="D2303" s="74"/>
      <c r="E2303" s="74"/>
      <c r="F2303" s="74"/>
      <c r="Z2303" s="101"/>
      <c r="AA2303" s="101"/>
      <c r="AB2303" s="101"/>
      <c r="AC2303" s="101"/>
      <c r="AD2303" s="101"/>
      <c r="AE2303" s="101"/>
      <c r="AF2303" s="101"/>
      <c r="AG2303" s="101"/>
      <c r="AH2303" s="101"/>
      <c r="AI2303" s="101"/>
      <c r="AJ2303" s="101"/>
      <c r="AK2303" s="101"/>
      <c r="AL2303" s="101"/>
      <c r="AM2303" s="101"/>
      <c r="AN2303" s="101"/>
    </row>
    <row r="2304" spans="1:40" ht="16.5" customHeight="1" x14ac:dyDescent="0.3">
      <c r="A2304" s="150" t="s">
        <v>1477</v>
      </c>
      <c r="B2304" s="143"/>
      <c r="C2304" s="47">
        <f>E2304+D2304+F2304</f>
        <v>48891</v>
      </c>
      <c r="D2304" s="46">
        <f>ROUNDDOWN(SUMIF(N2257:N2286,M2304,D2257:D2286),0)</f>
        <v>38000</v>
      </c>
      <c r="E2304" s="55">
        <f>ROUNDDOWN(SUMIF(N2257:N2286,M2304,E2257:E2286),0)</f>
        <v>2533</v>
      </c>
      <c r="F2304" s="47">
        <f>ROUNDDOWN(SUMIF(N2257:N2286,M2304,F2257:F2286),0)</f>
        <v>8358</v>
      </c>
      <c r="M2304" s="35" t="s">
        <v>1209</v>
      </c>
      <c r="Z2304" s="101"/>
      <c r="AA2304" s="101"/>
      <c r="AB2304" s="101"/>
      <c r="AC2304" s="101"/>
      <c r="AD2304" s="101"/>
      <c r="AE2304" s="101"/>
      <c r="AF2304" s="101"/>
      <c r="AG2304" s="101"/>
      <c r="AH2304" s="101"/>
      <c r="AI2304" s="101"/>
      <c r="AJ2304" s="101"/>
      <c r="AK2304" s="101"/>
      <c r="AL2304" s="101"/>
      <c r="AM2304" s="101"/>
      <c r="AN2304" s="101"/>
    </row>
    <row r="2305" spans="1:40" ht="16.5" customHeight="1" x14ac:dyDescent="0.3">
      <c r="A2305" s="86" t="s">
        <v>237</v>
      </c>
      <c r="B2305" s="88" t="s">
        <v>237</v>
      </c>
      <c r="C2305" s="151">
        <f>C2354</f>
        <v>36258</v>
      </c>
      <c r="D2305" s="151">
        <f>D2354</f>
        <v>31880</v>
      </c>
      <c r="E2305" s="151">
        <f>E2354</f>
        <v>3422</v>
      </c>
      <c r="F2305" s="151">
        <f>F2354</f>
        <v>956</v>
      </c>
      <c r="G2305" s="84" t="str">
        <f>HYPERLINK("#G"&amp;ROW(G2341),"_x0005_`BDCOD|D04373_x0007_`POSS|"&amp;ROW(G2307)&amp;"_x0007_`POSE|"&amp;ROW(G2341)&amp;"_x0007_`")</f>
        <v>_x0005_`BDCOD|D04373_x0007_`POSS|2307_x0007_`POSE|2341_x0007_`</v>
      </c>
      <c r="Z2305" s="101"/>
      <c r="AA2305" s="101"/>
      <c r="AB2305" s="101"/>
      <c r="AC2305" s="101"/>
      <c r="AD2305" s="101"/>
      <c r="AE2305" s="101"/>
      <c r="AF2305" s="101"/>
      <c r="AG2305" s="101"/>
      <c r="AH2305" s="101"/>
      <c r="AI2305" s="101"/>
      <c r="AJ2305" s="101"/>
      <c r="AK2305" s="101"/>
      <c r="AL2305" s="101"/>
      <c r="AM2305" s="101"/>
      <c r="AN2305" s="101"/>
    </row>
    <row r="2306" spans="1:40" ht="16.5" customHeight="1" x14ac:dyDescent="0.3">
      <c r="A2306" s="87"/>
      <c r="B2306" s="88" t="s">
        <v>236</v>
      </c>
      <c r="C2306" s="136"/>
      <c r="D2306" s="136"/>
      <c r="E2306" s="136"/>
      <c r="F2306" s="136"/>
      <c r="M2306" s="35" t="s">
        <v>2251</v>
      </c>
      <c r="Z2306" s="101"/>
      <c r="AA2306" s="101"/>
      <c r="AB2306" s="101"/>
      <c r="AC2306" s="101"/>
      <c r="AD2306" s="101"/>
      <c r="AE2306" s="101"/>
      <c r="AF2306" s="101"/>
      <c r="AG2306" s="101"/>
      <c r="AH2306" s="101"/>
      <c r="AI2306" s="101"/>
      <c r="AJ2306" s="101"/>
      <c r="AK2306" s="101"/>
      <c r="AL2306" s="101"/>
      <c r="AM2306" s="101"/>
      <c r="AN2306" s="101"/>
    </row>
    <row r="2307" spans="1:40" ht="16.5" customHeight="1" x14ac:dyDescent="0.3">
      <c r="A2307" s="69"/>
      <c r="B2307" s="69"/>
      <c r="C2307" s="90"/>
      <c r="D2307" s="90"/>
      <c r="E2307" s="90"/>
      <c r="F2307" s="90"/>
      <c r="G2307" s="17" t="s">
        <v>1405</v>
      </c>
      <c r="Z2307" s="101"/>
      <c r="AA2307" s="101"/>
      <c r="AB2307" s="101"/>
      <c r="AC2307" s="101"/>
      <c r="AD2307" s="101"/>
      <c r="AE2307" s="101"/>
      <c r="AF2307" s="101"/>
      <c r="AG2307" s="101"/>
      <c r="AH2307" s="101"/>
      <c r="AI2307" s="101"/>
      <c r="AJ2307" s="101"/>
      <c r="AK2307" s="101"/>
      <c r="AL2307" s="101"/>
      <c r="AM2307" s="101"/>
      <c r="AN2307" s="101"/>
    </row>
    <row r="2308" spans="1:40" ht="16.5" customHeight="1" x14ac:dyDescent="0.3">
      <c r="A2308" s="59"/>
      <c r="B2308" s="68" t="s">
        <v>2253</v>
      </c>
      <c r="C2308" s="69"/>
      <c r="D2308" s="69"/>
      <c r="E2308" s="69"/>
      <c r="F2308" s="69"/>
      <c r="G2308" s="17" t="s">
        <v>2252</v>
      </c>
      <c r="Z2308" s="101"/>
      <c r="AA2308" s="101"/>
      <c r="AB2308" s="101"/>
      <c r="AC2308" s="101"/>
      <c r="AD2308" s="101"/>
      <c r="AE2308" s="101"/>
      <c r="AF2308" s="101"/>
      <c r="AG2308" s="101"/>
      <c r="AH2308" s="101"/>
      <c r="AI2308" s="101"/>
      <c r="AJ2308" s="101"/>
      <c r="AK2308" s="101"/>
      <c r="AL2308" s="101"/>
      <c r="AM2308" s="101"/>
      <c r="AN2308" s="101"/>
    </row>
    <row r="2309" spans="1:40" ht="16.5" customHeight="1" x14ac:dyDescent="0.3">
      <c r="A2309" s="69"/>
      <c r="B2309" s="69"/>
      <c r="C2309" s="69"/>
      <c r="D2309" s="69"/>
      <c r="E2309" s="69"/>
      <c r="F2309" s="69"/>
      <c r="G2309" s="17" t="s">
        <v>1405</v>
      </c>
      <c r="Z2309" s="101"/>
      <c r="AA2309" s="101"/>
      <c r="AB2309" s="101"/>
      <c r="AC2309" s="101"/>
      <c r="AD2309" s="101"/>
      <c r="AE2309" s="101"/>
      <c r="AF2309" s="101"/>
      <c r="AG2309" s="101"/>
      <c r="AH2309" s="101"/>
      <c r="AI2309" s="101"/>
      <c r="AJ2309" s="101"/>
      <c r="AK2309" s="101"/>
      <c r="AL2309" s="101"/>
      <c r="AM2309" s="101"/>
      <c r="AN2309" s="101"/>
    </row>
    <row r="2310" spans="1:40" ht="16.5" customHeight="1" x14ac:dyDescent="0.3">
      <c r="A2310" s="59"/>
      <c r="B2310" s="68" t="s">
        <v>2255</v>
      </c>
      <c r="C2310" s="69"/>
      <c r="D2310" s="69"/>
      <c r="E2310" s="69"/>
      <c r="F2310" s="69"/>
      <c r="G2310" s="17" t="s">
        <v>2254</v>
      </c>
      <c r="Z2310" s="101"/>
      <c r="AA2310" s="101"/>
      <c r="AB2310" s="101"/>
      <c r="AC2310" s="101"/>
      <c r="AD2310" s="101"/>
      <c r="AE2310" s="101"/>
      <c r="AF2310" s="101"/>
      <c r="AG2310" s="101"/>
      <c r="AH2310" s="101"/>
      <c r="AI2310" s="101"/>
      <c r="AJ2310" s="101"/>
      <c r="AK2310" s="101"/>
      <c r="AL2310" s="101"/>
      <c r="AM2310" s="101"/>
      <c r="AN2310" s="101"/>
    </row>
    <row r="2311" spans="1:40" ht="16.5" customHeight="1" x14ac:dyDescent="0.3">
      <c r="A2311" s="69"/>
      <c r="B2311" s="69"/>
      <c r="C2311" s="69"/>
      <c r="D2311" s="69"/>
      <c r="E2311" s="69"/>
      <c r="F2311" s="69"/>
      <c r="G2311" s="17" t="s">
        <v>1405</v>
      </c>
      <c r="Z2311" s="101"/>
      <c r="AA2311" s="101"/>
      <c r="AB2311" s="101"/>
      <c r="AC2311" s="101"/>
      <c r="AD2311" s="101"/>
      <c r="AE2311" s="101"/>
      <c r="AF2311" s="101"/>
      <c r="AG2311" s="101"/>
      <c r="AH2311" s="101"/>
      <c r="AI2311" s="101"/>
      <c r="AJ2311" s="101"/>
      <c r="AK2311" s="101"/>
      <c r="AL2311" s="101"/>
      <c r="AM2311" s="101"/>
      <c r="AN2311" s="101"/>
    </row>
    <row r="2312" spans="1:40" ht="16.5" customHeight="1" x14ac:dyDescent="0.3">
      <c r="A2312" s="59"/>
      <c r="B2312" s="68" t="str">
        <f>" Q1 = "&amp;Z2312&amp;" 인 /"&amp;AB2312&amp;" hr/일 = "&amp;AD2312&amp;" hr/일 "</f>
        <v xml:space="preserve"> Q1 = 4 인 /8 hr/일 = 0.500 hr/일 </v>
      </c>
      <c r="C2312" s="69"/>
      <c r="D2312" s="69"/>
      <c r="E2312" s="69"/>
      <c r="F2312" s="69"/>
      <c r="G2312" s="17" t="s">
        <v>1751</v>
      </c>
      <c r="Z2312" s="102">
        <v>4</v>
      </c>
      <c r="AA2312" s="35" t="s">
        <v>1413</v>
      </c>
      <c r="AB2312" s="102">
        <v>8</v>
      </c>
      <c r="AC2312" s="35" t="s">
        <v>1410</v>
      </c>
      <c r="AD2312" s="103" t="str">
        <f>TEXT(ROUND(Z2312/AB2312,3),"#,0.000")</f>
        <v>0.500</v>
      </c>
      <c r="AE2312" s="101"/>
      <c r="AF2312" s="101"/>
      <c r="AG2312" s="101"/>
      <c r="AH2312" s="101"/>
      <c r="AI2312" s="101"/>
      <c r="AJ2312" s="101"/>
      <c r="AK2312" s="101"/>
      <c r="AL2312" s="101"/>
      <c r="AM2312" s="101"/>
      <c r="AN2312" s="101"/>
    </row>
    <row r="2313" spans="1:40" ht="16.5" customHeight="1" x14ac:dyDescent="0.3">
      <c r="A2313" s="69"/>
      <c r="B2313" s="69"/>
      <c r="C2313" s="69"/>
      <c r="D2313" s="69"/>
      <c r="E2313" s="69"/>
      <c r="F2313" s="69"/>
      <c r="G2313" s="17" t="s">
        <v>1405</v>
      </c>
      <c r="Z2313" s="101"/>
      <c r="AA2313" s="101"/>
      <c r="AB2313" s="101"/>
      <c r="AC2313" s="101"/>
      <c r="AD2313" s="101"/>
      <c r="AE2313" s="101"/>
      <c r="AF2313" s="101"/>
      <c r="AG2313" s="101"/>
      <c r="AH2313" s="101"/>
      <c r="AI2313" s="101"/>
      <c r="AJ2313" s="101"/>
      <c r="AK2313" s="101"/>
      <c r="AL2313" s="101"/>
      <c r="AM2313" s="101"/>
      <c r="AN2313" s="101"/>
    </row>
    <row r="2314" spans="1:40" ht="16.5" customHeight="1" x14ac:dyDescent="0.3">
      <c r="A2314" s="59"/>
      <c r="B2314" s="68" t="str">
        <f>" Q2 = "&amp;Z2314&amp;" 인 /"&amp;AB2314&amp;" hr/일 = "&amp;AD2314&amp;" hr/일 "</f>
        <v xml:space="preserve"> Q2 = 1 인 /8 hr/일 = 0.125 hr/일 </v>
      </c>
      <c r="C2314" s="69"/>
      <c r="D2314" s="69"/>
      <c r="E2314" s="69"/>
      <c r="F2314" s="69"/>
      <c r="G2314" s="17" t="s">
        <v>1712</v>
      </c>
      <c r="Z2314" s="102">
        <v>1</v>
      </c>
      <c r="AA2314" s="35" t="s">
        <v>1413</v>
      </c>
      <c r="AB2314" s="102">
        <v>8</v>
      </c>
      <c r="AC2314" s="35" t="s">
        <v>1410</v>
      </c>
      <c r="AD2314" s="103" t="str">
        <f>TEXT(ROUND(Z2314/AB2314,3),"#,0.000")</f>
        <v>0.125</v>
      </c>
      <c r="AE2314" s="101"/>
      <c r="AF2314" s="101"/>
      <c r="AG2314" s="101"/>
      <c r="AH2314" s="101"/>
      <c r="AI2314" s="101"/>
      <c r="AJ2314" s="101"/>
      <c r="AK2314" s="101"/>
      <c r="AL2314" s="101"/>
      <c r="AM2314" s="101"/>
      <c r="AN2314" s="101"/>
    </row>
    <row r="2315" spans="1:40" ht="16.5" customHeight="1" x14ac:dyDescent="0.3">
      <c r="A2315" s="69"/>
      <c r="B2315" s="69"/>
      <c r="C2315" s="69"/>
      <c r="D2315" s="69"/>
      <c r="E2315" s="69"/>
      <c r="F2315" s="69"/>
      <c r="G2315" s="17" t="s">
        <v>1405</v>
      </c>
      <c r="Z2315" s="101"/>
      <c r="AA2315" s="101"/>
      <c r="AB2315" s="101"/>
      <c r="AC2315" s="101"/>
      <c r="AD2315" s="101"/>
      <c r="AE2315" s="101"/>
      <c r="AF2315" s="101"/>
      <c r="AG2315" s="101"/>
      <c r="AH2315" s="101"/>
      <c r="AI2315" s="101"/>
      <c r="AJ2315" s="101"/>
      <c r="AK2315" s="101"/>
      <c r="AL2315" s="101"/>
      <c r="AM2315" s="101"/>
      <c r="AN2315" s="101"/>
    </row>
    <row r="2316" spans="1:40" ht="16.5" customHeight="1" x14ac:dyDescent="0.3">
      <c r="A2316" s="59"/>
      <c r="B2316" s="68" t="str">
        <f>" Q = "&amp;Z2316&amp;" ㎡/일 /"&amp;AB2316&amp;" hr/일 = "&amp;AD2316&amp;" ㎡/hr "</f>
        <v xml:space="preserve"> Q = 40 ㎡/일 /8 hr/일 = 5.000 ㎡/hr </v>
      </c>
      <c r="C2316" s="69"/>
      <c r="D2316" s="69"/>
      <c r="E2316" s="69"/>
      <c r="F2316" s="69"/>
      <c r="G2316" s="17" t="s">
        <v>2256</v>
      </c>
      <c r="Z2316" s="102">
        <v>40</v>
      </c>
      <c r="AA2316" s="35" t="s">
        <v>1413</v>
      </c>
      <c r="AB2316" s="102">
        <v>8</v>
      </c>
      <c r="AC2316" s="35" t="s">
        <v>1410</v>
      </c>
      <c r="AD2316" s="103" t="str">
        <f>TEXT(ROUND(Z2316/AB2316,3),"#,0.000")</f>
        <v>5.000</v>
      </c>
      <c r="AE2316" s="101"/>
      <c r="AF2316" s="101"/>
      <c r="AG2316" s="101"/>
      <c r="AH2316" s="101"/>
      <c r="AI2316" s="101"/>
      <c r="AJ2316" s="101"/>
      <c r="AK2316" s="101"/>
      <c r="AL2316" s="101"/>
      <c r="AM2316" s="101"/>
      <c r="AN2316" s="101"/>
    </row>
    <row r="2317" spans="1:40" ht="16.5" customHeight="1" x14ac:dyDescent="0.3">
      <c r="A2317" s="69"/>
      <c r="B2317" s="69"/>
      <c r="C2317" s="69"/>
      <c r="D2317" s="69"/>
      <c r="E2317" s="69"/>
      <c r="F2317" s="69"/>
      <c r="G2317" s="17" t="s">
        <v>1405</v>
      </c>
      <c r="Z2317" s="101"/>
      <c r="AA2317" s="101"/>
      <c r="AB2317" s="101"/>
      <c r="AC2317" s="101"/>
      <c r="AD2317" s="101"/>
      <c r="AE2317" s="101"/>
      <c r="AF2317" s="101"/>
      <c r="AG2317" s="101"/>
      <c r="AH2317" s="101"/>
      <c r="AI2317" s="101"/>
      <c r="AJ2317" s="101"/>
      <c r="AK2317" s="101"/>
      <c r="AL2317" s="101"/>
      <c r="AM2317" s="101"/>
      <c r="AN2317" s="101"/>
    </row>
    <row r="2318" spans="1:40" ht="16.5" customHeight="1" x14ac:dyDescent="0.3">
      <c r="A2318" s="69"/>
      <c r="B2318" s="69"/>
      <c r="C2318" s="69"/>
      <c r="D2318" s="69"/>
      <c r="E2318" s="69"/>
      <c r="F2318" s="69"/>
      <c r="G2318" s="17" t="s">
        <v>1405</v>
      </c>
      <c r="Z2318" s="101"/>
      <c r="AA2318" s="101"/>
      <c r="AB2318" s="101"/>
      <c r="AC2318" s="101"/>
      <c r="AD2318" s="101"/>
      <c r="AE2318" s="101"/>
      <c r="AF2318" s="101"/>
      <c r="AG2318" s="101"/>
      <c r="AH2318" s="101"/>
      <c r="AI2318" s="101"/>
      <c r="AJ2318" s="101"/>
      <c r="AK2318" s="101"/>
      <c r="AL2318" s="101"/>
      <c r="AM2318" s="101"/>
      <c r="AN2318" s="101"/>
    </row>
    <row r="2319" spans="1:40" ht="16.5" customHeight="1" x14ac:dyDescent="0.3">
      <c r="A2319" s="59"/>
      <c r="B2319" s="68" t="s">
        <v>1979</v>
      </c>
      <c r="C2319" s="69"/>
      <c r="D2319" s="69"/>
      <c r="E2319" s="69"/>
      <c r="F2319" s="69"/>
      <c r="G2319" s="17" t="s">
        <v>1978</v>
      </c>
      <c r="Z2319" s="101"/>
      <c r="AA2319" s="101"/>
      <c r="AB2319" s="101"/>
      <c r="AC2319" s="101"/>
      <c r="AD2319" s="101"/>
      <c r="AE2319" s="101"/>
      <c r="AF2319" s="101"/>
      <c r="AG2319" s="101"/>
      <c r="AH2319" s="101"/>
      <c r="AI2319" s="101"/>
      <c r="AJ2319" s="101"/>
      <c r="AK2319" s="101"/>
      <c r="AL2319" s="101"/>
      <c r="AM2319" s="101"/>
      <c r="AN2319" s="101"/>
    </row>
    <row r="2320" spans="1:40" ht="16.5" customHeight="1" x14ac:dyDescent="0.3">
      <c r="A2320" s="69"/>
      <c r="B2320" s="69"/>
      <c r="C2320" s="69"/>
      <c r="D2320" s="69"/>
      <c r="E2320" s="69"/>
      <c r="F2320" s="69"/>
      <c r="G2320" s="17" t="s">
        <v>1405</v>
      </c>
      <c r="Z2320" s="101"/>
      <c r="AA2320" s="101"/>
      <c r="AB2320" s="101"/>
      <c r="AC2320" s="101"/>
      <c r="AD2320" s="101"/>
      <c r="AE2320" s="101"/>
      <c r="AF2320" s="101"/>
      <c r="AG2320" s="101"/>
      <c r="AH2320" s="101"/>
      <c r="AI2320" s="101"/>
      <c r="AJ2320" s="101"/>
      <c r="AK2320" s="101"/>
      <c r="AL2320" s="101"/>
      <c r="AM2320" s="101"/>
      <c r="AN2320" s="101"/>
    </row>
    <row r="2321" spans="1:40" ht="16.5" customHeight="1" x14ac:dyDescent="0.3">
      <c r="A2321" s="59" t="s">
        <v>2258</v>
      </c>
      <c r="B2321" s="89" t="str">
        <f>"   패널(600×1200mm) : "&amp;TEXT(I2321,"#,##0"&amp;IF(I2321&lt;&gt;INT(I2321),".###",""))&amp;" * "&amp;AA2321&amp;" 매  = "&amp;TEXT(C2321,"#,##0.0")&amp;""</f>
        <v xml:space="preserve">   패널(600×1200mm) : 26,885 * 0.095 매  = 2,554.0</v>
      </c>
      <c r="C2321" s="91">
        <f>E2321+D2321+F2321</f>
        <v>2554</v>
      </c>
      <c r="D2321" s="91">
        <f>IF(H2321=0,0,ROUNDDOWN(J2321*H2321,1))</f>
        <v>0</v>
      </c>
      <c r="E2321" s="91">
        <f>IF(H2321=0,0,ROUNDDOWN(K2321*H2321,1))</f>
        <v>2554</v>
      </c>
      <c r="F2321" s="91">
        <f>IF(H2321=0,0,ROUNDDOWN(L2321*H2321,1))</f>
        <v>0</v>
      </c>
      <c r="G2321" s="17" t="s">
        <v>2257</v>
      </c>
      <c r="H2321" s="97">
        <f>ROUNDUP(AC2321,14-LEN(ABS(INT(AC2321))))</f>
        <v>9.5000000000000001E-2</v>
      </c>
      <c r="I2321" s="98">
        <f>K2321+J2321+L2321</f>
        <v>26885</v>
      </c>
      <c r="K2321" s="38">
        <f>재료비목록표!E12</f>
        <v>26885</v>
      </c>
      <c r="M2321" s="35" t="s">
        <v>2259</v>
      </c>
      <c r="N2321" s="35" t="s">
        <v>1262</v>
      </c>
      <c r="O2321" s="35" t="s">
        <v>1214</v>
      </c>
      <c r="X2321" s="100" t="str">
        <f>재료비목록표!B12&amp;" / "&amp;재료비목록표!C12</f>
        <v>건설용거푸집 / 건설용거푸집, 강, 600×1200×63.5mm</v>
      </c>
      <c r="Y2321" s="3" t="str">
        <f ca="1">HYPERLINK("#"&amp;재료비목록표!G2&amp;"!A"&amp;ROW(재료비목록표!A12),"자재9 →")</f>
        <v>자재9 →</v>
      </c>
      <c r="Z2321" s="35" t="s">
        <v>1446</v>
      </c>
      <c r="AA2321" s="104">
        <v>9.5000000000000001E-2</v>
      </c>
      <c r="AB2321" s="35" t="s">
        <v>1410</v>
      </c>
      <c r="AC2321" s="103">
        <f>1*AA2321</f>
        <v>9.5000000000000001E-2</v>
      </c>
      <c r="AD2321" s="101"/>
      <c r="AE2321" s="101"/>
      <c r="AF2321" s="101"/>
      <c r="AG2321" s="101"/>
      <c r="AH2321" s="101"/>
      <c r="AI2321" s="101"/>
      <c r="AJ2321" s="101"/>
      <c r="AK2321" s="101"/>
      <c r="AL2321" s="101"/>
      <c r="AM2321" s="101"/>
      <c r="AN2321" s="101"/>
    </row>
    <row r="2322" spans="1:40" ht="16.5" customHeight="1" x14ac:dyDescent="0.3">
      <c r="A2322" s="69"/>
      <c r="B2322" s="69"/>
      <c r="C2322" s="69"/>
      <c r="D2322" s="69"/>
      <c r="E2322" s="69"/>
      <c r="F2322" s="69"/>
      <c r="G2322" s="17" t="s">
        <v>1405</v>
      </c>
      <c r="Z2322" s="101"/>
      <c r="AA2322" s="101"/>
      <c r="AB2322" s="101"/>
      <c r="AC2322" s="101"/>
      <c r="AD2322" s="101"/>
      <c r="AE2322" s="101"/>
      <c r="AF2322" s="101"/>
      <c r="AG2322" s="101"/>
      <c r="AH2322" s="101"/>
      <c r="AI2322" s="101"/>
      <c r="AJ2322" s="101"/>
      <c r="AK2322" s="101"/>
      <c r="AL2322" s="101"/>
      <c r="AM2322" s="101"/>
      <c r="AN2322" s="101"/>
    </row>
    <row r="2323" spans="1:40" ht="16.5" customHeight="1" x14ac:dyDescent="0.3">
      <c r="A2323" s="59"/>
      <c r="B2323" s="89" t="str">
        <f>" -.부자재비(주재료비의 24%) : "&amp;TEXT(I2323,"#,##0.0")&amp;" * "&amp;AA2323&amp;" %  = "&amp;TEXT(C2323,"#,##0.0")&amp;""</f>
        <v xml:space="preserve"> -.부자재비(주재료비의 24%) : 2,554.0 * 29 %  = 740.6</v>
      </c>
      <c r="C2323" s="91">
        <f>E2323+D2323+F2323</f>
        <v>740.6</v>
      </c>
      <c r="D2323" s="91">
        <f>IF(H2323=0,0,ROUNDDOWN(J2323*H2323/100,1))</f>
        <v>0</v>
      </c>
      <c r="E2323" s="91">
        <f>IF(H2323=0,0,ROUNDDOWN(K2323*H2323/100,1))</f>
        <v>740.6</v>
      </c>
      <c r="F2323" s="91">
        <f>IF(H2323=0,0,ROUNDDOWN(L2323*H2323/100,1))</f>
        <v>0</v>
      </c>
      <c r="G2323" s="17" t="s">
        <v>2260</v>
      </c>
      <c r="H2323" s="97">
        <f>ROUNDUP(AC2323,14-LEN(ABS(INT(AC2323))))</f>
        <v>29</v>
      </c>
      <c r="I2323" s="98">
        <f>K2323+J2323+L2323</f>
        <v>2554</v>
      </c>
      <c r="J2323" s="36">
        <v>0</v>
      </c>
      <c r="K2323" s="38">
        <f>C2321</f>
        <v>2554</v>
      </c>
      <c r="L2323" s="36">
        <v>0</v>
      </c>
      <c r="M2323" s="35" t="s">
        <v>1059</v>
      </c>
      <c r="N2323" s="35" t="s">
        <v>1262</v>
      </c>
      <c r="Z2323" s="35" t="s">
        <v>1446</v>
      </c>
      <c r="AA2323" s="102">
        <v>29</v>
      </c>
      <c r="AB2323" s="35" t="s">
        <v>1410</v>
      </c>
      <c r="AC2323" s="103">
        <f>1*AA2323</f>
        <v>29</v>
      </c>
      <c r="AD2323" s="101"/>
      <c r="AE2323" s="101"/>
      <c r="AF2323" s="101"/>
      <c r="AG2323" s="101"/>
      <c r="AH2323" s="101"/>
      <c r="AI2323" s="101"/>
      <c r="AJ2323" s="101"/>
      <c r="AK2323" s="101"/>
      <c r="AL2323" s="101"/>
      <c r="AM2323" s="101"/>
      <c r="AN2323" s="101"/>
    </row>
    <row r="2324" spans="1:40" ht="16.5" customHeight="1" x14ac:dyDescent="0.3">
      <c r="A2324" s="69"/>
      <c r="B2324" s="69"/>
      <c r="C2324" s="69"/>
      <c r="D2324" s="69"/>
      <c r="E2324" s="69"/>
      <c r="F2324" s="69"/>
      <c r="G2324" s="17" t="s">
        <v>1405</v>
      </c>
      <c r="Z2324" s="101"/>
      <c r="AA2324" s="101"/>
      <c r="AB2324" s="101"/>
      <c r="AC2324" s="101"/>
      <c r="AD2324" s="101"/>
      <c r="AE2324" s="101"/>
      <c r="AF2324" s="101"/>
      <c r="AG2324" s="101"/>
      <c r="AH2324" s="101"/>
      <c r="AI2324" s="101"/>
      <c r="AJ2324" s="101"/>
      <c r="AK2324" s="101"/>
      <c r="AL2324" s="101"/>
      <c r="AM2324" s="101"/>
      <c r="AN2324" s="101"/>
    </row>
    <row r="2325" spans="1:40" ht="16.5" customHeight="1" x14ac:dyDescent="0.3">
      <c r="A2325" s="59"/>
      <c r="B2325" s="89" t="str">
        <f>" -.소모자비(주재료비 5%) : "&amp;TEXT(I2325,"#,##0.0")&amp;" * "&amp;AA2325&amp;" %  = "&amp;TEXT(C2325,"#,##0.0")&amp;""</f>
        <v xml:space="preserve"> -.소모자비(주재료비 5%) : 2,554.0 * 5 %  = 127.7</v>
      </c>
      <c r="C2325" s="91">
        <f>E2325+D2325+F2325</f>
        <v>127.7</v>
      </c>
      <c r="D2325" s="91">
        <f>IF(H2325=0,0,ROUNDDOWN(J2325*H2325/100,1))</f>
        <v>0</v>
      </c>
      <c r="E2325" s="91">
        <f>IF(H2325=0,0,ROUNDDOWN(K2325*H2325/100,1))</f>
        <v>127.7</v>
      </c>
      <c r="F2325" s="91">
        <f>IF(H2325=0,0,ROUNDDOWN(L2325*H2325/100,1))</f>
        <v>0</v>
      </c>
      <c r="G2325" s="17" t="s">
        <v>2261</v>
      </c>
      <c r="H2325" s="97">
        <f>ROUNDUP(AC2325,14-LEN(ABS(INT(AC2325))))</f>
        <v>5</v>
      </c>
      <c r="I2325" s="98">
        <f>K2325+J2325+L2325</f>
        <v>2554</v>
      </c>
      <c r="J2325" s="36">
        <v>0</v>
      </c>
      <c r="K2325" s="38">
        <f>C2321</f>
        <v>2554</v>
      </c>
      <c r="L2325" s="36">
        <v>0</v>
      </c>
      <c r="M2325" s="35" t="s">
        <v>1059</v>
      </c>
      <c r="N2325" s="35" t="s">
        <v>1262</v>
      </c>
      <c r="Z2325" s="35" t="s">
        <v>1446</v>
      </c>
      <c r="AA2325" s="102">
        <v>5</v>
      </c>
      <c r="AB2325" s="35" t="s">
        <v>1410</v>
      </c>
      <c r="AC2325" s="103">
        <f>1*AA2325</f>
        <v>5</v>
      </c>
      <c r="AD2325" s="101"/>
      <c r="AE2325" s="101"/>
      <c r="AF2325" s="101"/>
      <c r="AG2325" s="101"/>
      <c r="AH2325" s="101"/>
      <c r="AI2325" s="101"/>
      <c r="AJ2325" s="101"/>
      <c r="AK2325" s="101"/>
      <c r="AL2325" s="101"/>
      <c r="AM2325" s="101"/>
      <c r="AN2325" s="101"/>
    </row>
    <row r="2326" spans="1:40" ht="16.5" customHeight="1" x14ac:dyDescent="0.3">
      <c r="A2326" s="69"/>
      <c r="B2326" s="69"/>
      <c r="C2326" s="69"/>
      <c r="D2326" s="69"/>
      <c r="E2326" s="69"/>
      <c r="F2326" s="69"/>
      <c r="G2326" s="17" t="s">
        <v>1405</v>
      </c>
      <c r="Z2326" s="101"/>
      <c r="AA2326" s="101"/>
      <c r="AB2326" s="101"/>
      <c r="AC2326" s="101"/>
      <c r="AD2326" s="101"/>
      <c r="AE2326" s="101"/>
      <c r="AF2326" s="101"/>
      <c r="AG2326" s="101"/>
      <c r="AH2326" s="101"/>
      <c r="AI2326" s="101"/>
      <c r="AJ2326" s="101"/>
      <c r="AK2326" s="101"/>
      <c r="AL2326" s="101"/>
      <c r="AM2326" s="101"/>
      <c r="AN2326" s="101"/>
    </row>
    <row r="2327" spans="1:40" ht="16.5" customHeight="1" x14ac:dyDescent="0.3">
      <c r="A2327" s="59"/>
      <c r="B2327" s="68" t="s">
        <v>1260</v>
      </c>
      <c r="C2327" s="92">
        <f>E2327+D2327+F2327</f>
        <v>3422.2999999999997</v>
      </c>
      <c r="D2327" s="92">
        <f>SUMIF(N2307:N2326,M2327,D2307:D2326)</f>
        <v>0</v>
      </c>
      <c r="E2327" s="92">
        <f>SUMIF(N2307:N2326,M2327,E2307:E2326)</f>
        <v>3422.2999999999997</v>
      </c>
      <c r="F2327" s="92">
        <f>SUMIF(N2307:N2326,M2327,F2307:F2326)</f>
        <v>0</v>
      </c>
      <c r="G2327" s="17" t="s">
        <v>1420</v>
      </c>
      <c r="M2327" s="35" t="s">
        <v>1262</v>
      </c>
      <c r="N2327" s="35" t="s">
        <v>1253</v>
      </c>
      <c r="Z2327" s="101"/>
      <c r="AA2327" s="101"/>
      <c r="AB2327" s="101"/>
      <c r="AC2327" s="101"/>
      <c r="AD2327" s="101"/>
      <c r="AE2327" s="101"/>
      <c r="AF2327" s="101"/>
      <c r="AG2327" s="101"/>
      <c r="AH2327" s="101"/>
      <c r="AI2327" s="101"/>
      <c r="AJ2327" s="101"/>
      <c r="AK2327" s="101"/>
      <c r="AL2327" s="101"/>
      <c r="AM2327" s="101"/>
      <c r="AN2327" s="101"/>
    </row>
    <row r="2328" spans="1:40" ht="16.5" customHeight="1" x14ac:dyDescent="0.3">
      <c r="A2328" s="69"/>
      <c r="B2328" s="69"/>
      <c r="C2328" s="90"/>
      <c r="D2328" s="90"/>
      <c r="E2328" s="90"/>
      <c r="F2328" s="90"/>
      <c r="G2328" s="17" t="s">
        <v>1405</v>
      </c>
      <c r="Z2328" s="101"/>
      <c r="AA2328" s="101"/>
      <c r="AB2328" s="101"/>
      <c r="AC2328" s="101"/>
      <c r="AD2328" s="101"/>
      <c r="AE2328" s="101"/>
      <c r="AF2328" s="101"/>
      <c r="AG2328" s="101"/>
      <c r="AH2328" s="101"/>
      <c r="AI2328" s="101"/>
      <c r="AJ2328" s="101"/>
      <c r="AK2328" s="101"/>
      <c r="AL2328" s="101"/>
      <c r="AM2328" s="101"/>
      <c r="AN2328" s="101"/>
    </row>
    <row r="2329" spans="1:40" ht="16.5" customHeight="1" x14ac:dyDescent="0.3">
      <c r="A2329" s="59"/>
      <c r="B2329" s="68" t="s">
        <v>1995</v>
      </c>
      <c r="C2329" s="69"/>
      <c r="D2329" s="69"/>
      <c r="E2329" s="69"/>
      <c r="F2329" s="69"/>
      <c r="G2329" s="17" t="s">
        <v>1994</v>
      </c>
      <c r="Z2329" s="101"/>
      <c r="AA2329" s="101"/>
      <c r="AB2329" s="101"/>
      <c r="AC2329" s="101"/>
      <c r="AD2329" s="101"/>
      <c r="AE2329" s="101"/>
      <c r="AF2329" s="101"/>
      <c r="AG2329" s="101"/>
      <c r="AH2329" s="101"/>
      <c r="AI2329" s="101"/>
      <c r="AJ2329" s="101"/>
      <c r="AK2329" s="101"/>
      <c r="AL2329" s="101"/>
      <c r="AM2329" s="101"/>
      <c r="AN2329" s="101"/>
    </row>
    <row r="2330" spans="1:40" ht="16.5" customHeight="1" x14ac:dyDescent="0.3">
      <c r="A2330" s="69"/>
      <c r="B2330" s="69"/>
      <c r="C2330" s="69"/>
      <c r="D2330" s="69"/>
      <c r="E2330" s="69"/>
      <c r="F2330" s="69"/>
      <c r="G2330" s="17" t="s">
        <v>1405</v>
      </c>
      <c r="Z2330" s="101"/>
      <c r="AA2330" s="101"/>
      <c r="AB2330" s="101"/>
      <c r="AC2330" s="101"/>
      <c r="AD2330" s="101"/>
      <c r="AE2330" s="101"/>
      <c r="AF2330" s="101"/>
      <c r="AG2330" s="101"/>
      <c r="AH2330" s="101"/>
      <c r="AI2330" s="101"/>
      <c r="AJ2330" s="101"/>
      <c r="AK2330" s="101"/>
      <c r="AL2330" s="101"/>
      <c r="AM2330" s="101"/>
      <c r="AN2330" s="101"/>
    </row>
    <row r="2331" spans="1:40" ht="16.5" customHeight="1" x14ac:dyDescent="0.3">
      <c r="A2331" s="59" t="s">
        <v>2175</v>
      </c>
      <c r="B2331" s="89" t="str">
        <f>"   형틀목공 : "&amp;TEXT(I2331,"#,##0"&amp;IF(I2331&lt;&gt;INT(I2331),".###",""))&amp;" * Q1 / Q  인  = "&amp;TEXT(C2331,"#,##0.0")&amp;""</f>
        <v xml:space="preserve">   형틀목공 : 275,790 * Q1 / Q  인  = 27,579.0</v>
      </c>
      <c r="C2331" s="91">
        <f>E2331+D2331+F2331</f>
        <v>27579</v>
      </c>
      <c r="D2331" s="91">
        <f>IF(H2331=0,0,ROUNDDOWN(J2331*H2331,1))</f>
        <v>27579</v>
      </c>
      <c r="E2331" s="91">
        <f>IF(H2331=0,0,ROUNDDOWN(K2331*H2331,1))</f>
        <v>0</v>
      </c>
      <c r="F2331" s="91">
        <f>IF(H2331=0,0,ROUNDDOWN(L2331*H2331,1))</f>
        <v>0</v>
      </c>
      <c r="G2331" s="17" t="s">
        <v>2262</v>
      </c>
      <c r="H2331" s="97">
        <f>ROUNDUP(AE2331,14-LEN(ABS(INT(AE2331))))</f>
        <v>0.1</v>
      </c>
      <c r="I2331" s="98">
        <f>K2331+J2331+L2331</f>
        <v>275790</v>
      </c>
      <c r="J2331" s="38">
        <f>노무비목록표!E16</f>
        <v>275790</v>
      </c>
      <c r="M2331" s="35" t="s">
        <v>2176</v>
      </c>
      <c r="N2331" s="35" t="s">
        <v>1262</v>
      </c>
      <c r="O2331" s="35" t="s">
        <v>1997</v>
      </c>
      <c r="X2331" s="100" t="str">
        <f>노무비목록표!B16&amp;" / "&amp;노무비목록표!C16</f>
        <v xml:space="preserve">형틀목공 / </v>
      </c>
      <c r="Y2331" s="3" t="str">
        <f ca="1">HYPERLINK("#"&amp;노무비목록표!G2&amp;"!A"&amp;ROW(노무비목록표!A16),"노무13 →")</f>
        <v>노무13 →</v>
      </c>
      <c r="Z2331" s="35" t="s">
        <v>1446</v>
      </c>
      <c r="AA2331" s="103" t="str">
        <f>AD2312</f>
        <v>0.500</v>
      </c>
      <c r="AB2331" s="35" t="s">
        <v>1413</v>
      </c>
      <c r="AC2331" s="103" t="str">
        <f>AD2316</f>
        <v>5.000</v>
      </c>
      <c r="AD2331" s="35" t="s">
        <v>1410</v>
      </c>
      <c r="AE2331" s="103">
        <f>1*AD2312/AD2316</f>
        <v>0.1</v>
      </c>
      <c r="AF2331" s="101"/>
      <c r="AG2331" s="101"/>
      <c r="AH2331" s="101"/>
      <c r="AI2331" s="101"/>
      <c r="AJ2331" s="101"/>
      <c r="AK2331" s="101"/>
      <c r="AL2331" s="101"/>
      <c r="AM2331" s="101"/>
      <c r="AN2331" s="101"/>
    </row>
    <row r="2332" spans="1:40" ht="16.5" customHeight="1" x14ac:dyDescent="0.3">
      <c r="A2332" s="69"/>
      <c r="B2332" s="69"/>
      <c r="C2332" s="69"/>
      <c r="D2332" s="69"/>
      <c r="E2332" s="69"/>
      <c r="F2332" s="69"/>
      <c r="G2332" s="17" t="s">
        <v>1405</v>
      </c>
      <c r="Z2332" s="101"/>
      <c r="AA2332" s="101"/>
      <c r="AB2332" s="101"/>
      <c r="AC2332" s="101"/>
      <c r="AD2332" s="101"/>
      <c r="AE2332" s="101"/>
      <c r="AF2332" s="101"/>
      <c r="AG2332" s="101"/>
      <c r="AH2332" s="101"/>
      <c r="AI2332" s="101"/>
      <c r="AJ2332" s="101"/>
      <c r="AK2332" s="101"/>
      <c r="AL2332" s="101"/>
      <c r="AM2332" s="101"/>
      <c r="AN2332" s="101"/>
    </row>
    <row r="2333" spans="1:40" ht="16.5" customHeight="1" x14ac:dyDescent="0.3">
      <c r="A2333" s="59" t="s">
        <v>1419</v>
      </c>
      <c r="B2333" s="89" t="str">
        <f>"   보통인부 : "&amp;TEXT(I2333,"#,##0"&amp;IF(I2333&lt;&gt;INT(I2333),".###",""))&amp;" * Q2 / Q  인  = "&amp;TEXT(C2333,"#,##0.0")&amp;""</f>
        <v xml:space="preserve">   보통인부 : 172,068 * Q2 / Q  인  = 4,301.7</v>
      </c>
      <c r="C2333" s="91">
        <f>E2333+D2333+F2333</f>
        <v>4301.7</v>
      </c>
      <c r="D2333" s="91">
        <f>IF(H2333=0,0,ROUNDDOWN(J2333*H2333,1))</f>
        <v>4301.7</v>
      </c>
      <c r="E2333" s="91">
        <f>IF(H2333=0,0,ROUNDDOWN(K2333*H2333,1))</f>
        <v>0</v>
      </c>
      <c r="F2333" s="91">
        <f>IF(H2333=0,0,ROUNDDOWN(L2333*H2333,1))</f>
        <v>0</v>
      </c>
      <c r="G2333" s="17" t="s">
        <v>2263</v>
      </c>
      <c r="H2333" s="97">
        <f>ROUNDUP(AE2333,14-LEN(ABS(INT(AE2333))))</f>
        <v>2.5000000000000001E-2</v>
      </c>
      <c r="I2333" s="98">
        <f>K2333+J2333+L2333</f>
        <v>172068</v>
      </c>
      <c r="J2333" s="38">
        <f>노무비목록표!E8</f>
        <v>172068</v>
      </c>
      <c r="M2333" s="35" t="s">
        <v>1219</v>
      </c>
      <c r="N2333" s="35" t="s">
        <v>1262</v>
      </c>
      <c r="O2333" s="35" t="s">
        <v>1997</v>
      </c>
      <c r="X2333" s="100" t="str">
        <f>노무비목록표!B8&amp;" / "&amp;노무비목록표!C8</f>
        <v xml:space="preserve">보통인부 / </v>
      </c>
      <c r="Y2333" s="3" t="str">
        <f ca="1">HYPERLINK("#"&amp;노무비목록표!G2&amp;"!A"&amp;ROW(노무비목록표!A8),"노무5 →")</f>
        <v>노무5 →</v>
      </c>
      <c r="Z2333" s="35" t="s">
        <v>1446</v>
      </c>
      <c r="AA2333" s="103" t="str">
        <f>AD2314</f>
        <v>0.125</v>
      </c>
      <c r="AB2333" s="35" t="s">
        <v>1413</v>
      </c>
      <c r="AC2333" s="103" t="str">
        <f>AD2316</f>
        <v>5.000</v>
      </c>
      <c r="AD2333" s="35" t="s">
        <v>1410</v>
      </c>
      <c r="AE2333" s="103">
        <f>1*AD2314/AD2316</f>
        <v>2.5000000000000001E-2</v>
      </c>
      <c r="AF2333" s="101"/>
      <c r="AG2333" s="101"/>
      <c r="AH2333" s="101"/>
      <c r="AI2333" s="101"/>
      <c r="AJ2333" s="101"/>
      <c r="AK2333" s="101"/>
      <c r="AL2333" s="101"/>
      <c r="AM2333" s="101"/>
      <c r="AN2333" s="101"/>
    </row>
    <row r="2334" spans="1:40" ht="16.5" customHeight="1" x14ac:dyDescent="0.3">
      <c r="A2334" s="69"/>
      <c r="B2334" s="69"/>
      <c r="C2334" s="69"/>
      <c r="D2334" s="69"/>
      <c r="E2334" s="69"/>
      <c r="F2334" s="69"/>
      <c r="G2334" s="17" t="s">
        <v>1525</v>
      </c>
      <c r="Z2334" s="101"/>
      <c r="AA2334" s="101"/>
      <c r="AB2334" s="101"/>
      <c r="AC2334" s="101"/>
      <c r="AD2334" s="101"/>
      <c r="AE2334" s="101"/>
      <c r="AF2334" s="101"/>
      <c r="AG2334" s="101"/>
      <c r="AH2334" s="101"/>
      <c r="AI2334" s="101"/>
      <c r="AJ2334" s="101"/>
      <c r="AK2334" s="101"/>
      <c r="AL2334" s="101"/>
      <c r="AM2334" s="101"/>
      <c r="AN2334" s="101"/>
    </row>
    <row r="2335" spans="1:40" ht="16.5" customHeight="1" x14ac:dyDescent="0.3">
      <c r="A2335" s="59"/>
      <c r="B2335" s="68" t="s">
        <v>1260</v>
      </c>
      <c r="C2335" s="92">
        <f>E2335+D2335+F2335</f>
        <v>31880.7</v>
      </c>
      <c r="D2335" s="92">
        <f>SUMIF(N2328:N2334,M2335,D2328:D2334)</f>
        <v>31880.7</v>
      </c>
      <c r="E2335" s="92">
        <f>SUMIF(N2328:N2334,M2335,E2328:E2334)</f>
        <v>0</v>
      </c>
      <c r="F2335" s="92">
        <f>SUMIF(N2328:N2334,M2335,F2328:F2334)</f>
        <v>0</v>
      </c>
      <c r="G2335" s="17" t="s">
        <v>1526</v>
      </c>
      <c r="M2335" s="35" t="s">
        <v>1262</v>
      </c>
      <c r="N2335" s="35" t="s">
        <v>1253</v>
      </c>
      <c r="Z2335" s="101"/>
      <c r="AA2335" s="101"/>
      <c r="AB2335" s="101"/>
      <c r="AC2335" s="101"/>
      <c r="AD2335" s="101"/>
      <c r="AE2335" s="101"/>
      <c r="AF2335" s="101"/>
      <c r="AG2335" s="101"/>
      <c r="AH2335" s="101"/>
      <c r="AI2335" s="101"/>
      <c r="AJ2335" s="101"/>
      <c r="AK2335" s="101"/>
      <c r="AL2335" s="101"/>
      <c r="AM2335" s="101"/>
      <c r="AN2335" s="101"/>
    </row>
    <row r="2336" spans="1:40" ht="16.5" customHeight="1" x14ac:dyDescent="0.3">
      <c r="A2336" s="69"/>
      <c r="B2336" s="69"/>
      <c r="C2336" s="90"/>
      <c r="D2336" s="90"/>
      <c r="E2336" s="90"/>
      <c r="F2336" s="90"/>
      <c r="G2336" s="17" t="s">
        <v>1405</v>
      </c>
      <c r="Z2336" s="101"/>
      <c r="AA2336" s="101"/>
      <c r="AB2336" s="101"/>
      <c r="AC2336" s="101"/>
      <c r="AD2336" s="101"/>
      <c r="AE2336" s="101"/>
      <c r="AF2336" s="101"/>
      <c r="AG2336" s="101"/>
      <c r="AH2336" s="101"/>
      <c r="AI2336" s="101"/>
      <c r="AJ2336" s="101"/>
      <c r="AK2336" s="101"/>
      <c r="AL2336" s="101"/>
      <c r="AM2336" s="101"/>
      <c r="AN2336" s="101"/>
    </row>
    <row r="2337" spans="1:40" ht="16.5" customHeight="1" x14ac:dyDescent="0.3">
      <c r="A2337" s="59"/>
      <c r="B2337" s="89" t="str">
        <f>" -.공구손료(인력품의 3%) : "&amp;TEXT(I2337,"#,##0.0")&amp;" * "&amp;AA2337&amp;" %  = "&amp;TEXT(C2337,"#,##0.0")&amp;""</f>
        <v xml:space="preserve"> -.공구손료(인력품의 3%) : 31,880.7 * 3 %  = 956.4</v>
      </c>
      <c r="C2337" s="91">
        <f>E2337+D2337+F2337</f>
        <v>956.4</v>
      </c>
      <c r="D2337" s="91">
        <f>IF(H2337=0,0,ROUNDDOWN(J2337*H2337/100,1))</f>
        <v>0</v>
      </c>
      <c r="E2337" s="91">
        <f>IF(H2337=0,0,ROUNDDOWN(K2337*H2337/100,1))</f>
        <v>0</v>
      </c>
      <c r="F2337" s="91">
        <f>IF(H2337=0,0,ROUNDDOWN(L2337*H2337/100,1))</f>
        <v>956.4</v>
      </c>
      <c r="G2337" s="17" t="s">
        <v>2264</v>
      </c>
      <c r="H2337" s="97">
        <f>ROUNDUP(AC2337,14-LEN(ABS(INT(AC2337))))</f>
        <v>3</v>
      </c>
      <c r="I2337" s="98">
        <f>K2337+J2337+L2337</f>
        <v>31880.7</v>
      </c>
      <c r="J2337" s="36">
        <v>0</v>
      </c>
      <c r="K2337" s="36">
        <v>0</v>
      </c>
      <c r="L2337" s="38">
        <f>C2331+C2333</f>
        <v>31880.7</v>
      </c>
      <c r="M2337" s="35" t="s">
        <v>1059</v>
      </c>
      <c r="N2337" s="35" t="s">
        <v>1262</v>
      </c>
      <c r="Z2337" s="35" t="s">
        <v>1446</v>
      </c>
      <c r="AA2337" s="102">
        <v>3</v>
      </c>
      <c r="AB2337" s="35" t="s">
        <v>1410</v>
      </c>
      <c r="AC2337" s="103">
        <f>1*AA2337</f>
        <v>3</v>
      </c>
      <c r="AD2337" s="101"/>
      <c r="AE2337" s="101"/>
      <c r="AF2337" s="101"/>
      <c r="AG2337" s="101"/>
      <c r="AH2337" s="101"/>
      <c r="AI2337" s="101"/>
      <c r="AJ2337" s="101"/>
      <c r="AK2337" s="101"/>
      <c r="AL2337" s="101"/>
      <c r="AM2337" s="101"/>
      <c r="AN2337" s="101"/>
    </row>
    <row r="2338" spans="1:40" ht="16.5" customHeight="1" x14ac:dyDescent="0.3">
      <c r="A2338" s="69"/>
      <c r="B2338" s="69"/>
      <c r="C2338" s="69"/>
      <c r="D2338" s="69"/>
      <c r="E2338" s="69"/>
      <c r="F2338" s="69"/>
      <c r="G2338" s="17" t="s">
        <v>1405</v>
      </c>
      <c r="Z2338" s="101"/>
      <c r="AA2338" s="101"/>
      <c r="AB2338" s="101"/>
      <c r="AC2338" s="101"/>
      <c r="AD2338" s="101"/>
      <c r="AE2338" s="101"/>
      <c r="AF2338" s="101"/>
      <c r="AG2338" s="101"/>
      <c r="AH2338" s="101"/>
      <c r="AI2338" s="101"/>
      <c r="AJ2338" s="101"/>
      <c r="AK2338" s="101"/>
      <c r="AL2338" s="101"/>
      <c r="AM2338" s="101"/>
      <c r="AN2338" s="101"/>
    </row>
    <row r="2339" spans="1:40" ht="16.5" customHeight="1" x14ac:dyDescent="0.3">
      <c r="A2339" s="59"/>
      <c r="B2339" s="68" t="s">
        <v>1260</v>
      </c>
      <c r="C2339" s="92">
        <f>E2339+D2339+F2339</f>
        <v>956.4</v>
      </c>
      <c r="D2339" s="92">
        <f>SUMIF(N2336:N2338,M2339,D2336:D2338)</f>
        <v>0</v>
      </c>
      <c r="E2339" s="92">
        <f>SUMIF(N2336:N2338,M2339,E2336:E2338)</f>
        <v>0</v>
      </c>
      <c r="F2339" s="92">
        <f>SUMIF(N2336:N2338,M2339,F2336:F2338)</f>
        <v>956.4</v>
      </c>
      <c r="G2339" s="17" t="s">
        <v>1430</v>
      </c>
      <c r="M2339" s="35" t="s">
        <v>1262</v>
      </c>
      <c r="N2339" s="35" t="s">
        <v>1253</v>
      </c>
      <c r="Z2339" s="101"/>
      <c r="AA2339" s="101"/>
      <c r="AB2339" s="101"/>
      <c r="AC2339" s="101"/>
      <c r="AD2339" s="101"/>
      <c r="AE2339" s="101"/>
      <c r="AF2339" s="101"/>
      <c r="AG2339" s="101"/>
      <c r="AH2339" s="101"/>
      <c r="AI2339" s="101"/>
      <c r="AJ2339" s="101"/>
      <c r="AK2339" s="101"/>
      <c r="AL2339" s="101"/>
      <c r="AM2339" s="101"/>
      <c r="AN2339" s="101"/>
    </row>
    <row r="2340" spans="1:40" ht="16.5" customHeight="1" x14ac:dyDescent="0.3">
      <c r="A2340" s="69"/>
      <c r="B2340" s="69"/>
      <c r="C2340" s="90"/>
      <c r="D2340" s="90"/>
      <c r="E2340" s="90"/>
      <c r="F2340" s="90"/>
      <c r="G2340" s="17" t="s">
        <v>1405</v>
      </c>
      <c r="Z2340" s="101"/>
      <c r="AA2340" s="101"/>
      <c r="AB2340" s="101"/>
      <c r="AC2340" s="101"/>
      <c r="AD2340" s="101"/>
      <c r="AE2340" s="101"/>
      <c r="AF2340" s="101"/>
      <c r="AG2340" s="101"/>
      <c r="AH2340" s="101"/>
      <c r="AI2340" s="101"/>
      <c r="AJ2340" s="101"/>
      <c r="AK2340" s="101"/>
      <c r="AL2340" s="101"/>
      <c r="AM2340" s="101"/>
      <c r="AN2340" s="101"/>
    </row>
    <row r="2341" spans="1:40" ht="16.5" customHeight="1" x14ac:dyDescent="0.3">
      <c r="A2341" s="59"/>
      <c r="B2341" s="68" t="s">
        <v>1251</v>
      </c>
      <c r="C2341" s="92">
        <f>E2341+D2341+F2341</f>
        <v>36259.4</v>
      </c>
      <c r="D2341" s="92">
        <f>SUMIF(N2307:N2340,M2341,D2307:D2340)</f>
        <v>31880.7</v>
      </c>
      <c r="E2341" s="92">
        <f>SUMIF(N2307:N2340,M2341,E2307:E2340)</f>
        <v>3422.2999999999997</v>
      </c>
      <c r="F2341" s="92">
        <f>SUMIF(N2307:N2340,M2341,F2307:F2340)</f>
        <v>956.4</v>
      </c>
      <c r="G2341" s="17" t="s">
        <v>1476</v>
      </c>
      <c r="M2341" s="35" t="s">
        <v>1253</v>
      </c>
      <c r="N2341" s="35" t="s">
        <v>1209</v>
      </c>
      <c r="Z2341" s="101"/>
      <c r="AA2341" s="101"/>
      <c r="AB2341" s="101"/>
      <c r="AC2341" s="101"/>
      <c r="AD2341" s="101"/>
      <c r="AE2341" s="101"/>
      <c r="AF2341" s="101"/>
      <c r="AG2341" s="101"/>
      <c r="AH2341" s="101"/>
      <c r="AI2341" s="101"/>
      <c r="AJ2341" s="101"/>
      <c r="AK2341" s="101"/>
      <c r="AL2341" s="101"/>
      <c r="AM2341" s="101"/>
      <c r="AN2341" s="101"/>
    </row>
    <row r="2342" spans="1:40" ht="16.5" customHeight="1" x14ac:dyDescent="0.3">
      <c r="A2342" s="69"/>
      <c r="B2342" s="69"/>
      <c r="C2342" s="90"/>
      <c r="D2342" s="90"/>
      <c r="E2342" s="90"/>
      <c r="F2342" s="90"/>
      <c r="Z2342" s="101"/>
      <c r="AA2342" s="101"/>
      <c r="AB2342" s="101"/>
      <c r="AC2342" s="101"/>
      <c r="AD2342" s="101"/>
      <c r="AE2342" s="101"/>
      <c r="AF2342" s="101"/>
      <c r="AG2342" s="101"/>
      <c r="AH2342" s="101"/>
      <c r="AI2342" s="101"/>
      <c r="AJ2342" s="101"/>
      <c r="AK2342" s="101"/>
      <c r="AL2342" s="101"/>
      <c r="AM2342" s="101"/>
      <c r="AN2342" s="101"/>
    </row>
    <row r="2343" spans="1:40" ht="16.5" customHeight="1" x14ac:dyDescent="0.3">
      <c r="A2343" s="69"/>
      <c r="B2343" s="69"/>
      <c r="C2343" s="69"/>
      <c r="D2343" s="69"/>
      <c r="E2343" s="69"/>
      <c r="F2343" s="69"/>
      <c r="Z2343" s="101"/>
      <c r="AA2343" s="101"/>
      <c r="AB2343" s="101"/>
      <c r="AC2343" s="101"/>
      <c r="AD2343" s="101"/>
      <c r="AE2343" s="101"/>
      <c r="AF2343" s="101"/>
      <c r="AG2343" s="101"/>
      <c r="AH2343" s="101"/>
      <c r="AI2343" s="101"/>
      <c r="AJ2343" s="101"/>
      <c r="AK2343" s="101"/>
      <c r="AL2343" s="101"/>
      <c r="AM2343" s="101"/>
      <c r="AN2343" s="101"/>
    </row>
    <row r="2344" spans="1:40" ht="16.5" customHeight="1" x14ac:dyDescent="0.3">
      <c r="A2344" s="69"/>
      <c r="B2344" s="69"/>
      <c r="C2344" s="69"/>
      <c r="D2344" s="69"/>
      <c r="E2344" s="69"/>
      <c r="F2344" s="69"/>
      <c r="Z2344" s="101"/>
      <c r="AA2344" s="101"/>
      <c r="AB2344" s="101"/>
      <c r="AC2344" s="101"/>
      <c r="AD2344" s="101"/>
      <c r="AE2344" s="101"/>
      <c r="AF2344" s="101"/>
      <c r="AG2344" s="101"/>
      <c r="AH2344" s="101"/>
      <c r="AI2344" s="101"/>
      <c r="AJ2344" s="101"/>
      <c r="AK2344" s="101"/>
      <c r="AL2344" s="101"/>
      <c r="AM2344" s="101"/>
      <c r="AN2344" s="101"/>
    </row>
    <row r="2345" spans="1:40" ht="16.5" customHeight="1" x14ac:dyDescent="0.3">
      <c r="A2345" s="69"/>
      <c r="B2345" s="69"/>
      <c r="C2345" s="69"/>
      <c r="D2345" s="69"/>
      <c r="E2345" s="69"/>
      <c r="F2345" s="69"/>
      <c r="Z2345" s="101"/>
      <c r="AA2345" s="101"/>
      <c r="AB2345" s="101"/>
      <c r="AC2345" s="101"/>
      <c r="AD2345" s="101"/>
      <c r="AE2345" s="101"/>
      <c r="AF2345" s="101"/>
      <c r="AG2345" s="101"/>
      <c r="AH2345" s="101"/>
      <c r="AI2345" s="101"/>
      <c r="AJ2345" s="101"/>
      <c r="AK2345" s="101"/>
      <c r="AL2345" s="101"/>
      <c r="AM2345" s="101"/>
      <c r="AN2345" s="101"/>
    </row>
    <row r="2346" spans="1:40" ht="16.5" customHeight="1" x14ac:dyDescent="0.3">
      <c r="A2346" s="69"/>
      <c r="B2346" s="69"/>
      <c r="C2346" s="69"/>
      <c r="D2346" s="69"/>
      <c r="E2346" s="69"/>
      <c r="F2346" s="69"/>
      <c r="Z2346" s="101"/>
      <c r="AA2346" s="101"/>
      <c r="AB2346" s="101"/>
      <c r="AC2346" s="101"/>
      <c r="AD2346" s="101"/>
      <c r="AE2346" s="101"/>
      <c r="AF2346" s="101"/>
      <c r="AG2346" s="101"/>
      <c r="AH2346" s="101"/>
      <c r="AI2346" s="101"/>
      <c r="AJ2346" s="101"/>
      <c r="AK2346" s="101"/>
      <c r="AL2346" s="101"/>
      <c r="AM2346" s="101"/>
      <c r="AN2346" s="101"/>
    </row>
    <row r="2347" spans="1:40" ht="16.5" customHeight="1" x14ac:dyDescent="0.3">
      <c r="A2347" s="69"/>
      <c r="B2347" s="69"/>
      <c r="C2347" s="69"/>
      <c r="D2347" s="69"/>
      <c r="E2347" s="69"/>
      <c r="F2347" s="69"/>
      <c r="Z2347" s="101"/>
      <c r="AA2347" s="101"/>
      <c r="AB2347" s="101"/>
      <c r="AC2347" s="101"/>
      <c r="AD2347" s="101"/>
      <c r="AE2347" s="101"/>
      <c r="AF2347" s="101"/>
      <c r="AG2347" s="101"/>
      <c r="AH2347" s="101"/>
      <c r="AI2347" s="101"/>
      <c r="AJ2347" s="101"/>
      <c r="AK2347" s="101"/>
      <c r="AL2347" s="101"/>
      <c r="AM2347" s="101"/>
      <c r="AN2347" s="101"/>
    </row>
    <row r="2348" spans="1:40" ht="16.5" customHeight="1" x14ac:dyDescent="0.3">
      <c r="A2348" s="69"/>
      <c r="B2348" s="69"/>
      <c r="C2348" s="69"/>
      <c r="D2348" s="69"/>
      <c r="E2348" s="69"/>
      <c r="F2348" s="69"/>
      <c r="Z2348" s="101"/>
      <c r="AA2348" s="101"/>
      <c r="AB2348" s="101"/>
      <c r="AC2348" s="101"/>
      <c r="AD2348" s="101"/>
      <c r="AE2348" s="101"/>
      <c r="AF2348" s="101"/>
      <c r="AG2348" s="101"/>
      <c r="AH2348" s="101"/>
      <c r="AI2348" s="101"/>
      <c r="AJ2348" s="101"/>
      <c r="AK2348" s="101"/>
      <c r="AL2348" s="101"/>
      <c r="AM2348" s="101"/>
      <c r="AN2348" s="101"/>
    </row>
    <row r="2349" spans="1:40" ht="16.5" customHeight="1" x14ac:dyDescent="0.3">
      <c r="A2349" s="69"/>
      <c r="B2349" s="69"/>
      <c r="C2349" s="69"/>
      <c r="D2349" s="69"/>
      <c r="E2349" s="69"/>
      <c r="F2349" s="69"/>
      <c r="Z2349" s="101"/>
      <c r="AA2349" s="101"/>
      <c r="AB2349" s="101"/>
      <c r="AC2349" s="101"/>
      <c r="AD2349" s="101"/>
      <c r="AE2349" s="101"/>
      <c r="AF2349" s="101"/>
      <c r="AG2349" s="101"/>
      <c r="AH2349" s="101"/>
      <c r="AI2349" s="101"/>
      <c r="AJ2349" s="101"/>
      <c r="AK2349" s="101"/>
      <c r="AL2349" s="101"/>
      <c r="AM2349" s="101"/>
      <c r="AN2349" s="101"/>
    </row>
    <row r="2350" spans="1:40" ht="16.5" customHeight="1" x14ac:dyDescent="0.3">
      <c r="A2350" s="69"/>
      <c r="B2350" s="69"/>
      <c r="C2350" s="69"/>
      <c r="D2350" s="69"/>
      <c r="E2350" s="69"/>
      <c r="F2350" s="69"/>
      <c r="Z2350" s="101"/>
      <c r="AA2350" s="101"/>
      <c r="AB2350" s="101"/>
      <c r="AC2350" s="101"/>
      <c r="AD2350" s="101"/>
      <c r="AE2350" s="101"/>
      <c r="AF2350" s="101"/>
      <c r="AG2350" s="101"/>
      <c r="AH2350" s="101"/>
      <c r="AI2350" s="101"/>
      <c r="AJ2350" s="101"/>
      <c r="AK2350" s="101"/>
      <c r="AL2350" s="101"/>
      <c r="AM2350" s="101"/>
      <c r="AN2350" s="101"/>
    </row>
    <row r="2351" spans="1:40" ht="16.5" customHeight="1" x14ac:dyDescent="0.3">
      <c r="A2351" s="69"/>
      <c r="B2351" s="69"/>
      <c r="C2351" s="69"/>
      <c r="D2351" s="69"/>
      <c r="E2351" s="69"/>
      <c r="F2351" s="69"/>
      <c r="Z2351" s="101"/>
      <c r="AA2351" s="101"/>
      <c r="AB2351" s="101"/>
      <c r="AC2351" s="101"/>
      <c r="AD2351" s="101"/>
      <c r="AE2351" s="101"/>
      <c r="AF2351" s="101"/>
      <c r="AG2351" s="101"/>
      <c r="AH2351" s="101"/>
      <c r="AI2351" s="101"/>
      <c r="AJ2351" s="101"/>
      <c r="AK2351" s="101"/>
      <c r="AL2351" s="101"/>
      <c r="AM2351" s="101"/>
      <c r="AN2351" s="101"/>
    </row>
    <row r="2352" spans="1:40" ht="16.5" customHeight="1" x14ac:dyDescent="0.3">
      <c r="A2352" s="69"/>
      <c r="B2352" s="69"/>
      <c r="C2352" s="69"/>
      <c r="D2352" s="69"/>
      <c r="E2352" s="69"/>
      <c r="F2352" s="69"/>
      <c r="Z2352" s="101"/>
      <c r="AA2352" s="101"/>
      <c r="AB2352" s="101"/>
      <c r="AC2352" s="101"/>
      <c r="AD2352" s="101"/>
      <c r="AE2352" s="101"/>
      <c r="AF2352" s="101"/>
      <c r="AG2352" s="101"/>
      <c r="AH2352" s="101"/>
      <c r="AI2352" s="101"/>
      <c r="AJ2352" s="101"/>
      <c r="AK2352" s="101"/>
      <c r="AL2352" s="101"/>
      <c r="AM2352" s="101"/>
      <c r="AN2352" s="101"/>
    </row>
    <row r="2353" spans="1:40" ht="16.5" customHeight="1" x14ac:dyDescent="0.3">
      <c r="A2353" s="74"/>
      <c r="B2353" s="74"/>
      <c r="C2353" s="74"/>
      <c r="D2353" s="74"/>
      <c r="E2353" s="74"/>
      <c r="F2353" s="74"/>
      <c r="Z2353" s="101"/>
      <c r="AA2353" s="101"/>
      <c r="AB2353" s="101"/>
      <c r="AC2353" s="101"/>
      <c r="AD2353" s="101"/>
      <c r="AE2353" s="101"/>
      <c r="AF2353" s="101"/>
      <c r="AG2353" s="101"/>
      <c r="AH2353" s="101"/>
      <c r="AI2353" s="101"/>
      <c r="AJ2353" s="101"/>
      <c r="AK2353" s="101"/>
      <c r="AL2353" s="101"/>
      <c r="AM2353" s="101"/>
      <c r="AN2353" s="101"/>
    </row>
    <row r="2354" spans="1:40" ht="16.5" customHeight="1" x14ac:dyDescent="0.3">
      <c r="A2354" s="150" t="s">
        <v>1477</v>
      </c>
      <c r="B2354" s="143"/>
      <c r="C2354" s="47">
        <f>E2354+D2354+F2354</f>
        <v>36258</v>
      </c>
      <c r="D2354" s="46">
        <f>ROUNDDOWN(SUMIF(N2307:N2341,M2354,D2307:D2341),0)</f>
        <v>31880</v>
      </c>
      <c r="E2354" s="55">
        <f>ROUNDDOWN(SUMIF(N2307:N2341,M2354,E2307:E2341),0)</f>
        <v>3422</v>
      </c>
      <c r="F2354" s="47">
        <f>ROUNDDOWN(SUMIF(N2307:N2341,M2354,F2307:F2341),0)</f>
        <v>956</v>
      </c>
      <c r="M2354" s="35" t="s">
        <v>1209</v>
      </c>
      <c r="Z2354" s="101"/>
      <c r="AA2354" s="101"/>
      <c r="AB2354" s="101"/>
      <c r="AC2354" s="101"/>
      <c r="AD2354" s="101"/>
      <c r="AE2354" s="101"/>
      <c r="AF2354" s="101"/>
      <c r="AG2354" s="101"/>
      <c r="AH2354" s="101"/>
      <c r="AI2354" s="101"/>
      <c r="AJ2354" s="101"/>
      <c r="AK2354" s="101"/>
      <c r="AL2354" s="101"/>
      <c r="AM2354" s="101"/>
      <c r="AN2354" s="101"/>
    </row>
    <row r="2355" spans="1:40" ht="16.5" customHeight="1" x14ac:dyDescent="0.3">
      <c r="A2355" s="86" t="s">
        <v>241</v>
      </c>
      <c r="B2355" s="88" t="s">
        <v>241</v>
      </c>
      <c r="C2355" s="151">
        <f>C2404</f>
        <v>103287</v>
      </c>
      <c r="D2355" s="151">
        <f>D2404</f>
        <v>75097</v>
      </c>
      <c r="E2355" s="151">
        <f>E2404</f>
        <v>13776</v>
      </c>
      <c r="F2355" s="151">
        <f>F2404</f>
        <v>14414</v>
      </c>
      <c r="G2355" s="84" t="str">
        <f>HYPERLINK("#G"&amp;ROW(G2387),"_x0005_`BDCOD|D03924_x0007_`POSS|"&amp;ROW(G2357)&amp;"_x0007_`POSE|"&amp;ROW(G2387)&amp;"_x0007_`")</f>
        <v>_x0005_`BDCOD|D03924_x0007_`POSS|2357_x0007_`POSE|2387_x0007_`</v>
      </c>
      <c r="Z2355" s="101"/>
      <c r="AA2355" s="101"/>
      <c r="AB2355" s="101"/>
      <c r="AC2355" s="101"/>
      <c r="AD2355" s="101"/>
      <c r="AE2355" s="101"/>
      <c r="AF2355" s="101"/>
      <c r="AG2355" s="101"/>
      <c r="AH2355" s="101"/>
      <c r="AI2355" s="101"/>
      <c r="AJ2355" s="101"/>
      <c r="AK2355" s="101"/>
      <c r="AL2355" s="101"/>
      <c r="AM2355" s="101"/>
      <c r="AN2355" s="101"/>
    </row>
    <row r="2356" spans="1:40" ht="16.5" customHeight="1" x14ac:dyDescent="0.3">
      <c r="A2356" s="87"/>
      <c r="B2356" s="88" t="s">
        <v>240</v>
      </c>
      <c r="C2356" s="136"/>
      <c r="D2356" s="136"/>
      <c r="E2356" s="136"/>
      <c r="F2356" s="136"/>
      <c r="M2356" s="35" t="s">
        <v>2265</v>
      </c>
      <c r="Z2356" s="101"/>
      <c r="AA2356" s="101"/>
      <c r="AB2356" s="101"/>
      <c r="AC2356" s="101"/>
      <c r="AD2356" s="101"/>
      <c r="AE2356" s="101"/>
      <c r="AF2356" s="101"/>
      <c r="AG2356" s="101"/>
      <c r="AH2356" s="101"/>
      <c r="AI2356" s="101"/>
      <c r="AJ2356" s="101"/>
      <c r="AK2356" s="101"/>
      <c r="AL2356" s="101"/>
      <c r="AM2356" s="101"/>
      <c r="AN2356" s="101"/>
    </row>
    <row r="2357" spans="1:40" ht="16.5" customHeight="1" x14ac:dyDescent="0.3">
      <c r="A2357" s="59"/>
      <c r="B2357" s="68" t="s">
        <v>2267</v>
      </c>
      <c r="C2357" s="90"/>
      <c r="D2357" s="90"/>
      <c r="E2357" s="90"/>
      <c r="F2357" s="90"/>
      <c r="G2357" s="17" t="s">
        <v>2266</v>
      </c>
      <c r="Z2357" s="101"/>
      <c r="AA2357" s="101"/>
      <c r="AB2357" s="101"/>
      <c r="AC2357" s="101"/>
      <c r="AD2357" s="101"/>
      <c r="AE2357" s="101"/>
      <c r="AF2357" s="101"/>
      <c r="AG2357" s="101"/>
      <c r="AH2357" s="101"/>
      <c r="AI2357" s="101"/>
      <c r="AJ2357" s="101"/>
      <c r="AK2357" s="101"/>
      <c r="AL2357" s="101"/>
      <c r="AM2357" s="101"/>
      <c r="AN2357" s="101"/>
    </row>
    <row r="2358" spans="1:40" ht="16.5" customHeight="1" x14ac:dyDescent="0.3">
      <c r="A2358" s="69"/>
      <c r="B2358" s="69"/>
      <c r="C2358" s="69"/>
      <c r="D2358" s="69"/>
      <c r="E2358" s="69"/>
      <c r="F2358" s="69"/>
      <c r="G2358" s="17" t="s">
        <v>1405</v>
      </c>
      <c r="Z2358" s="101"/>
      <c r="AA2358" s="101"/>
      <c r="AB2358" s="101"/>
      <c r="AC2358" s="101"/>
      <c r="AD2358" s="101"/>
      <c r="AE2358" s="101"/>
      <c r="AF2358" s="101"/>
      <c r="AG2358" s="101"/>
      <c r="AH2358" s="101"/>
      <c r="AI2358" s="101"/>
      <c r="AJ2358" s="101"/>
      <c r="AK2358" s="101"/>
      <c r="AL2358" s="101"/>
      <c r="AM2358" s="101"/>
      <c r="AN2358" s="101"/>
    </row>
    <row r="2359" spans="1:40" ht="16.5" customHeight="1" x14ac:dyDescent="0.3">
      <c r="A2359" s="59"/>
      <c r="B2359" s="68" t="s">
        <v>2269</v>
      </c>
      <c r="C2359" s="69"/>
      <c r="D2359" s="69"/>
      <c r="E2359" s="69"/>
      <c r="F2359" s="69"/>
      <c r="G2359" s="17" t="s">
        <v>2268</v>
      </c>
      <c r="Z2359" s="101"/>
      <c r="AA2359" s="101"/>
      <c r="AB2359" s="101"/>
      <c r="AC2359" s="101"/>
      <c r="AD2359" s="101"/>
      <c r="AE2359" s="101"/>
      <c r="AF2359" s="101"/>
      <c r="AG2359" s="101"/>
      <c r="AH2359" s="101"/>
      <c r="AI2359" s="101"/>
      <c r="AJ2359" s="101"/>
      <c r="AK2359" s="101"/>
      <c r="AL2359" s="101"/>
      <c r="AM2359" s="101"/>
      <c r="AN2359" s="101"/>
    </row>
    <row r="2360" spans="1:40" ht="16.5" customHeight="1" x14ac:dyDescent="0.3">
      <c r="A2360" s="69"/>
      <c r="B2360" s="69"/>
      <c r="C2360" s="69"/>
      <c r="D2360" s="69"/>
      <c r="E2360" s="69"/>
      <c r="F2360" s="69"/>
      <c r="G2360" s="17" t="s">
        <v>1405</v>
      </c>
      <c r="Z2360" s="101"/>
      <c r="AA2360" s="101"/>
      <c r="AB2360" s="101"/>
      <c r="AC2360" s="101"/>
      <c r="AD2360" s="101"/>
      <c r="AE2360" s="101"/>
      <c r="AF2360" s="101"/>
      <c r="AG2360" s="101"/>
      <c r="AH2360" s="101"/>
      <c r="AI2360" s="101"/>
      <c r="AJ2360" s="101"/>
      <c r="AK2360" s="101"/>
      <c r="AL2360" s="101"/>
      <c r="AM2360" s="101"/>
      <c r="AN2360" s="101"/>
    </row>
    <row r="2361" spans="1:40" ht="16.5" customHeight="1" x14ac:dyDescent="0.3">
      <c r="A2361" s="59"/>
      <c r="B2361" s="68" t="str">
        <f>" Q1 = "&amp;Z2361&amp;" 인 /"&amp;AB2361&amp;" hr/일 = "&amp;AD2361&amp;" hr/일 "</f>
        <v xml:space="preserve"> Q1 = 1 인 /8 hr/일 = 0.125 hr/일 </v>
      </c>
      <c r="C2361" s="69"/>
      <c r="D2361" s="69"/>
      <c r="E2361" s="69"/>
      <c r="F2361" s="69"/>
      <c r="G2361" s="17" t="s">
        <v>2270</v>
      </c>
      <c r="Z2361" s="102">
        <v>1</v>
      </c>
      <c r="AA2361" s="35" t="s">
        <v>1413</v>
      </c>
      <c r="AB2361" s="102">
        <v>8</v>
      </c>
      <c r="AC2361" s="35" t="s">
        <v>1410</v>
      </c>
      <c r="AD2361" s="103" t="str">
        <f>TEXT(ROUND(Z2361/AB2361,3),"#,0.000")</f>
        <v>0.125</v>
      </c>
      <c r="AE2361" s="101"/>
      <c r="AF2361" s="101"/>
      <c r="AG2361" s="101"/>
      <c r="AH2361" s="101"/>
      <c r="AI2361" s="101"/>
      <c r="AJ2361" s="101"/>
      <c r="AK2361" s="101"/>
      <c r="AL2361" s="101"/>
      <c r="AM2361" s="101"/>
      <c r="AN2361" s="101"/>
    </row>
    <row r="2362" spans="1:40" ht="16.5" customHeight="1" x14ac:dyDescent="0.3">
      <c r="A2362" s="69"/>
      <c r="B2362" s="69"/>
      <c r="C2362" s="69"/>
      <c r="D2362" s="69"/>
      <c r="E2362" s="69"/>
      <c r="F2362" s="69"/>
      <c r="G2362" s="17" t="s">
        <v>1405</v>
      </c>
      <c r="Z2362" s="101"/>
      <c r="AA2362" s="101"/>
      <c r="AB2362" s="101"/>
      <c r="AC2362" s="101"/>
      <c r="AD2362" s="101"/>
      <c r="AE2362" s="101"/>
      <c r="AF2362" s="101"/>
      <c r="AG2362" s="101"/>
      <c r="AH2362" s="101"/>
      <c r="AI2362" s="101"/>
      <c r="AJ2362" s="101"/>
      <c r="AK2362" s="101"/>
      <c r="AL2362" s="101"/>
      <c r="AM2362" s="101"/>
      <c r="AN2362" s="101"/>
    </row>
    <row r="2363" spans="1:40" ht="16.5" customHeight="1" x14ac:dyDescent="0.3">
      <c r="A2363" s="59"/>
      <c r="B2363" s="68" t="str">
        <f>" Q2 = "&amp;Z2363&amp;" 인 /"&amp;AB2363&amp;" hr/일 = "&amp;AD2363&amp;" hr/일 "</f>
        <v xml:space="preserve"> Q2 = 3 인 /8 hr/일 = 0.375 hr/일 </v>
      </c>
      <c r="C2363" s="69"/>
      <c r="D2363" s="69"/>
      <c r="E2363" s="69"/>
      <c r="F2363" s="69"/>
      <c r="G2363" s="17" t="s">
        <v>2147</v>
      </c>
      <c r="Z2363" s="102">
        <v>3</v>
      </c>
      <c r="AA2363" s="35" t="s">
        <v>1413</v>
      </c>
      <c r="AB2363" s="102">
        <v>8</v>
      </c>
      <c r="AC2363" s="35" t="s">
        <v>1410</v>
      </c>
      <c r="AD2363" s="103" t="str">
        <f>TEXT(ROUND(Z2363/AB2363,3),"#,0.000")</f>
        <v>0.375</v>
      </c>
      <c r="AE2363" s="101"/>
      <c r="AF2363" s="101"/>
      <c r="AG2363" s="101"/>
      <c r="AH2363" s="101"/>
      <c r="AI2363" s="101"/>
      <c r="AJ2363" s="101"/>
      <c r="AK2363" s="101"/>
      <c r="AL2363" s="101"/>
      <c r="AM2363" s="101"/>
      <c r="AN2363" s="101"/>
    </row>
    <row r="2364" spans="1:40" ht="16.5" customHeight="1" x14ac:dyDescent="0.3">
      <c r="A2364" s="69"/>
      <c r="B2364" s="69"/>
      <c r="C2364" s="69"/>
      <c r="D2364" s="69"/>
      <c r="E2364" s="69"/>
      <c r="F2364" s="69"/>
      <c r="G2364" s="17" t="s">
        <v>1405</v>
      </c>
      <c r="Z2364" s="101"/>
      <c r="AA2364" s="101"/>
      <c r="AB2364" s="101"/>
      <c r="AC2364" s="101"/>
      <c r="AD2364" s="101"/>
      <c r="AE2364" s="101"/>
      <c r="AF2364" s="101"/>
      <c r="AG2364" s="101"/>
      <c r="AH2364" s="101"/>
      <c r="AI2364" s="101"/>
      <c r="AJ2364" s="101"/>
      <c r="AK2364" s="101"/>
      <c r="AL2364" s="101"/>
      <c r="AM2364" s="101"/>
      <c r="AN2364" s="101"/>
    </row>
    <row r="2365" spans="1:40" ht="16.5" customHeight="1" x14ac:dyDescent="0.3">
      <c r="A2365" s="59"/>
      <c r="B2365" s="68" t="str">
        <f>" Q = "&amp;Z2365&amp;" ton/일 /"&amp;AB2365&amp;" hr/일 = "&amp;AD2365&amp;" ton/hr "</f>
        <v xml:space="preserve"> Q = 13 ton/일 /8 hr/일 = 1.625 ton/hr </v>
      </c>
      <c r="C2365" s="69"/>
      <c r="D2365" s="69"/>
      <c r="E2365" s="69"/>
      <c r="F2365" s="69"/>
      <c r="G2365" s="17" t="s">
        <v>2271</v>
      </c>
      <c r="Z2365" s="102">
        <v>13</v>
      </c>
      <c r="AA2365" s="35" t="s">
        <v>1413</v>
      </c>
      <c r="AB2365" s="102">
        <v>8</v>
      </c>
      <c r="AC2365" s="35" t="s">
        <v>1410</v>
      </c>
      <c r="AD2365" s="103" t="str">
        <f>TEXT(ROUND(Z2365/AB2365,3),"#,0.000")</f>
        <v>1.625</v>
      </c>
      <c r="AE2365" s="101"/>
      <c r="AF2365" s="101"/>
      <c r="AG2365" s="101"/>
      <c r="AH2365" s="101"/>
      <c r="AI2365" s="101"/>
      <c r="AJ2365" s="101"/>
      <c r="AK2365" s="101"/>
      <c r="AL2365" s="101"/>
      <c r="AM2365" s="101"/>
      <c r="AN2365" s="101"/>
    </row>
    <row r="2366" spans="1:40" ht="16.5" customHeight="1" x14ac:dyDescent="0.3">
      <c r="A2366" s="69"/>
      <c r="B2366" s="69"/>
      <c r="C2366" s="69"/>
      <c r="D2366" s="69"/>
      <c r="E2366" s="69"/>
      <c r="F2366" s="69"/>
      <c r="G2366" s="17" t="s">
        <v>1405</v>
      </c>
      <c r="Z2366" s="101"/>
      <c r="AA2366" s="101"/>
      <c r="AB2366" s="101"/>
      <c r="AC2366" s="101"/>
      <c r="AD2366" s="101"/>
      <c r="AE2366" s="101"/>
      <c r="AF2366" s="101"/>
      <c r="AG2366" s="101"/>
      <c r="AH2366" s="101"/>
      <c r="AI2366" s="101"/>
      <c r="AJ2366" s="101"/>
      <c r="AK2366" s="101"/>
      <c r="AL2366" s="101"/>
      <c r="AM2366" s="101"/>
      <c r="AN2366" s="101"/>
    </row>
    <row r="2367" spans="1:40" ht="16.5" customHeight="1" x14ac:dyDescent="0.3">
      <c r="A2367" s="69"/>
      <c r="B2367" s="69"/>
      <c r="C2367" s="69"/>
      <c r="D2367" s="69"/>
      <c r="E2367" s="69"/>
      <c r="F2367" s="69"/>
      <c r="G2367" s="17" t="s">
        <v>1405</v>
      </c>
      <c r="Z2367" s="101"/>
      <c r="AA2367" s="101"/>
      <c r="AB2367" s="101"/>
      <c r="AC2367" s="101"/>
      <c r="AD2367" s="101"/>
      <c r="AE2367" s="101"/>
      <c r="AF2367" s="101"/>
      <c r="AG2367" s="101"/>
      <c r="AH2367" s="101"/>
      <c r="AI2367" s="101"/>
      <c r="AJ2367" s="101"/>
      <c r="AK2367" s="101"/>
      <c r="AL2367" s="101"/>
      <c r="AM2367" s="101"/>
      <c r="AN2367" s="101"/>
    </row>
    <row r="2368" spans="1:40" ht="16.5" customHeight="1" x14ac:dyDescent="0.3">
      <c r="A2368" s="59"/>
      <c r="B2368" s="68" t="s">
        <v>2150</v>
      </c>
      <c r="C2368" s="69"/>
      <c r="D2368" s="69"/>
      <c r="E2368" s="69"/>
      <c r="F2368" s="69"/>
      <c r="G2368" s="17" t="s">
        <v>2149</v>
      </c>
      <c r="Z2368" s="101"/>
      <c r="AA2368" s="101"/>
      <c r="AB2368" s="101"/>
      <c r="AC2368" s="101"/>
      <c r="AD2368" s="101"/>
      <c r="AE2368" s="101"/>
      <c r="AF2368" s="101"/>
      <c r="AG2368" s="101"/>
      <c r="AH2368" s="101"/>
      <c r="AI2368" s="101"/>
      <c r="AJ2368" s="101"/>
      <c r="AK2368" s="101"/>
      <c r="AL2368" s="101"/>
      <c r="AM2368" s="101"/>
      <c r="AN2368" s="101"/>
    </row>
    <row r="2369" spans="1:40" ht="16.5" customHeight="1" x14ac:dyDescent="0.3">
      <c r="A2369" s="69"/>
      <c r="B2369" s="69"/>
      <c r="C2369" s="69"/>
      <c r="D2369" s="69"/>
      <c r="E2369" s="69"/>
      <c r="F2369" s="69"/>
      <c r="G2369" s="17" t="s">
        <v>1405</v>
      </c>
      <c r="Z2369" s="101"/>
      <c r="AA2369" s="101"/>
      <c r="AB2369" s="101"/>
      <c r="AC2369" s="101"/>
      <c r="AD2369" s="101"/>
      <c r="AE2369" s="101"/>
      <c r="AF2369" s="101"/>
      <c r="AG2369" s="101"/>
      <c r="AH2369" s="101"/>
      <c r="AI2369" s="101"/>
      <c r="AJ2369" s="101"/>
      <c r="AK2369" s="101"/>
      <c r="AL2369" s="101"/>
      <c r="AM2369" s="101"/>
      <c r="AN2369" s="101"/>
    </row>
    <row r="2370" spans="1:40" ht="16.5" customHeight="1" x14ac:dyDescent="0.3">
      <c r="A2370" s="59" t="s">
        <v>2185</v>
      </c>
      <c r="B2370" s="89" t="str">
        <f>"  조 경 공 : "&amp;TEXT(I2370,"#,##0"&amp;IF(I2370&lt;&gt;INT(I2370),".###",""))&amp;" * Q1 / Q = "&amp;TEXT(C2370,"#,##0.0")&amp;""</f>
        <v xml:space="preserve">  조 경 공 : 235,204 * Q1 / Q = 18,092.6</v>
      </c>
      <c r="C2370" s="91">
        <f>E2370+D2370+F2370</f>
        <v>18092.599999999999</v>
      </c>
      <c r="D2370" s="91">
        <f>IF(H2370=0,0,ROUNDDOWN(J2370*H2370,1))</f>
        <v>18092.599999999999</v>
      </c>
      <c r="E2370" s="91">
        <f>IF(H2370=0,0,ROUNDDOWN(K2370*H2370,1))</f>
        <v>0</v>
      </c>
      <c r="F2370" s="91">
        <f>IF(H2370=0,0,ROUNDDOWN(L2370*H2370,1))</f>
        <v>0</v>
      </c>
      <c r="G2370" s="17" t="s">
        <v>2272</v>
      </c>
      <c r="H2370" s="97">
        <f>ROUNDUP(AE2370,14-LEN(ABS(INT(AE2370))))</f>
        <v>7.6923076923100006E-2</v>
      </c>
      <c r="I2370" s="98">
        <f>K2370+J2370+L2370</f>
        <v>235204</v>
      </c>
      <c r="J2370" s="38">
        <f>노무비목록표!E11</f>
        <v>235204</v>
      </c>
      <c r="M2370" s="35" t="s">
        <v>2186</v>
      </c>
      <c r="N2370" s="35" t="s">
        <v>1262</v>
      </c>
      <c r="X2370" s="100" t="str">
        <f>노무비목록표!B11&amp;" / "&amp;노무비목록표!C11</f>
        <v xml:space="preserve">조경공 / </v>
      </c>
      <c r="Y2370" s="3" t="str">
        <f ca="1">HYPERLINK("#"&amp;노무비목록표!G2&amp;"!A"&amp;ROW(노무비목록표!A11),"노무8 →")</f>
        <v>노무8 →</v>
      </c>
      <c r="Z2370" s="35" t="s">
        <v>1446</v>
      </c>
      <c r="AA2370" s="103" t="str">
        <f>AD2361</f>
        <v>0.125</v>
      </c>
      <c r="AB2370" s="35" t="s">
        <v>1413</v>
      </c>
      <c r="AC2370" s="103" t="str">
        <f>AD2365</f>
        <v>1.625</v>
      </c>
      <c r="AD2370" s="35" t="s">
        <v>1410</v>
      </c>
      <c r="AE2370" s="103">
        <f>1*AD2361/AD2365</f>
        <v>7.6923076923076927E-2</v>
      </c>
      <c r="AF2370" s="101"/>
      <c r="AG2370" s="101"/>
      <c r="AH2370" s="101"/>
      <c r="AI2370" s="101"/>
      <c r="AJ2370" s="101"/>
      <c r="AK2370" s="101"/>
      <c r="AL2370" s="101"/>
      <c r="AM2370" s="101"/>
      <c r="AN2370" s="101"/>
    </row>
    <row r="2371" spans="1:40" ht="16.5" customHeight="1" x14ac:dyDescent="0.3">
      <c r="A2371" s="69"/>
      <c r="B2371" s="69"/>
      <c r="C2371" s="69"/>
      <c r="D2371" s="69"/>
      <c r="E2371" s="69"/>
      <c r="F2371" s="69"/>
      <c r="G2371" s="17" t="s">
        <v>1405</v>
      </c>
      <c r="Z2371" s="101"/>
      <c r="AA2371" s="101"/>
      <c r="AB2371" s="101"/>
      <c r="AC2371" s="101"/>
      <c r="AD2371" s="101"/>
      <c r="AE2371" s="101"/>
      <c r="AF2371" s="101"/>
      <c r="AG2371" s="101"/>
      <c r="AH2371" s="101"/>
      <c r="AI2371" s="101"/>
      <c r="AJ2371" s="101"/>
      <c r="AK2371" s="101"/>
      <c r="AL2371" s="101"/>
      <c r="AM2371" s="101"/>
      <c r="AN2371" s="101"/>
    </row>
    <row r="2372" spans="1:40" ht="16.5" customHeight="1" x14ac:dyDescent="0.3">
      <c r="A2372" s="59" t="s">
        <v>2188</v>
      </c>
      <c r="B2372" s="89" t="str">
        <f>"  석    공 : "&amp;TEXT(I2372,"#,##0"&amp;IF(I2372&lt;&gt;INT(I2372),".###",""))&amp;" * Q1 / Q  = "&amp;TEXT(C2372,"#,##0.0")&amp;""</f>
        <v xml:space="preserve">  석    공 : 268,908 * Q1 / Q  = 20,685.2</v>
      </c>
      <c r="C2372" s="91">
        <f>E2372+D2372+F2372</f>
        <v>20685.2</v>
      </c>
      <c r="D2372" s="91">
        <f>IF(H2372=0,0,ROUNDDOWN(J2372*H2372,1))</f>
        <v>20685.2</v>
      </c>
      <c r="E2372" s="91">
        <f>IF(H2372=0,0,ROUNDDOWN(K2372*H2372,1))</f>
        <v>0</v>
      </c>
      <c r="F2372" s="91">
        <f>IF(H2372=0,0,ROUNDDOWN(L2372*H2372,1))</f>
        <v>0</v>
      </c>
      <c r="G2372" s="17" t="s">
        <v>2273</v>
      </c>
      <c r="H2372" s="97">
        <f>ROUNDUP(AE2372,14-LEN(ABS(INT(AE2372))))</f>
        <v>7.6923076923100006E-2</v>
      </c>
      <c r="I2372" s="98">
        <f>K2372+J2372+L2372</f>
        <v>268908</v>
      </c>
      <c r="J2372" s="38">
        <f>노무비목록표!E9</f>
        <v>268908</v>
      </c>
      <c r="M2372" s="35" t="s">
        <v>2189</v>
      </c>
      <c r="N2372" s="35" t="s">
        <v>1262</v>
      </c>
      <c r="X2372" s="100" t="str">
        <f>노무비목록표!B9&amp;" / "&amp;노무비목록표!C9</f>
        <v xml:space="preserve">석공 / </v>
      </c>
      <c r="Y2372" s="3" t="str">
        <f ca="1">HYPERLINK("#"&amp;노무비목록표!G2&amp;"!A"&amp;ROW(노무비목록표!A9),"노무6 →")</f>
        <v>노무6 →</v>
      </c>
      <c r="Z2372" s="35" t="s">
        <v>1446</v>
      </c>
      <c r="AA2372" s="103" t="str">
        <f>AD2361</f>
        <v>0.125</v>
      </c>
      <c r="AB2372" s="35" t="s">
        <v>1413</v>
      </c>
      <c r="AC2372" s="103" t="str">
        <f>AD2365</f>
        <v>1.625</v>
      </c>
      <c r="AD2372" s="35" t="s">
        <v>1410</v>
      </c>
      <c r="AE2372" s="103">
        <f>1*AD2361/AD2365</f>
        <v>7.6923076923076927E-2</v>
      </c>
      <c r="AF2372" s="101"/>
      <c r="AG2372" s="101"/>
      <c r="AH2372" s="101"/>
      <c r="AI2372" s="101"/>
      <c r="AJ2372" s="101"/>
      <c r="AK2372" s="101"/>
      <c r="AL2372" s="101"/>
      <c r="AM2372" s="101"/>
      <c r="AN2372" s="101"/>
    </row>
    <row r="2373" spans="1:40" ht="16.5" customHeight="1" x14ac:dyDescent="0.3">
      <c r="A2373" s="69"/>
      <c r="B2373" s="69"/>
      <c r="C2373" s="69"/>
      <c r="D2373" s="69"/>
      <c r="E2373" s="69"/>
      <c r="F2373" s="69"/>
      <c r="G2373" s="17" t="s">
        <v>1405</v>
      </c>
      <c r="Z2373" s="101"/>
      <c r="AA2373" s="101"/>
      <c r="AB2373" s="101"/>
      <c r="AC2373" s="101"/>
      <c r="AD2373" s="101"/>
      <c r="AE2373" s="101"/>
      <c r="AF2373" s="101"/>
      <c r="AG2373" s="101"/>
      <c r="AH2373" s="101"/>
      <c r="AI2373" s="101"/>
      <c r="AJ2373" s="101"/>
      <c r="AK2373" s="101"/>
      <c r="AL2373" s="101"/>
      <c r="AM2373" s="101"/>
      <c r="AN2373" s="101"/>
    </row>
    <row r="2374" spans="1:40" ht="16.5" customHeight="1" x14ac:dyDescent="0.3">
      <c r="A2374" s="59"/>
      <c r="B2374" s="68" t="s">
        <v>1260</v>
      </c>
      <c r="C2374" s="92">
        <f>E2374+D2374+F2374</f>
        <v>38777.800000000003</v>
      </c>
      <c r="D2374" s="92">
        <f>SUMIF(N2357:N2373,M2374,D2357:D2373)</f>
        <v>38777.800000000003</v>
      </c>
      <c r="E2374" s="92">
        <f>SUMIF(N2357:N2373,M2374,E2357:E2373)</f>
        <v>0</v>
      </c>
      <c r="F2374" s="92">
        <f>SUMIF(N2357:N2373,M2374,F2357:F2373)</f>
        <v>0</v>
      </c>
      <c r="G2374" s="17" t="s">
        <v>1430</v>
      </c>
      <c r="M2374" s="35" t="s">
        <v>1262</v>
      </c>
      <c r="N2374" s="35" t="s">
        <v>1253</v>
      </c>
      <c r="Z2374" s="101"/>
      <c r="AA2374" s="101"/>
      <c r="AB2374" s="101"/>
      <c r="AC2374" s="101"/>
      <c r="AD2374" s="101"/>
      <c r="AE2374" s="101"/>
      <c r="AF2374" s="101"/>
      <c r="AG2374" s="101"/>
      <c r="AH2374" s="101"/>
      <c r="AI2374" s="101"/>
      <c r="AJ2374" s="101"/>
      <c r="AK2374" s="101"/>
      <c r="AL2374" s="101"/>
      <c r="AM2374" s="101"/>
      <c r="AN2374" s="101"/>
    </row>
    <row r="2375" spans="1:40" ht="16.5" customHeight="1" x14ac:dyDescent="0.3">
      <c r="A2375" s="69"/>
      <c r="B2375" s="69"/>
      <c r="C2375" s="90"/>
      <c r="D2375" s="90"/>
      <c r="E2375" s="90"/>
      <c r="F2375" s="90"/>
      <c r="G2375" s="17" t="s">
        <v>1405</v>
      </c>
      <c r="Z2375" s="101"/>
      <c r="AA2375" s="101"/>
      <c r="AB2375" s="101"/>
      <c r="AC2375" s="101"/>
      <c r="AD2375" s="101"/>
      <c r="AE2375" s="101"/>
      <c r="AF2375" s="101"/>
      <c r="AG2375" s="101"/>
      <c r="AH2375" s="101"/>
      <c r="AI2375" s="101"/>
      <c r="AJ2375" s="101"/>
      <c r="AK2375" s="101"/>
      <c r="AL2375" s="101"/>
      <c r="AM2375" s="101"/>
      <c r="AN2375" s="101"/>
    </row>
    <row r="2376" spans="1:40" ht="16.5" customHeight="1" x14ac:dyDescent="0.3">
      <c r="A2376" s="59"/>
      <c r="B2376" s="68" t="s">
        <v>2275</v>
      </c>
      <c r="C2376" s="69"/>
      <c r="D2376" s="69"/>
      <c r="E2376" s="69"/>
      <c r="F2376" s="69"/>
      <c r="G2376" s="17" t="s">
        <v>2274</v>
      </c>
      <c r="Z2376" s="101"/>
      <c r="AA2376" s="101"/>
      <c r="AB2376" s="101"/>
      <c r="AC2376" s="101"/>
      <c r="AD2376" s="101"/>
      <c r="AE2376" s="101"/>
      <c r="AF2376" s="101"/>
      <c r="AG2376" s="101"/>
      <c r="AH2376" s="101"/>
      <c r="AI2376" s="101"/>
      <c r="AJ2376" s="101"/>
      <c r="AK2376" s="101"/>
      <c r="AL2376" s="101"/>
      <c r="AM2376" s="101"/>
      <c r="AN2376" s="101"/>
    </row>
    <row r="2377" spans="1:40" ht="16.5" customHeight="1" x14ac:dyDescent="0.3">
      <c r="A2377" s="69"/>
      <c r="B2377" s="69"/>
      <c r="C2377" s="69"/>
      <c r="D2377" s="69"/>
      <c r="E2377" s="69"/>
      <c r="F2377" s="69"/>
      <c r="G2377" s="17" t="s">
        <v>1405</v>
      </c>
      <c r="Z2377" s="101"/>
      <c r="AA2377" s="101"/>
      <c r="AB2377" s="101"/>
      <c r="AC2377" s="101"/>
      <c r="AD2377" s="101"/>
      <c r="AE2377" s="101"/>
      <c r="AF2377" s="101"/>
      <c r="AG2377" s="101"/>
      <c r="AH2377" s="101"/>
      <c r="AI2377" s="101"/>
      <c r="AJ2377" s="101"/>
      <c r="AK2377" s="101"/>
      <c r="AL2377" s="101"/>
      <c r="AM2377" s="101"/>
      <c r="AN2377" s="101"/>
    </row>
    <row r="2378" spans="1:40" ht="16.5" customHeight="1" x14ac:dyDescent="0.3">
      <c r="A2378" s="69"/>
      <c r="B2378" s="69"/>
      <c r="C2378" s="69"/>
      <c r="D2378" s="69"/>
      <c r="E2378" s="69"/>
      <c r="F2378" s="69"/>
      <c r="G2378" s="17" t="s">
        <v>1405</v>
      </c>
      <c r="Z2378" s="101"/>
      <c r="AA2378" s="101"/>
      <c r="AB2378" s="101"/>
      <c r="AC2378" s="101"/>
      <c r="AD2378" s="101"/>
      <c r="AE2378" s="101"/>
      <c r="AF2378" s="101"/>
      <c r="AG2378" s="101"/>
      <c r="AH2378" s="101"/>
      <c r="AI2378" s="101"/>
      <c r="AJ2378" s="101"/>
      <c r="AK2378" s="101"/>
      <c r="AL2378" s="101"/>
      <c r="AM2378" s="101"/>
      <c r="AN2378" s="101"/>
    </row>
    <row r="2379" spans="1:40" ht="16.5" customHeight="1" x14ac:dyDescent="0.3">
      <c r="A2379" s="59" t="s">
        <v>1852</v>
      </c>
      <c r="B2379" s="89" t="str">
        <f>" 노 무 비 :  "&amp;TEXT(I2379,"#,##0"&amp;IF(I2379&lt;&gt;INT(I2379),".###",""))&amp;" / Q = "&amp;TEXT(C2379,"#,##0.0")&amp;""</f>
        <v xml:space="preserve"> 노 무 비 :  59,020 / Q = 36,320.0</v>
      </c>
      <c r="C2379" s="91">
        <f>E2379+D2379+F2379</f>
        <v>36320</v>
      </c>
      <c r="D2379" s="91">
        <f>IF(H2379=0,0,ROUNDDOWN(J2379*H2379,1))</f>
        <v>36320</v>
      </c>
      <c r="E2379" s="91">
        <f>IF(H2379=0,0,ROUNDDOWN(K2379*H2379,1))</f>
        <v>0</v>
      </c>
      <c r="F2379" s="91">
        <f>IF(H2379=0,0,ROUNDDOWN(L2379*H2379,1))</f>
        <v>0</v>
      </c>
      <c r="G2379" s="17" t="s">
        <v>2276</v>
      </c>
      <c r="H2379" s="97">
        <f>ROUNDUP(AC2379,14-LEN(ABS(INT(AC2379))))</f>
        <v>0.61538461538470002</v>
      </c>
      <c r="I2379" s="98">
        <f>K2379+J2379+L2379</f>
        <v>59020</v>
      </c>
      <c r="J2379" s="38">
        <f>중기목록표!F9</f>
        <v>59020</v>
      </c>
      <c r="M2379" s="35" t="s">
        <v>1853</v>
      </c>
      <c r="N2379" s="35" t="s">
        <v>1262</v>
      </c>
      <c r="X2379" s="100" t="str">
        <f>중기목록표!B9&amp;" / "&amp;중기목록표!C9</f>
        <v>굴착기(무한궤도) / 0.6㎥</v>
      </c>
      <c r="Y2379" s="3" t="str">
        <f ca="1">HYPERLINK("#"&amp;중기목록표!J2&amp;"!A"&amp;ROW(중기목록표!A9),"중기6 →")</f>
        <v>중기6 →</v>
      </c>
      <c r="Z2379" s="35" t="s">
        <v>1417</v>
      </c>
      <c r="AA2379" s="103" t="str">
        <f>AD2365</f>
        <v>1.625</v>
      </c>
      <c r="AB2379" s="35" t="s">
        <v>1410</v>
      </c>
      <c r="AC2379" s="103">
        <f>1/AD2365</f>
        <v>0.61538461538461542</v>
      </c>
      <c r="AD2379" s="101"/>
      <c r="AE2379" s="101"/>
      <c r="AF2379" s="101"/>
      <c r="AG2379" s="101"/>
      <c r="AH2379" s="101"/>
      <c r="AI2379" s="101"/>
      <c r="AJ2379" s="101"/>
      <c r="AK2379" s="101"/>
      <c r="AL2379" s="101"/>
      <c r="AM2379" s="101"/>
      <c r="AN2379" s="101"/>
    </row>
    <row r="2380" spans="1:40" ht="16.5" customHeight="1" x14ac:dyDescent="0.3">
      <c r="A2380" s="69"/>
      <c r="B2380" s="69"/>
      <c r="C2380" s="69"/>
      <c r="D2380" s="69"/>
      <c r="E2380" s="69"/>
      <c r="F2380" s="69"/>
      <c r="G2380" s="17" t="s">
        <v>1405</v>
      </c>
      <c r="Z2380" s="101"/>
      <c r="AA2380" s="101"/>
      <c r="AB2380" s="101"/>
      <c r="AC2380" s="101"/>
      <c r="AD2380" s="101"/>
      <c r="AE2380" s="101"/>
      <c r="AF2380" s="101"/>
      <c r="AG2380" s="101"/>
      <c r="AH2380" s="101"/>
      <c r="AI2380" s="101"/>
      <c r="AJ2380" s="101"/>
      <c r="AK2380" s="101"/>
      <c r="AL2380" s="101"/>
      <c r="AM2380" s="101"/>
      <c r="AN2380" s="101"/>
    </row>
    <row r="2381" spans="1:40" ht="16.5" customHeight="1" x14ac:dyDescent="0.3">
      <c r="A2381" s="59" t="s">
        <v>1855</v>
      </c>
      <c r="B2381" s="89" t="str">
        <f>" 재 료 비 :  "&amp;TEXT(I2381,"#,##0"&amp;IF(I2381&lt;&gt;INT(I2381),".###",""))&amp;" / Q = "&amp;TEXT(C2381,"#,##0.0")&amp;""</f>
        <v xml:space="preserve"> 재 료 비 :  22,386 / Q = 13,776.0</v>
      </c>
      <c r="C2381" s="91">
        <f>E2381+D2381+F2381</f>
        <v>13776</v>
      </c>
      <c r="D2381" s="91">
        <f>IF(H2381=0,0,ROUNDDOWN(J2381*H2381,1))</f>
        <v>0</v>
      </c>
      <c r="E2381" s="91">
        <f>IF(H2381=0,0,ROUNDDOWN(K2381*H2381,1))</f>
        <v>13776</v>
      </c>
      <c r="F2381" s="91">
        <f>IF(H2381=0,0,ROUNDDOWN(L2381*H2381,1))</f>
        <v>0</v>
      </c>
      <c r="G2381" s="17" t="s">
        <v>2277</v>
      </c>
      <c r="H2381" s="97">
        <f>ROUNDUP(AC2381,14-LEN(ABS(INT(AC2381))))</f>
        <v>0.61538461538470002</v>
      </c>
      <c r="I2381" s="98">
        <f>K2381+J2381+L2381</f>
        <v>22386</v>
      </c>
      <c r="K2381" s="38">
        <f>중기목록표!G9</f>
        <v>22386</v>
      </c>
      <c r="M2381" s="35" t="s">
        <v>1853</v>
      </c>
      <c r="N2381" s="35" t="s">
        <v>1262</v>
      </c>
      <c r="X2381" s="100" t="str">
        <f>중기목록표!B9&amp;" / "&amp;중기목록표!C9</f>
        <v>굴착기(무한궤도) / 0.6㎥</v>
      </c>
      <c r="Y2381" s="3" t="str">
        <f ca="1">HYPERLINK("#"&amp;중기목록표!J2&amp;"!A"&amp;ROW(중기목록표!A9),"중기6 →")</f>
        <v>중기6 →</v>
      </c>
      <c r="Z2381" s="35" t="s">
        <v>1417</v>
      </c>
      <c r="AA2381" s="103" t="str">
        <f>AD2365</f>
        <v>1.625</v>
      </c>
      <c r="AB2381" s="35" t="s">
        <v>1410</v>
      </c>
      <c r="AC2381" s="103">
        <f>1/AD2365</f>
        <v>0.61538461538461542</v>
      </c>
      <c r="AD2381" s="101"/>
      <c r="AE2381" s="101"/>
      <c r="AF2381" s="101"/>
      <c r="AG2381" s="101"/>
      <c r="AH2381" s="101"/>
      <c r="AI2381" s="101"/>
      <c r="AJ2381" s="101"/>
      <c r="AK2381" s="101"/>
      <c r="AL2381" s="101"/>
      <c r="AM2381" s="101"/>
      <c r="AN2381" s="101"/>
    </row>
    <row r="2382" spans="1:40" ht="16.5" customHeight="1" x14ac:dyDescent="0.3">
      <c r="A2382" s="69"/>
      <c r="B2382" s="69"/>
      <c r="C2382" s="69"/>
      <c r="D2382" s="69"/>
      <c r="E2382" s="69"/>
      <c r="F2382" s="69"/>
      <c r="G2382" s="17" t="s">
        <v>1405</v>
      </c>
      <c r="Z2382" s="101"/>
      <c r="AA2382" s="101"/>
      <c r="AB2382" s="101"/>
      <c r="AC2382" s="101"/>
      <c r="AD2382" s="101"/>
      <c r="AE2382" s="101"/>
      <c r="AF2382" s="101"/>
      <c r="AG2382" s="101"/>
      <c r="AH2382" s="101"/>
      <c r="AI2382" s="101"/>
      <c r="AJ2382" s="101"/>
      <c r="AK2382" s="101"/>
      <c r="AL2382" s="101"/>
      <c r="AM2382" s="101"/>
      <c r="AN2382" s="101"/>
    </row>
    <row r="2383" spans="1:40" ht="16.5" customHeight="1" x14ac:dyDescent="0.3">
      <c r="A2383" s="59" t="s">
        <v>1857</v>
      </c>
      <c r="B2383" s="89" t="str">
        <f>" 경    비 :  "&amp;TEXT(I2383,"#,##0"&amp;IF(I2383&lt;&gt;INT(I2383),".###",""))&amp;" / Q = "&amp;TEXT(C2383,"#,##0.0")&amp;""</f>
        <v xml:space="preserve"> 경    비 :  23,423 / Q = 14,414.1</v>
      </c>
      <c r="C2383" s="91">
        <f>E2383+D2383+F2383</f>
        <v>14414.1</v>
      </c>
      <c r="D2383" s="91">
        <f>IF(H2383=0,0,ROUNDDOWN(J2383*H2383,1))</f>
        <v>0</v>
      </c>
      <c r="E2383" s="91">
        <f>IF(H2383=0,0,ROUNDDOWN(K2383*H2383,1))</f>
        <v>0</v>
      </c>
      <c r="F2383" s="91">
        <f>IF(H2383=0,0,ROUNDDOWN(L2383*H2383,1))</f>
        <v>14414.1</v>
      </c>
      <c r="G2383" s="17" t="s">
        <v>2278</v>
      </c>
      <c r="H2383" s="97">
        <f>ROUNDUP(AC2383,14-LEN(ABS(INT(AC2383))))</f>
        <v>0.61538461538470002</v>
      </c>
      <c r="I2383" s="98">
        <f>K2383+J2383+L2383</f>
        <v>23423</v>
      </c>
      <c r="L2383" s="38">
        <f>중기목록표!H9</f>
        <v>23423</v>
      </c>
      <c r="M2383" s="35" t="s">
        <v>1853</v>
      </c>
      <c r="N2383" s="35" t="s">
        <v>1262</v>
      </c>
      <c r="X2383" s="100" t="str">
        <f>중기목록표!B9&amp;" / "&amp;중기목록표!C9</f>
        <v>굴착기(무한궤도) / 0.6㎥</v>
      </c>
      <c r="Y2383" s="3" t="str">
        <f ca="1">HYPERLINK("#"&amp;중기목록표!J2&amp;"!A"&amp;ROW(중기목록표!A9),"중기6 →")</f>
        <v>중기6 →</v>
      </c>
      <c r="Z2383" s="35" t="s">
        <v>1417</v>
      </c>
      <c r="AA2383" s="103" t="str">
        <f>AD2365</f>
        <v>1.625</v>
      </c>
      <c r="AB2383" s="35" t="s">
        <v>1410</v>
      </c>
      <c r="AC2383" s="103">
        <f>1/AD2365</f>
        <v>0.61538461538461542</v>
      </c>
      <c r="AD2383" s="101"/>
      <c r="AE2383" s="101"/>
      <c r="AF2383" s="101"/>
      <c r="AG2383" s="101"/>
      <c r="AH2383" s="101"/>
      <c r="AI2383" s="101"/>
      <c r="AJ2383" s="101"/>
      <c r="AK2383" s="101"/>
      <c r="AL2383" s="101"/>
      <c r="AM2383" s="101"/>
      <c r="AN2383" s="101"/>
    </row>
    <row r="2384" spans="1:40" ht="16.5" customHeight="1" x14ac:dyDescent="0.3">
      <c r="A2384" s="69"/>
      <c r="B2384" s="69"/>
      <c r="C2384" s="69"/>
      <c r="D2384" s="69"/>
      <c r="E2384" s="69"/>
      <c r="F2384" s="69"/>
      <c r="G2384" s="17" t="s">
        <v>1405</v>
      </c>
      <c r="Z2384" s="101"/>
      <c r="AA2384" s="101"/>
      <c r="AB2384" s="101"/>
      <c r="AC2384" s="101"/>
      <c r="AD2384" s="101"/>
      <c r="AE2384" s="101"/>
      <c r="AF2384" s="101"/>
      <c r="AG2384" s="101"/>
      <c r="AH2384" s="101"/>
      <c r="AI2384" s="101"/>
      <c r="AJ2384" s="101"/>
      <c r="AK2384" s="101"/>
      <c r="AL2384" s="101"/>
      <c r="AM2384" s="101"/>
      <c r="AN2384" s="101"/>
    </row>
    <row r="2385" spans="1:40" ht="16.5" customHeight="1" x14ac:dyDescent="0.3">
      <c r="A2385" s="59"/>
      <c r="B2385" s="68" t="s">
        <v>1260</v>
      </c>
      <c r="C2385" s="92">
        <f>E2385+D2385+F2385</f>
        <v>64510.1</v>
      </c>
      <c r="D2385" s="92">
        <f>SUMIF(N2375:N2384,M2385,D2375:D2384)</f>
        <v>36320</v>
      </c>
      <c r="E2385" s="92">
        <f>SUMIF(N2375:N2384,M2385,E2375:E2384)</f>
        <v>13776</v>
      </c>
      <c r="F2385" s="92">
        <f>SUMIF(N2375:N2384,M2385,F2375:F2384)</f>
        <v>14414.1</v>
      </c>
      <c r="G2385" s="17" t="s">
        <v>1430</v>
      </c>
      <c r="M2385" s="35" t="s">
        <v>1262</v>
      </c>
      <c r="N2385" s="35" t="s">
        <v>1253</v>
      </c>
      <c r="Z2385" s="101"/>
      <c r="AA2385" s="101"/>
      <c r="AB2385" s="101"/>
      <c r="AC2385" s="101"/>
      <c r="AD2385" s="101"/>
      <c r="AE2385" s="101"/>
      <c r="AF2385" s="101"/>
      <c r="AG2385" s="101"/>
      <c r="AH2385" s="101"/>
      <c r="AI2385" s="101"/>
      <c r="AJ2385" s="101"/>
      <c r="AK2385" s="101"/>
      <c r="AL2385" s="101"/>
      <c r="AM2385" s="101"/>
      <c r="AN2385" s="101"/>
    </row>
    <row r="2386" spans="1:40" ht="16.5" customHeight="1" x14ac:dyDescent="0.3">
      <c r="A2386" s="69"/>
      <c r="B2386" s="69"/>
      <c r="C2386" s="90"/>
      <c r="D2386" s="90"/>
      <c r="E2386" s="90"/>
      <c r="F2386" s="90"/>
      <c r="G2386" s="17" t="s">
        <v>1405</v>
      </c>
      <c r="Z2386" s="101"/>
      <c r="AA2386" s="101"/>
      <c r="AB2386" s="101"/>
      <c r="AC2386" s="101"/>
      <c r="AD2386" s="101"/>
      <c r="AE2386" s="101"/>
      <c r="AF2386" s="101"/>
      <c r="AG2386" s="101"/>
      <c r="AH2386" s="101"/>
      <c r="AI2386" s="101"/>
      <c r="AJ2386" s="101"/>
      <c r="AK2386" s="101"/>
      <c r="AL2386" s="101"/>
      <c r="AM2386" s="101"/>
      <c r="AN2386" s="101"/>
    </row>
    <row r="2387" spans="1:40" ht="16.5" customHeight="1" x14ac:dyDescent="0.3">
      <c r="A2387" s="59"/>
      <c r="B2387" s="68" t="s">
        <v>1251</v>
      </c>
      <c r="C2387" s="92">
        <f>E2387+D2387+F2387</f>
        <v>103287.90000000001</v>
      </c>
      <c r="D2387" s="92">
        <f>SUMIF(N2357:N2386,M2387,D2357:D2386)</f>
        <v>75097.8</v>
      </c>
      <c r="E2387" s="92">
        <f>SUMIF(N2357:N2386,M2387,E2357:E2386)</f>
        <v>13776</v>
      </c>
      <c r="F2387" s="92">
        <f>SUMIF(N2357:N2386,M2387,F2357:F2386)</f>
        <v>14414.1</v>
      </c>
      <c r="G2387" s="17" t="s">
        <v>1476</v>
      </c>
      <c r="M2387" s="35" t="s">
        <v>1253</v>
      </c>
      <c r="N2387" s="35" t="s">
        <v>1209</v>
      </c>
      <c r="Z2387" s="101"/>
      <c r="AA2387" s="101"/>
      <c r="AB2387" s="101"/>
      <c r="AC2387" s="101"/>
      <c r="AD2387" s="101"/>
      <c r="AE2387" s="101"/>
      <c r="AF2387" s="101"/>
      <c r="AG2387" s="101"/>
      <c r="AH2387" s="101"/>
      <c r="AI2387" s="101"/>
      <c r="AJ2387" s="101"/>
      <c r="AK2387" s="101"/>
      <c r="AL2387" s="101"/>
      <c r="AM2387" s="101"/>
      <c r="AN2387" s="101"/>
    </row>
    <row r="2388" spans="1:40" ht="16.5" customHeight="1" x14ac:dyDescent="0.3">
      <c r="A2388" s="69"/>
      <c r="B2388" s="69"/>
      <c r="C2388" s="90"/>
      <c r="D2388" s="90"/>
      <c r="E2388" s="90"/>
      <c r="F2388" s="90"/>
      <c r="Z2388" s="101"/>
      <c r="AA2388" s="101"/>
      <c r="AB2388" s="101"/>
      <c r="AC2388" s="101"/>
      <c r="AD2388" s="101"/>
      <c r="AE2388" s="101"/>
      <c r="AF2388" s="101"/>
      <c r="AG2388" s="101"/>
      <c r="AH2388" s="101"/>
      <c r="AI2388" s="101"/>
      <c r="AJ2388" s="101"/>
      <c r="AK2388" s="101"/>
      <c r="AL2388" s="101"/>
      <c r="AM2388" s="101"/>
      <c r="AN2388" s="101"/>
    </row>
    <row r="2389" spans="1:40" ht="16.5" customHeight="1" x14ac:dyDescent="0.3">
      <c r="A2389" s="69"/>
      <c r="B2389" s="69"/>
      <c r="C2389" s="69"/>
      <c r="D2389" s="69"/>
      <c r="E2389" s="69"/>
      <c r="F2389" s="69"/>
      <c r="Z2389" s="101"/>
      <c r="AA2389" s="101"/>
      <c r="AB2389" s="101"/>
      <c r="AC2389" s="101"/>
      <c r="AD2389" s="101"/>
      <c r="AE2389" s="101"/>
      <c r="AF2389" s="101"/>
      <c r="AG2389" s="101"/>
      <c r="AH2389" s="101"/>
      <c r="AI2389" s="101"/>
      <c r="AJ2389" s="101"/>
      <c r="AK2389" s="101"/>
      <c r="AL2389" s="101"/>
      <c r="AM2389" s="101"/>
      <c r="AN2389" s="101"/>
    </row>
    <row r="2390" spans="1:40" ht="16.5" customHeight="1" x14ac:dyDescent="0.3">
      <c r="A2390" s="69"/>
      <c r="B2390" s="69"/>
      <c r="C2390" s="69"/>
      <c r="D2390" s="69"/>
      <c r="E2390" s="69"/>
      <c r="F2390" s="69"/>
      <c r="Z2390" s="101"/>
      <c r="AA2390" s="101"/>
      <c r="AB2390" s="101"/>
      <c r="AC2390" s="101"/>
      <c r="AD2390" s="101"/>
      <c r="AE2390" s="101"/>
      <c r="AF2390" s="101"/>
      <c r="AG2390" s="101"/>
      <c r="AH2390" s="101"/>
      <c r="AI2390" s="101"/>
      <c r="AJ2390" s="101"/>
      <c r="AK2390" s="101"/>
      <c r="AL2390" s="101"/>
      <c r="AM2390" s="101"/>
      <c r="AN2390" s="101"/>
    </row>
    <row r="2391" spans="1:40" ht="16.5" customHeight="1" x14ac:dyDescent="0.3">
      <c r="A2391" s="69"/>
      <c r="B2391" s="69"/>
      <c r="C2391" s="69"/>
      <c r="D2391" s="69"/>
      <c r="E2391" s="69"/>
      <c r="F2391" s="69"/>
      <c r="Z2391" s="101"/>
      <c r="AA2391" s="101"/>
      <c r="AB2391" s="101"/>
      <c r="AC2391" s="101"/>
      <c r="AD2391" s="101"/>
      <c r="AE2391" s="101"/>
      <c r="AF2391" s="101"/>
      <c r="AG2391" s="101"/>
      <c r="AH2391" s="101"/>
      <c r="AI2391" s="101"/>
      <c r="AJ2391" s="101"/>
      <c r="AK2391" s="101"/>
      <c r="AL2391" s="101"/>
      <c r="AM2391" s="101"/>
      <c r="AN2391" s="101"/>
    </row>
    <row r="2392" spans="1:40" ht="16.5" customHeight="1" x14ac:dyDescent="0.3">
      <c r="A2392" s="69"/>
      <c r="B2392" s="69"/>
      <c r="C2392" s="69"/>
      <c r="D2392" s="69"/>
      <c r="E2392" s="69"/>
      <c r="F2392" s="69"/>
      <c r="Z2392" s="101"/>
      <c r="AA2392" s="101"/>
      <c r="AB2392" s="101"/>
      <c r="AC2392" s="101"/>
      <c r="AD2392" s="101"/>
      <c r="AE2392" s="101"/>
      <c r="AF2392" s="101"/>
      <c r="AG2392" s="101"/>
      <c r="AH2392" s="101"/>
      <c r="AI2392" s="101"/>
      <c r="AJ2392" s="101"/>
      <c r="AK2392" s="101"/>
      <c r="AL2392" s="101"/>
      <c r="AM2392" s="101"/>
      <c r="AN2392" s="101"/>
    </row>
    <row r="2393" spans="1:40" ht="16.5" customHeight="1" x14ac:dyDescent="0.3">
      <c r="A2393" s="69"/>
      <c r="B2393" s="69"/>
      <c r="C2393" s="69"/>
      <c r="D2393" s="69"/>
      <c r="E2393" s="69"/>
      <c r="F2393" s="69"/>
      <c r="Z2393" s="101"/>
      <c r="AA2393" s="101"/>
      <c r="AB2393" s="101"/>
      <c r="AC2393" s="101"/>
      <c r="AD2393" s="101"/>
      <c r="AE2393" s="101"/>
      <c r="AF2393" s="101"/>
      <c r="AG2393" s="101"/>
      <c r="AH2393" s="101"/>
      <c r="AI2393" s="101"/>
      <c r="AJ2393" s="101"/>
      <c r="AK2393" s="101"/>
      <c r="AL2393" s="101"/>
      <c r="AM2393" s="101"/>
      <c r="AN2393" s="101"/>
    </row>
    <row r="2394" spans="1:40" ht="16.5" customHeight="1" x14ac:dyDescent="0.3">
      <c r="A2394" s="69"/>
      <c r="B2394" s="69"/>
      <c r="C2394" s="69"/>
      <c r="D2394" s="69"/>
      <c r="E2394" s="69"/>
      <c r="F2394" s="69"/>
      <c r="Z2394" s="101"/>
      <c r="AA2394" s="101"/>
      <c r="AB2394" s="101"/>
      <c r="AC2394" s="101"/>
      <c r="AD2394" s="101"/>
      <c r="AE2394" s="101"/>
      <c r="AF2394" s="101"/>
      <c r="AG2394" s="101"/>
      <c r="AH2394" s="101"/>
      <c r="AI2394" s="101"/>
      <c r="AJ2394" s="101"/>
      <c r="AK2394" s="101"/>
      <c r="AL2394" s="101"/>
      <c r="AM2394" s="101"/>
      <c r="AN2394" s="101"/>
    </row>
    <row r="2395" spans="1:40" ht="16.5" customHeight="1" x14ac:dyDescent="0.3">
      <c r="A2395" s="69"/>
      <c r="B2395" s="69"/>
      <c r="C2395" s="69"/>
      <c r="D2395" s="69"/>
      <c r="E2395" s="69"/>
      <c r="F2395" s="69"/>
      <c r="Z2395" s="101"/>
      <c r="AA2395" s="101"/>
      <c r="AB2395" s="101"/>
      <c r="AC2395" s="101"/>
      <c r="AD2395" s="101"/>
      <c r="AE2395" s="101"/>
      <c r="AF2395" s="101"/>
      <c r="AG2395" s="101"/>
      <c r="AH2395" s="101"/>
      <c r="AI2395" s="101"/>
      <c r="AJ2395" s="101"/>
      <c r="AK2395" s="101"/>
      <c r="AL2395" s="101"/>
      <c r="AM2395" s="101"/>
      <c r="AN2395" s="101"/>
    </row>
    <row r="2396" spans="1:40" ht="16.5" customHeight="1" x14ac:dyDescent="0.3">
      <c r="A2396" s="69"/>
      <c r="B2396" s="69"/>
      <c r="C2396" s="69"/>
      <c r="D2396" s="69"/>
      <c r="E2396" s="69"/>
      <c r="F2396" s="69"/>
      <c r="Z2396" s="101"/>
      <c r="AA2396" s="101"/>
      <c r="AB2396" s="101"/>
      <c r="AC2396" s="101"/>
      <c r="AD2396" s="101"/>
      <c r="AE2396" s="101"/>
      <c r="AF2396" s="101"/>
      <c r="AG2396" s="101"/>
      <c r="AH2396" s="101"/>
      <c r="AI2396" s="101"/>
      <c r="AJ2396" s="101"/>
      <c r="AK2396" s="101"/>
      <c r="AL2396" s="101"/>
      <c r="AM2396" s="101"/>
      <c r="AN2396" s="101"/>
    </row>
    <row r="2397" spans="1:40" ht="16.5" customHeight="1" x14ac:dyDescent="0.3">
      <c r="A2397" s="69"/>
      <c r="B2397" s="69"/>
      <c r="C2397" s="69"/>
      <c r="D2397" s="69"/>
      <c r="E2397" s="69"/>
      <c r="F2397" s="69"/>
      <c r="Z2397" s="101"/>
      <c r="AA2397" s="101"/>
      <c r="AB2397" s="101"/>
      <c r="AC2397" s="101"/>
      <c r="AD2397" s="101"/>
      <c r="AE2397" s="101"/>
      <c r="AF2397" s="101"/>
      <c r="AG2397" s="101"/>
      <c r="AH2397" s="101"/>
      <c r="AI2397" s="101"/>
      <c r="AJ2397" s="101"/>
      <c r="AK2397" s="101"/>
      <c r="AL2397" s="101"/>
      <c r="AM2397" s="101"/>
      <c r="AN2397" s="101"/>
    </row>
    <row r="2398" spans="1:40" ht="16.5" customHeight="1" x14ac:dyDescent="0.3">
      <c r="A2398" s="69"/>
      <c r="B2398" s="69"/>
      <c r="C2398" s="69"/>
      <c r="D2398" s="69"/>
      <c r="E2398" s="69"/>
      <c r="F2398" s="69"/>
      <c r="Z2398" s="101"/>
      <c r="AA2398" s="101"/>
      <c r="AB2398" s="101"/>
      <c r="AC2398" s="101"/>
      <c r="AD2398" s="101"/>
      <c r="AE2398" s="101"/>
      <c r="AF2398" s="101"/>
      <c r="AG2398" s="101"/>
      <c r="AH2398" s="101"/>
      <c r="AI2398" s="101"/>
      <c r="AJ2398" s="101"/>
      <c r="AK2398" s="101"/>
      <c r="AL2398" s="101"/>
      <c r="AM2398" s="101"/>
      <c r="AN2398" s="101"/>
    </row>
    <row r="2399" spans="1:40" ht="16.5" customHeight="1" x14ac:dyDescent="0.3">
      <c r="A2399" s="69"/>
      <c r="B2399" s="69"/>
      <c r="C2399" s="69"/>
      <c r="D2399" s="69"/>
      <c r="E2399" s="69"/>
      <c r="F2399" s="69"/>
      <c r="Z2399" s="101"/>
      <c r="AA2399" s="101"/>
      <c r="AB2399" s="101"/>
      <c r="AC2399" s="101"/>
      <c r="AD2399" s="101"/>
      <c r="AE2399" s="101"/>
      <c r="AF2399" s="101"/>
      <c r="AG2399" s="101"/>
      <c r="AH2399" s="101"/>
      <c r="AI2399" s="101"/>
      <c r="AJ2399" s="101"/>
      <c r="AK2399" s="101"/>
      <c r="AL2399" s="101"/>
      <c r="AM2399" s="101"/>
      <c r="AN2399" s="101"/>
    </row>
    <row r="2400" spans="1:40" ht="16.5" customHeight="1" x14ac:dyDescent="0.3">
      <c r="A2400" s="69"/>
      <c r="B2400" s="69"/>
      <c r="C2400" s="69"/>
      <c r="D2400" s="69"/>
      <c r="E2400" s="69"/>
      <c r="F2400" s="69"/>
      <c r="Z2400" s="101"/>
      <c r="AA2400" s="101"/>
      <c r="AB2400" s="101"/>
      <c r="AC2400" s="101"/>
      <c r="AD2400" s="101"/>
      <c r="AE2400" s="101"/>
      <c r="AF2400" s="101"/>
      <c r="AG2400" s="101"/>
      <c r="AH2400" s="101"/>
      <c r="AI2400" s="101"/>
      <c r="AJ2400" s="101"/>
      <c r="AK2400" s="101"/>
      <c r="AL2400" s="101"/>
      <c r="AM2400" s="101"/>
      <c r="AN2400" s="101"/>
    </row>
    <row r="2401" spans="1:40" ht="16.5" customHeight="1" x14ac:dyDescent="0.3">
      <c r="A2401" s="69"/>
      <c r="B2401" s="69"/>
      <c r="C2401" s="69"/>
      <c r="D2401" s="69"/>
      <c r="E2401" s="69"/>
      <c r="F2401" s="69"/>
      <c r="Z2401" s="101"/>
      <c r="AA2401" s="101"/>
      <c r="AB2401" s="101"/>
      <c r="AC2401" s="101"/>
      <c r="AD2401" s="101"/>
      <c r="AE2401" s="101"/>
      <c r="AF2401" s="101"/>
      <c r="AG2401" s="101"/>
      <c r="AH2401" s="101"/>
      <c r="AI2401" s="101"/>
      <c r="AJ2401" s="101"/>
      <c r="AK2401" s="101"/>
      <c r="AL2401" s="101"/>
      <c r="AM2401" s="101"/>
      <c r="AN2401" s="101"/>
    </row>
    <row r="2402" spans="1:40" ht="16.5" customHeight="1" x14ac:dyDescent="0.3">
      <c r="A2402" s="69"/>
      <c r="B2402" s="69"/>
      <c r="C2402" s="69"/>
      <c r="D2402" s="69"/>
      <c r="E2402" s="69"/>
      <c r="F2402" s="69"/>
      <c r="Z2402" s="101"/>
      <c r="AA2402" s="101"/>
      <c r="AB2402" s="101"/>
      <c r="AC2402" s="101"/>
      <c r="AD2402" s="101"/>
      <c r="AE2402" s="101"/>
      <c r="AF2402" s="101"/>
      <c r="AG2402" s="101"/>
      <c r="AH2402" s="101"/>
      <c r="AI2402" s="101"/>
      <c r="AJ2402" s="101"/>
      <c r="AK2402" s="101"/>
      <c r="AL2402" s="101"/>
      <c r="AM2402" s="101"/>
      <c r="AN2402" s="101"/>
    </row>
    <row r="2403" spans="1:40" ht="16.5" customHeight="1" x14ac:dyDescent="0.3">
      <c r="A2403" s="74"/>
      <c r="B2403" s="74"/>
      <c r="C2403" s="74"/>
      <c r="D2403" s="74"/>
      <c r="E2403" s="74"/>
      <c r="F2403" s="74"/>
      <c r="Z2403" s="101"/>
      <c r="AA2403" s="101"/>
      <c r="AB2403" s="101"/>
      <c r="AC2403" s="101"/>
      <c r="AD2403" s="101"/>
      <c r="AE2403" s="101"/>
      <c r="AF2403" s="101"/>
      <c r="AG2403" s="101"/>
      <c r="AH2403" s="101"/>
      <c r="AI2403" s="101"/>
      <c r="AJ2403" s="101"/>
      <c r="AK2403" s="101"/>
      <c r="AL2403" s="101"/>
      <c r="AM2403" s="101"/>
      <c r="AN2403" s="101"/>
    </row>
    <row r="2404" spans="1:40" ht="16.5" customHeight="1" x14ac:dyDescent="0.3">
      <c r="A2404" s="150" t="s">
        <v>1477</v>
      </c>
      <c r="B2404" s="143"/>
      <c r="C2404" s="47">
        <f>E2404+D2404+F2404</f>
        <v>103287</v>
      </c>
      <c r="D2404" s="46">
        <f>ROUNDDOWN(SUMIF(N2357:N2387,M2404,D2357:D2387),0)</f>
        <v>75097</v>
      </c>
      <c r="E2404" s="55">
        <f>ROUNDDOWN(SUMIF(N2357:N2387,M2404,E2357:E2387),0)</f>
        <v>13776</v>
      </c>
      <c r="F2404" s="47">
        <f>ROUNDDOWN(SUMIF(N2357:N2387,M2404,F2357:F2387),0)</f>
        <v>14414</v>
      </c>
      <c r="M2404" s="35" t="s">
        <v>1209</v>
      </c>
      <c r="Z2404" s="101"/>
      <c r="AA2404" s="101"/>
      <c r="AB2404" s="101"/>
      <c r="AC2404" s="101"/>
      <c r="AD2404" s="101"/>
      <c r="AE2404" s="101"/>
      <c r="AF2404" s="101"/>
      <c r="AG2404" s="101"/>
      <c r="AH2404" s="101"/>
      <c r="AI2404" s="101"/>
      <c r="AJ2404" s="101"/>
      <c r="AK2404" s="101"/>
      <c r="AL2404" s="101"/>
      <c r="AM2404" s="101"/>
      <c r="AN2404" s="101"/>
    </row>
    <row r="2405" spans="1:40" ht="16.5" customHeight="1" x14ac:dyDescent="0.3">
      <c r="A2405" s="86" t="s">
        <v>244</v>
      </c>
      <c r="B2405" s="88" t="s">
        <v>244</v>
      </c>
      <c r="C2405" s="151">
        <f>C2454</f>
        <v>8336</v>
      </c>
      <c r="D2405" s="151">
        <f>D2454</f>
        <v>5032</v>
      </c>
      <c r="E2405" s="151">
        <f>E2454</f>
        <v>1256</v>
      </c>
      <c r="F2405" s="151">
        <f>F2454</f>
        <v>2048</v>
      </c>
      <c r="G2405" s="84" t="str">
        <f>HYPERLINK("#G"&amp;ROW(G2442),"_x0005_`BDCOD|D02702_x0007_`POSS|"&amp;ROW(G2407)&amp;"_x0007_`POSE|"&amp;ROW(G2442)&amp;"_x0007_`")</f>
        <v>_x0005_`BDCOD|D02702_x0007_`POSS|2407_x0007_`POSE|2442_x0007_`</v>
      </c>
      <c r="Z2405" s="101"/>
      <c r="AA2405" s="101"/>
      <c r="AB2405" s="101"/>
      <c r="AC2405" s="101"/>
      <c r="AD2405" s="101"/>
      <c r="AE2405" s="101"/>
      <c r="AF2405" s="101"/>
      <c r="AG2405" s="101"/>
      <c r="AH2405" s="101"/>
      <c r="AI2405" s="101"/>
      <c r="AJ2405" s="101"/>
      <c r="AK2405" s="101"/>
      <c r="AL2405" s="101"/>
      <c r="AM2405" s="101"/>
      <c r="AN2405" s="101"/>
    </row>
    <row r="2406" spans="1:40" ht="16.5" customHeight="1" x14ac:dyDescent="0.3">
      <c r="A2406" s="87"/>
      <c r="B2406" s="88" t="s">
        <v>243</v>
      </c>
      <c r="C2406" s="136"/>
      <c r="D2406" s="136"/>
      <c r="E2406" s="136"/>
      <c r="F2406" s="136"/>
      <c r="M2406" s="35" t="s">
        <v>2279</v>
      </c>
      <c r="Z2406" s="101"/>
      <c r="AA2406" s="101"/>
      <c r="AB2406" s="101"/>
      <c r="AC2406" s="101"/>
      <c r="AD2406" s="101"/>
      <c r="AE2406" s="101"/>
      <c r="AF2406" s="101"/>
      <c r="AG2406" s="101"/>
      <c r="AH2406" s="101"/>
      <c r="AI2406" s="101"/>
      <c r="AJ2406" s="101"/>
      <c r="AK2406" s="101"/>
      <c r="AL2406" s="101"/>
      <c r="AM2406" s="101"/>
      <c r="AN2406" s="101"/>
    </row>
    <row r="2407" spans="1:40" ht="16.5" customHeight="1" x14ac:dyDescent="0.3">
      <c r="A2407" s="69"/>
      <c r="B2407" s="69"/>
      <c r="C2407" s="90"/>
      <c r="D2407" s="90"/>
      <c r="E2407" s="90"/>
      <c r="F2407" s="90"/>
      <c r="G2407" s="17" t="s">
        <v>1405</v>
      </c>
      <c r="Z2407" s="101"/>
      <c r="AA2407" s="101"/>
      <c r="AB2407" s="101"/>
      <c r="AC2407" s="101"/>
      <c r="AD2407" s="101"/>
      <c r="AE2407" s="101"/>
      <c r="AF2407" s="101"/>
      <c r="AG2407" s="101"/>
      <c r="AH2407" s="101"/>
      <c r="AI2407" s="101"/>
      <c r="AJ2407" s="101"/>
      <c r="AK2407" s="101"/>
      <c r="AL2407" s="101"/>
      <c r="AM2407" s="101"/>
      <c r="AN2407" s="101"/>
    </row>
    <row r="2408" spans="1:40" ht="16.5" customHeight="1" x14ac:dyDescent="0.3">
      <c r="A2408" s="69"/>
      <c r="B2408" s="69"/>
      <c r="C2408" s="69"/>
      <c r="D2408" s="69"/>
      <c r="E2408" s="69"/>
      <c r="F2408" s="69"/>
      <c r="G2408" s="17" t="s">
        <v>1405</v>
      </c>
      <c r="Z2408" s="101"/>
      <c r="AA2408" s="101"/>
      <c r="AB2408" s="101"/>
      <c r="AC2408" s="101"/>
      <c r="AD2408" s="101"/>
      <c r="AE2408" s="101"/>
      <c r="AF2408" s="101"/>
      <c r="AG2408" s="101"/>
      <c r="AH2408" s="101"/>
      <c r="AI2408" s="101"/>
      <c r="AJ2408" s="101"/>
      <c r="AK2408" s="101"/>
      <c r="AL2408" s="101"/>
      <c r="AM2408" s="101"/>
      <c r="AN2408" s="101"/>
    </row>
    <row r="2409" spans="1:40" ht="16.5" customHeight="1" x14ac:dyDescent="0.3">
      <c r="A2409" s="59"/>
      <c r="B2409" s="68" t="s">
        <v>2281</v>
      </c>
      <c r="C2409" s="69"/>
      <c r="D2409" s="69"/>
      <c r="E2409" s="69"/>
      <c r="F2409" s="69"/>
      <c r="G2409" s="17" t="s">
        <v>2280</v>
      </c>
      <c r="Z2409" s="101"/>
      <c r="AA2409" s="101"/>
      <c r="AB2409" s="101"/>
      <c r="AC2409" s="101"/>
      <c r="AD2409" s="101"/>
      <c r="AE2409" s="101"/>
      <c r="AF2409" s="101"/>
      <c r="AG2409" s="101"/>
      <c r="AH2409" s="101"/>
      <c r="AI2409" s="101"/>
      <c r="AJ2409" s="101"/>
      <c r="AK2409" s="101"/>
      <c r="AL2409" s="101"/>
      <c r="AM2409" s="101"/>
      <c r="AN2409" s="101"/>
    </row>
    <row r="2410" spans="1:40" ht="16.5" customHeight="1" x14ac:dyDescent="0.3">
      <c r="A2410" s="69"/>
      <c r="B2410" s="69"/>
      <c r="C2410" s="69"/>
      <c r="D2410" s="69"/>
      <c r="E2410" s="69"/>
      <c r="F2410" s="69"/>
      <c r="G2410" s="17" t="s">
        <v>1405</v>
      </c>
      <c r="Z2410" s="101"/>
      <c r="AA2410" s="101"/>
      <c r="AB2410" s="101"/>
      <c r="AC2410" s="101"/>
      <c r="AD2410" s="101"/>
      <c r="AE2410" s="101"/>
      <c r="AF2410" s="101"/>
      <c r="AG2410" s="101"/>
      <c r="AH2410" s="101"/>
      <c r="AI2410" s="101"/>
      <c r="AJ2410" s="101"/>
      <c r="AK2410" s="101"/>
      <c r="AL2410" s="101"/>
      <c r="AM2410" s="101"/>
      <c r="AN2410" s="101"/>
    </row>
    <row r="2411" spans="1:40" ht="16.5" customHeight="1" x14ac:dyDescent="0.3">
      <c r="A2411" s="69"/>
      <c r="B2411" s="69"/>
      <c r="C2411" s="69"/>
      <c r="D2411" s="69"/>
      <c r="E2411" s="69"/>
      <c r="F2411" s="69"/>
      <c r="G2411" s="17" t="s">
        <v>1405</v>
      </c>
      <c r="Z2411" s="101"/>
      <c r="AA2411" s="101"/>
      <c r="AB2411" s="101"/>
      <c r="AC2411" s="101"/>
      <c r="AD2411" s="101"/>
      <c r="AE2411" s="101"/>
      <c r="AF2411" s="101"/>
      <c r="AG2411" s="101"/>
      <c r="AH2411" s="101"/>
      <c r="AI2411" s="101"/>
      <c r="AJ2411" s="101"/>
      <c r="AK2411" s="101"/>
      <c r="AL2411" s="101"/>
      <c r="AM2411" s="101"/>
      <c r="AN2411" s="101"/>
    </row>
    <row r="2412" spans="1:40" ht="16.5" customHeight="1" x14ac:dyDescent="0.3">
      <c r="A2412" s="59"/>
      <c r="B2412" s="68" t="s">
        <v>2283</v>
      </c>
      <c r="C2412" s="69"/>
      <c r="D2412" s="69"/>
      <c r="E2412" s="69"/>
      <c r="F2412" s="69"/>
      <c r="G2412" s="17" t="s">
        <v>2282</v>
      </c>
      <c r="Z2412" s="101"/>
      <c r="AA2412" s="101"/>
      <c r="AB2412" s="101"/>
      <c r="AC2412" s="101"/>
      <c r="AD2412" s="101"/>
      <c r="AE2412" s="101"/>
      <c r="AF2412" s="101"/>
      <c r="AG2412" s="101"/>
      <c r="AH2412" s="101"/>
      <c r="AI2412" s="101"/>
      <c r="AJ2412" s="101"/>
      <c r="AK2412" s="101"/>
      <c r="AL2412" s="101"/>
      <c r="AM2412" s="101"/>
      <c r="AN2412" s="101"/>
    </row>
    <row r="2413" spans="1:40" ht="16.5" customHeight="1" x14ac:dyDescent="0.3">
      <c r="A2413" s="69"/>
      <c r="B2413" s="69"/>
      <c r="C2413" s="69"/>
      <c r="D2413" s="69"/>
      <c r="E2413" s="69"/>
      <c r="F2413" s="69"/>
      <c r="G2413" s="17" t="s">
        <v>1405</v>
      </c>
      <c r="Z2413" s="101"/>
      <c r="AA2413" s="101"/>
      <c r="AB2413" s="101"/>
      <c r="AC2413" s="101"/>
      <c r="AD2413" s="101"/>
      <c r="AE2413" s="101"/>
      <c r="AF2413" s="101"/>
      <c r="AG2413" s="101"/>
      <c r="AH2413" s="101"/>
      <c r="AI2413" s="101"/>
      <c r="AJ2413" s="101"/>
      <c r="AK2413" s="101"/>
      <c r="AL2413" s="101"/>
      <c r="AM2413" s="101"/>
      <c r="AN2413" s="101"/>
    </row>
    <row r="2414" spans="1:40" ht="16.5" customHeight="1" x14ac:dyDescent="0.3">
      <c r="A2414" s="69"/>
      <c r="B2414" s="69"/>
      <c r="C2414" s="69"/>
      <c r="D2414" s="69"/>
      <c r="E2414" s="69"/>
      <c r="F2414" s="69"/>
      <c r="G2414" s="17" t="s">
        <v>1405</v>
      </c>
      <c r="Z2414" s="101"/>
      <c r="AA2414" s="101"/>
      <c r="AB2414" s="101"/>
      <c r="AC2414" s="101"/>
      <c r="AD2414" s="101"/>
      <c r="AE2414" s="101"/>
      <c r="AF2414" s="101"/>
      <c r="AG2414" s="101"/>
      <c r="AH2414" s="101"/>
      <c r="AI2414" s="101"/>
      <c r="AJ2414" s="101"/>
      <c r="AK2414" s="101"/>
      <c r="AL2414" s="101"/>
      <c r="AM2414" s="101"/>
      <c r="AN2414" s="101"/>
    </row>
    <row r="2415" spans="1:40" ht="16.5" customHeight="1" x14ac:dyDescent="0.3">
      <c r="A2415" s="59"/>
      <c r="B2415" s="68" t="str">
        <f>"    Q= "&amp;Z2415&amp;" ㎥/hr "</f>
        <v xml:space="preserve">    Q= 16 ㎥/hr </v>
      </c>
      <c r="C2415" s="69"/>
      <c r="D2415" s="69"/>
      <c r="E2415" s="69"/>
      <c r="F2415" s="69"/>
      <c r="G2415" s="17" t="s">
        <v>2284</v>
      </c>
      <c r="Z2415" s="102">
        <v>16</v>
      </c>
      <c r="AA2415" s="35" t="s">
        <v>1410</v>
      </c>
      <c r="AB2415" s="103">
        <f>Z2415</f>
        <v>16</v>
      </c>
      <c r="AC2415" s="101"/>
      <c r="AD2415" s="101"/>
      <c r="AE2415" s="101"/>
      <c r="AF2415" s="101"/>
      <c r="AG2415" s="101"/>
      <c r="AH2415" s="101"/>
      <c r="AI2415" s="101"/>
      <c r="AJ2415" s="101"/>
      <c r="AK2415" s="101"/>
      <c r="AL2415" s="101"/>
      <c r="AM2415" s="101"/>
      <c r="AN2415" s="101"/>
    </row>
    <row r="2416" spans="1:40" ht="16.5" customHeight="1" x14ac:dyDescent="0.3">
      <c r="A2416" s="69"/>
      <c r="B2416" s="69"/>
      <c r="C2416" s="69"/>
      <c r="D2416" s="69"/>
      <c r="E2416" s="69"/>
      <c r="F2416" s="69"/>
      <c r="G2416" s="17" t="s">
        <v>1405</v>
      </c>
      <c r="Z2416" s="101"/>
      <c r="AA2416" s="101"/>
      <c r="AB2416" s="101"/>
      <c r="AC2416" s="101"/>
      <c r="AD2416" s="101"/>
      <c r="AE2416" s="101"/>
      <c r="AF2416" s="101"/>
      <c r="AG2416" s="101"/>
      <c r="AH2416" s="101"/>
      <c r="AI2416" s="101"/>
      <c r="AJ2416" s="101"/>
      <c r="AK2416" s="101"/>
      <c r="AL2416" s="101"/>
      <c r="AM2416" s="101"/>
      <c r="AN2416" s="101"/>
    </row>
    <row r="2417" spans="1:40" ht="16.5" customHeight="1" x14ac:dyDescent="0.3">
      <c r="A2417" s="69"/>
      <c r="B2417" s="69"/>
      <c r="C2417" s="69"/>
      <c r="D2417" s="69"/>
      <c r="E2417" s="69"/>
      <c r="F2417" s="69"/>
      <c r="G2417" s="17" t="s">
        <v>1405</v>
      </c>
      <c r="Z2417" s="101"/>
      <c r="AA2417" s="101"/>
      <c r="AB2417" s="101"/>
      <c r="AC2417" s="101"/>
      <c r="AD2417" s="101"/>
      <c r="AE2417" s="101"/>
      <c r="AF2417" s="101"/>
      <c r="AG2417" s="101"/>
      <c r="AH2417" s="101"/>
      <c r="AI2417" s="101"/>
      <c r="AJ2417" s="101"/>
      <c r="AK2417" s="101"/>
      <c r="AL2417" s="101"/>
      <c r="AM2417" s="101"/>
      <c r="AN2417" s="101"/>
    </row>
    <row r="2418" spans="1:40" ht="16.5" customHeight="1" x14ac:dyDescent="0.3">
      <c r="A2418" s="59" t="s">
        <v>2286</v>
      </c>
      <c r="B2418" s="89" t="str">
        <f>"    노무비: "&amp;TEXT(I2418,"#,##0"&amp;IF(I2418&lt;&gt;INT(I2418),".###",""))&amp;"/Q = "&amp;TEXT(C2418,"#,##0.0")&amp;""</f>
        <v xml:space="preserve">    노무비: 59,020/Q = 3,688.7</v>
      </c>
      <c r="C2418" s="91">
        <f>E2418+D2418+F2418</f>
        <v>3688.7</v>
      </c>
      <c r="D2418" s="91">
        <f>IF(H2418=0,0,ROUNDDOWN(J2418*H2418,1))</f>
        <v>3688.7</v>
      </c>
      <c r="E2418" s="91">
        <f>IF(H2418=0,0,ROUNDDOWN(K2418*H2418,1))</f>
        <v>0</v>
      </c>
      <c r="F2418" s="91">
        <f>IF(H2418=0,0,ROUNDDOWN(L2418*H2418,1))</f>
        <v>0</v>
      </c>
      <c r="G2418" s="17" t="s">
        <v>2285</v>
      </c>
      <c r="H2418" s="97">
        <f>ROUNDUP(AC2418,14-LEN(ABS(INT(AC2418))))</f>
        <v>6.25E-2</v>
      </c>
      <c r="I2418" s="98">
        <f>K2418+J2418+L2418</f>
        <v>59020</v>
      </c>
      <c r="J2418" s="38">
        <f>중기목록표!F4</f>
        <v>59020</v>
      </c>
      <c r="M2418" s="35" t="s">
        <v>2287</v>
      </c>
      <c r="N2418" s="35" t="s">
        <v>1253</v>
      </c>
      <c r="X2418" s="100" t="str">
        <f>중기목록표!B4&amp;" / "&amp;중기목록표!C4</f>
        <v>굴착기 / (0.6㎥)백호우+브레이카</v>
      </c>
      <c r="Y2418" s="3" t="str">
        <f ca="1">HYPERLINK("#"&amp;중기목록표!J2&amp;"!A"&amp;ROW(중기목록표!A4),"중기1 →")</f>
        <v>중기1 →</v>
      </c>
      <c r="Z2418" s="35" t="s">
        <v>1417</v>
      </c>
      <c r="AA2418" s="103">
        <f>AB2415</f>
        <v>16</v>
      </c>
      <c r="AB2418" s="35" t="s">
        <v>1410</v>
      </c>
      <c r="AC2418" s="103">
        <f>1/AB2415</f>
        <v>6.25E-2</v>
      </c>
      <c r="AD2418" s="101"/>
      <c r="AE2418" s="101"/>
      <c r="AF2418" s="101"/>
      <c r="AG2418" s="101"/>
      <c r="AH2418" s="101"/>
      <c r="AI2418" s="101"/>
      <c r="AJ2418" s="101"/>
      <c r="AK2418" s="101"/>
      <c r="AL2418" s="101"/>
      <c r="AM2418" s="101"/>
      <c r="AN2418" s="101"/>
    </row>
    <row r="2419" spans="1:40" ht="16.5" customHeight="1" x14ac:dyDescent="0.3">
      <c r="A2419" s="69"/>
      <c r="B2419" s="69"/>
      <c r="C2419" s="69"/>
      <c r="D2419" s="69"/>
      <c r="E2419" s="69"/>
      <c r="F2419" s="69"/>
      <c r="G2419" s="17" t="s">
        <v>1405</v>
      </c>
      <c r="Z2419" s="101"/>
      <c r="AA2419" s="101"/>
      <c r="AB2419" s="101"/>
      <c r="AC2419" s="101"/>
      <c r="AD2419" s="101"/>
      <c r="AE2419" s="101"/>
      <c r="AF2419" s="101"/>
      <c r="AG2419" s="101"/>
      <c r="AH2419" s="101"/>
      <c r="AI2419" s="101"/>
      <c r="AJ2419" s="101"/>
      <c r="AK2419" s="101"/>
      <c r="AL2419" s="101"/>
      <c r="AM2419" s="101"/>
      <c r="AN2419" s="101"/>
    </row>
    <row r="2420" spans="1:40" ht="16.5" customHeight="1" x14ac:dyDescent="0.3">
      <c r="A2420" s="69"/>
      <c r="B2420" s="69"/>
      <c r="C2420" s="69"/>
      <c r="D2420" s="69"/>
      <c r="E2420" s="69"/>
      <c r="F2420" s="69"/>
      <c r="G2420" s="17" t="s">
        <v>1405</v>
      </c>
      <c r="Z2420" s="101"/>
      <c r="AA2420" s="101"/>
      <c r="AB2420" s="101"/>
      <c r="AC2420" s="101"/>
      <c r="AD2420" s="101"/>
      <c r="AE2420" s="101"/>
      <c r="AF2420" s="101"/>
      <c r="AG2420" s="101"/>
      <c r="AH2420" s="101"/>
      <c r="AI2420" s="101"/>
      <c r="AJ2420" s="101"/>
      <c r="AK2420" s="101"/>
      <c r="AL2420" s="101"/>
      <c r="AM2420" s="101"/>
      <c r="AN2420" s="101"/>
    </row>
    <row r="2421" spans="1:40" ht="16.5" customHeight="1" x14ac:dyDescent="0.3">
      <c r="A2421" s="59" t="s">
        <v>2289</v>
      </c>
      <c r="B2421" s="89" t="str">
        <f>"    재료비: "&amp;TEXT(I2421,"#,##0"&amp;IF(I2421&lt;&gt;INT(I2421),".###",""))&amp;"/Q = "&amp;TEXT(C2421,"#,##0.0")&amp;""</f>
        <v xml:space="preserve">    재료비: 18,349/Q = 1,146.8</v>
      </c>
      <c r="C2421" s="91">
        <f>E2421+D2421+F2421</f>
        <v>1146.8</v>
      </c>
      <c r="D2421" s="91">
        <f>IF(H2421=0,0,ROUNDDOWN(J2421*H2421,1))</f>
        <v>0</v>
      </c>
      <c r="E2421" s="91">
        <f>IF(H2421=0,0,ROUNDDOWN(K2421*H2421,1))</f>
        <v>1146.8</v>
      </c>
      <c r="F2421" s="91">
        <f>IF(H2421=0,0,ROUNDDOWN(L2421*H2421,1))</f>
        <v>0</v>
      </c>
      <c r="G2421" s="17" t="s">
        <v>2288</v>
      </c>
      <c r="H2421" s="97">
        <f>ROUNDUP(AC2421,14-LEN(ABS(INT(AC2421))))</f>
        <v>6.25E-2</v>
      </c>
      <c r="I2421" s="98">
        <f>K2421+J2421+L2421</f>
        <v>18349</v>
      </c>
      <c r="K2421" s="38">
        <f>중기목록표!G4</f>
        <v>18349</v>
      </c>
      <c r="M2421" s="35" t="s">
        <v>2287</v>
      </c>
      <c r="N2421" s="35" t="s">
        <v>1253</v>
      </c>
      <c r="X2421" s="100" t="str">
        <f>중기목록표!B4&amp;" / "&amp;중기목록표!C4</f>
        <v>굴착기 / (0.6㎥)백호우+브레이카</v>
      </c>
      <c r="Y2421" s="3" t="str">
        <f ca="1">HYPERLINK("#"&amp;중기목록표!J2&amp;"!A"&amp;ROW(중기목록표!A4),"중기1 →")</f>
        <v>중기1 →</v>
      </c>
      <c r="Z2421" s="35" t="s">
        <v>1417</v>
      </c>
      <c r="AA2421" s="103">
        <f>AB2415</f>
        <v>16</v>
      </c>
      <c r="AB2421" s="35" t="s">
        <v>1410</v>
      </c>
      <c r="AC2421" s="103">
        <f>1/AB2415</f>
        <v>6.25E-2</v>
      </c>
      <c r="AD2421" s="101"/>
      <c r="AE2421" s="101"/>
      <c r="AF2421" s="101"/>
      <c r="AG2421" s="101"/>
      <c r="AH2421" s="101"/>
      <c r="AI2421" s="101"/>
      <c r="AJ2421" s="101"/>
      <c r="AK2421" s="101"/>
      <c r="AL2421" s="101"/>
      <c r="AM2421" s="101"/>
      <c r="AN2421" s="101"/>
    </row>
    <row r="2422" spans="1:40" ht="16.5" customHeight="1" x14ac:dyDescent="0.3">
      <c r="A2422" s="69"/>
      <c r="B2422" s="69"/>
      <c r="C2422" s="69"/>
      <c r="D2422" s="69"/>
      <c r="E2422" s="69"/>
      <c r="F2422" s="69"/>
      <c r="G2422" s="17" t="s">
        <v>1405</v>
      </c>
      <c r="Z2422" s="101"/>
      <c r="AA2422" s="101"/>
      <c r="AB2422" s="101"/>
      <c r="AC2422" s="101"/>
      <c r="AD2422" s="101"/>
      <c r="AE2422" s="101"/>
      <c r="AF2422" s="101"/>
      <c r="AG2422" s="101"/>
      <c r="AH2422" s="101"/>
      <c r="AI2422" s="101"/>
      <c r="AJ2422" s="101"/>
      <c r="AK2422" s="101"/>
      <c r="AL2422" s="101"/>
      <c r="AM2422" s="101"/>
      <c r="AN2422" s="101"/>
    </row>
    <row r="2423" spans="1:40" ht="16.5" customHeight="1" x14ac:dyDescent="0.3">
      <c r="A2423" s="69"/>
      <c r="B2423" s="69"/>
      <c r="C2423" s="69"/>
      <c r="D2423" s="69"/>
      <c r="E2423" s="69"/>
      <c r="F2423" s="69"/>
      <c r="G2423" s="17" t="s">
        <v>1405</v>
      </c>
      <c r="Z2423" s="101"/>
      <c r="AA2423" s="101"/>
      <c r="AB2423" s="101"/>
      <c r="AC2423" s="101"/>
      <c r="AD2423" s="101"/>
      <c r="AE2423" s="101"/>
      <c r="AF2423" s="101"/>
      <c r="AG2423" s="101"/>
      <c r="AH2423" s="101"/>
      <c r="AI2423" s="101"/>
      <c r="AJ2423" s="101"/>
      <c r="AK2423" s="101"/>
      <c r="AL2423" s="101"/>
      <c r="AM2423" s="101"/>
      <c r="AN2423" s="101"/>
    </row>
    <row r="2424" spans="1:40" ht="16.5" customHeight="1" x14ac:dyDescent="0.3">
      <c r="A2424" s="59" t="s">
        <v>2291</v>
      </c>
      <c r="B2424" s="89" t="str">
        <f>"    경  비: "&amp;TEXT(I2424,"#,##0"&amp;IF(I2424&lt;&gt;INT(I2424),".###",""))&amp;"/Q = "&amp;TEXT(C2424,"#,##0.0")&amp;""</f>
        <v xml:space="preserve">    경  비: 32,779/Q = 2,048.6</v>
      </c>
      <c r="C2424" s="91">
        <f>E2424+D2424+F2424</f>
        <v>2048.6</v>
      </c>
      <c r="D2424" s="91">
        <f>IF(H2424=0,0,ROUNDDOWN(J2424*H2424,1))</f>
        <v>0</v>
      </c>
      <c r="E2424" s="91">
        <f>IF(H2424=0,0,ROUNDDOWN(K2424*H2424,1))</f>
        <v>0</v>
      </c>
      <c r="F2424" s="91">
        <f>IF(H2424=0,0,ROUNDDOWN(L2424*H2424,1))</f>
        <v>2048.6</v>
      </c>
      <c r="G2424" s="17" t="s">
        <v>2290</v>
      </c>
      <c r="H2424" s="97">
        <f>ROUNDUP(AC2424,14-LEN(ABS(INT(AC2424))))</f>
        <v>6.25E-2</v>
      </c>
      <c r="I2424" s="98">
        <f>K2424+J2424+L2424</f>
        <v>32779</v>
      </c>
      <c r="L2424" s="38">
        <f>중기목록표!H4</f>
        <v>32779</v>
      </c>
      <c r="M2424" s="35" t="s">
        <v>2287</v>
      </c>
      <c r="N2424" s="35" t="s">
        <v>1253</v>
      </c>
      <c r="X2424" s="100" t="str">
        <f>중기목록표!B4&amp;" / "&amp;중기목록표!C4</f>
        <v>굴착기 / (0.6㎥)백호우+브레이카</v>
      </c>
      <c r="Y2424" s="3" t="str">
        <f ca="1">HYPERLINK("#"&amp;중기목록표!J2&amp;"!A"&amp;ROW(중기목록표!A4),"중기1 →")</f>
        <v>중기1 →</v>
      </c>
      <c r="Z2424" s="35" t="s">
        <v>1417</v>
      </c>
      <c r="AA2424" s="103">
        <f>AB2415</f>
        <v>16</v>
      </c>
      <c r="AB2424" s="35" t="s">
        <v>1410</v>
      </c>
      <c r="AC2424" s="103">
        <f>1/AB2415</f>
        <v>6.25E-2</v>
      </c>
      <c r="AD2424" s="101"/>
      <c r="AE2424" s="101"/>
      <c r="AF2424" s="101"/>
      <c r="AG2424" s="101"/>
      <c r="AH2424" s="101"/>
      <c r="AI2424" s="101"/>
      <c r="AJ2424" s="101"/>
      <c r="AK2424" s="101"/>
      <c r="AL2424" s="101"/>
      <c r="AM2424" s="101"/>
      <c r="AN2424" s="101"/>
    </row>
    <row r="2425" spans="1:40" ht="16.5" customHeight="1" x14ac:dyDescent="0.3">
      <c r="A2425" s="69"/>
      <c r="B2425" s="69"/>
      <c r="C2425" s="69"/>
      <c r="D2425" s="69"/>
      <c r="E2425" s="69"/>
      <c r="F2425" s="69"/>
      <c r="G2425" s="17" t="s">
        <v>1405</v>
      </c>
      <c r="Z2425" s="101"/>
      <c r="AA2425" s="101"/>
      <c r="AB2425" s="101"/>
      <c r="AC2425" s="101"/>
      <c r="AD2425" s="101"/>
      <c r="AE2425" s="101"/>
      <c r="AF2425" s="101"/>
      <c r="AG2425" s="101"/>
      <c r="AH2425" s="101"/>
      <c r="AI2425" s="101"/>
      <c r="AJ2425" s="101"/>
      <c r="AK2425" s="101"/>
      <c r="AL2425" s="101"/>
      <c r="AM2425" s="101"/>
      <c r="AN2425" s="101"/>
    </row>
    <row r="2426" spans="1:40" ht="16.5" customHeight="1" x14ac:dyDescent="0.3">
      <c r="A2426" s="69"/>
      <c r="B2426" s="69"/>
      <c r="C2426" s="69"/>
      <c r="D2426" s="69"/>
      <c r="E2426" s="69"/>
      <c r="F2426" s="69"/>
      <c r="G2426" s="17" t="s">
        <v>1405</v>
      </c>
      <c r="Z2426" s="101"/>
      <c r="AA2426" s="101"/>
      <c r="AB2426" s="101"/>
      <c r="AC2426" s="101"/>
      <c r="AD2426" s="101"/>
      <c r="AE2426" s="101"/>
      <c r="AF2426" s="101"/>
      <c r="AG2426" s="101"/>
      <c r="AH2426" s="101"/>
      <c r="AI2426" s="101"/>
      <c r="AJ2426" s="101"/>
      <c r="AK2426" s="101"/>
      <c r="AL2426" s="101"/>
      <c r="AM2426" s="101"/>
      <c r="AN2426" s="101"/>
    </row>
    <row r="2427" spans="1:40" ht="16.5" customHeight="1" x14ac:dyDescent="0.3">
      <c r="A2427" s="59"/>
      <c r="B2427" s="68" t="s">
        <v>1492</v>
      </c>
      <c r="C2427" s="69"/>
      <c r="D2427" s="69"/>
      <c r="E2427" s="69"/>
      <c r="F2427" s="69"/>
      <c r="G2427" s="17" t="s">
        <v>1491</v>
      </c>
      <c r="Z2427" s="101"/>
      <c r="AA2427" s="101"/>
      <c r="AB2427" s="101"/>
      <c r="AC2427" s="101"/>
      <c r="AD2427" s="101"/>
      <c r="AE2427" s="101"/>
      <c r="AF2427" s="101"/>
      <c r="AG2427" s="101"/>
      <c r="AH2427" s="101"/>
      <c r="AI2427" s="101"/>
      <c r="AJ2427" s="101"/>
      <c r="AK2427" s="101"/>
      <c r="AL2427" s="101"/>
      <c r="AM2427" s="101"/>
      <c r="AN2427" s="101"/>
    </row>
    <row r="2428" spans="1:40" ht="16.5" customHeight="1" x14ac:dyDescent="0.3">
      <c r="A2428" s="69"/>
      <c r="B2428" s="69"/>
      <c r="C2428" s="69"/>
      <c r="D2428" s="69"/>
      <c r="E2428" s="69"/>
      <c r="F2428" s="69"/>
      <c r="G2428" s="17" t="s">
        <v>1405</v>
      </c>
      <c r="Z2428" s="101"/>
      <c r="AA2428" s="101"/>
      <c r="AB2428" s="101"/>
      <c r="AC2428" s="101"/>
      <c r="AD2428" s="101"/>
      <c r="AE2428" s="101"/>
      <c r="AF2428" s="101"/>
      <c r="AG2428" s="101"/>
      <c r="AH2428" s="101"/>
      <c r="AI2428" s="101"/>
      <c r="AJ2428" s="101"/>
      <c r="AK2428" s="101"/>
      <c r="AL2428" s="101"/>
      <c r="AM2428" s="101"/>
      <c r="AN2428" s="101"/>
    </row>
    <row r="2429" spans="1:40" ht="16.5" customHeight="1" x14ac:dyDescent="0.3">
      <c r="A2429" s="69"/>
      <c r="B2429" s="69"/>
      <c r="C2429" s="69"/>
      <c r="D2429" s="69"/>
      <c r="E2429" s="69"/>
      <c r="F2429" s="69"/>
      <c r="G2429" s="17" t="s">
        <v>1405</v>
      </c>
      <c r="Z2429" s="101"/>
      <c r="AA2429" s="101"/>
      <c r="AB2429" s="101"/>
      <c r="AC2429" s="101"/>
      <c r="AD2429" s="101"/>
      <c r="AE2429" s="101"/>
      <c r="AF2429" s="101"/>
      <c r="AG2429" s="101"/>
      <c r="AH2429" s="101"/>
      <c r="AI2429" s="101"/>
      <c r="AJ2429" s="101"/>
      <c r="AK2429" s="101"/>
      <c r="AL2429" s="101"/>
      <c r="AM2429" s="101"/>
      <c r="AN2429" s="101"/>
    </row>
    <row r="2430" spans="1:40" ht="16.5" customHeight="1" x14ac:dyDescent="0.3">
      <c r="A2430" s="59"/>
      <c r="B2430" s="68" t="s">
        <v>1494</v>
      </c>
      <c r="C2430" s="69"/>
      <c r="D2430" s="69"/>
      <c r="E2430" s="69"/>
      <c r="F2430" s="69"/>
      <c r="G2430" s="17" t="s">
        <v>1493</v>
      </c>
      <c r="Z2430" s="101"/>
      <c r="AA2430" s="101"/>
      <c r="AB2430" s="101"/>
      <c r="AC2430" s="101"/>
      <c r="AD2430" s="101"/>
      <c r="AE2430" s="101"/>
      <c r="AF2430" s="101"/>
      <c r="AG2430" s="101"/>
      <c r="AH2430" s="101"/>
      <c r="AI2430" s="101"/>
      <c r="AJ2430" s="101"/>
      <c r="AK2430" s="101"/>
      <c r="AL2430" s="101"/>
      <c r="AM2430" s="101"/>
      <c r="AN2430" s="101"/>
    </row>
    <row r="2431" spans="1:40" ht="16.5" customHeight="1" x14ac:dyDescent="0.3">
      <c r="A2431" s="69"/>
      <c r="B2431" s="69"/>
      <c r="C2431" s="69"/>
      <c r="D2431" s="69"/>
      <c r="E2431" s="69"/>
      <c r="F2431" s="69"/>
      <c r="G2431" s="17" t="s">
        <v>1405</v>
      </c>
      <c r="Z2431" s="101"/>
      <c r="AA2431" s="101"/>
      <c r="AB2431" s="101"/>
      <c r="AC2431" s="101"/>
      <c r="AD2431" s="101"/>
      <c r="AE2431" s="101"/>
      <c r="AF2431" s="101"/>
      <c r="AG2431" s="101"/>
      <c r="AH2431" s="101"/>
      <c r="AI2431" s="101"/>
      <c r="AJ2431" s="101"/>
      <c r="AK2431" s="101"/>
      <c r="AL2431" s="101"/>
      <c r="AM2431" s="101"/>
      <c r="AN2431" s="101"/>
    </row>
    <row r="2432" spans="1:40" ht="16.5" customHeight="1" x14ac:dyDescent="0.3">
      <c r="A2432" s="59" t="s">
        <v>1496</v>
      </c>
      <c r="B2432" s="89" t="str">
        <f>"     "&amp;Z2432&amp;" 인 *"&amp;TEXT(I2432,"#,##0"&amp;IF(I2432&lt;&gt;INT(I2432),".###",""))&amp;"/("&amp;AB2432&amp;"*Q)= "&amp;TEXT(C2432,"#,##0.0")&amp;""</f>
        <v xml:space="preserve">     1 인 *172,068/(8*Q)= 1,344.2</v>
      </c>
      <c r="C2432" s="91">
        <f>E2432+D2432+F2432</f>
        <v>1344.2</v>
      </c>
      <c r="D2432" s="91">
        <f>IF(H2432=0,0,ROUNDDOWN(J2432*H2432,1))</f>
        <v>1344.2</v>
      </c>
      <c r="E2432" s="91">
        <f>IF(H2432=0,0,ROUNDDOWN(K2432*H2432,1))</f>
        <v>0</v>
      </c>
      <c r="F2432" s="91">
        <f>IF(H2432=0,0,ROUNDDOWN(L2432*H2432,1))</f>
        <v>0</v>
      </c>
      <c r="G2432" s="17" t="s">
        <v>1495</v>
      </c>
      <c r="H2432" s="97">
        <f>ROUNDUP(AG2432,14-LEN(ABS(INT(AG2432))))</f>
        <v>7.8125E-3</v>
      </c>
      <c r="I2432" s="98">
        <f>K2432+J2432+L2432</f>
        <v>172068</v>
      </c>
      <c r="J2432" s="38">
        <f>노무비목록표!E8</f>
        <v>172068</v>
      </c>
      <c r="M2432" s="35" t="s">
        <v>1219</v>
      </c>
      <c r="N2432" s="35" t="s">
        <v>1253</v>
      </c>
      <c r="X2432" s="100" t="str">
        <f>노무비목록표!B8&amp;" / "&amp;노무비목록표!C8</f>
        <v xml:space="preserve">보통인부 / </v>
      </c>
      <c r="Y2432" s="3" t="str">
        <f ca="1">HYPERLINK("#"&amp;노무비목록표!G2&amp;"!A"&amp;ROW(노무비목록표!A8),"노무5 →")</f>
        <v>노무5 →</v>
      </c>
      <c r="Z2432" s="102">
        <v>1</v>
      </c>
      <c r="AA2432" s="35" t="s">
        <v>1497</v>
      </c>
      <c r="AB2432" s="102">
        <v>8</v>
      </c>
      <c r="AC2432" s="35" t="s">
        <v>1436</v>
      </c>
      <c r="AD2432" s="103">
        <f>AB2415</f>
        <v>16</v>
      </c>
      <c r="AE2432" s="35" t="s">
        <v>1468</v>
      </c>
      <c r="AF2432" s="35" t="s">
        <v>1410</v>
      </c>
      <c r="AG2432" s="103">
        <f>Z2432*1/(AB2432*AB2415)</f>
        <v>7.8125E-3</v>
      </c>
      <c r="AH2432" s="101"/>
      <c r="AI2432" s="101"/>
      <c r="AJ2432" s="101"/>
      <c r="AK2432" s="101"/>
      <c r="AL2432" s="101"/>
      <c r="AM2432" s="101"/>
      <c r="AN2432" s="101"/>
    </row>
    <row r="2433" spans="1:40" ht="16.5" customHeight="1" x14ac:dyDescent="0.3">
      <c r="A2433" s="69"/>
      <c r="B2433" s="69"/>
      <c r="C2433" s="69"/>
      <c r="D2433" s="69"/>
      <c r="E2433" s="69"/>
      <c r="F2433" s="69"/>
      <c r="G2433" s="17" t="s">
        <v>1405</v>
      </c>
      <c r="Z2433" s="101"/>
      <c r="AA2433" s="101"/>
      <c r="AB2433" s="101"/>
      <c r="AC2433" s="101"/>
      <c r="AD2433" s="101"/>
      <c r="AE2433" s="101"/>
      <c r="AF2433" s="101"/>
      <c r="AG2433" s="101"/>
      <c r="AH2433" s="101"/>
      <c r="AI2433" s="101"/>
      <c r="AJ2433" s="101"/>
      <c r="AK2433" s="101"/>
      <c r="AL2433" s="101"/>
      <c r="AM2433" s="101"/>
      <c r="AN2433" s="101"/>
    </row>
    <row r="2434" spans="1:40" ht="16.5" customHeight="1" x14ac:dyDescent="0.3">
      <c r="A2434" s="69"/>
      <c r="B2434" s="69"/>
      <c r="C2434" s="69"/>
      <c r="D2434" s="69"/>
      <c r="E2434" s="69"/>
      <c r="F2434" s="69"/>
      <c r="G2434" s="17" t="s">
        <v>1405</v>
      </c>
      <c r="Z2434" s="101"/>
      <c r="AA2434" s="101"/>
      <c r="AB2434" s="101"/>
      <c r="AC2434" s="101"/>
      <c r="AD2434" s="101"/>
      <c r="AE2434" s="101"/>
      <c r="AF2434" s="101"/>
      <c r="AG2434" s="101"/>
      <c r="AH2434" s="101"/>
      <c r="AI2434" s="101"/>
      <c r="AJ2434" s="101"/>
      <c r="AK2434" s="101"/>
      <c r="AL2434" s="101"/>
      <c r="AM2434" s="101"/>
      <c r="AN2434" s="101"/>
    </row>
    <row r="2435" spans="1:40" ht="16.5" customHeight="1" x14ac:dyDescent="0.3">
      <c r="A2435" s="69"/>
      <c r="B2435" s="69"/>
      <c r="C2435" s="69"/>
      <c r="D2435" s="69"/>
      <c r="E2435" s="69"/>
      <c r="F2435" s="69"/>
      <c r="G2435" s="17" t="s">
        <v>1405</v>
      </c>
      <c r="Z2435" s="101"/>
      <c r="AA2435" s="101"/>
      <c r="AB2435" s="101"/>
      <c r="AC2435" s="101"/>
      <c r="AD2435" s="101"/>
      <c r="AE2435" s="101"/>
      <c r="AF2435" s="101"/>
      <c r="AG2435" s="101"/>
      <c r="AH2435" s="101"/>
      <c r="AI2435" s="101"/>
      <c r="AJ2435" s="101"/>
      <c r="AK2435" s="101"/>
      <c r="AL2435" s="101"/>
      <c r="AM2435" s="101"/>
      <c r="AN2435" s="101"/>
    </row>
    <row r="2436" spans="1:40" ht="16.5" customHeight="1" x14ac:dyDescent="0.3">
      <c r="A2436" s="59"/>
      <c r="B2436" s="68" t="s">
        <v>2293</v>
      </c>
      <c r="C2436" s="69"/>
      <c r="D2436" s="69"/>
      <c r="E2436" s="69"/>
      <c r="F2436" s="69"/>
      <c r="G2436" s="17" t="s">
        <v>2292</v>
      </c>
      <c r="Z2436" s="101"/>
      <c r="AA2436" s="101"/>
      <c r="AB2436" s="101"/>
      <c r="AC2436" s="101"/>
      <c r="AD2436" s="101"/>
      <c r="AE2436" s="101"/>
      <c r="AF2436" s="101"/>
      <c r="AG2436" s="101"/>
      <c r="AH2436" s="101"/>
      <c r="AI2436" s="101"/>
      <c r="AJ2436" s="101"/>
      <c r="AK2436" s="101"/>
      <c r="AL2436" s="101"/>
      <c r="AM2436" s="101"/>
      <c r="AN2436" s="101"/>
    </row>
    <row r="2437" spans="1:40" ht="16.5" customHeight="1" x14ac:dyDescent="0.3">
      <c r="A2437" s="69"/>
      <c r="B2437" s="69"/>
      <c r="C2437" s="69"/>
      <c r="D2437" s="69"/>
      <c r="E2437" s="69"/>
      <c r="F2437" s="69"/>
      <c r="G2437" s="17" t="s">
        <v>1405</v>
      </c>
      <c r="Z2437" s="101"/>
      <c r="AA2437" s="101"/>
      <c r="AB2437" s="101"/>
      <c r="AC2437" s="101"/>
      <c r="AD2437" s="101"/>
      <c r="AE2437" s="101"/>
      <c r="AF2437" s="101"/>
      <c r="AG2437" s="101"/>
      <c r="AH2437" s="101"/>
      <c r="AI2437" s="101"/>
      <c r="AJ2437" s="101"/>
      <c r="AK2437" s="101"/>
      <c r="AL2437" s="101"/>
      <c r="AM2437" s="101"/>
      <c r="AN2437" s="101"/>
    </row>
    <row r="2438" spans="1:40" ht="16.5" customHeight="1" x14ac:dyDescent="0.3">
      <c r="A2438" s="69"/>
      <c r="B2438" s="69"/>
      <c r="C2438" s="69"/>
      <c r="D2438" s="69"/>
      <c r="E2438" s="69"/>
      <c r="F2438" s="69"/>
      <c r="G2438" s="17" t="s">
        <v>1405</v>
      </c>
      <c r="Z2438" s="101"/>
      <c r="AA2438" s="101"/>
      <c r="AB2438" s="101"/>
      <c r="AC2438" s="101"/>
      <c r="AD2438" s="101"/>
      <c r="AE2438" s="101"/>
      <c r="AF2438" s="101"/>
      <c r="AG2438" s="101"/>
      <c r="AH2438" s="101"/>
      <c r="AI2438" s="101"/>
      <c r="AJ2438" s="101"/>
      <c r="AK2438" s="101"/>
      <c r="AL2438" s="101"/>
      <c r="AM2438" s="101"/>
      <c r="AN2438" s="101"/>
    </row>
    <row r="2439" spans="1:40" ht="16.5" customHeight="1" x14ac:dyDescent="0.3">
      <c r="A2439" s="59" t="s">
        <v>2295</v>
      </c>
      <c r="B2439" s="89" t="str">
        <f>"    ("&amp;AA2439&amp;" 본/hr *"&amp;TEXT(I2439,"#,##0"&amp;IF(I2439&lt;&gt;INT(I2439),".###",""))&amp;")/Q= "&amp;TEXT(C2439,"#,##0.0")&amp;""</f>
        <v xml:space="preserve">    (0.008 본/hr *220,000)/Q= 110.0</v>
      </c>
      <c r="C2439" s="91">
        <f>E2439+D2439+F2439</f>
        <v>110</v>
      </c>
      <c r="D2439" s="91">
        <f>IF(H2439=0,0,ROUNDDOWN(J2439*H2439,1))</f>
        <v>0</v>
      </c>
      <c r="E2439" s="91">
        <f>IF(H2439=0,0,ROUNDDOWN(K2439*H2439,1))</f>
        <v>110</v>
      </c>
      <c r="F2439" s="91">
        <f>IF(H2439=0,0,ROUNDDOWN(L2439*H2439,1))</f>
        <v>0</v>
      </c>
      <c r="G2439" s="17" t="s">
        <v>2294</v>
      </c>
      <c r="H2439" s="97">
        <f>ROUNDUP(AE2439,14-LEN(ABS(INT(AE2439))))</f>
        <v>5.0000000000000001E-4</v>
      </c>
      <c r="I2439" s="98">
        <f>K2439+J2439+L2439</f>
        <v>220000</v>
      </c>
      <c r="K2439" s="38">
        <f>재료비목록표!E49</f>
        <v>220000</v>
      </c>
      <c r="M2439" s="35" t="s">
        <v>2296</v>
      </c>
      <c r="N2439" s="35" t="s">
        <v>1253</v>
      </c>
      <c r="X2439" s="100" t="str">
        <f>재료비목록표!B49&amp;" / "&amp;재료비목록표!C49</f>
        <v>치즐 / (0.6㎥용)</v>
      </c>
      <c r="Y2439" s="3" t="str">
        <f ca="1">HYPERLINK("#"&amp;재료비목록표!G2&amp;"!A"&amp;ROW(재료비목록표!A49),"자재46 →")</f>
        <v>자재46 →</v>
      </c>
      <c r="Z2439" s="35" t="s">
        <v>1457</v>
      </c>
      <c r="AA2439" s="104">
        <v>8.0000000000000002E-3</v>
      </c>
      <c r="AB2439" s="35" t="s">
        <v>1503</v>
      </c>
      <c r="AC2439" s="103">
        <f>AB2415</f>
        <v>16</v>
      </c>
      <c r="AD2439" s="35" t="s">
        <v>1410</v>
      </c>
      <c r="AE2439" s="103">
        <f>(AA2439*1)/AB2415</f>
        <v>5.0000000000000001E-4</v>
      </c>
      <c r="AF2439" s="101"/>
      <c r="AG2439" s="101"/>
      <c r="AH2439" s="101"/>
      <c r="AI2439" s="101"/>
      <c r="AJ2439" s="101"/>
      <c r="AK2439" s="101"/>
      <c r="AL2439" s="101"/>
      <c r="AM2439" s="101"/>
      <c r="AN2439" s="101"/>
    </row>
    <row r="2440" spans="1:40" ht="16.5" customHeight="1" x14ac:dyDescent="0.3">
      <c r="A2440" s="69"/>
      <c r="B2440" s="69"/>
      <c r="C2440" s="69"/>
      <c r="D2440" s="69"/>
      <c r="E2440" s="69"/>
      <c r="F2440" s="69"/>
      <c r="G2440" s="17" t="s">
        <v>1405</v>
      </c>
      <c r="Z2440" s="101"/>
      <c r="AA2440" s="101"/>
      <c r="AB2440" s="101"/>
      <c r="AC2440" s="101"/>
      <c r="AD2440" s="101"/>
      <c r="AE2440" s="101"/>
      <c r="AF2440" s="101"/>
      <c r="AG2440" s="101"/>
      <c r="AH2440" s="101"/>
      <c r="AI2440" s="101"/>
      <c r="AJ2440" s="101"/>
      <c r="AK2440" s="101"/>
      <c r="AL2440" s="101"/>
      <c r="AM2440" s="101"/>
      <c r="AN2440" s="101"/>
    </row>
    <row r="2441" spans="1:40" ht="16.5" customHeight="1" x14ac:dyDescent="0.3">
      <c r="A2441" s="69"/>
      <c r="B2441" s="69"/>
      <c r="C2441" s="69"/>
      <c r="D2441" s="69"/>
      <c r="E2441" s="69"/>
      <c r="F2441" s="69"/>
      <c r="G2441" s="17" t="s">
        <v>1405</v>
      </c>
      <c r="Z2441" s="101"/>
      <c r="AA2441" s="101"/>
      <c r="AB2441" s="101"/>
      <c r="AC2441" s="101"/>
      <c r="AD2441" s="101"/>
      <c r="AE2441" s="101"/>
      <c r="AF2441" s="101"/>
      <c r="AG2441" s="101"/>
      <c r="AH2441" s="101"/>
      <c r="AI2441" s="101"/>
      <c r="AJ2441" s="101"/>
      <c r="AK2441" s="101"/>
      <c r="AL2441" s="101"/>
      <c r="AM2441" s="101"/>
      <c r="AN2441" s="101"/>
    </row>
    <row r="2442" spans="1:40" ht="16.5" customHeight="1" x14ac:dyDescent="0.3">
      <c r="A2442" s="59"/>
      <c r="B2442" s="68" t="s">
        <v>1251</v>
      </c>
      <c r="C2442" s="92">
        <f>E2442+D2442+F2442</f>
        <v>8338.2999999999993</v>
      </c>
      <c r="D2442" s="92">
        <f>SUMIF(N2407:N2441,M2442,D2407:D2441)</f>
        <v>5032.8999999999996</v>
      </c>
      <c r="E2442" s="92">
        <f>SUMIF(N2407:N2441,M2442,E2407:E2441)</f>
        <v>1256.8</v>
      </c>
      <c r="F2442" s="92">
        <f>SUMIF(N2407:N2441,M2442,F2407:F2441)</f>
        <v>2048.6</v>
      </c>
      <c r="G2442" s="17" t="s">
        <v>1476</v>
      </c>
      <c r="M2442" s="35" t="s">
        <v>1253</v>
      </c>
      <c r="N2442" s="35" t="s">
        <v>1209</v>
      </c>
      <c r="Z2442" s="101"/>
      <c r="AA2442" s="101"/>
      <c r="AB2442" s="101"/>
      <c r="AC2442" s="101"/>
      <c r="AD2442" s="101"/>
      <c r="AE2442" s="101"/>
      <c r="AF2442" s="101"/>
      <c r="AG2442" s="101"/>
      <c r="AH2442" s="101"/>
      <c r="AI2442" s="101"/>
      <c r="AJ2442" s="101"/>
      <c r="AK2442" s="101"/>
      <c r="AL2442" s="101"/>
      <c r="AM2442" s="101"/>
      <c r="AN2442" s="101"/>
    </row>
    <row r="2443" spans="1:40" ht="16.5" customHeight="1" x14ac:dyDescent="0.3">
      <c r="A2443" s="69"/>
      <c r="B2443" s="69"/>
      <c r="C2443" s="90"/>
      <c r="D2443" s="90"/>
      <c r="E2443" s="90"/>
      <c r="F2443" s="90"/>
      <c r="Z2443" s="101"/>
      <c r="AA2443" s="101"/>
      <c r="AB2443" s="101"/>
      <c r="AC2443" s="101"/>
      <c r="AD2443" s="101"/>
      <c r="AE2443" s="101"/>
      <c r="AF2443" s="101"/>
      <c r="AG2443" s="101"/>
      <c r="AH2443" s="101"/>
      <c r="AI2443" s="101"/>
      <c r="AJ2443" s="101"/>
      <c r="AK2443" s="101"/>
      <c r="AL2443" s="101"/>
      <c r="AM2443" s="101"/>
      <c r="AN2443" s="101"/>
    </row>
    <row r="2444" spans="1:40" ht="16.5" customHeight="1" x14ac:dyDescent="0.3">
      <c r="A2444" s="69"/>
      <c r="B2444" s="69"/>
      <c r="C2444" s="69"/>
      <c r="D2444" s="69"/>
      <c r="E2444" s="69"/>
      <c r="F2444" s="69"/>
      <c r="Z2444" s="101"/>
      <c r="AA2444" s="101"/>
      <c r="AB2444" s="101"/>
      <c r="AC2444" s="101"/>
      <c r="AD2444" s="101"/>
      <c r="AE2444" s="101"/>
      <c r="AF2444" s="101"/>
      <c r="AG2444" s="101"/>
      <c r="AH2444" s="101"/>
      <c r="AI2444" s="101"/>
      <c r="AJ2444" s="101"/>
      <c r="AK2444" s="101"/>
      <c r="AL2444" s="101"/>
      <c r="AM2444" s="101"/>
      <c r="AN2444" s="101"/>
    </row>
    <row r="2445" spans="1:40" ht="16.5" customHeight="1" x14ac:dyDescent="0.3">
      <c r="A2445" s="69"/>
      <c r="B2445" s="69"/>
      <c r="C2445" s="69"/>
      <c r="D2445" s="69"/>
      <c r="E2445" s="69"/>
      <c r="F2445" s="69"/>
      <c r="Z2445" s="101"/>
      <c r="AA2445" s="101"/>
      <c r="AB2445" s="101"/>
      <c r="AC2445" s="101"/>
      <c r="AD2445" s="101"/>
      <c r="AE2445" s="101"/>
      <c r="AF2445" s="101"/>
      <c r="AG2445" s="101"/>
      <c r="AH2445" s="101"/>
      <c r="AI2445" s="101"/>
      <c r="AJ2445" s="101"/>
      <c r="AK2445" s="101"/>
      <c r="AL2445" s="101"/>
      <c r="AM2445" s="101"/>
      <c r="AN2445" s="101"/>
    </row>
    <row r="2446" spans="1:40" ht="16.5" customHeight="1" x14ac:dyDescent="0.3">
      <c r="A2446" s="69"/>
      <c r="B2446" s="69"/>
      <c r="C2446" s="69"/>
      <c r="D2446" s="69"/>
      <c r="E2446" s="69"/>
      <c r="F2446" s="69"/>
      <c r="Z2446" s="101"/>
      <c r="AA2446" s="101"/>
      <c r="AB2446" s="101"/>
      <c r="AC2446" s="101"/>
      <c r="AD2446" s="101"/>
      <c r="AE2446" s="101"/>
      <c r="AF2446" s="101"/>
      <c r="AG2446" s="101"/>
      <c r="AH2446" s="101"/>
      <c r="AI2446" s="101"/>
      <c r="AJ2446" s="101"/>
      <c r="AK2446" s="101"/>
      <c r="AL2446" s="101"/>
      <c r="AM2446" s="101"/>
      <c r="AN2446" s="101"/>
    </row>
    <row r="2447" spans="1:40" ht="16.5" customHeight="1" x14ac:dyDescent="0.3">
      <c r="A2447" s="69"/>
      <c r="B2447" s="69"/>
      <c r="C2447" s="69"/>
      <c r="D2447" s="69"/>
      <c r="E2447" s="69"/>
      <c r="F2447" s="69"/>
      <c r="Z2447" s="101"/>
      <c r="AA2447" s="101"/>
      <c r="AB2447" s="101"/>
      <c r="AC2447" s="101"/>
      <c r="AD2447" s="101"/>
      <c r="AE2447" s="101"/>
      <c r="AF2447" s="101"/>
      <c r="AG2447" s="101"/>
      <c r="AH2447" s="101"/>
      <c r="AI2447" s="101"/>
      <c r="AJ2447" s="101"/>
      <c r="AK2447" s="101"/>
      <c r="AL2447" s="101"/>
      <c r="AM2447" s="101"/>
      <c r="AN2447" s="101"/>
    </row>
    <row r="2448" spans="1:40" ht="16.5" customHeight="1" x14ac:dyDescent="0.3">
      <c r="A2448" s="69"/>
      <c r="B2448" s="69"/>
      <c r="C2448" s="69"/>
      <c r="D2448" s="69"/>
      <c r="E2448" s="69"/>
      <c r="F2448" s="69"/>
      <c r="Z2448" s="101"/>
      <c r="AA2448" s="101"/>
      <c r="AB2448" s="101"/>
      <c r="AC2448" s="101"/>
      <c r="AD2448" s="101"/>
      <c r="AE2448" s="101"/>
      <c r="AF2448" s="101"/>
      <c r="AG2448" s="101"/>
      <c r="AH2448" s="101"/>
      <c r="AI2448" s="101"/>
      <c r="AJ2448" s="101"/>
      <c r="AK2448" s="101"/>
      <c r="AL2448" s="101"/>
      <c r="AM2448" s="101"/>
      <c r="AN2448" s="101"/>
    </row>
    <row r="2449" spans="1:40" ht="16.5" customHeight="1" x14ac:dyDescent="0.3">
      <c r="A2449" s="69"/>
      <c r="B2449" s="69"/>
      <c r="C2449" s="69"/>
      <c r="D2449" s="69"/>
      <c r="E2449" s="69"/>
      <c r="F2449" s="69"/>
      <c r="Z2449" s="101"/>
      <c r="AA2449" s="101"/>
      <c r="AB2449" s="101"/>
      <c r="AC2449" s="101"/>
      <c r="AD2449" s="101"/>
      <c r="AE2449" s="101"/>
      <c r="AF2449" s="101"/>
      <c r="AG2449" s="101"/>
      <c r="AH2449" s="101"/>
      <c r="AI2449" s="101"/>
      <c r="AJ2449" s="101"/>
      <c r="AK2449" s="101"/>
      <c r="AL2449" s="101"/>
      <c r="AM2449" s="101"/>
      <c r="AN2449" s="101"/>
    </row>
    <row r="2450" spans="1:40" ht="16.5" customHeight="1" x14ac:dyDescent="0.3">
      <c r="A2450" s="69"/>
      <c r="B2450" s="69"/>
      <c r="C2450" s="69"/>
      <c r="D2450" s="69"/>
      <c r="E2450" s="69"/>
      <c r="F2450" s="69"/>
      <c r="Z2450" s="101"/>
      <c r="AA2450" s="101"/>
      <c r="AB2450" s="101"/>
      <c r="AC2450" s="101"/>
      <c r="AD2450" s="101"/>
      <c r="AE2450" s="101"/>
      <c r="AF2450" s="101"/>
      <c r="AG2450" s="101"/>
      <c r="AH2450" s="101"/>
      <c r="AI2450" s="101"/>
      <c r="AJ2450" s="101"/>
      <c r="AK2450" s="101"/>
      <c r="AL2450" s="101"/>
      <c r="AM2450" s="101"/>
      <c r="AN2450" s="101"/>
    </row>
    <row r="2451" spans="1:40" ht="16.5" customHeight="1" x14ac:dyDescent="0.3">
      <c r="A2451" s="69"/>
      <c r="B2451" s="69"/>
      <c r="C2451" s="69"/>
      <c r="D2451" s="69"/>
      <c r="E2451" s="69"/>
      <c r="F2451" s="69"/>
      <c r="Z2451" s="101"/>
      <c r="AA2451" s="101"/>
      <c r="AB2451" s="101"/>
      <c r="AC2451" s="101"/>
      <c r="AD2451" s="101"/>
      <c r="AE2451" s="101"/>
      <c r="AF2451" s="101"/>
      <c r="AG2451" s="101"/>
      <c r="AH2451" s="101"/>
      <c r="AI2451" s="101"/>
      <c r="AJ2451" s="101"/>
      <c r="AK2451" s="101"/>
      <c r="AL2451" s="101"/>
      <c r="AM2451" s="101"/>
      <c r="AN2451" s="101"/>
    </row>
    <row r="2452" spans="1:40" ht="16.5" customHeight="1" x14ac:dyDescent="0.3">
      <c r="A2452" s="69"/>
      <c r="B2452" s="69"/>
      <c r="C2452" s="69"/>
      <c r="D2452" s="69"/>
      <c r="E2452" s="69"/>
      <c r="F2452" s="69"/>
      <c r="Z2452" s="101"/>
      <c r="AA2452" s="101"/>
      <c r="AB2452" s="101"/>
      <c r="AC2452" s="101"/>
      <c r="AD2452" s="101"/>
      <c r="AE2452" s="101"/>
      <c r="AF2452" s="101"/>
      <c r="AG2452" s="101"/>
      <c r="AH2452" s="101"/>
      <c r="AI2452" s="101"/>
      <c r="AJ2452" s="101"/>
      <c r="AK2452" s="101"/>
      <c r="AL2452" s="101"/>
      <c r="AM2452" s="101"/>
      <c r="AN2452" s="101"/>
    </row>
    <row r="2453" spans="1:40" ht="16.5" customHeight="1" x14ac:dyDescent="0.3">
      <c r="A2453" s="74"/>
      <c r="B2453" s="74"/>
      <c r="C2453" s="74"/>
      <c r="D2453" s="74"/>
      <c r="E2453" s="74"/>
      <c r="F2453" s="74"/>
      <c r="Z2453" s="101"/>
      <c r="AA2453" s="101"/>
      <c r="AB2453" s="101"/>
      <c r="AC2453" s="101"/>
      <c r="AD2453" s="101"/>
      <c r="AE2453" s="101"/>
      <c r="AF2453" s="101"/>
      <c r="AG2453" s="101"/>
      <c r="AH2453" s="101"/>
      <c r="AI2453" s="101"/>
      <c r="AJ2453" s="101"/>
      <c r="AK2453" s="101"/>
      <c r="AL2453" s="101"/>
      <c r="AM2453" s="101"/>
      <c r="AN2453" s="101"/>
    </row>
    <row r="2454" spans="1:40" ht="16.5" customHeight="1" x14ac:dyDescent="0.3">
      <c r="A2454" s="150" t="s">
        <v>1477</v>
      </c>
      <c r="B2454" s="143"/>
      <c r="C2454" s="47">
        <f>E2454+D2454+F2454</f>
        <v>8336</v>
      </c>
      <c r="D2454" s="46">
        <f>ROUNDDOWN(SUMIF(N2407:N2442,M2454,D2407:D2442),0)</f>
        <v>5032</v>
      </c>
      <c r="E2454" s="55">
        <f>ROUNDDOWN(SUMIF(N2407:N2442,M2454,E2407:E2442),0)</f>
        <v>1256</v>
      </c>
      <c r="F2454" s="47">
        <f>ROUNDDOWN(SUMIF(N2407:N2442,M2454,F2407:F2442),0)</f>
        <v>2048</v>
      </c>
      <c r="M2454" s="35" t="s">
        <v>1209</v>
      </c>
      <c r="Z2454" s="101"/>
      <c r="AA2454" s="101"/>
      <c r="AB2454" s="101"/>
      <c r="AC2454" s="101"/>
      <c r="AD2454" s="101"/>
      <c r="AE2454" s="101"/>
      <c r="AF2454" s="101"/>
      <c r="AG2454" s="101"/>
      <c r="AH2454" s="101"/>
      <c r="AI2454" s="101"/>
      <c r="AJ2454" s="101"/>
      <c r="AK2454" s="101"/>
      <c r="AL2454" s="101"/>
      <c r="AM2454" s="101"/>
      <c r="AN2454" s="101"/>
    </row>
    <row r="2455" spans="1:40" ht="16.5" customHeight="1" x14ac:dyDescent="0.3">
      <c r="A2455" s="86" t="s">
        <v>247</v>
      </c>
      <c r="B2455" s="88" t="s">
        <v>247</v>
      </c>
      <c r="C2455" s="151">
        <f>C2504</f>
        <v>8345</v>
      </c>
      <c r="D2455" s="151">
        <f>D2504</f>
        <v>7443</v>
      </c>
      <c r="E2455" s="151">
        <f>E2504</f>
        <v>441</v>
      </c>
      <c r="F2455" s="151">
        <f>F2504</f>
        <v>461</v>
      </c>
      <c r="G2455" s="84" t="str">
        <f>HYPERLINK("#G"&amp;ROW(G2485),"_x0005_`BDCOD|D03839_x0007_`POSS|"&amp;ROW(G2457)&amp;"_x0007_`POSE|"&amp;ROW(G2485)&amp;"_x0007_`")</f>
        <v>_x0005_`BDCOD|D03839_x0007_`POSS|2457_x0007_`POSE|2485_x0007_`</v>
      </c>
      <c r="Z2455" s="101"/>
      <c r="AA2455" s="101"/>
      <c r="AB2455" s="101"/>
      <c r="AC2455" s="101"/>
      <c r="AD2455" s="101"/>
      <c r="AE2455" s="101"/>
      <c r="AF2455" s="101"/>
      <c r="AG2455" s="101"/>
      <c r="AH2455" s="101"/>
      <c r="AI2455" s="101"/>
      <c r="AJ2455" s="101"/>
      <c r="AK2455" s="101"/>
      <c r="AL2455" s="101"/>
      <c r="AM2455" s="101"/>
      <c r="AN2455" s="101"/>
    </row>
    <row r="2456" spans="1:40" ht="16.5" customHeight="1" x14ac:dyDescent="0.3">
      <c r="A2456" s="87"/>
      <c r="B2456" s="88" t="s">
        <v>246</v>
      </c>
      <c r="C2456" s="136"/>
      <c r="D2456" s="136"/>
      <c r="E2456" s="136"/>
      <c r="F2456" s="136"/>
      <c r="M2456" s="35" t="s">
        <v>2297</v>
      </c>
      <c r="Z2456" s="101"/>
      <c r="AA2456" s="101"/>
      <c r="AB2456" s="101"/>
      <c r="AC2456" s="101"/>
      <c r="AD2456" s="101"/>
      <c r="AE2456" s="101"/>
      <c r="AF2456" s="101"/>
      <c r="AG2456" s="101"/>
      <c r="AH2456" s="101"/>
      <c r="AI2456" s="101"/>
      <c r="AJ2456" s="101"/>
      <c r="AK2456" s="101"/>
      <c r="AL2456" s="101"/>
      <c r="AM2456" s="101"/>
      <c r="AN2456" s="101"/>
    </row>
    <row r="2457" spans="1:40" ht="16.5" customHeight="1" x14ac:dyDescent="0.3">
      <c r="A2457" s="69"/>
      <c r="B2457" s="69"/>
      <c r="C2457" s="90"/>
      <c r="D2457" s="90"/>
      <c r="E2457" s="90"/>
      <c r="F2457" s="90"/>
      <c r="G2457" s="17" t="s">
        <v>1405</v>
      </c>
      <c r="Z2457" s="101"/>
      <c r="AA2457" s="101"/>
      <c r="AB2457" s="101"/>
      <c r="AC2457" s="101"/>
      <c r="AD2457" s="101"/>
      <c r="AE2457" s="101"/>
      <c r="AF2457" s="101"/>
      <c r="AG2457" s="101"/>
      <c r="AH2457" s="101"/>
      <c r="AI2457" s="101"/>
      <c r="AJ2457" s="101"/>
      <c r="AK2457" s="101"/>
      <c r="AL2457" s="101"/>
      <c r="AM2457" s="101"/>
      <c r="AN2457" s="101"/>
    </row>
    <row r="2458" spans="1:40" ht="16.5" customHeight="1" x14ac:dyDescent="0.3">
      <c r="A2458" s="59"/>
      <c r="B2458" s="68" t="s">
        <v>2299</v>
      </c>
      <c r="C2458" s="69"/>
      <c r="D2458" s="69"/>
      <c r="E2458" s="69"/>
      <c r="F2458" s="69"/>
      <c r="G2458" s="17" t="s">
        <v>2298</v>
      </c>
      <c r="Z2458" s="101"/>
      <c r="AA2458" s="101"/>
      <c r="AB2458" s="101"/>
      <c r="AC2458" s="101"/>
      <c r="AD2458" s="101"/>
      <c r="AE2458" s="101"/>
      <c r="AF2458" s="101"/>
      <c r="AG2458" s="101"/>
      <c r="AH2458" s="101"/>
      <c r="AI2458" s="101"/>
      <c r="AJ2458" s="101"/>
      <c r="AK2458" s="101"/>
      <c r="AL2458" s="101"/>
      <c r="AM2458" s="101"/>
      <c r="AN2458" s="101"/>
    </row>
    <row r="2459" spans="1:40" ht="16.5" customHeight="1" x14ac:dyDescent="0.3">
      <c r="A2459" s="69"/>
      <c r="B2459" s="69"/>
      <c r="C2459" s="69"/>
      <c r="D2459" s="69"/>
      <c r="E2459" s="69"/>
      <c r="F2459" s="69"/>
      <c r="G2459" s="17" t="s">
        <v>1405</v>
      </c>
      <c r="Z2459" s="101"/>
      <c r="AA2459" s="101"/>
      <c r="AB2459" s="101"/>
      <c r="AC2459" s="101"/>
      <c r="AD2459" s="101"/>
      <c r="AE2459" s="101"/>
      <c r="AF2459" s="101"/>
      <c r="AG2459" s="101"/>
      <c r="AH2459" s="101"/>
      <c r="AI2459" s="101"/>
      <c r="AJ2459" s="101"/>
      <c r="AK2459" s="101"/>
      <c r="AL2459" s="101"/>
      <c r="AM2459" s="101"/>
      <c r="AN2459" s="101"/>
    </row>
    <row r="2460" spans="1:40" ht="16.5" customHeight="1" x14ac:dyDescent="0.3">
      <c r="A2460" s="69"/>
      <c r="B2460" s="69"/>
      <c r="C2460" s="69"/>
      <c r="D2460" s="69"/>
      <c r="E2460" s="69"/>
      <c r="F2460" s="69"/>
      <c r="G2460" s="17" t="s">
        <v>1405</v>
      </c>
      <c r="Z2460" s="101"/>
      <c r="AA2460" s="101"/>
      <c r="AB2460" s="101"/>
      <c r="AC2460" s="101"/>
      <c r="AD2460" s="101"/>
      <c r="AE2460" s="101"/>
      <c r="AF2460" s="101"/>
      <c r="AG2460" s="101"/>
      <c r="AH2460" s="101"/>
      <c r="AI2460" s="101"/>
      <c r="AJ2460" s="101"/>
      <c r="AK2460" s="101"/>
      <c r="AL2460" s="101"/>
      <c r="AM2460" s="101"/>
      <c r="AN2460" s="101"/>
    </row>
    <row r="2461" spans="1:40" ht="16.5" customHeight="1" x14ac:dyDescent="0.3">
      <c r="A2461" s="59"/>
      <c r="B2461" s="68" t="s">
        <v>2301</v>
      </c>
      <c r="C2461" s="69"/>
      <c r="D2461" s="69"/>
      <c r="E2461" s="69"/>
      <c r="F2461" s="69"/>
      <c r="G2461" s="17" t="s">
        <v>2300</v>
      </c>
      <c r="Z2461" s="101"/>
      <c r="AA2461" s="101"/>
      <c r="AB2461" s="101"/>
      <c r="AC2461" s="101"/>
      <c r="AD2461" s="101"/>
      <c r="AE2461" s="101"/>
      <c r="AF2461" s="101"/>
      <c r="AG2461" s="101"/>
      <c r="AH2461" s="101"/>
      <c r="AI2461" s="101"/>
      <c r="AJ2461" s="101"/>
      <c r="AK2461" s="101"/>
      <c r="AL2461" s="101"/>
      <c r="AM2461" s="101"/>
      <c r="AN2461" s="101"/>
    </row>
    <row r="2462" spans="1:40" ht="16.5" customHeight="1" x14ac:dyDescent="0.3">
      <c r="A2462" s="69"/>
      <c r="B2462" s="69"/>
      <c r="C2462" s="69"/>
      <c r="D2462" s="69"/>
      <c r="E2462" s="69"/>
      <c r="F2462" s="69"/>
      <c r="G2462" s="17" t="s">
        <v>1405</v>
      </c>
      <c r="Z2462" s="101"/>
      <c r="AA2462" s="101"/>
      <c r="AB2462" s="101"/>
      <c r="AC2462" s="101"/>
      <c r="AD2462" s="101"/>
      <c r="AE2462" s="101"/>
      <c r="AF2462" s="101"/>
      <c r="AG2462" s="101"/>
      <c r="AH2462" s="101"/>
      <c r="AI2462" s="101"/>
      <c r="AJ2462" s="101"/>
      <c r="AK2462" s="101"/>
      <c r="AL2462" s="101"/>
      <c r="AM2462" s="101"/>
      <c r="AN2462" s="101"/>
    </row>
    <row r="2463" spans="1:40" ht="16.5" customHeight="1" x14ac:dyDescent="0.3">
      <c r="A2463" s="59"/>
      <c r="B2463" s="68" t="str">
        <f>"  q = "&amp;Z2463&amp;", k = "&amp;AD2463&amp;", f = "&amp;AH2463&amp;"/"&amp;AJ2463&amp;" = "&amp;AL2463&amp;""</f>
        <v xml:space="preserve">  q = 0.6, k = 0.9, f = 1/1.3 = 0.769</v>
      </c>
      <c r="C2463" s="69"/>
      <c r="D2463" s="69"/>
      <c r="E2463" s="69"/>
      <c r="F2463" s="69"/>
      <c r="G2463" s="17" t="s">
        <v>2302</v>
      </c>
      <c r="Z2463" s="104">
        <v>0.6</v>
      </c>
      <c r="AA2463" s="35" t="s">
        <v>1410</v>
      </c>
      <c r="AB2463" s="103">
        <f>Z2463</f>
        <v>0.6</v>
      </c>
      <c r="AC2463" s="105" t="s">
        <v>1453</v>
      </c>
      <c r="AD2463" s="104">
        <v>0.9</v>
      </c>
      <c r="AE2463" s="35" t="s">
        <v>1410</v>
      </c>
      <c r="AF2463" s="103">
        <f>AD2463</f>
        <v>0.9</v>
      </c>
      <c r="AG2463" s="105" t="s">
        <v>1453</v>
      </c>
      <c r="AH2463" s="102">
        <v>1</v>
      </c>
      <c r="AI2463" s="35" t="s">
        <v>1413</v>
      </c>
      <c r="AJ2463" s="104">
        <v>1.3</v>
      </c>
      <c r="AK2463" s="35" t="s">
        <v>1410</v>
      </c>
      <c r="AL2463" s="103" t="str">
        <f>TEXT(ROUND(AH2463/AJ2463,3),"#,0.000")</f>
        <v>0.769</v>
      </c>
      <c r="AM2463" s="101"/>
      <c r="AN2463" s="101"/>
    </row>
    <row r="2464" spans="1:40" ht="16.5" customHeight="1" x14ac:dyDescent="0.3">
      <c r="A2464" s="69"/>
      <c r="B2464" s="69"/>
      <c r="C2464" s="69"/>
      <c r="D2464" s="69"/>
      <c r="E2464" s="69"/>
      <c r="F2464" s="69"/>
      <c r="G2464" s="17" t="s">
        <v>1405</v>
      </c>
      <c r="Z2464" s="101"/>
      <c r="AA2464" s="101"/>
      <c r="AB2464" s="101"/>
      <c r="AC2464" s="101"/>
      <c r="AD2464" s="101"/>
      <c r="AE2464" s="101"/>
      <c r="AF2464" s="101"/>
      <c r="AG2464" s="101"/>
      <c r="AH2464" s="101"/>
      <c r="AI2464" s="101"/>
      <c r="AJ2464" s="101"/>
      <c r="AK2464" s="101"/>
      <c r="AL2464" s="101"/>
      <c r="AM2464" s="101"/>
      <c r="AN2464" s="101"/>
    </row>
    <row r="2465" spans="1:40" ht="16.5" customHeight="1" x14ac:dyDescent="0.3">
      <c r="A2465" s="59"/>
      <c r="B2465" s="68" t="str">
        <f>" E = "&amp;Z2465&amp;"-"&amp;AB2465&amp;" = "&amp;AD2465&amp;", Cm = "&amp;AF2465&amp;" sec(90˚) "</f>
        <v xml:space="preserve"> E = 0.6-0.05 = 0.550, Cm = 18 sec(90˚) </v>
      </c>
      <c r="C2465" s="69"/>
      <c r="D2465" s="69"/>
      <c r="E2465" s="69"/>
      <c r="F2465" s="69"/>
      <c r="G2465" s="17" t="s">
        <v>2303</v>
      </c>
      <c r="Z2465" s="104">
        <v>0.6</v>
      </c>
      <c r="AA2465" s="35" t="s">
        <v>1464</v>
      </c>
      <c r="AB2465" s="104">
        <v>0.05</v>
      </c>
      <c r="AC2465" s="35" t="s">
        <v>1410</v>
      </c>
      <c r="AD2465" s="103" t="str">
        <f>TEXT(ROUND(Z2465-AB2465,3),"#,0.000")</f>
        <v>0.550</v>
      </c>
      <c r="AE2465" s="105" t="s">
        <v>1453</v>
      </c>
      <c r="AF2465" s="102">
        <v>18</v>
      </c>
      <c r="AG2465" s="35" t="s">
        <v>1410</v>
      </c>
      <c r="AH2465" s="103">
        <f>AF2465</f>
        <v>18</v>
      </c>
      <c r="AI2465" s="101"/>
      <c r="AJ2465" s="101"/>
      <c r="AK2465" s="101"/>
      <c r="AL2465" s="101"/>
      <c r="AM2465" s="101"/>
      <c r="AN2465" s="101"/>
    </row>
    <row r="2466" spans="1:40" ht="16.5" customHeight="1" x14ac:dyDescent="0.3">
      <c r="A2466" s="69"/>
      <c r="B2466" s="69"/>
      <c r="C2466" s="69"/>
      <c r="D2466" s="69"/>
      <c r="E2466" s="69"/>
      <c r="F2466" s="69"/>
      <c r="G2466" s="17" t="s">
        <v>1405</v>
      </c>
      <c r="Z2466" s="101"/>
      <c r="AA2466" s="101"/>
      <c r="AB2466" s="101"/>
      <c r="AC2466" s="101"/>
      <c r="AD2466" s="101"/>
      <c r="AE2466" s="101"/>
      <c r="AF2466" s="101"/>
      <c r="AG2466" s="101"/>
      <c r="AH2466" s="101"/>
      <c r="AI2466" s="101"/>
      <c r="AJ2466" s="101"/>
      <c r="AK2466" s="101"/>
      <c r="AL2466" s="101"/>
      <c r="AM2466" s="101"/>
      <c r="AN2466" s="101"/>
    </row>
    <row r="2467" spans="1:40" ht="16.5" customHeight="1" x14ac:dyDescent="0.3">
      <c r="A2467" s="59"/>
      <c r="B2467" s="68" t="str">
        <f>"  Q = "&amp;Z2467&amp;"*q*k*f*E/Cm = "&amp;AL2467&amp;"  ㎥/hr "</f>
        <v xml:space="preserve">  Q = 3600*q*k*f*E/Cm = 45.679  ㎥/hr </v>
      </c>
      <c r="C2467" s="69"/>
      <c r="D2467" s="69"/>
      <c r="E2467" s="69"/>
      <c r="F2467" s="69"/>
      <c r="G2467" s="17" t="s">
        <v>2304</v>
      </c>
      <c r="Z2467" s="102">
        <v>3600</v>
      </c>
      <c r="AA2467" s="35" t="s">
        <v>1436</v>
      </c>
      <c r="AB2467" s="103">
        <f>AB2463</f>
        <v>0.6</v>
      </c>
      <c r="AC2467" s="35" t="s">
        <v>1436</v>
      </c>
      <c r="AD2467" s="103">
        <f>AF2463</f>
        <v>0.9</v>
      </c>
      <c r="AE2467" s="35" t="s">
        <v>1436</v>
      </c>
      <c r="AF2467" s="103" t="str">
        <f>AL2463</f>
        <v>0.769</v>
      </c>
      <c r="AG2467" s="35" t="s">
        <v>1436</v>
      </c>
      <c r="AH2467" s="103" t="str">
        <f>AD2465</f>
        <v>0.550</v>
      </c>
      <c r="AI2467" s="35" t="s">
        <v>1413</v>
      </c>
      <c r="AJ2467" s="103">
        <f>AH2465</f>
        <v>18</v>
      </c>
      <c r="AK2467" s="35" t="s">
        <v>1410</v>
      </c>
      <c r="AL2467" s="103" t="str">
        <f>TEXT(ROUND(Z2467*AB2463*AF2463*AL2463*AD2465/AH2465,3),"#,0.000")</f>
        <v>45.679</v>
      </c>
      <c r="AM2467" s="101"/>
      <c r="AN2467" s="101"/>
    </row>
    <row r="2468" spans="1:40" ht="16.5" customHeight="1" x14ac:dyDescent="0.3">
      <c r="A2468" s="69"/>
      <c r="B2468" s="69"/>
      <c r="C2468" s="69"/>
      <c r="D2468" s="69"/>
      <c r="E2468" s="69"/>
      <c r="F2468" s="69"/>
      <c r="G2468" s="17" t="s">
        <v>1405</v>
      </c>
      <c r="Z2468" s="101"/>
      <c r="AA2468" s="101"/>
      <c r="AB2468" s="101"/>
      <c r="AC2468" s="101"/>
      <c r="AD2468" s="101"/>
      <c r="AE2468" s="101"/>
      <c r="AF2468" s="101"/>
      <c r="AG2468" s="101"/>
      <c r="AH2468" s="101"/>
      <c r="AI2468" s="101"/>
      <c r="AJ2468" s="101"/>
      <c r="AK2468" s="101"/>
      <c r="AL2468" s="101"/>
      <c r="AM2468" s="101"/>
      <c r="AN2468" s="101"/>
    </row>
    <row r="2469" spans="1:40" ht="16.5" customHeight="1" x14ac:dyDescent="0.3">
      <c r="A2469" s="59" t="s">
        <v>1855</v>
      </c>
      <c r="B2469" s="89" t="str">
        <f>"   재료비: "&amp;TEXT(I2469,"#,##0"&amp;IF(I2469&lt;&gt;INT(I2469),".###",""))&amp;" / Q * "&amp;AC2469&amp;" = "&amp;TEXT(C2469,"#,##0.0")&amp;""</f>
        <v xml:space="preserve">   재료비: 22,386 / Q * 0.9 = 441.0</v>
      </c>
      <c r="C2469" s="91">
        <f>E2469+D2469+F2469</f>
        <v>441</v>
      </c>
      <c r="D2469" s="91">
        <f>IF(H2469=0,0,ROUNDDOWN(J2469*H2469,1))</f>
        <v>0</v>
      </c>
      <c r="E2469" s="91">
        <f>IF(H2469=0,0,ROUNDDOWN(K2469*H2469,1))</f>
        <v>441</v>
      </c>
      <c r="F2469" s="91">
        <f>IF(H2469=0,0,ROUNDDOWN(L2469*H2469,1))</f>
        <v>0</v>
      </c>
      <c r="G2469" s="17" t="s">
        <v>2305</v>
      </c>
      <c r="H2469" s="97">
        <f>ROUNDUP(AE2469,14-LEN(ABS(INT(AE2469))))</f>
        <v>1.9702708027800001E-2</v>
      </c>
      <c r="I2469" s="98">
        <f>K2469+J2469+L2469</f>
        <v>22386</v>
      </c>
      <c r="K2469" s="38">
        <f>중기목록표!G9</f>
        <v>22386</v>
      </c>
      <c r="M2469" s="35" t="s">
        <v>1853</v>
      </c>
      <c r="N2469" s="35" t="s">
        <v>1262</v>
      </c>
      <c r="X2469" s="100" t="str">
        <f>중기목록표!B9&amp;" / "&amp;중기목록표!C9</f>
        <v>굴착기(무한궤도) / 0.6㎥</v>
      </c>
      <c r="Y2469" s="3" t="str">
        <f ca="1">HYPERLINK("#"&amp;중기목록표!J2&amp;"!A"&amp;ROW(중기목록표!A9),"중기6 →")</f>
        <v>중기6 →</v>
      </c>
      <c r="Z2469" s="35" t="s">
        <v>1417</v>
      </c>
      <c r="AA2469" s="103" t="str">
        <f>AL2467</f>
        <v>45.679</v>
      </c>
      <c r="AB2469" s="35" t="s">
        <v>1436</v>
      </c>
      <c r="AC2469" s="104">
        <v>0.9</v>
      </c>
      <c r="AD2469" s="35" t="s">
        <v>1410</v>
      </c>
      <c r="AE2469" s="103">
        <f>1/AL2467*AC2469</f>
        <v>1.9702708027758926E-2</v>
      </c>
      <c r="AF2469" s="101"/>
      <c r="AG2469" s="101"/>
      <c r="AH2469" s="101"/>
      <c r="AI2469" s="101"/>
      <c r="AJ2469" s="101"/>
      <c r="AK2469" s="101"/>
      <c r="AL2469" s="101"/>
      <c r="AM2469" s="101"/>
      <c r="AN2469" s="101"/>
    </row>
    <row r="2470" spans="1:40" ht="16.5" customHeight="1" x14ac:dyDescent="0.3">
      <c r="A2470" s="59" t="s">
        <v>1852</v>
      </c>
      <c r="B2470" s="89" t="str">
        <f>"   노무비: "&amp;TEXT(I2470,"#,##0"&amp;IF(I2470&lt;&gt;INT(I2470),".###",""))&amp;" / Q * "&amp;AC2470&amp;" = "&amp;TEXT(C2470,"#,##0.0")&amp;""</f>
        <v xml:space="preserve">   노무비: 59,020 / Q * 0.9 = 1,162.8</v>
      </c>
      <c r="C2470" s="91">
        <f>E2470+D2470+F2470</f>
        <v>1162.8</v>
      </c>
      <c r="D2470" s="91">
        <f>IF(H2470=0,0,ROUNDDOWN(J2470*H2470,1))</f>
        <v>1162.8</v>
      </c>
      <c r="E2470" s="91">
        <f>IF(H2470=0,0,ROUNDDOWN(K2470*H2470,1))</f>
        <v>0</v>
      </c>
      <c r="F2470" s="91">
        <f>IF(H2470=0,0,ROUNDDOWN(L2470*H2470,1))</f>
        <v>0</v>
      </c>
      <c r="G2470" s="17" t="s">
        <v>2306</v>
      </c>
      <c r="H2470" s="97">
        <f>ROUNDUP(AE2470,14-LEN(ABS(INT(AE2470))))</f>
        <v>1.9702708027800001E-2</v>
      </c>
      <c r="I2470" s="98">
        <f>K2470+J2470+L2470</f>
        <v>59020</v>
      </c>
      <c r="J2470" s="38">
        <f>중기목록표!F9</f>
        <v>59020</v>
      </c>
      <c r="M2470" s="35" t="s">
        <v>1853</v>
      </c>
      <c r="N2470" s="35" t="s">
        <v>1262</v>
      </c>
      <c r="X2470" s="100" t="str">
        <f>중기목록표!B9&amp;" / "&amp;중기목록표!C9</f>
        <v>굴착기(무한궤도) / 0.6㎥</v>
      </c>
      <c r="Y2470" s="3" t="str">
        <f ca="1">HYPERLINK("#"&amp;중기목록표!J2&amp;"!A"&amp;ROW(중기목록표!A9),"중기6 →")</f>
        <v>중기6 →</v>
      </c>
      <c r="Z2470" s="35" t="s">
        <v>1417</v>
      </c>
      <c r="AA2470" s="103" t="str">
        <f>AL2467</f>
        <v>45.679</v>
      </c>
      <c r="AB2470" s="35" t="s">
        <v>1436</v>
      </c>
      <c r="AC2470" s="104">
        <v>0.9</v>
      </c>
      <c r="AD2470" s="35" t="s">
        <v>1410</v>
      </c>
      <c r="AE2470" s="103">
        <f>1/AL2467*AC2470</f>
        <v>1.9702708027758926E-2</v>
      </c>
      <c r="AF2470" s="101"/>
      <c r="AG2470" s="101"/>
      <c r="AH2470" s="101"/>
      <c r="AI2470" s="101"/>
      <c r="AJ2470" s="101"/>
      <c r="AK2470" s="101"/>
      <c r="AL2470" s="101"/>
      <c r="AM2470" s="101"/>
      <c r="AN2470" s="101"/>
    </row>
    <row r="2471" spans="1:40" ht="16.5" customHeight="1" x14ac:dyDescent="0.3">
      <c r="A2471" s="59" t="s">
        <v>1857</v>
      </c>
      <c r="B2471" s="89" t="str">
        <f>"   경  비: "&amp;TEXT(I2471,"#,##0"&amp;IF(I2471&lt;&gt;INT(I2471),".###",""))&amp;" / Q * "&amp;AC2471&amp;" = "&amp;TEXT(C2471,"#,##0.0")&amp;""</f>
        <v xml:space="preserve">   경  비: 23,423 / Q * 0.9 = 461.4</v>
      </c>
      <c r="C2471" s="91">
        <f>E2471+D2471+F2471</f>
        <v>461.4</v>
      </c>
      <c r="D2471" s="91">
        <f>IF(H2471=0,0,ROUNDDOWN(J2471*H2471,1))</f>
        <v>0</v>
      </c>
      <c r="E2471" s="91">
        <f>IF(H2471=0,0,ROUNDDOWN(K2471*H2471,1))</f>
        <v>0</v>
      </c>
      <c r="F2471" s="91">
        <f>IF(H2471=0,0,ROUNDDOWN(L2471*H2471,1))</f>
        <v>461.4</v>
      </c>
      <c r="G2471" s="17" t="s">
        <v>2307</v>
      </c>
      <c r="H2471" s="97">
        <f>ROUNDUP(AE2471,14-LEN(ABS(INT(AE2471))))</f>
        <v>1.9702708027800001E-2</v>
      </c>
      <c r="I2471" s="98">
        <f>K2471+J2471+L2471</f>
        <v>23423</v>
      </c>
      <c r="L2471" s="38">
        <f>중기목록표!H9</f>
        <v>23423</v>
      </c>
      <c r="M2471" s="35" t="s">
        <v>1853</v>
      </c>
      <c r="N2471" s="35" t="s">
        <v>1262</v>
      </c>
      <c r="X2471" s="100" t="str">
        <f>중기목록표!B9&amp;" / "&amp;중기목록표!C9</f>
        <v>굴착기(무한궤도) / 0.6㎥</v>
      </c>
      <c r="Y2471" s="3" t="str">
        <f ca="1">HYPERLINK("#"&amp;중기목록표!J2&amp;"!A"&amp;ROW(중기목록표!A9),"중기6 →")</f>
        <v>중기6 →</v>
      </c>
      <c r="Z2471" s="35" t="s">
        <v>1417</v>
      </c>
      <c r="AA2471" s="103" t="str">
        <f>AL2467</f>
        <v>45.679</v>
      </c>
      <c r="AB2471" s="35" t="s">
        <v>1436</v>
      </c>
      <c r="AC2471" s="104">
        <v>0.9</v>
      </c>
      <c r="AD2471" s="35" t="s">
        <v>1410</v>
      </c>
      <c r="AE2471" s="103">
        <f>1/AL2467*AC2471</f>
        <v>1.9702708027758926E-2</v>
      </c>
      <c r="AF2471" s="101"/>
      <c r="AG2471" s="101"/>
      <c r="AH2471" s="101"/>
      <c r="AI2471" s="101"/>
      <c r="AJ2471" s="101"/>
      <c r="AK2471" s="101"/>
      <c r="AL2471" s="101"/>
      <c r="AM2471" s="101"/>
      <c r="AN2471" s="101"/>
    </row>
    <row r="2472" spans="1:40" ht="16.5" customHeight="1" x14ac:dyDescent="0.3">
      <c r="A2472" s="69"/>
      <c r="B2472" s="69"/>
      <c r="C2472" s="69"/>
      <c r="D2472" s="69"/>
      <c r="E2472" s="69"/>
      <c r="F2472" s="69"/>
      <c r="G2472" s="17" t="s">
        <v>1405</v>
      </c>
      <c r="Z2472" s="101"/>
      <c r="AA2472" s="101"/>
      <c r="AB2472" s="101"/>
      <c r="AC2472" s="101"/>
      <c r="AD2472" s="101"/>
      <c r="AE2472" s="101"/>
      <c r="AF2472" s="101"/>
      <c r="AG2472" s="101"/>
      <c r="AH2472" s="101"/>
      <c r="AI2472" s="101"/>
      <c r="AJ2472" s="101"/>
      <c r="AK2472" s="101"/>
      <c r="AL2472" s="101"/>
      <c r="AM2472" s="101"/>
      <c r="AN2472" s="101"/>
    </row>
    <row r="2473" spans="1:40" ht="16.5" customHeight="1" x14ac:dyDescent="0.3">
      <c r="A2473" s="59"/>
      <c r="B2473" s="68" t="s">
        <v>1260</v>
      </c>
      <c r="C2473" s="92">
        <f>E2473+D2473+F2473</f>
        <v>2065.1999999999998</v>
      </c>
      <c r="D2473" s="92">
        <f>SUMIF(N2457:N2472,M2473,D2457:D2472)</f>
        <v>1162.8</v>
      </c>
      <c r="E2473" s="92">
        <f>SUMIF(N2457:N2472,M2473,E2457:E2472)</f>
        <v>441</v>
      </c>
      <c r="F2473" s="92">
        <f>SUMIF(N2457:N2472,M2473,F2457:F2472)</f>
        <v>461.4</v>
      </c>
      <c r="G2473" s="17" t="s">
        <v>1420</v>
      </c>
      <c r="M2473" s="35" t="s">
        <v>1262</v>
      </c>
      <c r="N2473" s="35" t="s">
        <v>1253</v>
      </c>
      <c r="Z2473" s="101"/>
      <c r="AA2473" s="101"/>
      <c r="AB2473" s="101"/>
      <c r="AC2473" s="101"/>
      <c r="AD2473" s="101"/>
      <c r="AE2473" s="101"/>
      <c r="AF2473" s="101"/>
      <c r="AG2473" s="101"/>
      <c r="AH2473" s="101"/>
      <c r="AI2473" s="101"/>
      <c r="AJ2473" s="101"/>
      <c r="AK2473" s="101"/>
      <c r="AL2473" s="101"/>
      <c r="AM2473" s="101"/>
      <c r="AN2473" s="101"/>
    </row>
    <row r="2474" spans="1:40" ht="16.5" customHeight="1" x14ac:dyDescent="0.3">
      <c r="A2474" s="69"/>
      <c r="B2474" s="69"/>
      <c r="C2474" s="90"/>
      <c r="D2474" s="90"/>
      <c r="E2474" s="90"/>
      <c r="F2474" s="90"/>
      <c r="G2474" s="17" t="s">
        <v>1405</v>
      </c>
      <c r="Z2474" s="101"/>
      <c r="AA2474" s="101"/>
      <c r="AB2474" s="101"/>
      <c r="AC2474" s="101"/>
      <c r="AD2474" s="101"/>
      <c r="AE2474" s="101"/>
      <c r="AF2474" s="101"/>
      <c r="AG2474" s="101"/>
      <c r="AH2474" s="101"/>
      <c r="AI2474" s="101"/>
      <c r="AJ2474" s="101"/>
      <c r="AK2474" s="101"/>
      <c r="AL2474" s="101"/>
      <c r="AM2474" s="101"/>
      <c r="AN2474" s="101"/>
    </row>
    <row r="2475" spans="1:40" ht="16.5" customHeight="1" x14ac:dyDescent="0.3">
      <c r="A2475" s="69"/>
      <c r="B2475" s="69"/>
      <c r="C2475" s="69"/>
      <c r="D2475" s="69"/>
      <c r="E2475" s="69"/>
      <c r="F2475" s="69"/>
      <c r="G2475" s="17" t="s">
        <v>1405</v>
      </c>
      <c r="Z2475" s="101"/>
      <c r="AA2475" s="101"/>
      <c r="AB2475" s="101"/>
      <c r="AC2475" s="101"/>
      <c r="AD2475" s="101"/>
      <c r="AE2475" s="101"/>
      <c r="AF2475" s="101"/>
      <c r="AG2475" s="101"/>
      <c r="AH2475" s="101"/>
      <c r="AI2475" s="101"/>
      <c r="AJ2475" s="101"/>
      <c r="AK2475" s="101"/>
      <c r="AL2475" s="101"/>
      <c r="AM2475" s="101"/>
      <c r="AN2475" s="101"/>
    </row>
    <row r="2476" spans="1:40" ht="16.5" customHeight="1" x14ac:dyDescent="0.3">
      <c r="A2476" s="59"/>
      <c r="B2476" s="68" t="s">
        <v>2309</v>
      </c>
      <c r="C2476" s="69"/>
      <c r="D2476" s="69"/>
      <c r="E2476" s="69"/>
      <c r="F2476" s="69"/>
      <c r="G2476" s="17" t="s">
        <v>2308</v>
      </c>
      <c r="Z2476" s="101"/>
      <c r="AA2476" s="101"/>
      <c r="AB2476" s="101"/>
      <c r="AC2476" s="101"/>
      <c r="AD2476" s="101"/>
      <c r="AE2476" s="101"/>
      <c r="AF2476" s="101"/>
      <c r="AG2476" s="101"/>
      <c r="AH2476" s="101"/>
      <c r="AI2476" s="101"/>
      <c r="AJ2476" s="101"/>
      <c r="AK2476" s="101"/>
      <c r="AL2476" s="101"/>
      <c r="AM2476" s="101"/>
      <c r="AN2476" s="101"/>
    </row>
    <row r="2477" spans="1:40" ht="16.5" customHeight="1" x14ac:dyDescent="0.3">
      <c r="A2477" s="69"/>
      <c r="B2477" s="69"/>
      <c r="C2477" s="69"/>
      <c r="D2477" s="69"/>
      <c r="E2477" s="69"/>
      <c r="F2477" s="69"/>
      <c r="G2477" s="17" t="s">
        <v>1405</v>
      </c>
      <c r="Z2477" s="101"/>
      <c r="AA2477" s="101"/>
      <c r="AB2477" s="101"/>
      <c r="AC2477" s="101"/>
      <c r="AD2477" s="101"/>
      <c r="AE2477" s="101"/>
      <c r="AF2477" s="101"/>
      <c r="AG2477" s="101"/>
      <c r="AH2477" s="101"/>
      <c r="AI2477" s="101"/>
      <c r="AJ2477" s="101"/>
      <c r="AK2477" s="101"/>
      <c r="AL2477" s="101"/>
      <c r="AM2477" s="101"/>
      <c r="AN2477" s="101"/>
    </row>
    <row r="2478" spans="1:40" ht="16.5" customHeight="1" x14ac:dyDescent="0.3">
      <c r="A2478" s="59"/>
      <c r="B2478" s="68" t="str">
        <f>"   N = "&amp;Z2478&amp;"  hr/㎥ "</f>
        <v xml:space="preserve">   N = 3.6  hr/㎥ </v>
      </c>
      <c r="C2478" s="69"/>
      <c r="D2478" s="69"/>
      <c r="E2478" s="69"/>
      <c r="F2478" s="69"/>
      <c r="G2478" s="17" t="s">
        <v>2310</v>
      </c>
      <c r="Z2478" s="104">
        <v>3.6</v>
      </c>
      <c r="AA2478" s="35" t="s">
        <v>1410</v>
      </c>
      <c r="AB2478" s="103">
        <f>Z2478</f>
        <v>3.6</v>
      </c>
      <c r="AC2478" s="101"/>
      <c r="AD2478" s="101"/>
      <c r="AE2478" s="101"/>
      <c r="AF2478" s="101"/>
      <c r="AG2478" s="101"/>
      <c r="AH2478" s="101"/>
      <c r="AI2478" s="101"/>
      <c r="AJ2478" s="101"/>
      <c r="AK2478" s="101"/>
      <c r="AL2478" s="101"/>
      <c r="AM2478" s="101"/>
      <c r="AN2478" s="101"/>
    </row>
    <row r="2479" spans="1:40" ht="16.5" customHeight="1" x14ac:dyDescent="0.3">
      <c r="A2479" s="69"/>
      <c r="B2479" s="69"/>
      <c r="C2479" s="69"/>
      <c r="D2479" s="69"/>
      <c r="E2479" s="69"/>
      <c r="F2479" s="69"/>
      <c r="G2479" s="17" t="s">
        <v>1405</v>
      </c>
      <c r="Z2479" s="101"/>
      <c r="AA2479" s="101"/>
      <c r="AB2479" s="101"/>
      <c r="AC2479" s="101"/>
      <c r="AD2479" s="101"/>
      <c r="AE2479" s="101"/>
      <c r="AF2479" s="101"/>
      <c r="AG2479" s="101"/>
      <c r="AH2479" s="101"/>
      <c r="AI2479" s="101"/>
      <c r="AJ2479" s="101"/>
      <c r="AK2479" s="101"/>
      <c r="AL2479" s="101"/>
      <c r="AM2479" s="101"/>
      <c r="AN2479" s="101"/>
    </row>
    <row r="2480" spans="1:40" ht="16.5" customHeight="1" x14ac:dyDescent="0.3">
      <c r="A2480" s="59" t="s">
        <v>1416</v>
      </c>
      <c r="B2480" s="89" t="str">
        <f>"  특별인부 : "&amp;TEXT(I2480,"#,##0"&amp;IF(I2480&lt;&gt;INT(I2480),".###",""))&amp;" * "&amp;AA2480&amp;" 인  / "&amp;AB2478&amp;" 인 * "&amp;AE2480&amp;" = "&amp;TEXT(C2480,"#,##0.0")&amp;""</f>
        <v xml:space="preserve">  특별인부 : 226,122 * 1 인  / 3.6 인 * 0.1 = 6,281.1</v>
      </c>
      <c r="C2480" s="91">
        <f>E2480+D2480+F2480</f>
        <v>6281.1</v>
      </c>
      <c r="D2480" s="91">
        <f>IF(H2480=0,0,ROUNDDOWN(J2480*H2480,1))</f>
        <v>6281.1</v>
      </c>
      <c r="E2480" s="91">
        <f>IF(H2480=0,0,ROUNDDOWN(K2480*H2480,1))</f>
        <v>0</v>
      </c>
      <c r="F2480" s="91">
        <f>IF(H2480=0,0,ROUNDDOWN(L2480*H2480,1))</f>
        <v>0</v>
      </c>
      <c r="G2480" s="17" t="s">
        <v>2311</v>
      </c>
      <c r="H2480" s="97">
        <f>ROUNDUP(AG2480,14-LEN(ABS(INT(AG2480))))</f>
        <v>2.7777777777800002E-2</v>
      </c>
      <c r="I2480" s="98">
        <f>K2480+J2480+L2480</f>
        <v>226122</v>
      </c>
      <c r="J2480" s="38">
        <f>노무비목록표!E13</f>
        <v>226122</v>
      </c>
      <c r="M2480" s="35" t="s">
        <v>1215</v>
      </c>
      <c r="N2480" s="35" t="s">
        <v>1262</v>
      </c>
      <c r="X2480" s="100" t="str">
        <f>노무비목록표!B13&amp;" / "&amp;노무비목록표!C13</f>
        <v xml:space="preserve">특별인부 / </v>
      </c>
      <c r="Y2480" s="3" t="str">
        <f ca="1">HYPERLINK("#"&amp;노무비목록표!G2&amp;"!A"&amp;ROW(노무비목록표!A13),"노무10 →")</f>
        <v>노무10 →</v>
      </c>
      <c r="Z2480" s="35" t="s">
        <v>1446</v>
      </c>
      <c r="AA2480" s="102">
        <v>1</v>
      </c>
      <c r="AB2480" s="35" t="s">
        <v>1413</v>
      </c>
      <c r="AC2480" s="103">
        <f>AB2478</f>
        <v>3.6</v>
      </c>
      <c r="AD2480" s="35" t="s">
        <v>1436</v>
      </c>
      <c r="AE2480" s="104">
        <v>0.1</v>
      </c>
      <c r="AF2480" s="35" t="s">
        <v>1410</v>
      </c>
      <c r="AG2480" s="103">
        <f>1*AA2480/AB2478*AE2480</f>
        <v>2.777777777777778E-2</v>
      </c>
      <c r="AH2480" s="101"/>
      <c r="AI2480" s="101"/>
      <c r="AJ2480" s="101"/>
      <c r="AK2480" s="101"/>
      <c r="AL2480" s="101"/>
      <c r="AM2480" s="101"/>
      <c r="AN2480" s="101"/>
    </row>
    <row r="2481" spans="1:40" ht="16.5" customHeight="1" x14ac:dyDescent="0.3">
      <c r="A2481" s="69"/>
      <c r="B2481" s="69"/>
      <c r="C2481" s="69"/>
      <c r="D2481" s="69"/>
      <c r="E2481" s="69"/>
      <c r="F2481" s="69"/>
      <c r="G2481" s="17" t="s">
        <v>1405</v>
      </c>
      <c r="Z2481" s="101"/>
      <c r="AA2481" s="101"/>
      <c r="AB2481" s="101"/>
      <c r="AC2481" s="101"/>
      <c r="AD2481" s="101"/>
      <c r="AE2481" s="101"/>
      <c r="AF2481" s="101"/>
      <c r="AG2481" s="101"/>
      <c r="AH2481" s="101"/>
      <c r="AI2481" s="101"/>
      <c r="AJ2481" s="101"/>
      <c r="AK2481" s="101"/>
      <c r="AL2481" s="101"/>
      <c r="AM2481" s="101"/>
      <c r="AN2481" s="101"/>
    </row>
    <row r="2482" spans="1:40" ht="16.5" customHeight="1" x14ac:dyDescent="0.3">
      <c r="A2482" s="59"/>
      <c r="B2482" s="68" t="s">
        <v>1260</v>
      </c>
      <c r="C2482" s="92">
        <f>E2482+D2482+F2482</f>
        <v>6281.1</v>
      </c>
      <c r="D2482" s="92">
        <f>SUMIF(N2474:N2481,M2482,D2474:D2481)</f>
        <v>6281.1</v>
      </c>
      <c r="E2482" s="92">
        <f>SUMIF(N2474:N2481,M2482,E2474:E2481)</f>
        <v>0</v>
      </c>
      <c r="F2482" s="92">
        <f>SUMIF(N2474:N2481,M2482,F2474:F2481)</f>
        <v>0</v>
      </c>
      <c r="G2482" s="17" t="s">
        <v>1420</v>
      </c>
      <c r="M2482" s="35" t="s">
        <v>1262</v>
      </c>
      <c r="N2482" s="35" t="s">
        <v>1253</v>
      </c>
      <c r="Z2482" s="101"/>
      <c r="AA2482" s="101"/>
      <c r="AB2482" s="101"/>
      <c r="AC2482" s="101"/>
      <c r="AD2482" s="101"/>
      <c r="AE2482" s="101"/>
      <c r="AF2482" s="101"/>
      <c r="AG2482" s="101"/>
      <c r="AH2482" s="101"/>
      <c r="AI2482" s="101"/>
      <c r="AJ2482" s="101"/>
      <c r="AK2482" s="101"/>
      <c r="AL2482" s="101"/>
      <c r="AM2482" s="101"/>
      <c r="AN2482" s="101"/>
    </row>
    <row r="2483" spans="1:40" ht="16.5" customHeight="1" x14ac:dyDescent="0.3">
      <c r="A2483" s="69"/>
      <c r="B2483" s="69"/>
      <c r="C2483" s="90"/>
      <c r="D2483" s="90"/>
      <c r="E2483" s="90"/>
      <c r="F2483" s="90"/>
      <c r="G2483" s="17" t="s">
        <v>1405</v>
      </c>
      <c r="Z2483" s="101"/>
      <c r="AA2483" s="101"/>
      <c r="AB2483" s="101"/>
      <c r="AC2483" s="101"/>
      <c r="AD2483" s="101"/>
      <c r="AE2483" s="101"/>
      <c r="AF2483" s="101"/>
      <c r="AG2483" s="101"/>
      <c r="AH2483" s="101"/>
      <c r="AI2483" s="101"/>
      <c r="AJ2483" s="101"/>
      <c r="AK2483" s="101"/>
      <c r="AL2483" s="101"/>
      <c r="AM2483" s="101"/>
      <c r="AN2483" s="101"/>
    </row>
    <row r="2484" spans="1:40" ht="16.5" customHeight="1" x14ac:dyDescent="0.3">
      <c r="A2484" s="69"/>
      <c r="B2484" s="69"/>
      <c r="C2484" s="69"/>
      <c r="D2484" s="69"/>
      <c r="E2484" s="69"/>
      <c r="F2484" s="69"/>
      <c r="G2484" s="17" t="s">
        <v>1405</v>
      </c>
      <c r="Z2484" s="101"/>
      <c r="AA2484" s="101"/>
      <c r="AB2484" s="101"/>
      <c r="AC2484" s="101"/>
      <c r="AD2484" s="101"/>
      <c r="AE2484" s="101"/>
      <c r="AF2484" s="101"/>
      <c r="AG2484" s="101"/>
      <c r="AH2484" s="101"/>
      <c r="AI2484" s="101"/>
      <c r="AJ2484" s="101"/>
      <c r="AK2484" s="101"/>
      <c r="AL2484" s="101"/>
      <c r="AM2484" s="101"/>
      <c r="AN2484" s="101"/>
    </row>
    <row r="2485" spans="1:40" ht="16.5" customHeight="1" x14ac:dyDescent="0.3">
      <c r="A2485" s="59"/>
      <c r="B2485" s="68" t="s">
        <v>1251</v>
      </c>
      <c r="C2485" s="92">
        <f>E2485+D2485+F2485</f>
        <v>8346.3000000000011</v>
      </c>
      <c r="D2485" s="92">
        <f>SUMIF(N2457:N2484,M2485,D2457:D2484)</f>
        <v>7443.9000000000005</v>
      </c>
      <c r="E2485" s="92">
        <f>SUMIF(N2457:N2484,M2485,E2457:E2484)</f>
        <v>441</v>
      </c>
      <c r="F2485" s="92">
        <f>SUMIF(N2457:N2484,M2485,F2457:F2484)</f>
        <v>461.4</v>
      </c>
      <c r="G2485" s="17" t="s">
        <v>1476</v>
      </c>
      <c r="M2485" s="35" t="s">
        <v>1253</v>
      </c>
      <c r="N2485" s="35" t="s">
        <v>1209</v>
      </c>
      <c r="Z2485" s="101"/>
      <c r="AA2485" s="101"/>
      <c r="AB2485" s="101"/>
      <c r="AC2485" s="101"/>
      <c r="AD2485" s="101"/>
      <c r="AE2485" s="101"/>
      <c r="AF2485" s="101"/>
      <c r="AG2485" s="101"/>
      <c r="AH2485" s="101"/>
      <c r="AI2485" s="101"/>
      <c r="AJ2485" s="101"/>
      <c r="AK2485" s="101"/>
      <c r="AL2485" s="101"/>
      <c r="AM2485" s="101"/>
      <c r="AN2485" s="101"/>
    </row>
    <row r="2486" spans="1:40" ht="16.5" customHeight="1" x14ac:dyDescent="0.3">
      <c r="A2486" s="69"/>
      <c r="B2486" s="69"/>
      <c r="C2486" s="90"/>
      <c r="D2486" s="90"/>
      <c r="E2486" s="90"/>
      <c r="F2486" s="90"/>
      <c r="Z2486" s="101"/>
      <c r="AA2486" s="101"/>
      <c r="AB2486" s="101"/>
      <c r="AC2486" s="101"/>
      <c r="AD2486" s="101"/>
      <c r="AE2486" s="101"/>
      <c r="AF2486" s="101"/>
      <c r="AG2486" s="101"/>
      <c r="AH2486" s="101"/>
      <c r="AI2486" s="101"/>
      <c r="AJ2486" s="101"/>
      <c r="AK2486" s="101"/>
      <c r="AL2486" s="101"/>
      <c r="AM2486" s="101"/>
      <c r="AN2486" s="101"/>
    </row>
    <row r="2487" spans="1:40" ht="16.5" customHeight="1" x14ac:dyDescent="0.3">
      <c r="A2487" s="69"/>
      <c r="B2487" s="69"/>
      <c r="C2487" s="69"/>
      <c r="D2487" s="69"/>
      <c r="E2487" s="69"/>
      <c r="F2487" s="69"/>
      <c r="Z2487" s="101"/>
      <c r="AA2487" s="101"/>
      <c r="AB2487" s="101"/>
      <c r="AC2487" s="101"/>
      <c r="AD2487" s="101"/>
      <c r="AE2487" s="101"/>
      <c r="AF2487" s="101"/>
      <c r="AG2487" s="101"/>
      <c r="AH2487" s="101"/>
      <c r="AI2487" s="101"/>
      <c r="AJ2487" s="101"/>
      <c r="AK2487" s="101"/>
      <c r="AL2487" s="101"/>
      <c r="AM2487" s="101"/>
      <c r="AN2487" s="101"/>
    </row>
    <row r="2488" spans="1:40" ht="16.5" customHeight="1" x14ac:dyDescent="0.3">
      <c r="A2488" s="69"/>
      <c r="B2488" s="69"/>
      <c r="C2488" s="69"/>
      <c r="D2488" s="69"/>
      <c r="E2488" s="69"/>
      <c r="F2488" s="69"/>
      <c r="Z2488" s="101"/>
      <c r="AA2488" s="101"/>
      <c r="AB2488" s="101"/>
      <c r="AC2488" s="101"/>
      <c r="AD2488" s="101"/>
      <c r="AE2488" s="101"/>
      <c r="AF2488" s="101"/>
      <c r="AG2488" s="101"/>
      <c r="AH2488" s="101"/>
      <c r="AI2488" s="101"/>
      <c r="AJ2488" s="101"/>
      <c r="AK2488" s="101"/>
      <c r="AL2488" s="101"/>
      <c r="AM2488" s="101"/>
      <c r="AN2488" s="101"/>
    </row>
    <row r="2489" spans="1:40" ht="16.5" customHeight="1" x14ac:dyDescent="0.3">
      <c r="A2489" s="69"/>
      <c r="B2489" s="69"/>
      <c r="C2489" s="69"/>
      <c r="D2489" s="69"/>
      <c r="E2489" s="69"/>
      <c r="F2489" s="69"/>
      <c r="Z2489" s="101"/>
      <c r="AA2489" s="101"/>
      <c r="AB2489" s="101"/>
      <c r="AC2489" s="101"/>
      <c r="AD2489" s="101"/>
      <c r="AE2489" s="101"/>
      <c r="AF2489" s="101"/>
      <c r="AG2489" s="101"/>
      <c r="AH2489" s="101"/>
      <c r="AI2489" s="101"/>
      <c r="AJ2489" s="101"/>
      <c r="AK2489" s="101"/>
      <c r="AL2489" s="101"/>
      <c r="AM2489" s="101"/>
      <c r="AN2489" s="101"/>
    </row>
    <row r="2490" spans="1:40" ht="16.5" customHeight="1" x14ac:dyDescent="0.3">
      <c r="A2490" s="69"/>
      <c r="B2490" s="69"/>
      <c r="C2490" s="69"/>
      <c r="D2490" s="69"/>
      <c r="E2490" s="69"/>
      <c r="F2490" s="69"/>
      <c r="Z2490" s="101"/>
      <c r="AA2490" s="101"/>
      <c r="AB2490" s="101"/>
      <c r="AC2490" s="101"/>
      <c r="AD2490" s="101"/>
      <c r="AE2490" s="101"/>
      <c r="AF2490" s="101"/>
      <c r="AG2490" s="101"/>
      <c r="AH2490" s="101"/>
      <c r="AI2490" s="101"/>
      <c r="AJ2490" s="101"/>
      <c r="AK2490" s="101"/>
      <c r="AL2490" s="101"/>
      <c r="AM2490" s="101"/>
      <c r="AN2490" s="101"/>
    </row>
    <row r="2491" spans="1:40" ht="16.5" customHeight="1" x14ac:dyDescent="0.3">
      <c r="A2491" s="69"/>
      <c r="B2491" s="69"/>
      <c r="C2491" s="69"/>
      <c r="D2491" s="69"/>
      <c r="E2491" s="69"/>
      <c r="F2491" s="69"/>
      <c r="Z2491" s="101"/>
      <c r="AA2491" s="101"/>
      <c r="AB2491" s="101"/>
      <c r="AC2491" s="101"/>
      <c r="AD2491" s="101"/>
      <c r="AE2491" s="101"/>
      <c r="AF2491" s="101"/>
      <c r="AG2491" s="101"/>
      <c r="AH2491" s="101"/>
      <c r="AI2491" s="101"/>
      <c r="AJ2491" s="101"/>
      <c r="AK2491" s="101"/>
      <c r="AL2491" s="101"/>
      <c r="AM2491" s="101"/>
      <c r="AN2491" s="101"/>
    </row>
    <row r="2492" spans="1:40" ht="16.5" customHeight="1" x14ac:dyDescent="0.3">
      <c r="A2492" s="69"/>
      <c r="B2492" s="69"/>
      <c r="C2492" s="69"/>
      <c r="D2492" s="69"/>
      <c r="E2492" s="69"/>
      <c r="F2492" s="69"/>
      <c r="Z2492" s="101"/>
      <c r="AA2492" s="101"/>
      <c r="AB2492" s="101"/>
      <c r="AC2492" s="101"/>
      <c r="AD2492" s="101"/>
      <c r="AE2492" s="101"/>
      <c r="AF2492" s="101"/>
      <c r="AG2492" s="101"/>
      <c r="AH2492" s="101"/>
      <c r="AI2492" s="101"/>
      <c r="AJ2492" s="101"/>
      <c r="AK2492" s="101"/>
      <c r="AL2492" s="101"/>
      <c r="AM2492" s="101"/>
      <c r="AN2492" s="101"/>
    </row>
    <row r="2493" spans="1:40" ht="16.5" customHeight="1" x14ac:dyDescent="0.3">
      <c r="A2493" s="69"/>
      <c r="B2493" s="69"/>
      <c r="C2493" s="69"/>
      <c r="D2493" s="69"/>
      <c r="E2493" s="69"/>
      <c r="F2493" s="69"/>
      <c r="Z2493" s="101"/>
      <c r="AA2493" s="101"/>
      <c r="AB2493" s="101"/>
      <c r="AC2493" s="101"/>
      <c r="AD2493" s="101"/>
      <c r="AE2493" s="101"/>
      <c r="AF2493" s="101"/>
      <c r="AG2493" s="101"/>
      <c r="AH2493" s="101"/>
      <c r="AI2493" s="101"/>
      <c r="AJ2493" s="101"/>
      <c r="AK2493" s="101"/>
      <c r="AL2493" s="101"/>
      <c r="AM2493" s="101"/>
      <c r="AN2493" s="101"/>
    </row>
    <row r="2494" spans="1:40" ht="16.5" customHeight="1" x14ac:dyDescent="0.3">
      <c r="A2494" s="69"/>
      <c r="B2494" s="69"/>
      <c r="C2494" s="69"/>
      <c r="D2494" s="69"/>
      <c r="E2494" s="69"/>
      <c r="F2494" s="69"/>
      <c r="Z2494" s="101"/>
      <c r="AA2494" s="101"/>
      <c r="AB2494" s="101"/>
      <c r="AC2494" s="101"/>
      <c r="AD2494" s="101"/>
      <c r="AE2494" s="101"/>
      <c r="AF2494" s="101"/>
      <c r="AG2494" s="101"/>
      <c r="AH2494" s="101"/>
      <c r="AI2494" s="101"/>
      <c r="AJ2494" s="101"/>
      <c r="AK2494" s="101"/>
      <c r="AL2494" s="101"/>
      <c r="AM2494" s="101"/>
      <c r="AN2494" s="101"/>
    </row>
    <row r="2495" spans="1:40" ht="16.5" customHeight="1" x14ac:dyDescent="0.3">
      <c r="A2495" s="69"/>
      <c r="B2495" s="69"/>
      <c r="C2495" s="69"/>
      <c r="D2495" s="69"/>
      <c r="E2495" s="69"/>
      <c r="F2495" s="69"/>
      <c r="Z2495" s="101"/>
      <c r="AA2495" s="101"/>
      <c r="AB2495" s="101"/>
      <c r="AC2495" s="101"/>
      <c r="AD2495" s="101"/>
      <c r="AE2495" s="101"/>
      <c r="AF2495" s="101"/>
      <c r="AG2495" s="101"/>
      <c r="AH2495" s="101"/>
      <c r="AI2495" s="101"/>
      <c r="AJ2495" s="101"/>
      <c r="AK2495" s="101"/>
      <c r="AL2495" s="101"/>
      <c r="AM2495" s="101"/>
      <c r="AN2495" s="101"/>
    </row>
    <row r="2496" spans="1:40" ht="16.5" customHeight="1" x14ac:dyDescent="0.3">
      <c r="A2496" s="69"/>
      <c r="B2496" s="69"/>
      <c r="C2496" s="69"/>
      <c r="D2496" s="69"/>
      <c r="E2496" s="69"/>
      <c r="F2496" s="69"/>
      <c r="Z2496" s="101"/>
      <c r="AA2496" s="101"/>
      <c r="AB2496" s="101"/>
      <c r="AC2496" s="101"/>
      <c r="AD2496" s="101"/>
      <c r="AE2496" s="101"/>
      <c r="AF2496" s="101"/>
      <c r="AG2496" s="101"/>
      <c r="AH2496" s="101"/>
      <c r="AI2496" s="101"/>
      <c r="AJ2496" s="101"/>
      <c r="AK2496" s="101"/>
      <c r="AL2496" s="101"/>
      <c r="AM2496" s="101"/>
      <c r="AN2496" s="101"/>
    </row>
    <row r="2497" spans="1:40" ht="16.5" customHeight="1" x14ac:dyDescent="0.3">
      <c r="A2497" s="69"/>
      <c r="B2497" s="69"/>
      <c r="C2497" s="69"/>
      <c r="D2497" s="69"/>
      <c r="E2497" s="69"/>
      <c r="F2497" s="69"/>
      <c r="Z2497" s="101"/>
      <c r="AA2497" s="101"/>
      <c r="AB2497" s="101"/>
      <c r="AC2497" s="101"/>
      <c r="AD2497" s="101"/>
      <c r="AE2497" s="101"/>
      <c r="AF2497" s="101"/>
      <c r="AG2497" s="101"/>
      <c r="AH2497" s="101"/>
      <c r="AI2497" s="101"/>
      <c r="AJ2497" s="101"/>
      <c r="AK2497" s="101"/>
      <c r="AL2497" s="101"/>
      <c r="AM2497" s="101"/>
      <c r="AN2497" s="101"/>
    </row>
    <row r="2498" spans="1:40" ht="16.5" customHeight="1" x14ac:dyDescent="0.3">
      <c r="A2498" s="69"/>
      <c r="B2498" s="69"/>
      <c r="C2498" s="69"/>
      <c r="D2498" s="69"/>
      <c r="E2498" s="69"/>
      <c r="F2498" s="69"/>
      <c r="Z2498" s="101"/>
      <c r="AA2498" s="101"/>
      <c r="AB2498" s="101"/>
      <c r="AC2498" s="101"/>
      <c r="AD2498" s="101"/>
      <c r="AE2498" s="101"/>
      <c r="AF2498" s="101"/>
      <c r="AG2498" s="101"/>
      <c r="AH2498" s="101"/>
      <c r="AI2498" s="101"/>
      <c r="AJ2498" s="101"/>
      <c r="AK2498" s="101"/>
      <c r="AL2498" s="101"/>
      <c r="AM2498" s="101"/>
      <c r="AN2498" s="101"/>
    </row>
    <row r="2499" spans="1:40" ht="16.5" customHeight="1" x14ac:dyDescent="0.3">
      <c r="A2499" s="69"/>
      <c r="B2499" s="69"/>
      <c r="C2499" s="69"/>
      <c r="D2499" s="69"/>
      <c r="E2499" s="69"/>
      <c r="F2499" s="69"/>
      <c r="Z2499" s="101"/>
      <c r="AA2499" s="101"/>
      <c r="AB2499" s="101"/>
      <c r="AC2499" s="101"/>
      <c r="AD2499" s="101"/>
      <c r="AE2499" s="101"/>
      <c r="AF2499" s="101"/>
      <c r="AG2499" s="101"/>
      <c r="AH2499" s="101"/>
      <c r="AI2499" s="101"/>
      <c r="AJ2499" s="101"/>
      <c r="AK2499" s="101"/>
      <c r="AL2499" s="101"/>
      <c r="AM2499" s="101"/>
      <c r="AN2499" s="101"/>
    </row>
    <row r="2500" spans="1:40" ht="16.5" customHeight="1" x14ac:dyDescent="0.3">
      <c r="A2500" s="69"/>
      <c r="B2500" s="69"/>
      <c r="C2500" s="69"/>
      <c r="D2500" s="69"/>
      <c r="E2500" s="69"/>
      <c r="F2500" s="69"/>
      <c r="Z2500" s="101"/>
      <c r="AA2500" s="101"/>
      <c r="AB2500" s="101"/>
      <c r="AC2500" s="101"/>
      <c r="AD2500" s="101"/>
      <c r="AE2500" s="101"/>
      <c r="AF2500" s="101"/>
      <c r="AG2500" s="101"/>
      <c r="AH2500" s="101"/>
      <c r="AI2500" s="101"/>
      <c r="AJ2500" s="101"/>
      <c r="AK2500" s="101"/>
      <c r="AL2500" s="101"/>
      <c r="AM2500" s="101"/>
      <c r="AN2500" s="101"/>
    </row>
    <row r="2501" spans="1:40" ht="16.5" customHeight="1" x14ac:dyDescent="0.3">
      <c r="A2501" s="69"/>
      <c r="B2501" s="69"/>
      <c r="C2501" s="69"/>
      <c r="D2501" s="69"/>
      <c r="E2501" s="69"/>
      <c r="F2501" s="69"/>
      <c r="Z2501" s="101"/>
      <c r="AA2501" s="101"/>
      <c r="AB2501" s="101"/>
      <c r="AC2501" s="101"/>
      <c r="AD2501" s="101"/>
      <c r="AE2501" s="101"/>
      <c r="AF2501" s="101"/>
      <c r="AG2501" s="101"/>
      <c r="AH2501" s="101"/>
      <c r="AI2501" s="101"/>
      <c r="AJ2501" s="101"/>
      <c r="AK2501" s="101"/>
      <c r="AL2501" s="101"/>
      <c r="AM2501" s="101"/>
      <c r="AN2501" s="101"/>
    </row>
    <row r="2502" spans="1:40" ht="16.5" customHeight="1" x14ac:dyDescent="0.3">
      <c r="A2502" s="69"/>
      <c r="B2502" s="69"/>
      <c r="C2502" s="69"/>
      <c r="D2502" s="69"/>
      <c r="E2502" s="69"/>
      <c r="F2502" s="69"/>
      <c r="Z2502" s="101"/>
      <c r="AA2502" s="101"/>
      <c r="AB2502" s="101"/>
      <c r="AC2502" s="101"/>
      <c r="AD2502" s="101"/>
      <c r="AE2502" s="101"/>
      <c r="AF2502" s="101"/>
      <c r="AG2502" s="101"/>
      <c r="AH2502" s="101"/>
      <c r="AI2502" s="101"/>
      <c r="AJ2502" s="101"/>
      <c r="AK2502" s="101"/>
      <c r="AL2502" s="101"/>
      <c r="AM2502" s="101"/>
      <c r="AN2502" s="101"/>
    </row>
    <row r="2503" spans="1:40" ht="16.5" customHeight="1" x14ac:dyDescent="0.3">
      <c r="A2503" s="74"/>
      <c r="B2503" s="74"/>
      <c r="C2503" s="74"/>
      <c r="D2503" s="74"/>
      <c r="E2503" s="74"/>
      <c r="F2503" s="74"/>
      <c r="Z2503" s="101"/>
      <c r="AA2503" s="101"/>
      <c r="AB2503" s="101"/>
      <c r="AC2503" s="101"/>
      <c r="AD2503" s="101"/>
      <c r="AE2503" s="101"/>
      <c r="AF2503" s="101"/>
      <c r="AG2503" s="101"/>
      <c r="AH2503" s="101"/>
      <c r="AI2503" s="101"/>
      <c r="AJ2503" s="101"/>
      <c r="AK2503" s="101"/>
      <c r="AL2503" s="101"/>
      <c r="AM2503" s="101"/>
      <c r="AN2503" s="101"/>
    </row>
    <row r="2504" spans="1:40" ht="16.5" customHeight="1" x14ac:dyDescent="0.3">
      <c r="A2504" s="150" t="s">
        <v>1477</v>
      </c>
      <c r="B2504" s="143"/>
      <c r="C2504" s="47">
        <f>E2504+D2504+F2504</f>
        <v>8345</v>
      </c>
      <c r="D2504" s="46">
        <f>ROUNDDOWN(SUMIF(N2457:N2485,M2504,D2457:D2485),0)</f>
        <v>7443</v>
      </c>
      <c r="E2504" s="55">
        <f>ROUNDDOWN(SUMIF(N2457:N2485,M2504,E2457:E2485),0)</f>
        <v>441</v>
      </c>
      <c r="F2504" s="47">
        <f>ROUNDDOWN(SUMIF(N2457:N2485,M2504,F2457:F2485),0)</f>
        <v>461</v>
      </c>
      <c r="M2504" s="35" t="s">
        <v>1209</v>
      </c>
      <c r="Z2504" s="101"/>
      <c r="AA2504" s="101"/>
      <c r="AB2504" s="101"/>
      <c r="AC2504" s="101"/>
      <c r="AD2504" s="101"/>
      <c r="AE2504" s="101"/>
      <c r="AF2504" s="101"/>
      <c r="AG2504" s="101"/>
      <c r="AH2504" s="101"/>
      <c r="AI2504" s="101"/>
      <c r="AJ2504" s="101"/>
      <c r="AK2504" s="101"/>
      <c r="AL2504" s="101"/>
      <c r="AM2504" s="101"/>
      <c r="AN2504" s="101"/>
    </row>
    <row r="2505" spans="1:40" ht="16.5" customHeight="1" x14ac:dyDescent="0.3">
      <c r="A2505" s="86" t="s">
        <v>251</v>
      </c>
      <c r="B2505" s="88" t="s">
        <v>251</v>
      </c>
      <c r="C2505" s="151">
        <f>C2554</f>
        <v>3302</v>
      </c>
      <c r="D2505" s="151">
        <f>D2554</f>
        <v>2439</v>
      </c>
      <c r="E2505" s="151">
        <f>E2554</f>
        <v>485</v>
      </c>
      <c r="F2505" s="151">
        <f>F2554</f>
        <v>378</v>
      </c>
      <c r="G2505" s="84" t="str">
        <f>HYPERLINK("#G"&amp;ROW(G2552),"_x0005_`BDCOD|D03840_x0007_`POSS|"&amp;ROW(G2507)&amp;"_x0007_`POSE|"&amp;ROW(G2552)&amp;"_x0007_`")</f>
        <v>_x0005_`BDCOD|D03840_x0007_`POSS|2507_x0007_`POSE|2552_x0007_`</v>
      </c>
      <c r="Z2505" s="101"/>
      <c r="AA2505" s="101"/>
      <c r="AB2505" s="101"/>
      <c r="AC2505" s="101"/>
      <c r="AD2505" s="101"/>
      <c r="AE2505" s="101"/>
      <c r="AF2505" s="101"/>
      <c r="AG2505" s="101"/>
      <c r="AH2505" s="101"/>
      <c r="AI2505" s="101"/>
      <c r="AJ2505" s="101"/>
      <c r="AK2505" s="101"/>
      <c r="AL2505" s="101"/>
      <c r="AM2505" s="101"/>
      <c r="AN2505" s="101"/>
    </row>
    <row r="2506" spans="1:40" ht="16.5" customHeight="1" x14ac:dyDescent="0.3">
      <c r="A2506" s="87"/>
      <c r="B2506" s="88" t="s">
        <v>250</v>
      </c>
      <c r="C2506" s="136"/>
      <c r="D2506" s="136"/>
      <c r="E2506" s="136"/>
      <c r="F2506" s="136"/>
      <c r="M2506" s="35" t="s">
        <v>2312</v>
      </c>
      <c r="Z2506" s="101"/>
      <c r="AA2506" s="101"/>
      <c r="AB2506" s="101"/>
      <c r="AC2506" s="101"/>
      <c r="AD2506" s="101"/>
      <c r="AE2506" s="101"/>
      <c r="AF2506" s="101"/>
      <c r="AG2506" s="101"/>
      <c r="AH2506" s="101"/>
      <c r="AI2506" s="101"/>
      <c r="AJ2506" s="101"/>
      <c r="AK2506" s="101"/>
      <c r="AL2506" s="101"/>
      <c r="AM2506" s="101"/>
      <c r="AN2506" s="101"/>
    </row>
    <row r="2507" spans="1:40" ht="16.5" customHeight="1" x14ac:dyDescent="0.3">
      <c r="A2507" s="69"/>
      <c r="B2507" s="69"/>
      <c r="C2507" s="90"/>
      <c r="D2507" s="90"/>
      <c r="E2507" s="90"/>
      <c r="F2507" s="90"/>
      <c r="G2507" s="17" t="s">
        <v>1405</v>
      </c>
      <c r="Z2507" s="101"/>
      <c r="AA2507" s="101"/>
      <c r="AB2507" s="101"/>
      <c r="AC2507" s="101"/>
      <c r="AD2507" s="101"/>
      <c r="AE2507" s="101"/>
      <c r="AF2507" s="101"/>
      <c r="AG2507" s="101"/>
      <c r="AH2507" s="101"/>
      <c r="AI2507" s="101"/>
      <c r="AJ2507" s="101"/>
      <c r="AK2507" s="101"/>
      <c r="AL2507" s="101"/>
      <c r="AM2507" s="101"/>
      <c r="AN2507" s="101"/>
    </row>
    <row r="2508" spans="1:40" ht="16.5" customHeight="1" x14ac:dyDescent="0.3">
      <c r="A2508" s="59"/>
      <c r="B2508" s="68" t="s">
        <v>1557</v>
      </c>
      <c r="C2508" s="69"/>
      <c r="D2508" s="69"/>
      <c r="E2508" s="69"/>
      <c r="F2508" s="69"/>
      <c r="G2508" s="17" t="s">
        <v>1556</v>
      </c>
      <c r="Z2508" s="101"/>
      <c r="AA2508" s="101"/>
      <c r="AB2508" s="101"/>
      <c r="AC2508" s="101"/>
      <c r="AD2508" s="101"/>
      <c r="AE2508" s="101"/>
      <c r="AF2508" s="101"/>
      <c r="AG2508" s="101"/>
      <c r="AH2508" s="101"/>
      <c r="AI2508" s="101"/>
      <c r="AJ2508" s="101"/>
      <c r="AK2508" s="101"/>
      <c r="AL2508" s="101"/>
      <c r="AM2508" s="101"/>
      <c r="AN2508" s="101"/>
    </row>
    <row r="2509" spans="1:40" ht="16.5" customHeight="1" x14ac:dyDescent="0.3">
      <c r="A2509" s="69"/>
      <c r="B2509" s="69"/>
      <c r="C2509" s="69"/>
      <c r="D2509" s="69"/>
      <c r="E2509" s="69"/>
      <c r="F2509" s="69"/>
      <c r="G2509" s="17" t="s">
        <v>1405</v>
      </c>
      <c r="Z2509" s="101"/>
      <c r="AA2509" s="101"/>
      <c r="AB2509" s="101"/>
      <c r="AC2509" s="101"/>
      <c r="AD2509" s="101"/>
      <c r="AE2509" s="101"/>
      <c r="AF2509" s="101"/>
      <c r="AG2509" s="101"/>
      <c r="AH2509" s="101"/>
      <c r="AI2509" s="101"/>
      <c r="AJ2509" s="101"/>
      <c r="AK2509" s="101"/>
      <c r="AL2509" s="101"/>
      <c r="AM2509" s="101"/>
      <c r="AN2509" s="101"/>
    </row>
    <row r="2510" spans="1:40" ht="16.5" customHeight="1" x14ac:dyDescent="0.3">
      <c r="A2510" s="59"/>
      <c r="B2510" s="68" t="s">
        <v>2314</v>
      </c>
      <c r="C2510" s="69"/>
      <c r="D2510" s="69"/>
      <c r="E2510" s="69"/>
      <c r="F2510" s="69"/>
      <c r="G2510" s="17" t="s">
        <v>2313</v>
      </c>
      <c r="Z2510" s="101"/>
      <c r="AA2510" s="101"/>
      <c r="AB2510" s="101"/>
      <c r="AC2510" s="101"/>
      <c r="AD2510" s="101"/>
      <c r="AE2510" s="101"/>
      <c r="AF2510" s="101"/>
      <c r="AG2510" s="101"/>
      <c r="AH2510" s="101"/>
      <c r="AI2510" s="101"/>
      <c r="AJ2510" s="101"/>
      <c r="AK2510" s="101"/>
      <c r="AL2510" s="101"/>
      <c r="AM2510" s="101"/>
      <c r="AN2510" s="101"/>
    </row>
    <row r="2511" spans="1:40" ht="16.5" customHeight="1" x14ac:dyDescent="0.3">
      <c r="A2511" s="69"/>
      <c r="B2511" s="69"/>
      <c r="C2511" s="69"/>
      <c r="D2511" s="69"/>
      <c r="E2511" s="69"/>
      <c r="F2511" s="69"/>
      <c r="G2511" s="17" t="s">
        <v>1405</v>
      </c>
      <c r="Z2511" s="101"/>
      <c r="AA2511" s="101"/>
      <c r="AB2511" s="101"/>
      <c r="AC2511" s="101"/>
      <c r="AD2511" s="101"/>
      <c r="AE2511" s="101"/>
      <c r="AF2511" s="101"/>
      <c r="AG2511" s="101"/>
      <c r="AH2511" s="101"/>
      <c r="AI2511" s="101"/>
      <c r="AJ2511" s="101"/>
      <c r="AK2511" s="101"/>
      <c r="AL2511" s="101"/>
      <c r="AM2511" s="101"/>
      <c r="AN2511" s="101"/>
    </row>
    <row r="2512" spans="1:40" ht="16.5" customHeight="1" x14ac:dyDescent="0.3">
      <c r="A2512" s="59"/>
      <c r="B2512" s="68" t="s">
        <v>2316</v>
      </c>
      <c r="C2512" s="69"/>
      <c r="D2512" s="69"/>
      <c r="E2512" s="69"/>
      <c r="F2512" s="69"/>
      <c r="G2512" s="17" t="s">
        <v>2315</v>
      </c>
      <c r="Z2512" s="101"/>
      <c r="AA2512" s="101"/>
      <c r="AB2512" s="101"/>
      <c r="AC2512" s="101"/>
      <c r="AD2512" s="101"/>
      <c r="AE2512" s="101"/>
      <c r="AF2512" s="101"/>
      <c r="AG2512" s="101"/>
      <c r="AH2512" s="101"/>
      <c r="AI2512" s="101"/>
      <c r="AJ2512" s="101"/>
      <c r="AK2512" s="101"/>
      <c r="AL2512" s="101"/>
      <c r="AM2512" s="101"/>
      <c r="AN2512" s="101"/>
    </row>
    <row r="2513" spans="1:40" ht="16.5" customHeight="1" x14ac:dyDescent="0.3">
      <c r="A2513" s="69"/>
      <c r="B2513" s="69"/>
      <c r="C2513" s="69"/>
      <c r="D2513" s="69"/>
      <c r="E2513" s="69"/>
      <c r="F2513" s="69"/>
      <c r="G2513" s="17" t="s">
        <v>1405</v>
      </c>
      <c r="Z2513" s="101"/>
      <c r="AA2513" s="101"/>
      <c r="AB2513" s="101"/>
      <c r="AC2513" s="101"/>
      <c r="AD2513" s="101"/>
      <c r="AE2513" s="101"/>
      <c r="AF2513" s="101"/>
      <c r="AG2513" s="101"/>
      <c r="AH2513" s="101"/>
      <c r="AI2513" s="101"/>
      <c r="AJ2513" s="101"/>
      <c r="AK2513" s="101"/>
      <c r="AL2513" s="101"/>
      <c r="AM2513" s="101"/>
      <c r="AN2513" s="101"/>
    </row>
    <row r="2514" spans="1:40" ht="16.5" customHeight="1" x14ac:dyDescent="0.3">
      <c r="A2514" s="59"/>
      <c r="B2514" s="68" t="str">
        <f>"   q= "&amp;Z2514&amp;",  f= "&amp;AD2514&amp;"/"&amp;AF2514&amp;"= "&amp;AH2514&amp;","</f>
        <v xml:space="preserve">   q= 0.6,  f= 1/1.25= 0.800,</v>
      </c>
      <c r="C2514" s="69"/>
      <c r="D2514" s="69"/>
      <c r="E2514" s="69"/>
      <c r="F2514" s="69"/>
      <c r="G2514" s="17" t="s">
        <v>2317</v>
      </c>
      <c r="Z2514" s="104">
        <v>0.6</v>
      </c>
      <c r="AA2514" s="35" t="s">
        <v>1410</v>
      </c>
      <c r="AB2514" s="103">
        <f>Z2514</f>
        <v>0.6</v>
      </c>
      <c r="AC2514" s="105" t="s">
        <v>1453</v>
      </c>
      <c r="AD2514" s="102">
        <v>1</v>
      </c>
      <c r="AE2514" s="35" t="s">
        <v>1413</v>
      </c>
      <c r="AF2514" s="104">
        <v>1.25</v>
      </c>
      <c r="AG2514" s="35" t="s">
        <v>1410</v>
      </c>
      <c r="AH2514" s="103" t="str">
        <f>TEXT(ROUND(AD2514/AF2514,3),"#,0.000")</f>
        <v>0.800</v>
      </c>
      <c r="AI2514" s="105" t="s">
        <v>1453</v>
      </c>
      <c r="AJ2514" s="101"/>
      <c r="AK2514" s="101"/>
      <c r="AL2514" s="101"/>
      <c r="AM2514" s="101"/>
      <c r="AN2514" s="101"/>
    </row>
    <row r="2515" spans="1:40" ht="16.5" customHeight="1" x14ac:dyDescent="0.3">
      <c r="A2515" s="69"/>
      <c r="B2515" s="69"/>
      <c r="C2515" s="69"/>
      <c r="D2515" s="69"/>
      <c r="E2515" s="69"/>
      <c r="F2515" s="69"/>
      <c r="G2515" s="17" t="s">
        <v>1405</v>
      </c>
      <c r="Z2515" s="101"/>
      <c r="AA2515" s="101"/>
      <c r="AB2515" s="101"/>
      <c r="AC2515" s="101"/>
      <c r="AD2515" s="101"/>
      <c r="AE2515" s="101"/>
      <c r="AF2515" s="101"/>
      <c r="AG2515" s="101"/>
      <c r="AH2515" s="101"/>
      <c r="AI2515" s="101"/>
      <c r="AJ2515" s="101"/>
      <c r="AK2515" s="101"/>
      <c r="AL2515" s="101"/>
      <c r="AM2515" s="101"/>
      <c r="AN2515" s="101"/>
    </row>
    <row r="2516" spans="1:40" ht="16.5" customHeight="1" x14ac:dyDescent="0.3">
      <c r="A2516" s="59"/>
      <c r="B2516" s="68" t="str">
        <f>"   E="&amp;Z2516&amp;""</f>
        <v xml:space="preserve">   E=0.7</v>
      </c>
      <c r="C2516" s="69"/>
      <c r="D2516" s="69"/>
      <c r="E2516" s="69"/>
      <c r="F2516" s="69"/>
      <c r="G2516" s="17" t="s">
        <v>2318</v>
      </c>
      <c r="Z2516" s="104">
        <v>0.7</v>
      </c>
      <c r="AA2516" s="35" t="s">
        <v>1410</v>
      </c>
      <c r="AB2516" s="103">
        <f>Z2516</f>
        <v>0.7</v>
      </c>
      <c r="AC2516" s="101"/>
      <c r="AD2516" s="101"/>
      <c r="AE2516" s="101"/>
      <c r="AF2516" s="101"/>
      <c r="AG2516" s="101"/>
      <c r="AH2516" s="101"/>
      <c r="AI2516" s="101"/>
      <c r="AJ2516" s="101"/>
      <c r="AK2516" s="101"/>
      <c r="AL2516" s="101"/>
      <c r="AM2516" s="101"/>
      <c r="AN2516" s="101"/>
    </row>
    <row r="2517" spans="1:40" ht="16.5" customHeight="1" x14ac:dyDescent="0.3">
      <c r="A2517" s="69"/>
      <c r="B2517" s="69"/>
      <c r="C2517" s="69"/>
      <c r="D2517" s="69"/>
      <c r="E2517" s="69"/>
      <c r="F2517" s="69"/>
      <c r="G2517" s="17" t="s">
        <v>1405</v>
      </c>
      <c r="Z2517" s="101"/>
      <c r="AA2517" s="101"/>
      <c r="AB2517" s="101"/>
      <c r="AC2517" s="101"/>
      <c r="AD2517" s="101"/>
      <c r="AE2517" s="101"/>
      <c r="AF2517" s="101"/>
      <c r="AG2517" s="101"/>
      <c r="AH2517" s="101"/>
      <c r="AI2517" s="101"/>
      <c r="AJ2517" s="101"/>
      <c r="AK2517" s="101"/>
      <c r="AL2517" s="101"/>
      <c r="AM2517" s="101"/>
      <c r="AN2517" s="101"/>
    </row>
    <row r="2518" spans="1:40" ht="16.5" customHeight="1" x14ac:dyDescent="0.3">
      <c r="A2518" s="59"/>
      <c r="B2518" s="68" t="str">
        <f>"   K= "&amp;Z2518&amp;" , Cm= "&amp;AD2518&amp;" sec (90˚) "</f>
        <v xml:space="preserve">   K= 1.1 , Cm= 18 sec (90˚) </v>
      </c>
      <c r="C2518" s="69"/>
      <c r="D2518" s="69"/>
      <c r="E2518" s="69"/>
      <c r="F2518" s="69"/>
      <c r="G2518" s="17" t="s">
        <v>2319</v>
      </c>
      <c r="Z2518" s="104">
        <v>1.1000000000000001</v>
      </c>
      <c r="AA2518" s="35" t="s">
        <v>1410</v>
      </c>
      <c r="AB2518" s="103">
        <f>Z2518</f>
        <v>1.1000000000000001</v>
      </c>
      <c r="AC2518" s="105" t="s">
        <v>1453</v>
      </c>
      <c r="AD2518" s="102">
        <v>18</v>
      </c>
      <c r="AE2518" s="35" t="s">
        <v>1410</v>
      </c>
      <c r="AF2518" s="103">
        <f>AD2518</f>
        <v>18</v>
      </c>
      <c r="AG2518" s="101"/>
      <c r="AH2518" s="101"/>
      <c r="AI2518" s="101"/>
      <c r="AJ2518" s="101"/>
      <c r="AK2518" s="101"/>
      <c r="AL2518" s="101"/>
      <c r="AM2518" s="101"/>
      <c r="AN2518" s="101"/>
    </row>
    <row r="2519" spans="1:40" ht="16.5" customHeight="1" x14ac:dyDescent="0.3">
      <c r="A2519" s="69"/>
      <c r="B2519" s="69"/>
      <c r="C2519" s="69"/>
      <c r="D2519" s="69"/>
      <c r="E2519" s="69"/>
      <c r="F2519" s="69"/>
      <c r="G2519" s="17" t="s">
        <v>1405</v>
      </c>
      <c r="Z2519" s="101"/>
      <c r="AA2519" s="101"/>
      <c r="AB2519" s="101"/>
      <c r="AC2519" s="101"/>
      <c r="AD2519" s="101"/>
      <c r="AE2519" s="101"/>
      <c r="AF2519" s="101"/>
      <c r="AG2519" s="101"/>
      <c r="AH2519" s="101"/>
      <c r="AI2519" s="101"/>
      <c r="AJ2519" s="101"/>
      <c r="AK2519" s="101"/>
      <c r="AL2519" s="101"/>
      <c r="AM2519" s="101"/>
      <c r="AN2519" s="101"/>
    </row>
    <row r="2520" spans="1:40" ht="16.5" customHeight="1" x14ac:dyDescent="0.3">
      <c r="A2520" s="59"/>
      <c r="B2520" s="68" t="str">
        <f>"   Q = "&amp;Z2520&amp;"*q*K*f*E/Cm = "&amp;AL2520&amp;" m3/hr "</f>
        <v xml:space="preserve">   Q = 3600*q*K*f*E/Cm = 73.920 m3/hr </v>
      </c>
      <c r="C2520" s="69"/>
      <c r="D2520" s="69"/>
      <c r="E2520" s="69"/>
      <c r="F2520" s="69"/>
      <c r="G2520" s="17" t="s">
        <v>1563</v>
      </c>
      <c r="Z2520" s="102">
        <v>3600</v>
      </c>
      <c r="AA2520" s="35" t="s">
        <v>1436</v>
      </c>
      <c r="AB2520" s="103">
        <f>AB2514</f>
        <v>0.6</v>
      </c>
      <c r="AC2520" s="35" t="s">
        <v>1436</v>
      </c>
      <c r="AD2520" s="103">
        <f>AB2518</f>
        <v>1.1000000000000001</v>
      </c>
      <c r="AE2520" s="35" t="s">
        <v>1436</v>
      </c>
      <c r="AF2520" s="103" t="str">
        <f>AH2514</f>
        <v>0.800</v>
      </c>
      <c r="AG2520" s="35" t="s">
        <v>1436</v>
      </c>
      <c r="AH2520" s="103">
        <f>AB2516</f>
        <v>0.7</v>
      </c>
      <c r="AI2520" s="35" t="s">
        <v>1413</v>
      </c>
      <c r="AJ2520" s="103">
        <f>AF2518</f>
        <v>18</v>
      </c>
      <c r="AK2520" s="35" t="s">
        <v>1410</v>
      </c>
      <c r="AL2520" s="103" t="str">
        <f>TEXT(ROUND(Z2520*AB2514*AB2518*AH2514*AB2516/AF2518,3),"#,0.000")</f>
        <v>73.920</v>
      </c>
      <c r="AM2520" s="101"/>
      <c r="AN2520" s="101"/>
    </row>
    <row r="2521" spans="1:40" ht="16.5" customHeight="1" x14ac:dyDescent="0.3">
      <c r="A2521" s="69"/>
      <c r="B2521" s="69"/>
      <c r="C2521" s="69"/>
      <c r="D2521" s="69"/>
      <c r="E2521" s="69"/>
      <c r="F2521" s="69"/>
      <c r="G2521" s="17" t="s">
        <v>1405</v>
      </c>
      <c r="Z2521" s="101"/>
      <c r="AA2521" s="101"/>
      <c r="AB2521" s="101"/>
      <c r="AC2521" s="101"/>
      <c r="AD2521" s="101"/>
      <c r="AE2521" s="101"/>
      <c r="AF2521" s="101"/>
      <c r="AG2521" s="101"/>
      <c r="AH2521" s="101"/>
      <c r="AI2521" s="101"/>
      <c r="AJ2521" s="101"/>
      <c r="AK2521" s="101"/>
      <c r="AL2521" s="101"/>
      <c r="AM2521" s="101"/>
      <c r="AN2521" s="101"/>
    </row>
    <row r="2522" spans="1:40" ht="16.5" customHeight="1" x14ac:dyDescent="0.3">
      <c r="A2522" s="59" t="s">
        <v>1852</v>
      </c>
      <c r="B2522" s="89" t="str">
        <f>" 노무비: "&amp;TEXT(I2522,"#,##0"&amp;IF(I2522&lt;&gt;INT(I2522),".###",""))&amp;" / Q * "&amp;AC2522&amp;" = "&amp;TEXT(C2522,"#,##0.0")&amp;""</f>
        <v xml:space="preserve"> 노무비: 59,020 / Q * 0.9 = 718.5</v>
      </c>
      <c r="C2522" s="91">
        <f>E2522+D2522+F2522</f>
        <v>718.5</v>
      </c>
      <c r="D2522" s="91">
        <f>IF(H2522=0,0,ROUNDDOWN(J2522*H2522,1))</f>
        <v>718.5</v>
      </c>
      <c r="E2522" s="91">
        <f>IF(H2522=0,0,ROUNDDOWN(K2522*H2522,1))</f>
        <v>0</v>
      </c>
      <c r="F2522" s="91">
        <f>IF(H2522=0,0,ROUNDDOWN(L2522*H2522,1))</f>
        <v>0</v>
      </c>
      <c r="G2522" s="17" t="s">
        <v>2320</v>
      </c>
      <c r="H2522" s="97">
        <f>ROUNDUP(AE2522,14-LEN(ABS(INT(AE2522))))</f>
        <v>1.2175324675399999E-2</v>
      </c>
      <c r="I2522" s="98">
        <f>K2522+J2522+L2522</f>
        <v>59020</v>
      </c>
      <c r="J2522" s="38">
        <f>중기목록표!F9</f>
        <v>59020</v>
      </c>
      <c r="M2522" s="35" t="s">
        <v>1853</v>
      </c>
      <c r="N2522" s="35" t="s">
        <v>1262</v>
      </c>
      <c r="X2522" s="100" t="str">
        <f>중기목록표!B9&amp;" / "&amp;중기목록표!C9</f>
        <v>굴착기(무한궤도) / 0.6㎥</v>
      </c>
      <c r="Y2522" s="3" t="str">
        <f ca="1">HYPERLINK("#"&amp;중기목록표!J2&amp;"!A"&amp;ROW(중기목록표!A9),"중기6 →")</f>
        <v>중기6 →</v>
      </c>
      <c r="Z2522" s="35" t="s">
        <v>1417</v>
      </c>
      <c r="AA2522" s="103" t="str">
        <f>AL2520</f>
        <v>73.920</v>
      </c>
      <c r="AB2522" s="35" t="s">
        <v>1436</v>
      </c>
      <c r="AC2522" s="104">
        <v>0.9</v>
      </c>
      <c r="AD2522" s="35" t="s">
        <v>1410</v>
      </c>
      <c r="AE2522" s="103">
        <f>1/AL2520*AC2522</f>
        <v>1.2175324675324676E-2</v>
      </c>
      <c r="AF2522" s="101"/>
      <c r="AG2522" s="101"/>
      <c r="AH2522" s="101"/>
      <c r="AI2522" s="101"/>
      <c r="AJ2522" s="101"/>
      <c r="AK2522" s="101"/>
      <c r="AL2522" s="101"/>
      <c r="AM2522" s="101"/>
      <c r="AN2522" s="101"/>
    </row>
    <row r="2523" spans="1:40" ht="16.5" customHeight="1" x14ac:dyDescent="0.3">
      <c r="A2523" s="69"/>
      <c r="B2523" s="69"/>
      <c r="C2523" s="69"/>
      <c r="D2523" s="69"/>
      <c r="E2523" s="69"/>
      <c r="F2523" s="69"/>
      <c r="G2523" s="17" t="s">
        <v>1405</v>
      </c>
      <c r="Z2523" s="101"/>
      <c r="AA2523" s="101"/>
      <c r="AB2523" s="101"/>
      <c r="AC2523" s="101"/>
      <c r="AD2523" s="101"/>
      <c r="AE2523" s="101"/>
      <c r="AF2523" s="101"/>
      <c r="AG2523" s="101"/>
      <c r="AH2523" s="101"/>
      <c r="AI2523" s="101"/>
      <c r="AJ2523" s="101"/>
      <c r="AK2523" s="101"/>
      <c r="AL2523" s="101"/>
      <c r="AM2523" s="101"/>
      <c r="AN2523" s="101"/>
    </row>
    <row r="2524" spans="1:40" ht="16.5" customHeight="1" x14ac:dyDescent="0.3">
      <c r="A2524" s="59" t="s">
        <v>1855</v>
      </c>
      <c r="B2524" s="89" t="str">
        <f>" 재료비: "&amp;TEXT(I2524,"#,##0"&amp;IF(I2524&lt;&gt;INT(I2524),".###",""))&amp;" / Q * "&amp;AC2524&amp;" = "&amp;TEXT(C2524,"#,##0.0")&amp;""</f>
        <v xml:space="preserve"> 재료비: 22,386 / Q * 0.9 = 272.5</v>
      </c>
      <c r="C2524" s="91">
        <f>E2524+D2524+F2524</f>
        <v>272.5</v>
      </c>
      <c r="D2524" s="91">
        <f>IF(H2524=0,0,ROUNDDOWN(J2524*H2524,1))</f>
        <v>0</v>
      </c>
      <c r="E2524" s="91">
        <f>IF(H2524=0,0,ROUNDDOWN(K2524*H2524,1))</f>
        <v>272.5</v>
      </c>
      <c r="F2524" s="91">
        <f>IF(H2524=0,0,ROUNDDOWN(L2524*H2524,1))</f>
        <v>0</v>
      </c>
      <c r="G2524" s="17" t="s">
        <v>2321</v>
      </c>
      <c r="H2524" s="97">
        <f>ROUNDUP(AE2524,14-LEN(ABS(INT(AE2524))))</f>
        <v>1.2175324675399999E-2</v>
      </c>
      <c r="I2524" s="98">
        <f>K2524+J2524+L2524</f>
        <v>22386</v>
      </c>
      <c r="K2524" s="38">
        <f>중기목록표!G9</f>
        <v>22386</v>
      </c>
      <c r="M2524" s="35" t="s">
        <v>1853</v>
      </c>
      <c r="N2524" s="35" t="s">
        <v>1262</v>
      </c>
      <c r="X2524" s="100" t="str">
        <f>중기목록표!B9&amp;" / "&amp;중기목록표!C9</f>
        <v>굴착기(무한궤도) / 0.6㎥</v>
      </c>
      <c r="Y2524" s="3" t="str">
        <f ca="1">HYPERLINK("#"&amp;중기목록표!J2&amp;"!A"&amp;ROW(중기목록표!A9),"중기6 →")</f>
        <v>중기6 →</v>
      </c>
      <c r="Z2524" s="35" t="s">
        <v>1417</v>
      </c>
      <c r="AA2524" s="103" t="str">
        <f>AL2520</f>
        <v>73.920</v>
      </c>
      <c r="AB2524" s="35" t="s">
        <v>1436</v>
      </c>
      <c r="AC2524" s="104">
        <v>0.9</v>
      </c>
      <c r="AD2524" s="35" t="s">
        <v>1410</v>
      </c>
      <c r="AE2524" s="103">
        <f>1/AL2520*AC2524</f>
        <v>1.2175324675324676E-2</v>
      </c>
      <c r="AF2524" s="101"/>
      <c r="AG2524" s="101"/>
      <c r="AH2524" s="101"/>
      <c r="AI2524" s="101"/>
      <c r="AJ2524" s="101"/>
      <c r="AK2524" s="101"/>
      <c r="AL2524" s="101"/>
      <c r="AM2524" s="101"/>
      <c r="AN2524" s="101"/>
    </row>
    <row r="2525" spans="1:40" ht="16.5" customHeight="1" x14ac:dyDescent="0.3">
      <c r="A2525" s="69"/>
      <c r="B2525" s="69"/>
      <c r="C2525" s="69"/>
      <c r="D2525" s="69"/>
      <c r="E2525" s="69"/>
      <c r="F2525" s="69"/>
      <c r="G2525" s="17" t="s">
        <v>1405</v>
      </c>
      <c r="Z2525" s="101"/>
      <c r="AA2525" s="101"/>
      <c r="AB2525" s="101"/>
      <c r="AC2525" s="101"/>
      <c r="AD2525" s="101"/>
      <c r="AE2525" s="101"/>
      <c r="AF2525" s="101"/>
      <c r="AG2525" s="101"/>
      <c r="AH2525" s="101"/>
      <c r="AI2525" s="101"/>
      <c r="AJ2525" s="101"/>
      <c r="AK2525" s="101"/>
      <c r="AL2525" s="101"/>
      <c r="AM2525" s="101"/>
      <c r="AN2525" s="101"/>
    </row>
    <row r="2526" spans="1:40" ht="16.5" customHeight="1" x14ac:dyDescent="0.3">
      <c r="A2526" s="59" t="s">
        <v>1857</v>
      </c>
      <c r="B2526" s="89" t="str">
        <f>" 경  비: "&amp;TEXT(I2526,"#,##0"&amp;IF(I2526&lt;&gt;INT(I2526),".###",""))&amp;" / Q * "&amp;AC2526&amp;" = "&amp;TEXT(C2526,"#,##0.0")&amp;""</f>
        <v xml:space="preserve"> 경  비: 23,423 / Q * 0.9 = 285.1</v>
      </c>
      <c r="C2526" s="91">
        <f>E2526+D2526+F2526</f>
        <v>285.10000000000002</v>
      </c>
      <c r="D2526" s="91">
        <f>IF(H2526=0,0,ROUNDDOWN(J2526*H2526,1))</f>
        <v>0</v>
      </c>
      <c r="E2526" s="91">
        <f>IF(H2526=0,0,ROUNDDOWN(K2526*H2526,1))</f>
        <v>0</v>
      </c>
      <c r="F2526" s="91">
        <f>IF(H2526=0,0,ROUNDDOWN(L2526*H2526,1))</f>
        <v>285.10000000000002</v>
      </c>
      <c r="G2526" s="17" t="s">
        <v>2322</v>
      </c>
      <c r="H2526" s="97">
        <f>ROUNDUP(AE2526,14-LEN(ABS(INT(AE2526))))</f>
        <v>1.2175324675399999E-2</v>
      </c>
      <c r="I2526" s="98">
        <f>K2526+J2526+L2526</f>
        <v>23423</v>
      </c>
      <c r="L2526" s="38">
        <f>중기목록표!H9</f>
        <v>23423</v>
      </c>
      <c r="M2526" s="35" t="s">
        <v>1853</v>
      </c>
      <c r="N2526" s="35" t="s">
        <v>1262</v>
      </c>
      <c r="X2526" s="100" t="str">
        <f>중기목록표!B9&amp;" / "&amp;중기목록표!C9</f>
        <v>굴착기(무한궤도) / 0.6㎥</v>
      </c>
      <c r="Y2526" s="3" t="str">
        <f ca="1">HYPERLINK("#"&amp;중기목록표!J2&amp;"!A"&amp;ROW(중기목록표!A9),"중기6 →")</f>
        <v>중기6 →</v>
      </c>
      <c r="Z2526" s="35" t="s">
        <v>1417</v>
      </c>
      <c r="AA2526" s="103" t="str">
        <f>AL2520</f>
        <v>73.920</v>
      </c>
      <c r="AB2526" s="35" t="s">
        <v>1436</v>
      </c>
      <c r="AC2526" s="104">
        <v>0.9</v>
      </c>
      <c r="AD2526" s="35" t="s">
        <v>1410</v>
      </c>
      <c r="AE2526" s="103">
        <f>1/AL2520*AC2526</f>
        <v>1.2175324675324676E-2</v>
      </c>
      <c r="AF2526" s="101"/>
      <c r="AG2526" s="101"/>
      <c r="AH2526" s="101"/>
      <c r="AI2526" s="101"/>
      <c r="AJ2526" s="101"/>
      <c r="AK2526" s="101"/>
      <c r="AL2526" s="101"/>
      <c r="AM2526" s="101"/>
      <c r="AN2526" s="101"/>
    </row>
    <row r="2527" spans="1:40" ht="16.5" customHeight="1" x14ac:dyDescent="0.3">
      <c r="A2527" s="69"/>
      <c r="B2527" s="69"/>
      <c r="C2527" s="69"/>
      <c r="D2527" s="69"/>
      <c r="E2527" s="69"/>
      <c r="F2527" s="69"/>
      <c r="G2527" s="17" t="s">
        <v>1405</v>
      </c>
      <c r="Z2527" s="101"/>
      <c r="AA2527" s="101"/>
      <c r="AB2527" s="101"/>
      <c r="AC2527" s="101"/>
      <c r="AD2527" s="101"/>
      <c r="AE2527" s="101"/>
      <c r="AF2527" s="101"/>
      <c r="AG2527" s="101"/>
      <c r="AH2527" s="101"/>
      <c r="AI2527" s="101"/>
      <c r="AJ2527" s="101"/>
      <c r="AK2527" s="101"/>
      <c r="AL2527" s="101"/>
      <c r="AM2527" s="101"/>
      <c r="AN2527" s="101"/>
    </row>
    <row r="2528" spans="1:40" ht="16.5" customHeight="1" x14ac:dyDescent="0.3">
      <c r="A2528" s="59"/>
      <c r="B2528" s="68" t="s">
        <v>1260</v>
      </c>
      <c r="C2528" s="92">
        <f>E2528+D2528+F2528</f>
        <v>1276.0999999999999</v>
      </c>
      <c r="D2528" s="92">
        <f>SUMIF(N2507:N2527,M2528,D2507:D2527)</f>
        <v>718.5</v>
      </c>
      <c r="E2528" s="92">
        <f>SUMIF(N2507:N2527,M2528,E2507:E2527)</f>
        <v>272.5</v>
      </c>
      <c r="F2528" s="92">
        <f>SUMIF(N2507:N2527,M2528,F2507:F2527)</f>
        <v>285.10000000000002</v>
      </c>
      <c r="G2528" s="17" t="s">
        <v>1430</v>
      </c>
      <c r="M2528" s="35" t="s">
        <v>1262</v>
      </c>
      <c r="N2528" s="35" t="s">
        <v>1253</v>
      </c>
      <c r="Z2528" s="101"/>
      <c r="AA2528" s="101"/>
      <c r="AB2528" s="101"/>
      <c r="AC2528" s="101"/>
      <c r="AD2528" s="101"/>
      <c r="AE2528" s="101"/>
      <c r="AF2528" s="101"/>
      <c r="AG2528" s="101"/>
      <c r="AH2528" s="101"/>
      <c r="AI2528" s="101"/>
      <c r="AJ2528" s="101"/>
      <c r="AK2528" s="101"/>
      <c r="AL2528" s="101"/>
      <c r="AM2528" s="101"/>
      <c r="AN2528" s="101"/>
    </row>
    <row r="2529" spans="1:40" ht="16.5" customHeight="1" x14ac:dyDescent="0.3">
      <c r="A2529" s="69"/>
      <c r="B2529" s="69"/>
      <c r="C2529" s="90"/>
      <c r="D2529" s="90"/>
      <c r="E2529" s="90"/>
      <c r="F2529" s="90"/>
      <c r="G2529" s="17" t="s">
        <v>1405</v>
      </c>
      <c r="Z2529" s="101"/>
      <c r="AA2529" s="101"/>
      <c r="AB2529" s="101"/>
      <c r="AC2529" s="101"/>
      <c r="AD2529" s="101"/>
      <c r="AE2529" s="101"/>
      <c r="AF2529" s="101"/>
      <c r="AG2529" s="101"/>
      <c r="AH2529" s="101"/>
      <c r="AI2529" s="101"/>
      <c r="AJ2529" s="101"/>
      <c r="AK2529" s="101"/>
      <c r="AL2529" s="101"/>
      <c r="AM2529" s="101"/>
      <c r="AN2529" s="101"/>
    </row>
    <row r="2530" spans="1:40" ht="16.5" customHeight="1" x14ac:dyDescent="0.3">
      <c r="A2530" s="59"/>
      <c r="B2530" s="68" t="s">
        <v>1568</v>
      </c>
      <c r="C2530" s="69"/>
      <c r="D2530" s="69"/>
      <c r="E2530" s="69"/>
      <c r="F2530" s="69"/>
      <c r="G2530" s="17" t="s">
        <v>1567</v>
      </c>
      <c r="Z2530" s="101"/>
      <c r="AA2530" s="101"/>
      <c r="AB2530" s="101"/>
      <c r="AC2530" s="101"/>
      <c r="AD2530" s="101"/>
      <c r="AE2530" s="101"/>
      <c r="AF2530" s="101"/>
      <c r="AG2530" s="101"/>
      <c r="AH2530" s="101"/>
      <c r="AI2530" s="101"/>
      <c r="AJ2530" s="101"/>
      <c r="AK2530" s="101"/>
      <c r="AL2530" s="101"/>
      <c r="AM2530" s="101"/>
      <c r="AN2530" s="101"/>
    </row>
    <row r="2531" spans="1:40" ht="16.5" customHeight="1" x14ac:dyDescent="0.3">
      <c r="A2531" s="69"/>
      <c r="B2531" s="69"/>
      <c r="C2531" s="69"/>
      <c r="D2531" s="69"/>
      <c r="E2531" s="69"/>
      <c r="F2531" s="69"/>
      <c r="G2531" s="17" t="s">
        <v>1405</v>
      </c>
      <c r="Z2531" s="101"/>
      <c r="AA2531" s="101"/>
      <c r="AB2531" s="101"/>
      <c r="AC2531" s="101"/>
      <c r="AD2531" s="101"/>
      <c r="AE2531" s="101"/>
      <c r="AF2531" s="101"/>
      <c r="AG2531" s="101"/>
      <c r="AH2531" s="101"/>
      <c r="AI2531" s="101"/>
      <c r="AJ2531" s="101"/>
      <c r="AK2531" s="101"/>
      <c r="AL2531" s="101"/>
      <c r="AM2531" s="101"/>
      <c r="AN2531" s="101"/>
    </row>
    <row r="2532" spans="1:40" ht="16.5" customHeight="1" x14ac:dyDescent="0.3">
      <c r="A2532" s="59" t="s">
        <v>1419</v>
      </c>
      <c r="B2532" s="89" t="str">
        <f>"   인    부: "&amp;Z2532&amp;" 인 *"&amp;TEXT(I2532,"#,##0"&amp;IF(I2532&lt;&gt;INT(I2532),".###",""))&amp;" *"&amp;AB2532&amp;"= "&amp;TEXT(C2532,"#,##0.0")&amp;""</f>
        <v xml:space="preserve">   인    부: 0.1 인 *172,068 *0.1= 1,720.6</v>
      </c>
      <c r="C2532" s="91">
        <f>E2532+D2532+F2532</f>
        <v>1720.6</v>
      </c>
      <c r="D2532" s="91">
        <f>IF(H2532=0,0,ROUNDDOWN(J2532*H2532,1))</f>
        <v>1720.6</v>
      </c>
      <c r="E2532" s="91">
        <f>IF(H2532=0,0,ROUNDDOWN(K2532*H2532,1))</f>
        <v>0</v>
      </c>
      <c r="F2532" s="91">
        <f>IF(H2532=0,0,ROUNDDOWN(L2532*H2532,1))</f>
        <v>0</v>
      </c>
      <c r="G2532" s="17" t="s">
        <v>1569</v>
      </c>
      <c r="H2532" s="97">
        <f>ROUNDUP(AD2532,14-LEN(ABS(INT(AD2532))))</f>
        <v>0.01</v>
      </c>
      <c r="I2532" s="98">
        <f>K2532+J2532+L2532</f>
        <v>172068</v>
      </c>
      <c r="J2532" s="38">
        <f>노무비목록표!E8</f>
        <v>172068</v>
      </c>
      <c r="M2532" s="35" t="s">
        <v>1219</v>
      </c>
      <c r="N2532" s="35" t="s">
        <v>1262</v>
      </c>
      <c r="X2532" s="100" t="str">
        <f>노무비목록표!B8&amp;" / "&amp;노무비목록표!C8</f>
        <v xml:space="preserve">보통인부 / </v>
      </c>
      <c r="Y2532" s="3" t="str">
        <f ca="1">HYPERLINK("#"&amp;노무비목록표!G2&amp;"!A"&amp;ROW(노무비목록표!A8),"노무5 →")</f>
        <v>노무5 →</v>
      </c>
      <c r="Z2532" s="104">
        <v>0.1</v>
      </c>
      <c r="AA2532" s="35" t="s">
        <v>1570</v>
      </c>
      <c r="AB2532" s="104">
        <v>0.1</v>
      </c>
      <c r="AC2532" s="35" t="s">
        <v>1410</v>
      </c>
      <c r="AD2532" s="103">
        <f>Z2532*1*AB2532</f>
        <v>1.0000000000000002E-2</v>
      </c>
      <c r="AE2532" s="101"/>
      <c r="AF2532" s="101"/>
      <c r="AG2532" s="101"/>
      <c r="AH2532" s="101"/>
      <c r="AI2532" s="101"/>
      <c r="AJ2532" s="101"/>
      <c r="AK2532" s="101"/>
      <c r="AL2532" s="101"/>
      <c r="AM2532" s="101"/>
      <c r="AN2532" s="101"/>
    </row>
    <row r="2533" spans="1:40" ht="16.5" customHeight="1" x14ac:dyDescent="0.3">
      <c r="A2533" s="69"/>
      <c r="B2533" s="69"/>
      <c r="C2533" s="69"/>
      <c r="D2533" s="69"/>
      <c r="E2533" s="69"/>
      <c r="F2533" s="69"/>
      <c r="G2533" s="17" t="s">
        <v>1405</v>
      </c>
      <c r="Z2533" s="101"/>
      <c r="AA2533" s="101"/>
      <c r="AB2533" s="101"/>
      <c r="AC2533" s="101"/>
      <c r="AD2533" s="101"/>
      <c r="AE2533" s="101"/>
      <c r="AF2533" s="101"/>
      <c r="AG2533" s="101"/>
      <c r="AH2533" s="101"/>
      <c r="AI2533" s="101"/>
      <c r="AJ2533" s="101"/>
      <c r="AK2533" s="101"/>
      <c r="AL2533" s="101"/>
      <c r="AM2533" s="101"/>
      <c r="AN2533" s="101"/>
    </row>
    <row r="2534" spans="1:40" ht="16.5" customHeight="1" x14ac:dyDescent="0.3">
      <c r="A2534" s="59"/>
      <c r="B2534" s="68" t="s">
        <v>1260</v>
      </c>
      <c r="C2534" s="92">
        <f>E2534+D2534+F2534</f>
        <v>1720.6</v>
      </c>
      <c r="D2534" s="92">
        <f>SUMIF(N2529:N2533,M2534,D2529:D2533)</f>
        <v>1720.6</v>
      </c>
      <c r="E2534" s="92">
        <f>SUMIF(N2529:N2533,M2534,E2529:E2533)</f>
        <v>0</v>
      </c>
      <c r="F2534" s="92">
        <f>SUMIF(N2529:N2533,M2534,F2529:F2533)</f>
        <v>0</v>
      </c>
      <c r="G2534" s="17" t="s">
        <v>1430</v>
      </c>
      <c r="M2534" s="35" t="s">
        <v>1262</v>
      </c>
      <c r="N2534" s="35" t="s">
        <v>1253</v>
      </c>
      <c r="Z2534" s="101"/>
      <c r="AA2534" s="101"/>
      <c r="AB2534" s="101"/>
      <c r="AC2534" s="101"/>
      <c r="AD2534" s="101"/>
      <c r="AE2534" s="101"/>
      <c r="AF2534" s="101"/>
      <c r="AG2534" s="101"/>
      <c r="AH2534" s="101"/>
      <c r="AI2534" s="101"/>
      <c r="AJ2534" s="101"/>
      <c r="AK2534" s="101"/>
      <c r="AL2534" s="101"/>
      <c r="AM2534" s="101"/>
      <c r="AN2534" s="101"/>
    </row>
    <row r="2535" spans="1:40" ht="16.5" customHeight="1" x14ac:dyDescent="0.3">
      <c r="A2535" s="69"/>
      <c r="B2535" s="69"/>
      <c r="C2535" s="90"/>
      <c r="D2535" s="90"/>
      <c r="E2535" s="90"/>
      <c r="F2535" s="90"/>
      <c r="G2535" s="17" t="s">
        <v>1405</v>
      </c>
      <c r="Z2535" s="101"/>
      <c r="AA2535" s="101"/>
      <c r="AB2535" s="101"/>
      <c r="AC2535" s="101"/>
      <c r="AD2535" s="101"/>
      <c r="AE2535" s="101"/>
      <c r="AF2535" s="101"/>
      <c r="AG2535" s="101"/>
      <c r="AH2535" s="101"/>
      <c r="AI2535" s="101"/>
      <c r="AJ2535" s="101"/>
      <c r="AK2535" s="101"/>
      <c r="AL2535" s="101"/>
      <c r="AM2535" s="101"/>
      <c r="AN2535" s="101"/>
    </row>
    <row r="2536" spans="1:40" ht="16.5" customHeight="1" x14ac:dyDescent="0.3">
      <c r="A2536" s="59"/>
      <c r="B2536" s="68" t="s">
        <v>2324</v>
      </c>
      <c r="C2536" s="69"/>
      <c r="D2536" s="69"/>
      <c r="E2536" s="69"/>
      <c r="F2536" s="69"/>
      <c r="G2536" s="17" t="s">
        <v>2323</v>
      </c>
      <c r="Z2536" s="101"/>
      <c r="AA2536" s="101"/>
      <c r="AB2536" s="101"/>
      <c r="AC2536" s="101"/>
      <c r="AD2536" s="101"/>
      <c r="AE2536" s="101"/>
      <c r="AF2536" s="101"/>
      <c r="AG2536" s="101"/>
      <c r="AH2536" s="101"/>
      <c r="AI2536" s="101"/>
      <c r="AJ2536" s="101"/>
      <c r="AK2536" s="101"/>
      <c r="AL2536" s="101"/>
      <c r="AM2536" s="101"/>
      <c r="AN2536" s="101"/>
    </row>
    <row r="2537" spans="1:40" ht="16.5" customHeight="1" x14ac:dyDescent="0.3">
      <c r="A2537" s="69"/>
      <c r="B2537" s="69"/>
      <c r="C2537" s="69"/>
      <c r="D2537" s="69"/>
      <c r="E2537" s="69"/>
      <c r="F2537" s="69"/>
      <c r="G2537" s="17" t="s">
        <v>1405</v>
      </c>
      <c r="Z2537" s="101"/>
      <c r="AA2537" s="101"/>
      <c r="AB2537" s="101"/>
      <c r="AC2537" s="101"/>
      <c r="AD2537" s="101"/>
      <c r="AE2537" s="101"/>
      <c r="AF2537" s="101"/>
      <c r="AG2537" s="101"/>
      <c r="AH2537" s="101"/>
      <c r="AI2537" s="101"/>
      <c r="AJ2537" s="101"/>
      <c r="AK2537" s="101"/>
      <c r="AL2537" s="101"/>
      <c r="AM2537" s="101"/>
      <c r="AN2537" s="101"/>
    </row>
    <row r="2538" spans="1:40" ht="16.5" customHeight="1" x14ac:dyDescent="0.3">
      <c r="A2538" s="59"/>
      <c r="B2538" s="68" t="str">
        <f>"   V="&amp;Z2538&amp;",    W="&amp;AD2538&amp;",    E="&amp;AH2538&amp;""</f>
        <v xml:space="preserve">   V=1,    W=0.7,    E=0.6</v>
      </c>
      <c r="C2538" s="69"/>
      <c r="D2538" s="69"/>
      <c r="E2538" s="69"/>
      <c r="F2538" s="69"/>
      <c r="G2538" s="17" t="s">
        <v>2325</v>
      </c>
      <c r="Z2538" s="102">
        <v>1</v>
      </c>
      <c r="AA2538" s="35" t="s">
        <v>1410</v>
      </c>
      <c r="AB2538" s="103">
        <f>Z2538</f>
        <v>1</v>
      </c>
      <c r="AC2538" s="105" t="s">
        <v>1453</v>
      </c>
      <c r="AD2538" s="104">
        <v>0.7</v>
      </c>
      <c r="AE2538" s="35" t="s">
        <v>1410</v>
      </c>
      <c r="AF2538" s="103">
        <f>AD2538</f>
        <v>0.7</v>
      </c>
      <c r="AG2538" s="105" t="s">
        <v>1453</v>
      </c>
      <c r="AH2538" s="104">
        <v>0.6</v>
      </c>
      <c r="AI2538" s="35" t="s">
        <v>1410</v>
      </c>
      <c r="AJ2538" s="103">
        <f>AH2538</f>
        <v>0.6</v>
      </c>
      <c r="AK2538" s="101"/>
      <c r="AL2538" s="101"/>
      <c r="AM2538" s="101"/>
      <c r="AN2538" s="101"/>
    </row>
    <row r="2539" spans="1:40" ht="16.5" customHeight="1" x14ac:dyDescent="0.3">
      <c r="A2539" s="69"/>
      <c r="B2539" s="69"/>
      <c r="C2539" s="69"/>
      <c r="D2539" s="69"/>
      <c r="E2539" s="69"/>
      <c r="F2539" s="69"/>
      <c r="G2539" s="17" t="s">
        <v>1405</v>
      </c>
      <c r="Z2539" s="101"/>
      <c r="AA2539" s="101"/>
      <c r="AB2539" s="101"/>
      <c r="AC2539" s="101"/>
      <c r="AD2539" s="101"/>
      <c r="AE2539" s="101"/>
      <c r="AF2539" s="101"/>
      <c r="AG2539" s="101"/>
      <c r="AH2539" s="101"/>
      <c r="AI2539" s="101"/>
      <c r="AJ2539" s="101"/>
      <c r="AK2539" s="101"/>
      <c r="AL2539" s="101"/>
      <c r="AM2539" s="101"/>
      <c r="AN2539" s="101"/>
    </row>
    <row r="2540" spans="1:40" ht="16.5" customHeight="1" x14ac:dyDescent="0.3">
      <c r="A2540" s="59"/>
      <c r="B2540" s="68" t="str">
        <f>"   D="&amp;Z2540&amp;" M , f="&amp;AD2540&amp;",    N="&amp;AH2540&amp;" 회 "</f>
        <v xml:space="preserve">   D=0.3 M , f=1,    N=6 회 </v>
      </c>
      <c r="C2540" s="69"/>
      <c r="D2540" s="69"/>
      <c r="E2540" s="69"/>
      <c r="F2540" s="69"/>
      <c r="G2540" s="17" t="s">
        <v>2326</v>
      </c>
      <c r="Z2540" s="104">
        <v>0.3</v>
      </c>
      <c r="AA2540" s="35" t="s">
        <v>1410</v>
      </c>
      <c r="AB2540" s="103">
        <f>Z2540</f>
        <v>0.3</v>
      </c>
      <c r="AC2540" s="105" t="s">
        <v>1453</v>
      </c>
      <c r="AD2540" s="102">
        <v>1</v>
      </c>
      <c r="AE2540" s="35" t="s">
        <v>1410</v>
      </c>
      <c r="AF2540" s="103">
        <f>AD2540</f>
        <v>1</v>
      </c>
      <c r="AG2540" s="105" t="s">
        <v>1453</v>
      </c>
      <c r="AH2540" s="102">
        <v>6</v>
      </c>
      <c r="AI2540" s="35" t="s">
        <v>1410</v>
      </c>
      <c r="AJ2540" s="103">
        <f>AH2540</f>
        <v>6</v>
      </c>
      <c r="AK2540" s="101"/>
      <c r="AL2540" s="101"/>
      <c r="AM2540" s="101"/>
      <c r="AN2540" s="101"/>
    </row>
    <row r="2541" spans="1:40" ht="16.5" customHeight="1" x14ac:dyDescent="0.3">
      <c r="A2541" s="69"/>
      <c r="B2541" s="69"/>
      <c r="C2541" s="69"/>
      <c r="D2541" s="69"/>
      <c r="E2541" s="69"/>
      <c r="F2541" s="69"/>
      <c r="G2541" s="17" t="s">
        <v>1405</v>
      </c>
      <c r="Z2541" s="101"/>
      <c r="AA2541" s="101"/>
      <c r="AB2541" s="101"/>
      <c r="AC2541" s="101"/>
      <c r="AD2541" s="101"/>
      <c r="AE2541" s="101"/>
      <c r="AF2541" s="101"/>
      <c r="AG2541" s="101"/>
      <c r="AH2541" s="101"/>
      <c r="AI2541" s="101"/>
      <c r="AJ2541" s="101"/>
      <c r="AK2541" s="101"/>
      <c r="AL2541" s="101"/>
      <c r="AM2541" s="101"/>
      <c r="AN2541" s="101"/>
    </row>
    <row r="2542" spans="1:40" ht="16.5" customHeight="1" x14ac:dyDescent="0.3">
      <c r="A2542" s="59"/>
      <c r="B2542" s="68" t="str">
        <f>"   Q="&amp;Z2542&amp;"*V*W*E*D*f/N= "&amp;AN2542&amp;" ㎥/Hr "</f>
        <v xml:space="preserve">   Q=1000*V*W*E*D*f/N= 21.000 ㎥/Hr </v>
      </c>
      <c r="C2542" s="69"/>
      <c r="D2542" s="69"/>
      <c r="E2542" s="69"/>
      <c r="F2542" s="69"/>
      <c r="G2542" s="17" t="s">
        <v>2327</v>
      </c>
      <c r="Z2542" s="102">
        <v>1000</v>
      </c>
      <c r="AA2542" s="35" t="s">
        <v>1436</v>
      </c>
      <c r="AB2542" s="103">
        <f>AB2538</f>
        <v>1</v>
      </c>
      <c r="AC2542" s="35" t="s">
        <v>1436</v>
      </c>
      <c r="AD2542" s="103">
        <f>AF2538</f>
        <v>0.7</v>
      </c>
      <c r="AE2542" s="35" t="s">
        <v>1436</v>
      </c>
      <c r="AF2542" s="103">
        <f>AJ2538</f>
        <v>0.6</v>
      </c>
      <c r="AG2542" s="35" t="s">
        <v>1436</v>
      </c>
      <c r="AH2542" s="103">
        <f>AB2540</f>
        <v>0.3</v>
      </c>
      <c r="AI2542" s="35" t="s">
        <v>1436</v>
      </c>
      <c r="AJ2542" s="103">
        <f>AF2540</f>
        <v>1</v>
      </c>
      <c r="AK2542" s="35" t="s">
        <v>1413</v>
      </c>
      <c r="AL2542" s="103">
        <f>AJ2540</f>
        <v>6</v>
      </c>
      <c r="AM2542" s="35" t="s">
        <v>1410</v>
      </c>
      <c r="AN2542" s="103" t="str">
        <f>TEXT(ROUND(Z2542*AB2538*AF2538*AJ2538*AB2540*AF2540/AJ2540,3),"#,0.000")</f>
        <v>21.000</v>
      </c>
    </row>
    <row r="2543" spans="1:40" ht="16.5" customHeight="1" x14ac:dyDescent="0.3">
      <c r="A2543" s="69"/>
      <c r="B2543" s="69"/>
      <c r="C2543" s="69"/>
      <c r="D2543" s="69"/>
      <c r="E2543" s="69"/>
      <c r="F2543" s="69"/>
      <c r="G2543" s="17" t="s">
        <v>1405</v>
      </c>
      <c r="Z2543" s="101"/>
      <c r="AA2543" s="101"/>
      <c r="AB2543" s="101"/>
      <c r="AC2543" s="101"/>
      <c r="AD2543" s="101"/>
      <c r="AE2543" s="101"/>
      <c r="AF2543" s="101"/>
      <c r="AG2543" s="101"/>
      <c r="AH2543" s="101"/>
      <c r="AI2543" s="101"/>
      <c r="AJ2543" s="101"/>
      <c r="AK2543" s="101"/>
      <c r="AL2543" s="101"/>
      <c r="AM2543" s="101"/>
      <c r="AN2543" s="101"/>
    </row>
    <row r="2544" spans="1:40" ht="16.5" customHeight="1" x14ac:dyDescent="0.3">
      <c r="A2544" s="59" t="s">
        <v>1577</v>
      </c>
      <c r="B2544" s="89" t="str">
        <f>"     노무비 : "&amp;TEXT(I2544,"#,##0"&amp;IF(I2544&lt;&gt;INT(I2544),".###",""))&amp;"/Q= "&amp;TEXT(C2544,"#,##0.0")&amp;""</f>
        <v xml:space="preserve">     노무비 : 0/Q= 0.0</v>
      </c>
      <c r="C2544" s="91">
        <f>E2544+D2544+F2544</f>
        <v>0</v>
      </c>
      <c r="D2544" s="91">
        <f>IF(H2544=0,0,ROUNDDOWN(J2544*H2544,1))</f>
        <v>0</v>
      </c>
      <c r="E2544" s="91">
        <f>IF(H2544=0,0,ROUNDDOWN(K2544*H2544,1))</f>
        <v>0</v>
      </c>
      <c r="F2544" s="91">
        <f>IF(H2544=0,0,ROUNDDOWN(L2544*H2544,1))</f>
        <v>0</v>
      </c>
      <c r="G2544" s="17" t="s">
        <v>1576</v>
      </c>
      <c r="H2544" s="97">
        <f>ROUNDUP(AC2544,14-LEN(ABS(INT(AC2544))))</f>
        <v>4.7619047619100005E-2</v>
      </c>
      <c r="I2544" s="98">
        <f>K2544+J2544+L2544</f>
        <v>0</v>
      </c>
      <c r="J2544" s="38">
        <f>중기목록표!F27</f>
        <v>0</v>
      </c>
      <c r="M2544" s="35" t="s">
        <v>1578</v>
      </c>
      <c r="N2544" s="35" t="s">
        <v>1262</v>
      </c>
      <c r="X2544" s="100" t="str">
        <f>중기목록표!B27&amp;" / "&amp;중기목록표!C27</f>
        <v>진동롤러(핸드가이드식) / 0.7톤</v>
      </c>
      <c r="Y2544" s="3" t="str">
        <f ca="1">HYPERLINK("#"&amp;중기목록표!J2&amp;"!A"&amp;ROW(중기목록표!A27),"중기24 →")</f>
        <v>중기24 →</v>
      </c>
      <c r="Z2544" s="35" t="s">
        <v>1417</v>
      </c>
      <c r="AA2544" s="103" t="str">
        <f>AN2542</f>
        <v>21.000</v>
      </c>
      <c r="AB2544" s="35" t="s">
        <v>1410</v>
      </c>
      <c r="AC2544" s="103">
        <f>1/AN2542</f>
        <v>4.7619047619047616E-2</v>
      </c>
      <c r="AD2544" s="101"/>
      <c r="AE2544" s="101"/>
      <c r="AF2544" s="101"/>
      <c r="AG2544" s="101"/>
      <c r="AH2544" s="101"/>
      <c r="AI2544" s="101"/>
      <c r="AJ2544" s="101"/>
      <c r="AK2544" s="101"/>
      <c r="AL2544" s="101"/>
      <c r="AM2544" s="101"/>
      <c r="AN2544" s="101"/>
    </row>
    <row r="2545" spans="1:40" ht="16.5" customHeight="1" x14ac:dyDescent="0.3">
      <c r="A2545" s="69"/>
      <c r="B2545" s="69"/>
      <c r="C2545" s="69"/>
      <c r="D2545" s="69"/>
      <c r="E2545" s="69"/>
      <c r="F2545" s="69"/>
      <c r="G2545" s="17" t="s">
        <v>1405</v>
      </c>
      <c r="Z2545" s="101"/>
      <c r="AA2545" s="101"/>
      <c r="AB2545" s="101"/>
      <c r="AC2545" s="101"/>
      <c r="AD2545" s="101"/>
      <c r="AE2545" s="101"/>
      <c r="AF2545" s="101"/>
      <c r="AG2545" s="101"/>
      <c r="AH2545" s="101"/>
      <c r="AI2545" s="101"/>
      <c r="AJ2545" s="101"/>
      <c r="AK2545" s="101"/>
      <c r="AL2545" s="101"/>
      <c r="AM2545" s="101"/>
      <c r="AN2545" s="101"/>
    </row>
    <row r="2546" spans="1:40" ht="16.5" customHeight="1" x14ac:dyDescent="0.3">
      <c r="A2546" s="59" t="s">
        <v>1580</v>
      </c>
      <c r="B2546" s="89" t="str">
        <f>"     재료비 : "&amp;TEXT(I2546,"#,##0"&amp;IF(I2546&lt;&gt;INT(I2546),".###",""))&amp;"/Q= "&amp;TEXT(C2546,"#,##0.0")&amp;""</f>
        <v xml:space="preserve">     재료비 : 4,472/Q= 212.9</v>
      </c>
      <c r="C2546" s="91">
        <f>E2546+D2546+F2546</f>
        <v>212.9</v>
      </c>
      <c r="D2546" s="91">
        <f>IF(H2546=0,0,ROUNDDOWN(J2546*H2546,1))</f>
        <v>0</v>
      </c>
      <c r="E2546" s="91">
        <f>IF(H2546=0,0,ROUNDDOWN(K2546*H2546,1))</f>
        <v>212.9</v>
      </c>
      <c r="F2546" s="91">
        <f>IF(H2546=0,0,ROUNDDOWN(L2546*H2546,1))</f>
        <v>0</v>
      </c>
      <c r="G2546" s="17" t="s">
        <v>1579</v>
      </c>
      <c r="H2546" s="97">
        <f>ROUNDUP(AC2546,14-LEN(ABS(INT(AC2546))))</f>
        <v>4.7619047619100005E-2</v>
      </c>
      <c r="I2546" s="98">
        <f>K2546+J2546+L2546</f>
        <v>4472</v>
      </c>
      <c r="K2546" s="38">
        <f>중기목록표!G27</f>
        <v>4472</v>
      </c>
      <c r="M2546" s="35" t="s">
        <v>1578</v>
      </c>
      <c r="N2546" s="35" t="s">
        <v>1262</v>
      </c>
      <c r="X2546" s="100" t="str">
        <f>중기목록표!B27&amp;" / "&amp;중기목록표!C27</f>
        <v>진동롤러(핸드가이드식) / 0.7톤</v>
      </c>
      <c r="Y2546" s="3" t="str">
        <f ca="1">HYPERLINK("#"&amp;중기목록표!J2&amp;"!A"&amp;ROW(중기목록표!A27),"중기24 →")</f>
        <v>중기24 →</v>
      </c>
      <c r="Z2546" s="35" t="s">
        <v>1417</v>
      </c>
      <c r="AA2546" s="103" t="str">
        <f>AN2542</f>
        <v>21.000</v>
      </c>
      <c r="AB2546" s="35" t="s">
        <v>1410</v>
      </c>
      <c r="AC2546" s="103">
        <f>1/AN2542</f>
        <v>4.7619047619047616E-2</v>
      </c>
      <c r="AD2546" s="101"/>
      <c r="AE2546" s="101"/>
      <c r="AF2546" s="101"/>
      <c r="AG2546" s="101"/>
      <c r="AH2546" s="101"/>
      <c r="AI2546" s="101"/>
      <c r="AJ2546" s="101"/>
      <c r="AK2546" s="101"/>
      <c r="AL2546" s="101"/>
      <c r="AM2546" s="101"/>
      <c r="AN2546" s="101"/>
    </row>
    <row r="2547" spans="1:40" ht="16.5" customHeight="1" x14ac:dyDescent="0.3">
      <c r="A2547" s="69"/>
      <c r="B2547" s="69"/>
      <c r="C2547" s="69"/>
      <c r="D2547" s="69"/>
      <c r="E2547" s="69"/>
      <c r="F2547" s="69"/>
      <c r="G2547" s="17" t="s">
        <v>1405</v>
      </c>
      <c r="Z2547" s="101"/>
      <c r="AA2547" s="101"/>
      <c r="AB2547" s="101"/>
      <c r="AC2547" s="101"/>
      <c r="AD2547" s="101"/>
      <c r="AE2547" s="101"/>
      <c r="AF2547" s="101"/>
      <c r="AG2547" s="101"/>
      <c r="AH2547" s="101"/>
      <c r="AI2547" s="101"/>
      <c r="AJ2547" s="101"/>
      <c r="AK2547" s="101"/>
      <c r="AL2547" s="101"/>
      <c r="AM2547" s="101"/>
      <c r="AN2547" s="101"/>
    </row>
    <row r="2548" spans="1:40" ht="16.5" customHeight="1" x14ac:dyDescent="0.3">
      <c r="A2548" s="59" t="s">
        <v>1582</v>
      </c>
      <c r="B2548" s="89" t="str">
        <f>"     경  비 : "&amp;TEXT(I2548,"#,##0"&amp;IF(I2548&lt;&gt;INT(I2548),".###",""))&amp;"/Q= "&amp;TEXT(C2548,"#,##0.0")&amp;""</f>
        <v xml:space="preserve">     경  비 : 1,967/Q= 93.6</v>
      </c>
      <c r="C2548" s="91">
        <f>E2548+D2548+F2548</f>
        <v>93.6</v>
      </c>
      <c r="D2548" s="91">
        <f>IF(H2548=0,0,ROUNDDOWN(J2548*H2548,1))</f>
        <v>0</v>
      </c>
      <c r="E2548" s="91">
        <f>IF(H2548=0,0,ROUNDDOWN(K2548*H2548,1))</f>
        <v>0</v>
      </c>
      <c r="F2548" s="91">
        <f>IF(H2548=0,0,ROUNDDOWN(L2548*H2548,1))</f>
        <v>93.6</v>
      </c>
      <c r="G2548" s="17" t="s">
        <v>1581</v>
      </c>
      <c r="H2548" s="97">
        <f>ROUNDUP(AC2548,14-LEN(ABS(INT(AC2548))))</f>
        <v>4.7619047619100005E-2</v>
      </c>
      <c r="I2548" s="98">
        <f>K2548+J2548+L2548</f>
        <v>1967</v>
      </c>
      <c r="L2548" s="38">
        <f>중기목록표!H27</f>
        <v>1967</v>
      </c>
      <c r="M2548" s="35" t="s">
        <v>1578</v>
      </c>
      <c r="N2548" s="35" t="s">
        <v>1262</v>
      </c>
      <c r="X2548" s="100" t="str">
        <f>중기목록표!B27&amp;" / "&amp;중기목록표!C27</f>
        <v>진동롤러(핸드가이드식) / 0.7톤</v>
      </c>
      <c r="Y2548" s="3" t="str">
        <f ca="1">HYPERLINK("#"&amp;중기목록표!J2&amp;"!A"&amp;ROW(중기목록표!A27),"중기24 →")</f>
        <v>중기24 →</v>
      </c>
      <c r="Z2548" s="35" t="s">
        <v>1417</v>
      </c>
      <c r="AA2548" s="103" t="str">
        <f>AN2542</f>
        <v>21.000</v>
      </c>
      <c r="AB2548" s="35" t="s">
        <v>1410</v>
      </c>
      <c r="AC2548" s="103">
        <f>1/AN2542</f>
        <v>4.7619047619047616E-2</v>
      </c>
      <c r="AD2548" s="101"/>
      <c r="AE2548" s="101"/>
      <c r="AF2548" s="101"/>
      <c r="AG2548" s="101"/>
      <c r="AH2548" s="101"/>
      <c r="AI2548" s="101"/>
      <c r="AJ2548" s="101"/>
      <c r="AK2548" s="101"/>
      <c r="AL2548" s="101"/>
      <c r="AM2548" s="101"/>
      <c r="AN2548" s="101"/>
    </row>
    <row r="2549" spans="1:40" ht="16.5" customHeight="1" x14ac:dyDescent="0.3">
      <c r="A2549" s="69"/>
      <c r="B2549" s="69"/>
      <c r="C2549" s="69"/>
      <c r="D2549" s="69"/>
      <c r="E2549" s="69"/>
      <c r="F2549" s="69"/>
      <c r="G2549" s="17" t="s">
        <v>1405</v>
      </c>
      <c r="Z2549" s="101"/>
      <c r="AA2549" s="101"/>
      <c r="AB2549" s="101"/>
      <c r="AC2549" s="101"/>
      <c r="AD2549" s="101"/>
      <c r="AE2549" s="101"/>
      <c r="AF2549" s="101"/>
      <c r="AG2549" s="101"/>
      <c r="AH2549" s="101"/>
      <c r="AI2549" s="101"/>
      <c r="AJ2549" s="101"/>
      <c r="AK2549" s="101"/>
      <c r="AL2549" s="101"/>
      <c r="AM2549" s="101"/>
      <c r="AN2549" s="101"/>
    </row>
    <row r="2550" spans="1:40" ht="16.5" customHeight="1" x14ac:dyDescent="0.3">
      <c r="A2550" s="59"/>
      <c r="B2550" s="68" t="s">
        <v>1260</v>
      </c>
      <c r="C2550" s="92">
        <f>E2550+D2550+F2550</f>
        <v>306.5</v>
      </c>
      <c r="D2550" s="92">
        <f>SUMIF(N2535:N2549,M2550,D2535:D2549)</f>
        <v>0</v>
      </c>
      <c r="E2550" s="92">
        <f>SUMIF(N2535:N2549,M2550,E2535:E2549)</f>
        <v>212.9</v>
      </c>
      <c r="F2550" s="92">
        <f>SUMIF(N2535:N2549,M2550,F2535:F2549)</f>
        <v>93.6</v>
      </c>
      <c r="G2550" s="17" t="s">
        <v>1430</v>
      </c>
      <c r="M2550" s="35" t="s">
        <v>1262</v>
      </c>
      <c r="N2550" s="35" t="s">
        <v>1253</v>
      </c>
      <c r="Z2550" s="101"/>
      <c r="AA2550" s="101"/>
      <c r="AB2550" s="101"/>
      <c r="AC2550" s="101"/>
      <c r="AD2550" s="101"/>
      <c r="AE2550" s="101"/>
      <c r="AF2550" s="101"/>
      <c r="AG2550" s="101"/>
      <c r="AH2550" s="101"/>
      <c r="AI2550" s="101"/>
      <c r="AJ2550" s="101"/>
      <c r="AK2550" s="101"/>
      <c r="AL2550" s="101"/>
      <c r="AM2550" s="101"/>
      <c r="AN2550" s="101"/>
    </row>
    <row r="2551" spans="1:40" ht="16.5" customHeight="1" x14ac:dyDescent="0.3">
      <c r="A2551" s="69"/>
      <c r="B2551" s="69"/>
      <c r="C2551" s="90"/>
      <c r="D2551" s="90"/>
      <c r="E2551" s="90"/>
      <c r="F2551" s="90"/>
      <c r="G2551" s="17" t="s">
        <v>1405</v>
      </c>
      <c r="Z2551" s="101"/>
      <c r="AA2551" s="101"/>
      <c r="AB2551" s="101"/>
      <c r="AC2551" s="101"/>
      <c r="AD2551" s="101"/>
      <c r="AE2551" s="101"/>
      <c r="AF2551" s="101"/>
      <c r="AG2551" s="101"/>
      <c r="AH2551" s="101"/>
      <c r="AI2551" s="101"/>
      <c r="AJ2551" s="101"/>
      <c r="AK2551" s="101"/>
      <c r="AL2551" s="101"/>
      <c r="AM2551" s="101"/>
      <c r="AN2551" s="101"/>
    </row>
    <row r="2552" spans="1:40" ht="16.5" customHeight="1" x14ac:dyDescent="0.3">
      <c r="A2552" s="59"/>
      <c r="B2552" s="68" t="s">
        <v>1251</v>
      </c>
      <c r="C2552" s="92">
        <f>E2552+D2552+F2552</f>
        <v>3303.2</v>
      </c>
      <c r="D2552" s="92">
        <f>SUMIF(N2507:N2551,M2552,D2507:D2551)</f>
        <v>2439.1</v>
      </c>
      <c r="E2552" s="92">
        <f>SUMIF(N2507:N2551,M2552,E2507:E2551)</f>
        <v>485.4</v>
      </c>
      <c r="F2552" s="92">
        <f>SUMIF(N2507:N2551,M2552,F2507:F2551)</f>
        <v>378.70000000000005</v>
      </c>
      <c r="G2552" s="17" t="s">
        <v>1476</v>
      </c>
      <c r="M2552" s="35" t="s">
        <v>1253</v>
      </c>
      <c r="N2552" s="35" t="s">
        <v>1209</v>
      </c>
      <c r="Z2552" s="101"/>
      <c r="AA2552" s="101"/>
      <c r="AB2552" s="101"/>
      <c r="AC2552" s="101"/>
      <c r="AD2552" s="101"/>
      <c r="AE2552" s="101"/>
      <c r="AF2552" s="101"/>
      <c r="AG2552" s="101"/>
      <c r="AH2552" s="101"/>
      <c r="AI2552" s="101"/>
      <c r="AJ2552" s="101"/>
      <c r="AK2552" s="101"/>
      <c r="AL2552" s="101"/>
      <c r="AM2552" s="101"/>
      <c r="AN2552" s="101"/>
    </row>
    <row r="2553" spans="1:40" ht="16.5" customHeight="1" x14ac:dyDescent="0.3">
      <c r="A2553" s="74"/>
      <c r="B2553" s="74"/>
      <c r="C2553" s="95"/>
      <c r="D2553" s="95"/>
      <c r="E2553" s="95"/>
      <c r="F2553" s="95"/>
      <c r="Z2553" s="101"/>
      <c r="AA2553" s="101"/>
      <c r="AB2553" s="101"/>
      <c r="AC2553" s="101"/>
      <c r="AD2553" s="101"/>
      <c r="AE2553" s="101"/>
      <c r="AF2553" s="101"/>
      <c r="AG2553" s="101"/>
      <c r="AH2553" s="101"/>
      <c r="AI2553" s="101"/>
      <c r="AJ2553" s="101"/>
      <c r="AK2553" s="101"/>
      <c r="AL2553" s="101"/>
      <c r="AM2553" s="101"/>
      <c r="AN2553" s="101"/>
    </row>
    <row r="2554" spans="1:40" ht="16.5" customHeight="1" x14ac:dyDescent="0.3">
      <c r="A2554" s="150" t="s">
        <v>1477</v>
      </c>
      <c r="B2554" s="143"/>
      <c r="C2554" s="47">
        <f>E2554+D2554+F2554</f>
        <v>3302</v>
      </c>
      <c r="D2554" s="46">
        <f>ROUNDDOWN(SUMIF(N2507:N2552,M2554,D2507:D2552),0)</f>
        <v>2439</v>
      </c>
      <c r="E2554" s="55">
        <f>ROUNDDOWN(SUMIF(N2507:N2552,M2554,E2507:E2552),0)</f>
        <v>485</v>
      </c>
      <c r="F2554" s="47">
        <f>ROUNDDOWN(SUMIF(N2507:N2552,M2554,F2507:F2552),0)</f>
        <v>378</v>
      </c>
      <c r="M2554" s="35" t="s">
        <v>1209</v>
      </c>
      <c r="Z2554" s="101"/>
      <c r="AA2554" s="101"/>
      <c r="AB2554" s="101"/>
      <c r="AC2554" s="101"/>
      <c r="AD2554" s="101"/>
      <c r="AE2554" s="101"/>
      <c r="AF2554" s="101"/>
      <c r="AG2554" s="101"/>
      <c r="AH2554" s="101"/>
      <c r="AI2554" s="101"/>
      <c r="AJ2554" s="101"/>
      <c r="AK2554" s="101"/>
      <c r="AL2554" s="101"/>
      <c r="AM2554" s="101"/>
      <c r="AN2554" s="101"/>
    </row>
    <row r="2555" spans="1:40" ht="16.5" customHeight="1" x14ac:dyDescent="0.3">
      <c r="A2555" s="86" t="s">
        <v>255</v>
      </c>
      <c r="B2555" s="88" t="s">
        <v>255</v>
      </c>
      <c r="C2555" s="151">
        <f>C2604</f>
        <v>97935</v>
      </c>
      <c r="D2555" s="151">
        <f>D2604</f>
        <v>4663</v>
      </c>
      <c r="E2555" s="151">
        <f>E2604</f>
        <v>93272</v>
      </c>
      <c r="F2555" s="151">
        <f>F2604</f>
        <v>0</v>
      </c>
      <c r="G2555" s="84" t="str">
        <f>HYPERLINK("#G"&amp;ROW(G2577),"_x0005_`BDCOD|D03940_x0007_`POSS|"&amp;ROW(G2557)&amp;"_x0007_`POSE|"&amp;ROW(G2577)&amp;"_x0007_`")</f>
        <v>_x0005_`BDCOD|D03940_x0007_`POSS|2557_x0007_`POSE|2577_x0007_`</v>
      </c>
      <c r="Z2555" s="101"/>
      <c r="AA2555" s="101"/>
      <c r="AB2555" s="101"/>
      <c r="AC2555" s="101"/>
      <c r="AD2555" s="101"/>
      <c r="AE2555" s="101"/>
      <c r="AF2555" s="101"/>
      <c r="AG2555" s="101"/>
      <c r="AH2555" s="101"/>
      <c r="AI2555" s="101"/>
      <c r="AJ2555" s="101"/>
      <c r="AK2555" s="101"/>
      <c r="AL2555" s="101"/>
      <c r="AM2555" s="101"/>
      <c r="AN2555" s="101"/>
    </row>
    <row r="2556" spans="1:40" ht="16.5" customHeight="1" x14ac:dyDescent="0.3">
      <c r="A2556" s="87"/>
      <c r="B2556" s="88" t="s">
        <v>254</v>
      </c>
      <c r="C2556" s="136"/>
      <c r="D2556" s="136"/>
      <c r="E2556" s="136"/>
      <c r="F2556" s="136"/>
      <c r="M2556" s="35" t="s">
        <v>2328</v>
      </c>
      <c r="Z2556" s="101"/>
      <c r="AA2556" s="101"/>
      <c r="AB2556" s="101"/>
      <c r="AC2556" s="101"/>
      <c r="AD2556" s="101"/>
      <c r="AE2556" s="101"/>
      <c r="AF2556" s="101"/>
      <c r="AG2556" s="101"/>
      <c r="AH2556" s="101"/>
      <c r="AI2556" s="101"/>
      <c r="AJ2556" s="101"/>
      <c r="AK2556" s="101"/>
      <c r="AL2556" s="101"/>
      <c r="AM2556" s="101"/>
      <c r="AN2556" s="101"/>
    </row>
    <row r="2557" spans="1:40" ht="16.5" customHeight="1" x14ac:dyDescent="0.3">
      <c r="A2557" s="69"/>
      <c r="B2557" s="69"/>
      <c r="C2557" s="90"/>
      <c r="D2557" s="90"/>
      <c r="E2557" s="90"/>
      <c r="F2557" s="90"/>
      <c r="G2557" s="17" t="s">
        <v>1405</v>
      </c>
      <c r="Z2557" s="101"/>
      <c r="AA2557" s="101"/>
      <c r="AB2557" s="101"/>
      <c r="AC2557" s="101"/>
      <c r="AD2557" s="101"/>
      <c r="AE2557" s="101"/>
      <c r="AF2557" s="101"/>
      <c r="AG2557" s="101"/>
      <c r="AH2557" s="101"/>
      <c r="AI2557" s="101"/>
      <c r="AJ2557" s="101"/>
      <c r="AK2557" s="101"/>
      <c r="AL2557" s="101"/>
      <c r="AM2557" s="101"/>
      <c r="AN2557" s="101"/>
    </row>
    <row r="2558" spans="1:40" ht="16.5" customHeight="1" x14ac:dyDescent="0.3">
      <c r="A2558" s="59"/>
      <c r="B2558" s="68" t="s">
        <v>2330</v>
      </c>
      <c r="C2558" s="69"/>
      <c r="D2558" s="69"/>
      <c r="E2558" s="69"/>
      <c r="F2558" s="69"/>
      <c r="G2558" s="17" t="s">
        <v>2329</v>
      </c>
      <c r="Z2558" s="101"/>
      <c r="AA2558" s="101"/>
      <c r="AB2558" s="101"/>
      <c r="AC2558" s="101"/>
      <c r="AD2558" s="101"/>
      <c r="AE2558" s="101"/>
      <c r="AF2558" s="101"/>
      <c r="AG2558" s="101"/>
      <c r="AH2558" s="101"/>
      <c r="AI2558" s="101"/>
      <c r="AJ2558" s="101"/>
      <c r="AK2558" s="101"/>
      <c r="AL2558" s="101"/>
      <c r="AM2558" s="101"/>
      <c r="AN2558" s="101"/>
    </row>
    <row r="2559" spans="1:40" ht="16.5" customHeight="1" x14ac:dyDescent="0.3">
      <c r="A2559" s="69"/>
      <c r="B2559" s="69"/>
      <c r="C2559" s="69"/>
      <c r="D2559" s="69"/>
      <c r="E2559" s="69"/>
      <c r="F2559" s="69"/>
      <c r="G2559" s="17" t="s">
        <v>1405</v>
      </c>
      <c r="Z2559" s="101"/>
      <c r="AA2559" s="101"/>
      <c r="AB2559" s="101"/>
      <c r="AC2559" s="101"/>
      <c r="AD2559" s="101"/>
      <c r="AE2559" s="101"/>
      <c r="AF2559" s="101"/>
      <c r="AG2559" s="101"/>
      <c r="AH2559" s="101"/>
      <c r="AI2559" s="101"/>
      <c r="AJ2559" s="101"/>
      <c r="AK2559" s="101"/>
      <c r="AL2559" s="101"/>
      <c r="AM2559" s="101"/>
      <c r="AN2559" s="101"/>
    </row>
    <row r="2560" spans="1:40" ht="16.5" customHeight="1" x14ac:dyDescent="0.3">
      <c r="A2560" s="69"/>
      <c r="B2560" s="69"/>
      <c r="C2560" s="69"/>
      <c r="D2560" s="69"/>
      <c r="E2560" s="69"/>
      <c r="F2560" s="69"/>
      <c r="G2560" s="17" t="s">
        <v>1405</v>
      </c>
      <c r="Z2560" s="101"/>
      <c r="AA2560" s="101"/>
      <c r="AB2560" s="101"/>
      <c r="AC2560" s="101"/>
      <c r="AD2560" s="101"/>
      <c r="AE2560" s="101"/>
      <c r="AF2560" s="101"/>
      <c r="AG2560" s="101"/>
      <c r="AH2560" s="101"/>
      <c r="AI2560" s="101"/>
      <c r="AJ2560" s="101"/>
      <c r="AK2560" s="101"/>
      <c r="AL2560" s="101"/>
      <c r="AM2560" s="101"/>
      <c r="AN2560" s="101"/>
    </row>
    <row r="2561" spans="1:40" ht="16.5" customHeight="1" x14ac:dyDescent="0.3">
      <c r="A2561" s="59"/>
      <c r="B2561" s="68" t="s">
        <v>2332</v>
      </c>
      <c r="C2561" s="69"/>
      <c r="D2561" s="69"/>
      <c r="E2561" s="69"/>
      <c r="F2561" s="69"/>
      <c r="G2561" s="17" t="s">
        <v>2331</v>
      </c>
      <c r="Z2561" s="101"/>
      <c r="AA2561" s="101"/>
      <c r="AB2561" s="101"/>
      <c r="AC2561" s="101"/>
      <c r="AD2561" s="101"/>
      <c r="AE2561" s="101"/>
      <c r="AF2561" s="101"/>
      <c r="AG2561" s="101"/>
      <c r="AH2561" s="101"/>
      <c r="AI2561" s="101"/>
      <c r="AJ2561" s="101"/>
      <c r="AK2561" s="101"/>
      <c r="AL2561" s="101"/>
      <c r="AM2561" s="101"/>
      <c r="AN2561" s="101"/>
    </row>
    <row r="2562" spans="1:40" ht="16.5" customHeight="1" x14ac:dyDescent="0.3">
      <c r="A2562" s="69"/>
      <c r="B2562" s="69"/>
      <c r="C2562" s="69"/>
      <c r="D2562" s="69"/>
      <c r="E2562" s="69"/>
      <c r="F2562" s="69"/>
      <c r="G2562" s="17" t="s">
        <v>1405</v>
      </c>
      <c r="Z2562" s="101"/>
      <c r="AA2562" s="101"/>
      <c r="AB2562" s="101"/>
      <c r="AC2562" s="101"/>
      <c r="AD2562" s="101"/>
      <c r="AE2562" s="101"/>
      <c r="AF2562" s="101"/>
      <c r="AG2562" s="101"/>
      <c r="AH2562" s="101"/>
      <c r="AI2562" s="101"/>
      <c r="AJ2562" s="101"/>
      <c r="AK2562" s="101"/>
      <c r="AL2562" s="101"/>
      <c r="AM2562" s="101"/>
      <c r="AN2562" s="101"/>
    </row>
    <row r="2563" spans="1:40" ht="16.5" customHeight="1" x14ac:dyDescent="0.3">
      <c r="A2563" s="69"/>
      <c r="B2563" s="69"/>
      <c r="C2563" s="69"/>
      <c r="D2563" s="69"/>
      <c r="E2563" s="69"/>
      <c r="F2563" s="69"/>
      <c r="G2563" s="17" t="s">
        <v>1405</v>
      </c>
      <c r="Z2563" s="101"/>
      <c r="AA2563" s="101"/>
      <c r="AB2563" s="101"/>
      <c r="AC2563" s="101"/>
      <c r="AD2563" s="101"/>
      <c r="AE2563" s="101"/>
      <c r="AF2563" s="101"/>
      <c r="AG2563" s="101"/>
      <c r="AH2563" s="101"/>
      <c r="AI2563" s="101"/>
      <c r="AJ2563" s="101"/>
      <c r="AK2563" s="101"/>
      <c r="AL2563" s="101"/>
      <c r="AM2563" s="101"/>
      <c r="AN2563" s="101"/>
    </row>
    <row r="2564" spans="1:40" ht="16.5" customHeight="1" x14ac:dyDescent="0.3">
      <c r="A2564" s="59"/>
      <c r="B2564" s="68" t="s">
        <v>2041</v>
      </c>
      <c r="C2564" s="69"/>
      <c r="D2564" s="69"/>
      <c r="E2564" s="69"/>
      <c r="F2564" s="69"/>
      <c r="G2564" s="17" t="s">
        <v>2040</v>
      </c>
      <c r="Z2564" s="101"/>
      <c r="AA2564" s="101"/>
      <c r="AB2564" s="101"/>
      <c r="AC2564" s="101"/>
      <c r="AD2564" s="101"/>
      <c r="AE2564" s="101"/>
      <c r="AF2564" s="101"/>
      <c r="AG2564" s="101"/>
      <c r="AH2564" s="101"/>
      <c r="AI2564" s="101"/>
      <c r="AJ2564" s="101"/>
      <c r="AK2564" s="101"/>
      <c r="AL2564" s="101"/>
      <c r="AM2564" s="101"/>
      <c r="AN2564" s="101"/>
    </row>
    <row r="2565" spans="1:40" ht="16.5" customHeight="1" x14ac:dyDescent="0.3">
      <c r="A2565" s="69"/>
      <c r="B2565" s="69"/>
      <c r="C2565" s="69"/>
      <c r="D2565" s="69"/>
      <c r="E2565" s="69"/>
      <c r="F2565" s="69"/>
      <c r="G2565" s="17" t="s">
        <v>1405</v>
      </c>
      <c r="Z2565" s="101"/>
      <c r="AA2565" s="101"/>
      <c r="AB2565" s="101"/>
      <c r="AC2565" s="101"/>
      <c r="AD2565" s="101"/>
      <c r="AE2565" s="101"/>
      <c r="AF2565" s="101"/>
      <c r="AG2565" s="101"/>
      <c r="AH2565" s="101"/>
      <c r="AI2565" s="101"/>
      <c r="AJ2565" s="101"/>
      <c r="AK2565" s="101"/>
      <c r="AL2565" s="101"/>
      <c r="AM2565" s="101"/>
      <c r="AN2565" s="101"/>
    </row>
    <row r="2566" spans="1:40" ht="16.5" customHeight="1" x14ac:dyDescent="0.3">
      <c r="A2566" s="59" t="s">
        <v>2334</v>
      </c>
      <c r="B2566" s="89" t="str">
        <f>"     공사안내 간판 : "&amp;TEXT(I2566,"#,##0"&amp;IF(I2566&lt;&gt;INT(I2566),".###",""))&amp;" * "&amp;AA2566&amp;" EA  * "&amp;AC2566&amp;" = "&amp;TEXT(C2566,"#,##0.0")&amp;""</f>
        <v xml:space="preserve">     공사안내 간판 : 310,909 * 1 EA  * 0.3 = 93,272.7</v>
      </c>
      <c r="C2566" s="91">
        <f>E2566+D2566+F2566</f>
        <v>93272.7</v>
      </c>
      <c r="D2566" s="91">
        <f>IF(H2566=0,0,ROUNDDOWN(J2566*H2566,1))</f>
        <v>0</v>
      </c>
      <c r="E2566" s="91">
        <f>IF(H2566=0,0,ROUNDDOWN(K2566*H2566,1))</f>
        <v>93272.7</v>
      </c>
      <c r="F2566" s="91">
        <f>IF(H2566=0,0,ROUNDDOWN(L2566*H2566,1))</f>
        <v>0</v>
      </c>
      <c r="G2566" s="17" t="s">
        <v>2333</v>
      </c>
      <c r="H2566" s="97">
        <f>ROUNDUP(AE2566,14-LEN(ABS(INT(AE2566))))</f>
        <v>0.3</v>
      </c>
      <c r="I2566" s="98">
        <f>K2566+J2566+L2566</f>
        <v>310909</v>
      </c>
      <c r="K2566" s="38">
        <f>재료비목록표!E17</f>
        <v>310909</v>
      </c>
      <c r="M2566" s="35" t="s">
        <v>2335</v>
      </c>
      <c r="N2566" s="35" t="s">
        <v>1262</v>
      </c>
      <c r="X2566" s="100" t="str">
        <f>재료비목록표!B17&amp;" / "&amp;재료비목록표!C17</f>
        <v>공사안내간판 / 90*2000(A형 입간판)</v>
      </c>
      <c r="Y2566" s="3" t="str">
        <f ca="1">HYPERLINK("#"&amp;재료비목록표!G2&amp;"!A"&amp;ROW(재료비목록표!A17),"자재14 →")</f>
        <v>자재14 →</v>
      </c>
      <c r="Z2566" s="35" t="s">
        <v>1446</v>
      </c>
      <c r="AA2566" s="102">
        <v>1</v>
      </c>
      <c r="AB2566" s="35" t="s">
        <v>1436</v>
      </c>
      <c r="AC2566" s="104">
        <v>0.3</v>
      </c>
      <c r="AD2566" s="35" t="s">
        <v>1410</v>
      </c>
      <c r="AE2566" s="103">
        <f>1*AA2566*AC2566</f>
        <v>0.3</v>
      </c>
      <c r="AF2566" s="101"/>
      <c r="AG2566" s="101"/>
      <c r="AH2566" s="101"/>
      <c r="AI2566" s="101"/>
      <c r="AJ2566" s="101"/>
      <c r="AK2566" s="101"/>
      <c r="AL2566" s="101"/>
      <c r="AM2566" s="101"/>
      <c r="AN2566" s="101"/>
    </row>
    <row r="2567" spans="1:40" ht="16.5" customHeight="1" x14ac:dyDescent="0.3">
      <c r="A2567" s="69"/>
      <c r="B2567" s="69"/>
      <c r="C2567" s="69"/>
      <c r="D2567" s="69"/>
      <c r="E2567" s="69"/>
      <c r="F2567" s="69"/>
      <c r="G2567" s="17" t="s">
        <v>1405</v>
      </c>
      <c r="Z2567" s="101"/>
      <c r="AA2567" s="101"/>
      <c r="AB2567" s="101"/>
      <c r="AC2567" s="101"/>
      <c r="AD2567" s="101"/>
      <c r="AE2567" s="101"/>
      <c r="AF2567" s="101"/>
      <c r="AG2567" s="101"/>
      <c r="AH2567" s="101"/>
      <c r="AI2567" s="101"/>
      <c r="AJ2567" s="101"/>
      <c r="AK2567" s="101"/>
      <c r="AL2567" s="101"/>
      <c r="AM2567" s="101"/>
      <c r="AN2567" s="101"/>
    </row>
    <row r="2568" spans="1:40" ht="16.5" customHeight="1" x14ac:dyDescent="0.3">
      <c r="A2568" s="59"/>
      <c r="B2568" s="89" t="str">
        <f>"  손료계산 : "&amp;TEXT(I2568,"#,##0.0")&amp;" * "&amp;AA2568&amp;" %  = "&amp;TEXT(C2568,"#,##0.0")&amp;""</f>
        <v xml:space="preserve">  손료계산 : 93,272.7 * 5 %  = 4,663.6</v>
      </c>
      <c r="C2568" s="91">
        <f>E2568+D2568+F2568</f>
        <v>4663.6000000000004</v>
      </c>
      <c r="D2568" s="91">
        <f>IF(H2568=0,0,ROUNDDOWN(J2568*H2568/100,1))</f>
        <v>4663.6000000000004</v>
      </c>
      <c r="E2568" s="91">
        <f>IF(H2568=0,0,ROUNDDOWN(K2568*H2568/100,1))</f>
        <v>0</v>
      </c>
      <c r="F2568" s="91">
        <f>IF(H2568=0,0,ROUNDDOWN(L2568*H2568/100,1))</f>
        <v>0</v>
      </c>
      <c r="G2568" s="17" t="s">
        <v>2336</v>
      </c>
      <c r="H2568" s="97">
        <f>ROUNDUP(AC2568,14-LEN(ABS(INT(AC2568))))</f>
        <v>5</v>
      </c>
      <c r="I2568" s="98">
        <f>K2568+J2568+L2568</f>
        <v>93272.7</v>
      </c>
      <c r="J2568" s="98">
        <f>SUMIF(N2557:N2567,N2568,E2557:E2567)</f>
        <v>93272.7</v>
      </c>
      <c r="K2568" s="36">
        <v>0</v>
      </c>
      <c r="L2568" s="36">
        <v>0</v>
      </c>
      <c r="M2568" s="35" t="s">
        <v>2337</v>
      </c>
      <c r="N2568" s="35" t="s">
        <v>1262</v>
      </c>
      <c r="Z2568" s="35" t="s">
        <v>1446</v>
      </c>
      <c r="AA2568" s="102">
        <v>5</v>
      </c>
      <c r="AB2568" s="35" t="s">
        <v>1410</v>
      </c>
      <c r="AC2568" s="103">
        <f>1*AA2568</f>
        <v>5</v>
      </c>
      <c r="AD2568" s="101"/>
      <c r="AE2568" s="101"/>
      <c r="AF2568" s="101"/>
      <c r="AG2568" s="101"/>
      <c r="AH2568" s="101"/>
      <c r="AI2568" s="101"/>
      <c r="AJ2568" s="101"/>
      <c r="AK2568" s="101"/>
      <c r="AL2568" s="101"/>
      <c r="AM2568" s="101"/>
      <c r="AN2568" s="101"/>
    </row>
    <row r="2569" spans="1:40" ht="16.5" customHeight="1" x14ac:dyDescent="0.3">
      <c r="A2569" s="69"/>
      <c r="B2569" s="69"/>
      <c r="C2569" s="69"/>
      <c r="D2569" s="69"/>
      <c r="E2569" s="69"/>
      <c r="F2569" s="69"/>
      <c r="G2569" s="17" t="s">
        <v>1405</v>
      </c>
      <c r="Z2569" s="101"/>
      <c r="AA2569" s="101"/>
      <c r="AB2569" s="101"/>
      <c r="AC2569" s="101"/>
      <c r="AD2569" s="101"/>
      <c r="AE2569" s="101"/>
      <c r="AF2569" s="101"/>
      <c r="AG2569" s="101"/>
      <c r="AH2569" s="101"/>
      <c r="AI2569" s="101"/>
      <c r="AJ2569" s="101"/>
      <c r="AK2569" s="101"/>
      <c r="AL2569" s="101"/>
      <c r="AM2569" s="101"/>
      <c r="AN2569" s="101"/>
    </row>
    <row r="2570" spans="1:40" ht="16.5" customHeight="1" x14ac:dyDescent="0.3">
      <c r="A2570" s="59"/>
      <c r="B2570" s="68" t="s">
        <v>1260</v>
      </c>
      <c r="C2570" s="92">
        <f>E2570+D2570+F2570</f>
        <v>97936.3</v>
      </c>
      <c r="D2570" s="92">
        <f>SUMIF(N2557:N2569,M2570,D2557:D2569)</f>
        <v>4663.6000000000004</v>
      </c>
      <c r="E2570" s="92">
        <f>SUMIF(N2557:N2569,M2570,E2557:E2569)</f>
        <v>93272.7</v>
      </c>
      <c r="F2570" s="92">
        <f>SUMIF(N2557:N2569,M2570,F2557:F2569)</f>
        <v>0</v>
      </c>
      <c r="G2570" s="17" t="s">
        <v>1430</v>
      </c>
      <c r="M2570" s="35" t="s">
        <v>1262</v>
      </c>
      <c r="N2570" s="35" t="s">
        <v>1253</v>
      </c>
      <c r="Z2570" s="101"/>
      <c r="AA2570" s="101"/>
      <c r="AB2570" s="101"/>
      <c r="AC2570" s="101"/>
      <c r="AD2570" s="101"/>
      <c r="AE2570" s="101"/>
      <c r="AF2570" s="101"/>
      <c r="AG2570" s="101"/>
      <c r="AH2570" s="101"/>
      <c r="AI2570" s="101"/>
      <c r="AJ2570" s="101"/>
      <c r="AK2570" s="101"/>
      <c r="AL2570" s="101"/>
      <c r="AM2570" s="101"/>
      <c r="AN2570" s="101"/>
    </row>
    <row r="2571" spans="1:40" ht="16.5" customHeight="1" x14ac:dyDescent="0.3">
      <c r="A2571" s="69"/>
      <c r="B2571" s="69"/>
      <c r="C2571" s="90"/>
      <c r="D2571" s="90"/>
      <c r="E2571" s="90"/>
      <c r="F2571" s="90"/>
      <c r="G2571" s="17" t="s">
        <v>1405</v>
      </c>
      <c r="Z2571" s="101"/>
      <c r="AA2571" s="101"/>
      <c r="AB2571" s="101"/>
      <c r="AC2571" s="101"/>
      <c r="AD2571" s="101"/>
      <c r="AE2571" s="101"/>
      <c r="AF2571" s="101"/>
      <c r="AG2571" s="101"/>
      <c r="AH2571" s="101"/>
      <c r="AI2571" s="101"/>
      <c r="AJ2571" s="101"/>
      <c r="AK2571" s="101"/>
      <c r="AL2571" s="101"/>
      <c r="AM2571" s="101"/>
      <c r="AN2571" s="101"/>
    </row>
    <row r="2572" spans="1:40" ht="16.5" customHeight="1" x14ac:dyDescent="0.3">
      <c r="A2572" s="59"/>
      <c r="B2572" s="68" t="s">
        <v>1251</v>
      </c>
      <c r="C2572" s="92">
        <f>E2572+D2572+F2572</f>
        <v>97936.3</v>
      </c>
      <c r="D2572" s="92">
        <f>SUMIF(N2557:N2571,M2572,D2557:D2571)</f>
        <v>4663.6000000000004</v>
      </c>
      <c r="E2572" s="92">
        <f>SUMIF(N2557:N2571,M2572,E2557:E2571)</f>
        <v>93272.7</v>
      </c>
      <c r="F2572" s="92">
        <f>SUMIF(N2557:N2571,M2572,F2557:F2571)</f>
        <v>0</v>
      </c>
      <c r="G2572" s="17" t="s">
        <v>1476</v>
      </c>
      <c r="M2572" s="35" t="s">
        <v>1253</v>
      </c>
      <c r="N2572" s="35" t="s">
        <v>1209</v>
      </c>
      <c r="Z2572" s="101"/>
      <c r="AA2572" s="101"/>
      <c r="AB2572" s="101"/>
      <c r="AC2572" s="101"/>
      <c r="AD2572" s="101"/>
      <c r="AE2572" s="101"/>
      <c r="AF2572" s="101"/>
      <c r="AG2572" s="101"/>
      <c r="AH2572" s="101"/>
      <c r="AI2572" s="101"/>
      <c r="AJ2572" s="101"/>
      <c r="AK2572" s="101"/>
      <c r="AL2572" s="101"/>
      <c r="AM2572" s="101"/>
      <c r="AN2572" s="101"/>
    </row>
    <row r="2573" spans="1:40" ht="16.5" customHeight="1" x14ac:dyDescent="0.3">
      <c r="A2573" s="69"/>
      <c r="B2573" s="69"/>
      <c r="C2573" s="90"/>
      <c r="D2573" s="90"/>
      <c r="E2573" s="90"/>
      <c r="F2573" s="90"/>
      <c r="G2573" s="17" t="s">
        <v>1405</v>
      </c>
      <c r="Z2573" s="101"/>
      <c r="AA2573" s="101"/>
      <c r="AB2573" s="101"/>
      <c r="AC2573" s="101"/>
      <c r="AD2573" s="101"/>
      <c r="AE2573" s="101"/>
      <c r="AF2573" s="101"/>
      <c r="AG2573" s="101"/>
      <c r="AH2573" s="101"/>
      <c r="AI2573" s="101"/>
      <c r="AJ2573" s="101"/>
      <c r="AK2573" s="101"/>
      <c r="AL2573" s="101"/>
      <c r="AM2573" s="101"/>
      <c r="AN2573" s="101"/>
    </row>
    <row r="2574" spans="1:40" ht="16.5" customHeight="1" x14ac:dyDescent="0.3">
      <c r="A2574" s="69"/>
      <c r="B2574" s="69"/>
      <c r="C2574" s="69"/>
      <c r="D2574" s="69"/>
      <c r="E2574" s="69"/>
      <c r="F2574" s="69"/>
      <c r="G2574" s="17" t="s">
        <v>1405</v>
      </c>
      <c r="Z2574" s="101"/>
      <c r="AA2574" s="101"/>
      <c r="AB2574" s="101"/>
      <c r="AC2574" s="101"/>
      <c r="AD2574" s="101"/>
      <c r="AE2574" s="101"/>
      <c r="AF2574" s="101"/>
      <c r="AG2574" s="101"/>
      <c r="AH2574" s="101"/>
      <c r="AI2574" s="101"/>
      <c r="AJ2574" s="101"/>
      <c r="AK2574" s="101"/>
      <c r="AL2574" s="101"/>
      <c r="AM2574" s="101"/>
      <c r="AN2574" s="101"/>
    </row>
    <row r="2575" spans="1:40" ht="16.5" customHeight="1" x14ac:dyDescent="0.3">
      <c r="A2575" s="69"/>
      <c r="B2575" s="69"/>
      <c r="C2575" s="69"/>
      <c r="D2575" s="69"/>
      <c r="E2575" s="69"/>
      <c r="F2575" s="69"/>
      <c r="G2575" s="17" t="s">
        <v>1525</v>
      </c>
      <c r="Z2575" s="101"/>
      <c r="AA2575" s="101"/>
      <c r="AB2575" s="101"/>
      <c r="AC2575" s="101"/>
      <c r="AD2575" s="101"/>
      <c r="AE2575" s="101"/>
      <c r="AF2575" s="101"/>
      <c r="AG2575" s="101"/>
      <c r="AH2575" s="101"/>
      <c r="AI2575" s="101"/>
      <c r="AJ2575" s="101"/>
      <c r="AK2575" s="101"/>
      <c r="AL2575" s="101"/>
      <c r="AM2575" s="101"/>
      <c r="AN2575" s="101"/>
    </row>
    <row r="2576" spans="1:40" ht="16.5" customHeight="1" x14ac:dyDescent="0.3">
      <c r="A2576" s="69"/>
      <c r="B2576" s="69"/>
      <c r="C2576" s="69"/>
      <c r="D2576" s="69"/>
      <c r="E2576" s="69"/>
      <c r="F2576" s="69"/>
      <c r="G2576" s="17" t="s">
        <v>1525</v>
      </c>
      <c r="Z2576" s="101"/>
      <c r="AA2576" s="101"/>
      <c r="AB2576" s="101"/>
      <c r="AC2576" s="101"/>
      <c r="AD2576" s="101"/>
      <c r="AE2576" s="101"/>
      <c r="AF2576" s="101"/>
      <c r="AG2576" s="101"/>
      <c r="AH2576" s="101"/>
      <c r="AI2576" s="101"/>
      <c r="AJ2576" s="101"/>
      <c r="AK2576" s="101"/>
      <c r="AL2576" s="101"/>
      <c r="AM2576" s="101"/>
      <c r="AN2576" s="101"/>
    </row>
    <row r="2577" spans="1:40" ht="16.5" customHeight="1" x14ac:dyDescent="0.3">
      <c r="A2577" s="69"/>
      <c r="B2577" s="69"/>
      <c r="C2577" s="69"/>
      <c r="D2577" s="69"/>
      <c r="E2577" s="69"/>
      <c r="F2577" s="69"/>
      <c r="G2577" s="17" t="s">
        <v>1525</v>
      </c>
      <c r="Z2577" s="101"/>
      <c r="AA2577" s="101"/>
      <c r="AB2577" s="101"/>
      <c r="AC2577" s="101"/>
      <c r="AD2577" s="101"/>
      <c r="AE2577" s="101"/>
      <c r="AF2577" s="101"/>
      <c r="AG2577" s="101"/>
      <c r="AH2577" s="101"/>
      <c r="AI2577" s="101"/>
      <c r="AJ2577" s="101"/>
      <c r="AK2577" s="101"/>
      <c r="AL2577" s="101"/>
      <c r="AM2577" s="101"/>
      <c r="AN2577" s="101"/>
    </row>
    <row r="2578" spans="1:40" ht="16.5" customHeight="1" x14ac:dyDescent="0.3">
      <c r="A2578" s="69"/>
      <c r="B2578" s="69"/>
      <c r="C2578" s="69"/>
      <c r="D2578" s="69"/>
      <c r="E2578" s="69"/>
      <c r="F2578" s="69"/>
      <c r="Z2578" s="101"/>
      <c r="AA2578" s="101"/>
      <c r="AB2578" s="101"/>
      <c r="AC2578" s="101"/>
      <c r="AD2578" s="101"/>
      <c r="AE2578" s="101"/>
      <c r="AF2578" s="101"/>
      <c r="AG2578" s="101"/>
      <c r="AH2578" s="101"/>
      <c r="AI2578" s="101"/>
      <c r="AJ2578" s="101"/>
      <c r="AK2578" s="101"/>
      <c r="AL2578" s="101"/>
      <c r="AM2578" s="101"/>
      <c r="AN2578" s="101"/>
    </row>
    <row r="2579" spans="1:40" ht="16.5" customHeight="1" x14ac:dyDescent="0.3">
      <c r="A2579" s="69"/>
      <c r="B2579" s="69"/>
      <c r="C2579" s="69"/>
      <c r="D2579" s="69"/>
      <c r="E2579" s="69"/>
      <c r="F2579" s="69"/>
      <c r="Z2579" s="101"/>
      <c r="AA2579" s="101"/>
      <c r="AB2579" s="101"/>
      <c r="AC2579" s="101"/>
      <c r="AD2579" s="101"/>
      <c r="AE2579" s="101"/>
      <c r="AF2579" s="101"/>
      <c r="AG2579" s="101"/>
      <c r="AH2579" s="101"/>
      <c r="AI2579" s="101"/>
      <c r="AJ2579" s="101"/>
      <c r="AK2579" s="101"/>
      <c r="AL2579" s="101"/>
      <c r="AM2579" s="101"/>
      <c r="AN2579" s="101"/>
    </row>
    <row r="2580" spans="1:40" ht="16.5" customHeight="1" x14ac:dyDescent="0.3">
      <c r="A2580" s="69"/>
      <c r="B2580" s="69"/>
      <c r="C2580" s="69"/>
      <c r="D2580" s="69"/>
      <c r="E2580" s="69"/>
      <c r="F2580" s="69"/>
      <c r="Z2580" s="101"/>
      <c r="AA2580" s="101"/>
      <c r="AB2580" s="101"/>
      <c r="AC2580" s="101"/>
      <c r="AD2580" s="101"/>
      <c r="AE2580" s="101"/>
      <c r="AF2580" s="101"/>
      <c r="AG2580" s="101"/>
      <c r="AH2580" s="101"/>
      <c r="AI2580" s="101"/>
      <c r="AJ2580" s="101"/>
      <c r="AK2580" s="101"/>
      <c r="AL2580" s="101"/>
      <c r="AM2580" s="101"/>
      <c r="AN2580" s="101"/>
    </row>
    <row r="2581" spans="1:40" ht="16.5" customHeight="1" x14ac:dyDescent="0.3">
      <c r="A2581" s="69"/>
      <c r="B2581" s="69"/>
      <c r="C2581" s="69"/>
      <c r="D2581" s="69"/>
      <c r="E2581" s="69"/>
      <c r="F2581" s="69"/>
      <c r="Z2581" s="101"/>
      <c r="AA2581" s="101"/>
      <c r="AB2581" s="101"/>
      <c r="AC2581" s="101"/>
      <c r="AD2581" s="101"/>
      <c r="AE2581" s="101"/>
      <c r="AF2581" s="101"/>
      <c r="AG2581" s="101"/>
      <c r="AH2581" s="101"/>
      <c r="AI2581" s="101"/>
      <c r="AJ2581" s="101"/>
      <c r="AK2581" s="101"/>
      <c r="AL2581" s="101"/>
      <c r="AM2581" s="101"/>
      <c r="AN2581" s="101"/>
    </row>
    <row r="2582" spans="1:40" ht="16.5" customHeight="1" x14ac:dyDescent="0.3">
      <c r="A2582" s="69"/>
      <c r="B2582" s="69"/>
      <c r="C2582" s="69"/>
      <c r="D2582" s="69"/>
      <c r="E2582" s="69"/>
      <c r="F2582" s="69"/>
      <c r="Z2582" s="101"/>
      <c r="AA2582" s="101"/>
      <c r="AB2582" s="101"/>
      <c r="AC2582" s="101"/>
      <c r="AD2582" s="101"/>
      <c r="AE2582" s="101"/>
      <c r="AF2582" s="101"/>
      <c r="AG2582" s="101"/>
      <c r="AH2582" s="101"/>
      <c r="AI2582" s="101"/>
      <c r="AJ2582" s="101"/>
      <c r="AK2582" s="101"/>
      <c r="AL2582" s="101"/>
      <c r="AM2582" s="101"/>
      <c r="AN2582" s="101"/>
    </row>
    <row r="2583" spans="1:40" ht="16.5" customHeight="1" x14ac:dyDescent="0.3">
      <c r="A2583" s="69"/>
      <c r="B2583" s="69"/>
      <c r="C2583" s="69"/>
      <c r="D2583" s="69"/>
      <c r="E2583" s="69"/>
      <c r="F2583" s="69"/>
      <c r="Z2583" s="101"/>
      <c r="AA2583" s="101"/>
      <c r="AB2583" s="101"/>
      <c r="AC2583" s="101"/>
      <c r="AD2583" s="101"/>
      <c r="AE2583" s="101"/>
      <c r="AF2583" s="101"/>
      <c r="AG2583" s="101"/>
      <c r="AH2583" s="101"/>
      <c r="AI2583" s="101"/>
      <c r="AJ2583" s="101"/>
      <c r="AK2583" s="101"/>
      <c r="AL2583" s="101"/>
      <c r="AM2583" s="101"/>
      <c r="AN2583" s="101"/>
    </row>
    <row r="2584" spans="1:40" ht="16.5" customHeight="1" x14ac:dyDescent="0.3">
      <c r="A2584" s="69"/>
      <c r="B2584" s="69"/>
      <c r="C2584" s="69"/>
      <c r="D2584" s="69"/>
      <c r="E2584" s="69"/>
      <c r="F2584" s="69"/>
      <c r="Z2584" s="101"/>
      <c r="AA2584" s="101"/>
      <c r="AB2584" s="101"/>
      <c r="AC2584" s="101"/>
      <c r="AD2584" s="101"/>
      <c r="AE2584" s="101"/>
      <c r="AF2584" s="101"/>
      <c r="AG2584" s="101"/>
      <c r="AH2584" s="101"/>
      <c r="AI2584" s="101"/>
      <c r="AJ2584" s="101"/>
      <c r="AK2584" s="101"/>
      <c r="AL2584" s="101"/>
      <c r="AM2584" s="101"/>
      <c r="AN2584" s="101"/>
    </row>
    <row r="2585" spans="1:40" ht="16.5" customHeight="1" x14ac:dyDescent="0.3">
      <c r="A2585" s="69"/>
      <c r="B2585" s="69"/>
      <c r="C2585" s="69"/>
      <c r="D2585" s="69"/>
      <c r="E2585" s="69"/>
      <c r="F2585" s="69"/>
      <c r="Z2585" s="101"/>
      <c r="AA2585" s="101"/>
      <c r="AB2585" s="101"/>
      <c r="AC2585" s="101"/>
      <c r="AD2585" s="101"/>
      <c r="AE2585" s="101"/>
      <c r="AF2585" s="101"/>
      <c r="AG2585" s="101"/>
      <c r="AH2585" s="101"/>
      <c r="AI2585" s="101"/>
      <c r="AJ2585" s="101"/>
      <c r="AK2585" s="101"/>
      <c r="AL2585" s="101"/>
      <c r="AM2585" s="101"/>
      <c r="AN2585" s="101"/>
    </row>
    <row r="2586" spans="1:40" ht="16.5" customHeight="1" x14ac:dyDescent="0.3">
      <c r="A2586" s="69"/>
      <c r="B2586" s="69"/>
      <c r="C2586" s="69"/>
      <c r="D2586" s="69"/>
      <c r="E2586" s="69"/>
      <c r="F2586" s="69"/>
      <c r="Z2586" s="101"/>
      <c r="AA2586" s="101"/>
      <c r="AB2586" s="101"/>
      <c r="AC2586" s="101"/>
      <c r="AD2586" s="101"/>
      <c r="AE2586" s="101"/>
      <c r="AF2586" s="101"/>
      <c r="AG2586" s="101"/>
      <c r="AH2586" s="101"/>
      <c r="AI2586" s="101"/>
      <c r="AJ2586" s="101"/>
      <c r="AK2586" s="101"/>
      <c r="AL2586" s="101"/>
      <c r="AM2586" s="101"/>
      <c r="AN2586" s="101"/>
    </row>
    <row r="2587" spans="1:40" ht="16.5" customHeight="1" x14ac:dyDescent="0.3">
      <c r="A2587" s="69"/>
      <c r="B2587" s="69"/>
      <c r="C2587" s="69"/>
      <c r="D2587" s="69"/>
      <c r="E2587" s="69"/>
      <c r="F2587" s="69"/>
      <c r="Z2587" s="101"/>
      <c r="AA2587" s="101"/>
      <c r="AB2587" s="101"/>
      <c r="AC2587" s="101"/>
      <c r="AD2587" s="101"/>
      <c r="AE2587" s="101"/>
      <c r="AF2587" s="101"/>
      <c r="AG2587" s="101"/>
      <c r="AH2587" s="101"/>
      <c r="AI2587" s="101"/>
      <c r="AJ2587" s="101"/>
      <c r="AK2587" s="101"/>
      <c r="AL2587" s="101"/>
      <c r="AM2587" s="101"/>
      <c r="AN2587" s="101"/>
    </row>
    <row r="2588" spans="1:40" ht="16.5" customHeight="1" x14ac:dyDescent="0.3">
      <c r="A2588" s="69"/>
      <c r="B2588" s="69"/>
      <c r="C2588" s="69"/>
      <c r="D2588" s="69"/>
      <c r="E2588" s="69"/>
      <c r="F2588" s="69"/>
      <c r="Z2588" s="101"/>
      <c r="AA2588" s="101"/>
      <c r="AB2588" s="101"/>
      <c r="AC2588" s="101"/>
      <c r="AD2588" s="101"/>
      <c r="AE2588" s="101"/>
      <c r="AF2588" s="101"/>
      <c r="AG2588" s="101"/>
      <c r="AH2588" s="101"/>
      <c r="AI2588" s="101"/>
      <c r="AJ2588" s="101"/>
      <c r="AK2588" s="101"/>
      <c r="AL2588" s="101"/>
      <c r="AM2588" s="101"/>
      <c r="AN2588" s="101"/>
    </row>
    <row r="2589" spans="1:40" ht="16.5" customHeight="1" x14ac:dyDescent="0.3">
      <c r="A2589" s="69"/>
      <c r="B2589" s="69"/>
      <c r="C2589" s="69"/>
      <c r="D2589" s="69"/>
      <c r="E2589" s="69"/>
      <c r="F2589" s="69"/>
      <c r="Z2589" s="101"/>
      <c r="AA2589" s="101"/>
      <c r="AB2589" s="101"/>
      <c r="AC2589" s="101"/>
      <c r="AD2589" s="101"/>
      <c r="AE2589" s="101"/>
      <c r="AF2589" s="101"/>
      <c r="AG2589" s="101"/>
      <c r="AH2589" s="101"/>
      <c r="AI2589" s="101"/>
      <c r="AJ2589" s="101"/>
      <c r="AK2589" s="101"/>
      <c r="AL2589" s="101"/>
      <c r="AM2589" s="101"/>
      <c r="AN2589" s="101"/>
    </row>
    <row r="2590" spans="1:40" ht="16.5" customHeight="1" x14ac:dyDescent="0.3">
      <c r="A2590" s="69"/>
      <c r="B2590" s="69"/>
      <c r="C2590" s="69"/>
      <c r="D2590" s="69"/>
      <c r="E2590" s="69"/>
      <c r="F2590" s="69"/>
      <c r="Z2590" s="101"/>
      <c r="AA2590" s="101"/>
      <c r="AB2590" s="101"/>
      <c r="AC2590" s="101"/>
      <c r="AD2590" s="101"/>
      <c r="AE2590" s="101"/>
      <c r="AF2590" s="101"/>
      <c r="AG2590" s="101"/>
      <c r="AH2590" s="101"/>
      <c r="AI2590" s="101"/>
      <c r="AJ2590" s="101"/>
      <c r="AK2590" s="101"/>
      <c r="AL2590" s="101"/>
      <c r="AM2590" s="101"/>
      <c r="AN2590" s="101"/>
    </row>
    <row r="2591" spans="1:40" ht="16.5" customHeight="1" x14ac:dyDescent="0.3">
      <c r="A2591" s="69"/>
      <c r="B2591" s="69"/>
      <c r="C2591" s="69"/>
      <c r="D2591" s="69"/>
      <c r="E2591" s="69"/>
      <c r="F2591" s="69"/>
      <c r="Z2591" s="101"/>
      <c r="AA2591" s="101"/>
      <c r="AB2591" s="101"/>
      <c r="AC2591" s="101"/>
      <c r="AD2591" s="101"/>
      <c r="AE2591" s="101"/>
      <c r="AF2591" s="101"/>
      <c r="AG2591" s="101"/>
      <c r="AH2591" s="101"/>
      <c r="AI2591" s="101"/>
      <c r="AJ2591" s="101"/>
      <c r="AK2591" s="101"/>
      <c r="AL2591" s="101"/>
      <c r="AM2591" s="101"/>
      <c r="AN2591" s="101"/>
    </row>
    <row r="2592" spans="1:40" ht="16.5" customHeight="1" x14ac:dyDescent="0.3">
      <c r="A2592" s="69"/>
      <c r="B2592" s="69"/>
      <c r="C2592" s="69"/>
      <c r="D2592" s="69"/>
      <c r="E2592" s="69"/>
      <c r="F2592" s="69"/>
      <c r="Z2592" s="101"/>
      <c r="AA2592" s="101"/>
      <c r="AB2592" s="101"/>
      <c r="AC2592" s="101"/>
      <c r="AD2592" s="101"/>
      <c r="AE2592" s="101"/>
      <c r="AF2592" s="101"/>
      <c r="AG2592" s="101"/>
      <c r="AH2592" s="101"/>
      <c r="AI2592" s="101"/>
      <c r="AJ2592" s="101"/>
      <c r="AK2592" s="101"/>
      <c r="AL2592" s="101"/>
      <c r="AM2592" s="101"/>
      <c r="AN2592" s="101"/>
    </row>
    <row r="2593" spans="1:40" ht="16.5" customHeight="1" x14ac:dyDescent="0.3">
      <c r="A2593" s="69"/>
      <c r="B2593" s="69"/>
      <c r="C2593" s="69"/>
      <c r="D2593" s="69"/>
      <c r="E2593" s="69"/>
      <c r="F2593" s="69"/>
      <c r="Z2593" s="101"/>
      <c r="AA2593" s="101"/>
      <c r="AB2593" s="101"/>
      <c r="AC2593" s="101"/>
      <c r="AD2593" s="101"/>
      <c r="AE2593" s="101"/>
      <c r="AF2593" s="101"/>
      <c r="AG2593" s="101"/>
      <c r="AH2593" s="101"/>
      <c r="AI2593" s="101"/>
      <c r="AJ2593" s="101"/>
      <c r="AK2593" s="101"/>
      <c r="AL2593" s="101"/>
      <c r="AM2593" s="101"/>
      <c r="AN2593" s="101"/>
    </row>
    <row r="2594" spans="1:40" ht="16.5" customHeight="1" x14ac:dyDescent="0.3">
      <c r="A2594" s="69"/>
      <c r="B2594" s="69"/>
      <c r="C2594" s="69"/>
      <c r="D2594" s="69"/>
      <c r="E2594" s="69"/>
      <c r="F2594" s="69"/>
      <c r="Z2594" s="101"/>
      <c r="AA2594" s="101"/>
      <c r="AB2594" s="101"/>
      <c r="AC2594" s="101"/>
      <c r="AD2594" s="101"/>
      <c r="AE2594" s="101"/>
      <c r="AF2594" s="101"/>
      <c r="AG2594" s="101"/>
      <c r="AH2594" s="101"/>
      <c r="AI2594" s="101"/>
      <c r="AJ2594" s="101"/>
      <c r="AK2594" s="101"/>
      <c r="AL2594" s="101"/>
      <c r="AM2594" s="101"/>
      <c r="AN2594" s="101"/>
    </row>
    <row r="2595" spans="1:40" ht="16.5" customHeight="1" x14ac:dyDescent="0.3">
      <c r="A2595" s="69"/>
      <c r="B2595" s="69"/>
      <c r="C2595" s="69"/>
      <c r="D2595" s="69"/>
      <c r="E2595" s="69"/>
      <c r="F2595" s="69"/>
      <c r="Z2595" s="101"/>
      <c r="AA2595" s="101"/>
      <c r="AB2595" s="101"/>
      <c r="AC2595" s="101"/>
      <c r="AD2595" s="101"/>
      <c r="AE2595" s="101"/>
      <c r="AF2595" s="101"/>
      <c r="AG2595" s="101"/>
      <c r="AH2595" s="101"/>
      <c r="AI2595" s="101"/>
      <c r="AJ2595" s="101"/>
      <c r="AK2595" s="101"/>
      <c r="AL2595" s="101"/>
      <c r="AM2595" s="101"/>
      <c r="AN2595" s="101"/>
    </row>
    <row r="2596" spans="1:40" ht="16.5" customHeight="1" x14ac:dyDescent="0.3">
      <c r="A2596" s="69"/>
      <c r="B2596" s="69"/>
      <c r="C2596" s="69"/>
      <c r="D2596" s="69"/>
      <c r="E2596" s="69"/>
      <c r="F2596" s="69"/>
      <c r="Z2596" s="101"/>
      <c r="AA2596" s="101"/>
      <c r="AB2596" s="101"/>
      <c r="AC2596" s="101"/>
      <c r="AD2596" s="101"/>
      <c r="AE2596" s="101"/>
      <c r="AF2596" s="101"/>
      <c r="AG2596" s="101"/>
      <c r="AH2596" s="101"/>
      <c r="AI2596" s="101"/>
      <c r="AJ2596" s="101"/>
      <c r="AK2596" s="101"/>
      <c r="AL2596" s="101"/>
      <c r="AM2596" s="101"/>
      <c r="AN2596" s="101"/>
    </row>
    <row r="2597" spans="1:40" ht="16.5" customHeight="1" x14ac:dyDescent="0.3">
      <c r="A2597" s="69"/>
      <c r="B2597" s="69"/>
      <c r="C2597" s="69"/>
      <c r="D2597" s="69"/>
      <c r="E2597" s="69"/>
      <c r="F2597" s="69"/>
      <c r="Z2597" s="101"/>
      <c r="AA2597" s="101"/>
      <c r="AB2597" s="101"/>
      <c r="AC2597" s="101"/>
      <c r="AD2597" s="101"/>
      <c r="AE2597" s="101"/>
      <c r="AF2597" s="101"/>
      <c r="AG2597" s="101"/>
      <c r="AH2597" s="101"/>
      <c r="AI2597" s="101"/>
      <c r="AJ2597" s="101"/>
      <c r="AK2597" s="101"/>
      <c r="AL2597" s="101"/>
      <c r="AM2597" s="101"/>
      <c r="AN2597" s="101"/>
    </row>
    <row r="2598" spans="1:40" ht="16.5" customHeight="1" x14ac:dyDescent="0.3">
      <c r="A2598" s="69"/>
      <c r="B2598" s="69"/>
      <c r="C2598" s="69"/>
      <c r="D2598" s="69"/>
      <c r="E2598" s="69"/>
      <c r="F2598" s="69"/>
      <c r="Z2598" s="101"/>
      <c r="AA2598" s="101"/>
      <c r="AB2598" s="101"/>
      <c r="AC2598" s="101"/>
      <c r="AD2598" s="101"/>
      <c r="AE2598" s="101"/>
      <c r="AF2598" s="101"/>
      <c r="AG2598" s="101"/>
      <c r="AH2598" s="101"/>
      <c r="AI2598" s="101"/>
      <c r="AJ2598" s="101"/>
      <c r="AK2598" s="101"/>
      <c r="AL2598" s="101"/>
      <c r="AM2598" s="101"/>
      <c r="AN2598" s="101"/>
    </row>
    <row r="2599" spans="1:40" ht="16.5" customHeight="1" x14ac:dyDescent="0.3">
      <c r="A2599" s="69"/>
      <c r="B2599" s="69"/>
      <c r="C2599" s="69"/>
      <c r="D2599" s="69"/>
      <c r="E2599" s="69"/>
      <c r="F2599" s="69"/>
      <c r="Z2599" s="101"/>
      <c r="AA2599" s="101"/>
      <c r="AB2599" s="101"/>
      <c r="AC2599" s="101"/>
      <c r="AD2599" s="101"/>
      <c r="AE2599" s="101"/>
      <c r="AF2599" s="101"/>
      <c r="AG2599" s="101"/>
      <c r="AH2599" s="101"/>
      <c r="AI2599" s="101"/>
      <c r="AJ2599" s="101"/>
      <c r="AK2599" s="101"/>
      <c r="AL2599" s="101"/>
      <c r="AM2599" s="101"/>
      <c r="AN2599" s="101"/>
    </row>
    <row r="2600" spans="1:40" ht="16.5" customHeight="1" x14ac:dyDescent="0.3">
      <c r="A2600" s="69"/>
      <c r="B2600" s="69"/>
      <c r="C2600" s="69"/>
      <c r="D2600" s="69"/>
      <c r="E2600" s="69"/>
      <c r="F2600" s="69"/>
      <c r="Z2600" s="101"/>
      <c r="AA2600" s="101"/>
      <c r="AB2600" s="101"/>
      <c r="AC2600" s="101"/>
      <c r="AD2600" s="101"/>
      <c r="AE2600" s="101"/>
      <c r="AF2600" s="101"/>
      <c r="AG2600" s="101"/>
      <c r="AH2600" s="101"/>
      <c r="AI2600" s="101"/>
      <c r="AJ2600" s="101"/>
      <c r="AK2600" s="101"/>
      <c r="AL2600" s="101"/>
      <c r="AM2600" s="101"/>
      <c r="AN2600" s="101"/>
    </row>
    <row r="2601" spans="1:40" ht="16.5" customHeight="1" x14ac:dyDescent="0.3">
      <c r="A2601" s="69"/>
      <c r="B2601" s="69"/>
      <c r="C2601" s="69"/>
      <c r="D2601" s="69"/>
      <c r="E2601" s="69"/>
      <c r="F2601" s="69"/>
      <c r="Z2601" s="101"/>
      <c r="AA2601" s="101"/>
      <c r="AB2601" s="101"/>
      <c r="AC2601" s="101"/>
      <c r="AD2601" s="101"/>
      <c r="AE2601" s="101"/>
      <c r="AF2601" s="101"/>
      <c r="AG2601" s="101"/>
      <c r="AH2601" s="101"/>
      <c r="AI2601" s="101"/>
      <c r="AJ2601" s="101"/>
      <c r="AK2601" s="101"/>
      <c r="AL2601" s="101"/>
      <c r="AM2601" s="101"/>
      <c r="AN2601" s="101"/>
    </row>
    <row r="2602" spans="1:40" ht="16.5" customHeight="1" x14ac:dyDescent="0.3">
      <c r="A2602" s="69"/>
      <c r="B2602" s="69"/>
      <c r="C2602" s="69"/>
      <c r="D2602" s="69"/>
      <c r="E2602" s="69"/>
      <c r="F2602" s="69"/>
      <c r="Z2602" s="101"/>
      <c r="AA2602" s="101"/>
      <c r="AB2602" s="101"/>
      <c r="AC2602" s="101"/>
      <c r="AD2602" s="101"/>
      <c r="AE2602" s="101"/>
      <c r="AF2602" s="101"/>
      <c r="AG2602" s="101"/>
      <c r="AH2602" s="101"/>
      <c r="AI2602" s="101"/>
      <c r="AJ2602" s="101"/>
      <c r="AK2602" s="101"/>
      <c r="AL2602" s="101"/>
      <c r="AM2602" s="101"/>
      <c r="AN2602" s="101"/>
    </row>
    <row r="2603" spans="1:40" ht="16.5" customHeight="1" x14ac:dyDescent="0.3">
      <c r="A2603" s="74"/>
      <c r="B2603" s="74"/>
      <c r="C2603" s="74"/>
      <c r="D2603" s="74"/>
      <c r="E2603" s="74"/>
      <c r="F2603" s="74"/>
      <c r="Z2603" s="101"/>
      <c r="AA2603" s="101"/>
      <c r="AB2603" s="101"/>
      <c r="AC2603" s="101"/>
      <c r="AD2603" s="101"/>
      <c r="AE2603" s="101"/>
      <c r="AF2603" s="101"/>
      <c r="AG2603" s="101"/>
      <c r="AH2603" s="101"/>
      <c r="AI2603" s="101"/>
      <c r="AJ2603" s="101"/>
      <c r="AK2603" s="101"/>
      <c r="AL2603" s="101"/>
      <c r="AM2603" s="101"/>
      <c r="AN2603" s="101"/>
    </row>
    <row r="2604" spans="1:40" ht="16.5" customHeight="1" x14ac:dyDescent="0.3">
      <c r="A2604" s="150" t="s">
        <v>1477</v>
      </c>
      <c r="B2604" s="143"/>
      <c r="C2604" s="47">
        <f>E2604+D2604+F2604</f>
        <v>97935</v>
      </c>
      <c r="D2604" s="46">
        <f>ROUNDDOWN(SUMIF(N2557:N2577,M2604,D2557:D2577),0)</f>
        <v>4663</v>
      </c>
      <c r="E2604" s="55">
        <f>ROUNDDOWN(SUMIF(N2557:N2577,M2604,E2557:E2577),0)</f>
        <v>93272</v>
      </c>
      <c r="F2604" s="47">
        <f>ROUNDDOWN(SUMIF(N2557:N2577,M2604,F2557:F2577),0)</f>
        <v>0</v>
      </c>
      <c r="M2604" s="35" t="s">
        <v>1209</v>
      </c>
      <c r="Z2604" s="101"/>
      <c r="AA2604" s="101"/>
      <c r="AB2604" s="101"/>
      <c r="AC2604" s="101"/>
      <c r="AD2604" s="101"/>
      <c r="AE2604" s="101"/>
      <c r="AF2604" s="101"/>
      <c r="AG2604" s="101"/>
      <c r="AH2604" s="101"/>
      <c r="AI2604" s="101"/>
      <c r="AJ2604" s="101"/>
      <c r="AK2604" s="101"/>
      <c r="AL2604" s="101"/>
      <c r="AM2604" s="101"/>
      <c r="AN2604" s="101"/>
    </row>
  </sheetData>
  <mergeCells count="218">
    <mergeCell ref="Z3:AN4"/>
    <mergeCell ref="C5:C6"/>
    <mergeCell ref="D5:D6"/>
    <mergeCell ref="E5:E6"/>
    <mergeCell ref="F5:F6"/>
    <mergeCell ref="A104:B104"/>
    <mergeCell ref="A1:F1"/>
    <mergeCell ref="A3:A4"/>
    <mergeCell ref="B3:B4"/>
    <mergeCell ref="C3:C4"/>
    <mergeCell ref="D3:D4"/>
    <mergeCell ref="E3:E4"/>
    <mergeCell ref="F3:F4"/>
    <mergeCell ref="A204:B204"/>
    <mergeCell ref="C205:C206"/>
    <mergeCell ref="D205:D206"/>
    <mergeCell ref="E205:E206"/>
    <mergeCell ref="F205:F206"/>
    <mergeCell ref="A254:B254"/>
    <mergeCell ref="C105:C106"/>
    <mergeCell ref="D105:D106"/>
    <mergeCell ref="E105:E106"/>
    <mergeCell ref="F105:F106"/>
    <mergeCell ref="A154:B154"/>
    <mergeCell ref="C155:C156"/>
    <mergeCell ref="D155:D156"/>
    <mergeCell ref="E155:E156"/>
    <mergeCell ref="F155:F156"/>
    <mergeCell ref="A354:B354"/>
    <mergeCell ref="C355:C356"/>
    <mergeCell ref="D355:D356"/>
    <mergeCell ref="E355:E356"/>
    <mergeCell ref="F355:F356"/>
    <mergeCell ref="A404:B404"/>
    <mergeCell ref="C255:C256"/>
    <mergeCell ref="D255:D256"/>
    <mergeCell ref="E255:E256"/>
    <mergeCell ref="F255:F256"/>
    <mergeCell ref="A304:B304"/>
    <mergeCell ref="C305:C306"/>
    <mergeCell ref="D305:D306"/>
    <mergeCell ref="E305:E306"/>
    <mergeCell ref="F305:F306"/>
    <mergeCell ref="A554:B554"/>
    <mergeCell ref="C555:C556"/>
    <mergeCell ref="D555:D556"/>
    <mergeCell ref="E555:E556"/>
    <mergeCell ref="F555:F556"/>
    <mergeCell ref="A604:B604"/>
    <mergeCell ref="C405:C406"/>
    <mergeCell ref="D405:D406"/>
    <mergeCell ref="E405:E406"/>
    <mergeCell ref="F405:F406"/>
    <mergeCell ref="A504:B504"/>
    <mergeCell ref="C505:C506"/>
    <mergeCell ref="D505:D506"/>
    <mergeCell ref="E505:E506"/>
    <mergeCell ref="F505:F506"/>
    <mergeCell ref="A754:B754"/>
    <mergeCell ref="C755:C756"/>
    <mergeCell ref="D755:D756"/>
    <mergeCell ref="E755:E756"/>
    <mergeCell ref="F755:F756"/>
    <mergeCell ref="A904:B904"/>
    <mergeCell ref="C605:C606"/>
    <mergeCell ref="D605:D606"/>
    <mergeCell ref="E605:E606"/>
    <mergeCell ref="F605:F606"/>
    <mergeCell ref="A654:B654"/>
    <mergeCell ref="C655:C656"/>
    <mergeCell ref="D655:D656"/>
    <mergeCell ref="E655:E656"/>
    <mergeCell ref="F655:F656"/>
    <mergeCell ref="A1104:B1104"/>
    <mergeCell ref="C1105:C1106"/>
    <mergeCell ref="D1105:D1106"/>
    <mergeCell ref="E1105:E1106"/>
    <mergeCell ref="F1105:F1106"/>
    <mergeCell ref="A1154:B1154"/>
    <mergeCell ref="C905:C906"/>
    <mergeCell ref="D905:D906"/>
    <mergeCell ref="E905:E906"/>
    <mergeCell ref="F905:F906"/>
    <mergeCell ref="A1004:B1004"/>
    <mergeCell ref="C1005:C1006"/>
    <mergeCell ref="D1005:D1006"/>
    <mergeCell ref="E1005:E1006"/>
    <mergeCell ref="F1005:F1006"/>
    <mergeCell ref="A1304:B1304"/>
    <mergeCell ref="C1305:C1306"/>
    <mergeCell ref="D1305:D1306"/>
    <mergeCell ref="E1305:E1306"/>
    <mergeCell ref="F1305:F1306"/>
    <mergeCell ref="A1354:B1354"/>
    <mergeCell ref="C1155:C1156"/>
    <mergeCell ref="D1155:D1156"/>
    <mergeCell ref="E1155:E1156"/>
    <mergeCell ref="F1155:F1156"/>
    <mergeCell ref="A1204:B1204"/>
    <mergeCell ref="C1205:C1206"/>
    <mergeCell ref="D1205:D1206"/>
    <mergeCell ref="E1205:E1206"/>
    <mergeCell ref="F1205:F1206"/>
    <mergeCell ref="A1504:B1504"/>
    <mergeCell ref="C1505:C1506"/>
    <mergeCell ref="D1505:D1506"/>
    <mergeCell ref="E1505:E1506"/>
    <mergeCell ref="F1505:F1506"/>
    <mergeCell ref="A1554:B1554"/>
    <mergeCell ref="C1355:C1356"/>
    <mergeCell ref="D1355:D1356"/>
    <mergeCell ref="E1355:E1356"/>
    <mergeCell ref="F1355:F1356"/>
    <mergeCell ref="A1454:B1454"/>
    <mergeCell ref="C1455:C1456"/>
    <mergeCell ref="D1455:D1456"/>
    <mergeCell ref="E1455:E1456"/>
    <mergeCell ref="F1455:F1456"/>
    <mergeCell ref="A1654:B1654"/>
    <mergeCell ref="C1655:C1656"/>
    <mergeCell ref="D1655:D1656"/>
    <mergeCell ref="E1655:E1656"/>
    <mergeCell ref="F1655:F1656"/>
    <mergeCell ref="A1704:B1704"/>
    <mergeCell ref="C1555:C1556"/>
    <mergeCell ref="D1555:D1556"/>
    <mergeCell ref="E1555:E1556"/>
    <mergeCell ref="F1555:F1556"/>
    <mergeCell ref="A1604:B1604"/>
    <mergeCell ref="C1605:C1606"/>
    <mergeCell ref="D1605:D1606"/>
    <mergeCell ref="E1605:E1606"/>
    <mergeCell ref="F1605:F1606"/>
    <mergeCell ref="A1804:B1804"/>
    <mergeCell ref="C1805:C1806"/>
    <mergeCell ref="D1805:D1806"/>
    <mergeCell ref="E1805:E1806"/>
    <mergeCell ref="F1805:F1806"/>
    <mergeCell ref="A1904:B1904"/>
    <mergeCell ref="C1705:C1706"/>
    <mergeCell ref="D1705:D1706"/>
    <mergeCell ref="E1705:E1706"/>
    <mergeCell ref="F1705:F1706"/>
    <mergeCell ref="A1754:B1754"/>
    <mergeCell ref="C1755:C1756"/>
    <mergeCell ref="D1755:D1756"/>
    <mergeCell ref="E1755:E1756"/>
    <mergeCell ref="F1755:F1756"/>
    <mergeCell ref="A2004:B2004"/>
    <mergeCell ref="C2005:C2006"/>
    <mergeCell ref="D2005:D2006"/>
    <mergeCell ref="E2005:E2006"/>
    <mergeCell ref="F2005:F2006"/>
    <mergeCell ref="A2054:B2054"/>
    <mergeCell ref="C1905:C1906"/>
    <mergeCell ref="D1905:D1906"/>
    <mergeCell ref="E1905:E1906"/>
    <mergeCell ref="F1905:F1906"/>
    <mergeCell ref="A1954:B1954"/>
    <mergeCell ref="C1955:C1956"/>
    <mergeCell ref="D1955:D1956"/>
    <mergeCell ref="E1955:E1956"/>
    <mergeCell ref="F1955:F1956"/>
    <mergeCell ref="A2154:B2154"/>
    <mergeCell ref="C2155:C2156"/>
    <mergeCell ref="D2155:D2156"/>
    <mergeCell ref="E2155:E2156"/>
    <mergeCell ref="F2155:F2156"/>
    <mergeCell ref="A2204:B2204"/>
    <mergeCell ref="C2055:C2056"/>
    <mergeCell ref="D2055:D2056"/>
    <mergeCell ref="E2055:E2056"/>
    <mergeCell ref="F2055:F2056"/>
    <mergeCell ref="A2104:B2104"/>
    <mergeCell ref="C2105:C2106"/>
    <mergeCell ref="D2105:D2106"/>
    <mergeCell ref="E2105:E2106"/>
    <mergeCell ref="F2105:F2106"/>
    <mergeCell ref="A2304:B2304"/>
    <mergeCell ref="C2305:C2306"/>
    <mergeCell ref="D2305:D2306"/>
    <mergeCell ref="E2305:E2306"/>
    <mergeCell ref="F2305:F2306"/>
    <mergeCell ref="A2354:B2354"/>
    <mergeCell ref="C2205:C2206"/>
    <mergeCell ref="D2205:D2206"/>
    <mergeCell ref="E2205:E2206"/>
    <mergeCell ref="F2205:F2206"/>
    <mergeCell ref="A2254:B2254"/>
    <mergeCell ref="C2255:C2256"/>
    <mergeCell ref="D2255:D2256"/>
    <mergeCell ref="E2255:E2256"/>
    <mergeCell ref="F2255:F2256"/>
    <mergeCell ref="A2454:B2454"/>
    <mergeCell ref="C2455:C2456"/>
    <mergeCell ref="D2455:D2456"/>
    <mergeCell ref="E2455:E2456"/>
    <mergeCell ref="F2455:F2456"/>
    <mergeCell ref="A2504:B2504"/>
    <mergeCell ref="C2355:C2356"/>
    <mergeCell ref="D2355:D2356"/>
    <mergeCell ref="E2355:E2356"/>
    <mergeCell ref="F2355:F2356"/>
    <mergeCell ref="A2404:B2404"/>
    <mergeCell ref="C2405:C2406"/>
    <mergeCell ref="D2405:D2406"/>
    <mergeCell ref="E2405:E2406"/>
    <mergeCell ref="F2405:F2406"/>
    <mergeCell ref="A2604:B2604"/>
    <mergeCell ref="C2505:C2506"/>
    <mergeCell ref="D2505:D2506"/>
    <mergeCell ref="E2505:E2506"/>
    <mergeCell ref="F2505:F2506"/>
    <mergeCell ref="A2554:B2554"/>
    <mergeCell ref="C2555:C2556"/>
    <mergeCell ref="D2555:D2556"/>
    <mergeCell ref="E2555:E2556"/>
    <mergeCell ref="F2555:F2556"/>
  </mergeCells>
  <phoneticPr fontId="25" type="noConversion"/>
  <conditionalFormatting sqref="C5:F2604">
    <cfRule type="expression" dxfId="2" priority="1" stopIfTrue="1">
      <formula>AND(C5&lt;&gt;0,INT(C5)=C5)</formula>
    </cfRule>
  </conditionalFormatting>
  <hyperlinks>
    <hyperlink ref="Y1" r:id="rId1" tooltip="설계예산시스템(STmate w26.05)으로 작성 하였으며,_x000a_엑셀 인쇄품질 600 dpi에 최적화 되어 있습니다._x000a_경영정보(주) http://www.stma.co.kr_x000a_Tel) 070-4350-0040_x000a_Fax) 0505-300-3948" xr:uid="{83C027BB-674A-4469-ACFF-2A334E0332A8}"/>
    <hyperlink ref="G1" r:id="rId2" tooltip="설계예산시스템(STmate w26.05)으로 작성 하였으며,_x000a_엑셀 인쇄품질 600 dpi에 최적화 되어 있습니다._x000a_경영정보(주) http://www.stma.co.kr_x000a_Tel) 070-4350-0040_x000a_Fax) 0505-300-3948" xr:uid="{8AF8C3E8-8180-43B8-887D-AEFD11405BC5}"/>
  </hyperlinks>
  <printOptions horizontalCentered="1"/>
  <pageMargins left="0.39370078740157483" right="0.78740157480314954" top="0.78740157480314965" bottom="0.86614173228346447" header="0" footer="0.66929133858267709"/>
  <pageSetup paperSize="9" scale="79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6D31B-59A8-4892-BF72-EF9298459291}">
  <dimension ref="A1:J17"/>
  <sheetViews>
    <sheetView workbookViewId="0">
      <selection sqref="A1:H1"/>
    </sheetView>
  </sheetViews>
  <sheetFormatPr defaultColWidth="9.125" defaultRowHeight="16.5" x14ac:dyDescent="0.3"/>
  <cols>
    <col min="1" max="1" width="4" style="6" customWidth="1"/>
    <col min="2" max="2" width="5.5" style="6" customWidth="1"/>
    <col min="3" max="4" width="16" style="6" customWidth="1"/>
    <col min="5" max="5" width="5.5" style="6" customWidth="1"/>
    <col min="6" max="6" width="16" style="6" customWidth="1"/>
    <col min="7" max="7" width="11.5" style="6" customWidth="1"/>
    <col min="8" max="8" width="10" style="6" customWidth="1"/>
    <col min="9" max="9" width="9.125" style="6" hidden="1" customWidth="1"/>
    <col min="10" max="10" width="9.125" style="18" customWidth="1"/>
    <col min="11" max="16384" width="9.125" style="6"/>
  </cols>
  <sheetData>
    <row r="1" spans="1:10" ht="18.2" customHeight="1" x14ac:dyDescent="0.3">
      <c r="A1" s="156" t="s">
        <v>675</v>
      </c>
      <c r="B1" s="126"/>
      <c r="C1" s="143"/>
      <c r="D1" s="143"/>
      <c r="E1" s="143"/>
      <c r="F1" s="143"/>
      <c r="G1" s="143"/>
      <c r="H1" s="143"/>
      <c r="I1" s="5" t="s">
        <v>124</v>
      </c>
      <c r="J1" s="19" t="s">
        <v>124</v>
      </c>
    </row>
    <row r="2" spans="1:10" ht="18.2" customHeight="1" x14ac:dyDescent="0.3">
      <c r="C2" s="25" t="s">
        <v>676</v>
      </c>
      <c r="D2" s="25" t="s">
        <v>677</v>
      </c>
      <c r="E2" s="154" t="s">
        <v>678</v>
      </c>
      <c r="F2" s="155"/>
      <c r="G2" s="154" t="s">
        <v>679</v>
      </c>
      <c r="H2" s="155"/>
      <c r="I2" s="20" t="str">
        <f ca="1">MID(CELL("filename",$A$1),FIND("]",CELL("filename",$A$1))+1,LEN(CELL("filename",$A$1)))</f>
        <v>환율및기초자료</v>
      </c>
    </row>
    <row r="3" spans="1:10" ht="18.2" customHeight="1" x14ac:dyDescent="0.3">
      <c r="C3" s="27">
        <v>1507</v>
      </c>
      <c r="D3" s="27">
        <v>1507</v>
      </c>
      <c r="E3" s="157">
        <v>1717.96</v>
      </c>
      <c r="F3" s="155"/>
      <c r="G3" s="158">
        <v>952</v>
      </c>
      <c r="H3" s="155"/>
    </row>
    <row r="4" spans="1:10" ht="18.2" customHeight="1" x14ac:dyDescent="0.3">
      <c r="C4" s="26"/>
      <c r="D4" s="26"/>
      <c r="E4" s="26"/>
      <c r="F4" s="26"/>
      <c r="G4" s="26"/>
      <c r="H4" s="26"/>
    </row>
    <row r="5" spans="1:10" ht="18.2" customHeight="1" x14ac:dyDescent="0.3">
      <c r="A5" s="156" t="s">
        <v>680</v>
      </c>
      <c r="B5" s="126"/>
      <c r="C5" s="126"/>
      <c r="D5" s="126"/>
      <c r="E5" s="126"/>
      <c r="F5" s="126"/>
      <c r="G5" s="126"/>
      <c r="H5" s="126"/>
    </row>
    <row r="6" spans="1:10" ht="18.2" customHeight="1" x14ac:dyDescent="0.3">
      <c r="C6" s="28" t="s">
        <v>586</v>
      </c>
      <c r="D6" s="30">
        <f>노무비목록표!E4</f>
        <v>283297</v>
      </c>
      <c r="E6" s="153" t="s">
        <v>681</v>
      </c>
      <c r="F6" s="143"/>
      <c r="G6" s="30">
        <f>ROUNDDOWN(D6*0.20833333334,1)</f>
        <v>59020.2</v>
      </c>
      <c r="H6" s="32" t="s">
        <v>682</v>
      </c>
      <c r="J6" s="3" t="str">
        <f ca="1">HYPERLINK("#"&amp;노무비목록표!G2&amp;"!A"&amp;ROW(노무비목록표!A4),"노무1 →")</f>
        <v>노무1 →</v>
      </c>
    </row>
    <row r="7" spans="1:10" ht="18.2" customHeight="1" x14ac:dyDescent="0.3">
      <c r="C7" s="29" t="s">
        <v>613</v>
      </c>
      <c r="D7" s="31">
        <f>노무비목록표!E17</f>
        <v>238936</v>
      </c>
      <c r="E7" s="154" t="s">
        <v>681</v>
      </c>
      <c r="F7" s="155"/>
      <c r="G7" s="31">
        <f>ROUNDDOWN(D7*0.20833333334,1)</f>
        <v>49778.3</v>
      </c>
      <c r="H7" s="25" t="s">
        <v>683</v>
      </c>
      <c r="J7" s="3" t="str">
        <f ca="1">HYPERLINK("#"&amp;노무비목록표!G2&amp;"!A"&amp;ROW(노무비목록표!A17),"노무14 →")</f>
        <v>노무14 →</v>
      </c>
    </row>
    <row r="8" spans="1:10" ht="18.2" customHeight="1" x14ac:dyDescent="0.3">
      <c r="C8" s="29" t="s">
        <v>599</v>
      </c>
      <c r="D8" s="31">
        <f>노무비목록표!E10</f>
        <v>173995</v>
      </c>
      <c r="E8" s="154" t="s">
        <v>681</v>
      </c>
      <c r="F8" s="155"/>
      <c r="G8" s="31">
        <f>ROUNDDOWN(D8*0.20833333334,1)</f>
        <v>36248.9</v>
      </c>
      <c r="H8" s="25" t="s">
        <v>684</v>
      </c>
      <c r="J8" s="3" t="str">
        <f ca="1">HYPERLINK("#"&amp;노무비목록표!G2&amp;"!A"&amp;ROW(노무비목록표!A10),"노무7 →")</f>
        <v>노무7 →</v>
      </c>
    </row>
    <row r="9" spans="1:10" ht="18.2" customHeight="1" x14ac:dyDescent="0.3">
      <c r="C9" s="26"/>
      <c r="D9" s="26"/>
      <c r="E9" s="26"/>
      <c r="F9" s="26"/>
      <c r="G9" s="26"/>
      <c r="H9" s="26"/>
    </row>
    <row r="10" spans="1:10" ht="18.2" customHeight="1" x14ac:dyDescent="0.3">
      <c r="A10" s="156" t="s">
        <v>685</v>
      </c>
      <c r="B10" s="143"/>
      <c r="C10" s="143"/>
      <c r="D10" s="143"/>
      <c r="E10" s="143"/>
      <c r="F10" s="143"/>
      <c r="G10" s="143"/>
      <c r="H10" s="143"/>
    </row>
    <row r="11" spans="1:10" ht="18.2" customHeight="1" x14ac:dyDescent="0.3">
      <c r="B11" s="25" t="s">
        <v>686</v>
      </c>
      <c r="C11" s="25" t="s">
        <v>687</v>
      </c>
      <c r="D11" s="25" t="s">
        <v>688</v>
      </c>
      <c r="E11" s="25" t="s">
        <v>5</v>
      </c>
      <c r="F11" s="25" t="s">
        <v>689</v>
      </c>
      <c r="G11" s="25"/>
      <c r="H11" s="25" t="s">
        <v>10</v>
      </c>
    </row>
    <row r="12" spans="1:10" ht="18.2" customHeight="1" x14ac:dyDescent="0.3">
      <c r="B12" s="25" t="s">
        <v>690</v>
      </c>
      <c r="C12" s="29" t="s">
        <v>586</v>
      </c>
      <c r="D12" s="25"/>
      <c r="E12" s="25" t="s">
        <v>587</v>
      </c>
      <c r="F12" s="31">
        <f>노무비목록표!E4</f>
        <v>283297</v>
      </c>
      <c r="G12" s="29"/>
      <c r="H12" s="25" t="s">
        <v>682</v>
      </c>
      <c r="J12" s="3" t="str">
        <f ca="1">HYPERLINK("#"&amp;노무비목록표!G2&amp;"!A"&amp;ROW(노무비목록표!A4),"노무1 →")</f>
        <v>노무1 →</v>
      </c>
    </row>
    <row r="13" spans="1:10" ht="18.2" customHeight="1" x14ac:dyDescent="0.3">
      <c r="B13" s="25" t="s">
        <v>691</v>
      </c>
      <c r="C13" s="29" t="s">
        <v>613</v>
      </c>
      <c r="D13" s="25"/>
      <c r="E13" s="25" t="s">
        <v>587</v>
      </c>
      <c r="F13" s="31">
        <f>노무비목록표!E17</f>
        <v>238936</v>
      </c>
      <c r="G13" s="29"/>
      <c r="H13" s="25" t="s">
        <v>683</v>
      </c>
      <c r="J13" s="3" t="str">
        <f ca="1">HYPERLINK("#"&amp;노무비목록표!G2&amp;"!A"&amp;ROW(노무비목록표!A17),"노무14 →")</f>
        <v>노무14 →</v>
      </c>
    </row>
    <row r="14" spans="1:10" ht="18.2" customHeight="1" x14ac:dyDescent="0.3">
      <c r="B14" s="25" t="s">
        <v>692</v>
      </c>
      <c r="C14" s="29" t="s">
        <v>599</v>
      </c>
      <c r="D14" s="25"/>
      <c r="E14" s="25" t="s">
        <v>587</v>
      </c>
      <c r="F14" s="31">
        <f>노무비목록표!E10</f>
        <v>173995</v>
      </c>
      <c r="G14" s="29"/>
      <c r="H14" s="25" t="s">
        <v>684</v>
      </c>
      <c r="J14" s="3" t="str">
        <f ca="1">HYPERLINK("#"&amp;노무비목록표!G2&amp;"!A"&amp;ROW(노무비목록표!A10),"노무7 →")</f>
        <v>노무7 →</v>
      </c>
    </row>
    <row r="15" spans="1:10" ht="18.2" customHeight="1" x14ac:dyDescent="0.3">
      <c r="B15" s="25" t="s">
        <v>693</v>
      </c>
      <c r="C15" s="29" t="s">
        <v>415</v>
      </c>
      <c r="D15" s="25" t="s">
        <v>416</v>
      </c>
      <c r="E15" s="25" t="s">
        <v>417</v>
      </c>
      <c r="F15" s="31">
        <f>재료비목록표!E13</f>
        <v>1799</v>
      </c>
      <c r="G15" s="29"/>
      <c r="H15" s="25" t="s">
        <v>694</v>
      </c>
      <c r="J15" s="3" t="str">
        <f ca="1">HYPERLINK("#"&amp;재료비목록표!G2&amp;"!A"&amp;ROW(재료비목록표!A13),"자재10 →")</f>
        <v>자재10 →</v>
      </c>
    </row>
    <row r="16" spans="1:10" ht="18.2" customHeight="1" x14ac:dyDescent="0.3">
      <c r="B16" s="25" t="s">
        <v>695</v>
      </c>
      <c r="C16" s="29" t="s">
        <v>582</v>
      </c>
      <c r="D16" s="25" t="s">
        <v>583</v>
      </c>
      <c r="E16" s="25" t="s">
        <v>417</v>
      </c>
      <c r="F16" s="31">
        <f>재료비목록표!E56</f>
        <v>1805</v>
      </c>
      <c r="G16" s="29"/>
      <c r="H16" s="25" t="s">
        <v>696</v>
      </c>
      <c r="J16" s="3" t="str">
        <f ca="1">HYPERLINK("#"&amp;재료비목록표!G2&amp;"!A"&amp;ROW(재료비목록표!A56),"자재53 →")</f>
        <v>자재53 →</v>
      </c>
    </row>
    <row r="17" spans="2:8" ht="18.2" customHeight="1" x14ac:dyDescent="0.3">
      <c r="B17" s="26"/>
      <c r="C17" s="26"/>
      <c r="D17" s="26"/>
      <c r="E17" s="26"/>
      <c r="F17" s="26"/>
      <c r="G17" s="26"/>
      <c r="H17" s="26"/>
    </row>
  </sheetData>
  <mergeCells count="10">
    <mergeCell ref="E6:F6"/>
    <mergeCell ref="E7:F7"/>
    <mergeCell ref="E8:F8"/>
    <mergeCell ref="A10:H10"/>
    <mergeCell ref="A1:H1"/>
    <mergeCell ref="E2:F2"/>
    <mergeCell ref="G2:H2"/>
    <mergeCell ref="E3:F3"/>
    <mergeCell ref="G3:H3"/>
    <mergeCell ref="A5:H5"/>
  </mergeCells>
  <phoneticPr fontId="25" type="noConversion"/>
  <hyperlinks>
    <hyperlink ref="J1" r:id="rId1" tooltip="설계예산시스템(STmate w26.05)으로 작성 하였으며,_x000a_엑셀 인쇄품질 600 dpi에 최적화 되어 있습니다._x000a_경영정보(주) http://www.stma.co.kr_x000a_Tel) 070-4350-0040_x000a_Fax) 0505-300-3948" xr:uid="{B1C245F1-B303-4615-BE37-50B4FF43FE4B}"/>
    <hyperlink ref="I1" r:id="rId2" tooltip="설계예산시스템(STmate w26.05)으로 작성 하였으며,_x000a_엑셀 인쇄품질 600 dpi에 최적화 되어 있습니다._x000a_경영정보(주) http://www.stma.co.kr_x000a_Tel) 070-4350-0040_x000a_Fax) 0505-300-3948" xr:uid="{D1F9EA92-7047-40A6-88EC-EBB89C52ECC7}"/>
  </hyperlinks>
  <printOptions horizontalCentered="1"/>
  <pageMargins left="0.39370078740157483" right="0.78740157480314954" top="0.78740157480314965" bottom="0.78740157480314965" header="0" footer="0.59055118110236227"/>
  <pageSetup paperSize="9" scale="97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B0B12-C979-4C25-BD8B-F291A04BCE83}">
  <dimension ref="A1:K36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0" t="s">
        <v>258</v>
      </c>
      <c r="B1" s="126"/>
      <c r="C1" s="126"/>
      <c r="D1" s="126"/>
      <c r="E1" s="126"/>
      <c r="F1" s="126"/>
      <c r="G1" s="126"/>
      <c r="H1" s="126"/>
      <c r="I1" s="126"/>
      <c r="J1" s="5" t="s">
        <v>124</v>
      </c>
      <c r="K1" s="19" t="s">
        <v>124</v>
      </c>
    </row>
    <row r="2" spans="1:11" ht="23.1" customHeight="1" x14ac:dyDescent="0.3">
      <c r="A2" s="1" t="s">
        <v>1</v>
      </c>
      <c r="J2" s="20" t="str">
        <f ca="1">MID(CELL("filename",$A$1),FIND("]",CELL("filename",$A$1))+1,LEN(CELL("filename",$A$1)))</f>
        <v>중기목록표</v>
      </c>
    </row>
    <row r="3" spans="1:11" ht="23.1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14" t="s">
        <v>10</v>
      </c>
      <c r="K3" s="3" t="str">
        <f>HYPERLINK("#'〓 목 차 〓'!B2","목차 →")</f>
        <v>목차 →</v>
      </c>
    </row>
    <row r="4" spans="1:11" ht="23.1" customHeight="1" x14ac:dyDescent="0.3">
      <c r="A4" s="9" t="s">
        <v>11</v>
      </c>
      <c r="B4" s="10" t="s">
        <v>259</v>
      </c>
      <c r="C4" s="10" t="s">
        <v>260</v>
      </c>
      <c r="D4" s="9" t="s">
        <v>261</v>
      </c>
      <c r="E4" s="47">
        <f>중기사용료!F12</f>
        <v>110148</v>
      </c>
      <c r="F4" s="46">
        <f>중기사용료!H12</f>
        <v>59020</v>
      </c>
      <c r="G4" s="55">
        <f>중기사용료!J12</f>
        <v>18349</v>
      </c>
      <c r="H4" s="47">
        <f>중기사용료!L12</f>
        <v>32779</v>
      </c>
      <c r="I4" s="15" t="s">
        <v>262</v>
      </c>
      <c r="J4" s="17" t="str">
        <f>"_x0007_`COD|X00156_x0005_`QTY1|1_x0005_`BQC|_x0005_`EQC|_x0005_`JDC|_x0005_`WQC|_x0005_`EDT|_x0005_`ADJ|F_x0005_`RXX|0_x0005_`DET|"&amp;ROW(중기사용료!A6)&amp;"_x0005_`"</f>
        <v>_x0007_`COD|X00156_x0005_`QTY1|1_x0005_`BQC|_x0005_`EQC|_x0005_`JDC|_x0005_`WQC|_x0005_`EDT|_x0005_`ADJ|F_x0005_`RXX|0_x0005_`DET|6_x0005_`</v>
      </c>
      <c r="K4" s="3" t="str">
        <f ca="1">HYPERLINK("#"&amp;중기사용료!N2&amp;"!A"&amp;ROW(중기사용료!A6),"중기1 →")</f>
        <v>중기1 →</v>
      </c>
    </row>
    <row r="5" spans="1:11" ht="23.1" customHeight="1" x14ac:dyDescent="0.3">
      <c r="A5" s="9" t="s">
        <v>16</v>
      </c>
      <c r="B5" s="10" t="s">
        <v>264</v>
      </c>
      <c r="C5" s="10" t="s">
        <v>265</v>
      </c>
      <c r="D5" s="9" t="s">
        <v>261</v>
      </c>
      <c r="E5" s="47">
        <f>중기사용료!F19</f>
        <v>83776</v>
      </c>
      <c r="F5" s="46">
        <f>중기사용료!H19</f>
        <v>59020</v>
      </c>
      <c r="G5" s="55">
        <f>중기사용료!J19</f>
        <v>10883</v>
      </c>
      <c r="H5" s="47">
        <f>중기사용료!L19</f>
        <v>13873</v>
      </c>
      <c r="I5" s="15" t="s">
        <v>266</v>
      </c>
      <c r="J5" s="17" t="str">
        <f>"_x0007_`COD|X00113_x0005_`QTY1|1_x0005_`BQC|_x0005_`EQC|03020100200_x0005_`JDC|00000201002000000_x0005_`WQC|_x0005_`EDT|2026_x0005_`ADJ|F_x0005_`RXX|0_x0005_`DET|"&amp;ROW(중기사용료!A14)&amp;"_x0005_`"</f>
        <v>_x0007_`COD|X00113_x0005_`QTY1|1_x0005_`BQC|_x0005_`EQC|03020100200_x0005_`JDC|00000201002000000_x0005_`WQC|_x0005_`EDT|2026_x0005_`ADJ|F_x0005_`RXX|0_x0005_`DET|14_x0005_`</v>
      </c>
      <c r="K5" s="3" t="str">
        <f ca="1">HYPERLINK("#"&amp;중기사용료!N2&amp;"!A"&amp;ROW(중기사용료!A14),"중기2 →")</f>
        <v>중기2 →</v>
      </c>
    </row>
    <row r="6" spans="1:11" ht="23.1" customHeight="1" x14ac:dyDescent="0.3">
      <c r="A6" s="9" t="s">
        <v>21</v>
      </c>
      <c r="B6" s="10" t="s">
        <v>264</v>
      </c>
      <c r="C6" s="10" t="s">
        <v>268</v>
      </c>
      <c r="D6" s="9" t="s">
        <v>261</v>
      </c>
      <c r="E6" s="47">
        <f>중기사용료!F26</f>
        <v>98262</v>
      </c>
      <c r="F6" s="46">
        <f>중기사용료!H26</f>
        <v>59020</v>
      </c>
      <c r="G6" s="55">
        <f>중기사용료!J26</f>
        <v>21728</v>
      </c>
      <c r="H6" s="47">
        <f>중기사용료!L26</f>
        <v>17514</v>
      </c>
      <c r="I6" s="15" t="s">
        <v>269</v>
      </c>
      <c r="J6" s="17" t="str">
        <f>"_x0007_`COD|X00108_x0005_`QTY1|1_x0005_`BQC|_x0005_`EQC|03020100400_x0005_`JDC|00000201004000000_x0005_`WQC|_x0005_`EDT|2026_x0005_`ADJ|F_x0005_`RXX|0_x0005_`DET|"&amp;ROW(중기사용료!A21)&amp;"_x0005_`"</f>
        <v>_x0007_`COD|X00108_x0005_`QTY1|1_x0005_`BQC|_x0005_`EQC|03020100400_x0005_`JDC|00000201004000000_x0005_`WQC|_x0005_`EDT|2026_x0005_`ADJ|F_x0005_`RXX|0_x0005_`DET|21_x0005_`</v>
      </c>
      <c r="K6" s="3" t="str">
        <f ca="1">HYPERLINK("#"&amp;중기사용료!N2&amp;"!A"&amp;ROW(중기사용료!A21),"중기3 →")</f>
        <v>중기3 →</v>
      </c>
    </row>
    <row r="7" spans="1:11" ht="23.1" customHeight="1" x14ac:dyDescent="0.3">
      <c r="A7" s="9" t="s">
        <v>25</v>
      </c>
      <c r="B7" s="10" t="s">
        <v>264</v>
      </c>
      <c r="C7" s="10" t="s">
        <v>271</v>
      </c>
      <c r="D7" s="9" t="s">
        <v>261</v>
      </c>
      <c r="E7" s="47">
        <f>중기사용료!F34</f>
        <v>102706</v>
      </c>
      <c r="F7" s="46">
        <f>중기사용료!H34</f>
        <v>59020</v>
      </c>
      <c r="G7" s="55">
        <f>중기사용료!J34</f>
        <v>20659</v>
      </c>
      <c r="H7" s="47">
        <f>중기사용료!L34</f>
        <v>23027</v>
      </c>
      <c r="I7" s="15" t="s">
        <v>272</v>
      </c>
      <c r="J7" s="17" t="str">
        <f>"_x0007_`COD|X00160_x0005_`QTY1|1_x0005_`BQC|_x0005_`EQC|_x0005_`JDC|_x0005_`WQC|_x0005_`EDT|_x0005_`ADJ|F_x0005_`RXX|0_x0005_`DET|"&amp;ROW(중기사용료!A28)&amp;"_x0005_`"</f>
        <v>_x0007_`COD|X00160_x0005_`QTY1|1_x0005_`BQC|_x0005_`EQC|_x0005_`JDC|_x0005_`WQC|_x0005_`EDT|_x0005_`ADJ|F_x0005_`RXX|0_x0005_`DET|28_x0005_`</v>
      </c>
      <c r="K7" s="3" t="str">
        <f ca="1">HYPERLINK("#"&amp;중기사용료!N2&amp;"!A"&amp;ROW(중기사용료!A28),"중기4 →")</f>
        <v>중기4 →</v>
      </c>
    </row>
    <row r="8" spans="1:11" ht="23.1" customHeight="1" x14ac:dyDescent="0.3">
      <c r="A8" s="9" t="s">
        <v>30</v>
      </c>
      <c r="B8" s="10" t="s">
        <v>264</v>
      </c>
      <c r="C8" s="10" t="s">
        <v>274</v>
      </c>
      <c r="D8" s="9" t="s">
        <v>261</v>
      </c>
      <c r="E8" s="47">
        <f>중기사용료!F42</f>
        <v>102706</v>
      </c>
      <c r="F8" s="46">
        <f>중기사용료!H42</f>
        <v>59020</v>
      </c>
      <c r="G8" s="55">
        <f>중기사용료!J42</f>
        <v>20659</v>
      </c>
      <c r="H8" s="47">
        <f>중기사용료!L42</f>
        <v>23027</v>
      </c>
      <c r="I8" s="15" t="s">
        <v>275</v>
      </c>
      <c r="J8" s="17" t="str">
        <f>"_x0007_`COD|X00238_x0005_`QTY1|1_x0005_`BQC|_x0005_`EQC|03020100404_x0005_`JDC|00000201004000004_x0005_`WQC|_x0005_`EDT|2026_x0005_`ADJ|F_x0005_`RXX|0_x0005_`DET|"&amp;ROW(중기사용료!A36)&amp;"_x0005_`"</f>
        <v>_x0007_`COD|X00238_x0005_`QTY1|1_x0005_`BQC|_x0005_`EQC|03020100404_x0005_`JDC|00000201004000004_x0005_`WQC|_x0005_`EDT|2026_x0005_`ADJ|F_x0005_`RXX|0_x0005_`DET|36_x0005_`</v>
      </c>
      <c r="K8" s="3" t="str">
        <f ca="1">HYPERLINK("#"&amp;중기사용료!N2&amp;"!A"&amp;ROW(중기사용료!A36),"중기5 →")</f>
        <v>중기5 →</v>
      </c>
    </row>
    <row r="9" spans="1:11" ht="23.1" customHeight="1" x14ac:dyDescent="0.3">
      <c r="A9" s="9" t="s">
        <v>35</v>
      </c>
      <c r="B9" s="10" t="s">
        <v>264</v>
      </c>
      <c r="C9" s="10" t="s">
        <v>277</v>
      </c>
      <c r="D9" s="9" t="s">
        <v>261</v>
      </c>
      <c r="E9" s="47">
        <f>중기사용료!F49</f>
        <v>104829</v>
      </c>
      <c r="F9" s="46">
        <f>중기사용료!H49</f>
        <v>59020</v>
      </c>
      <c r="G9" s="55">
        <f>중기사용료!J49</f>
        <v>22386</v>
      </c>
      <c r="H9" s="47">
        <f>중기사용료!L49</f>
        <v>23423</v>
      </c>
      <c r="I9" s="15" t="s">
        <v>278</v>
      </c>
      <c r="J9" s="17" t="str">
        <f>"_x0007_`COD|X00139_x0005_`QTY1|1_x0005_`BQC|08' 신규_x0005_`EQC|03020100600_x0005_`JDC|00000201006000000_x0005_`WQC|_x0005_`EDT|2026_x0005_`ADJ|F_x0005_`RXX|0_x0005_`DET|"&amp;ROW(중기사용료!A44)&amp;"_x0005_`"</f>
        <v>_x0007_`COD|X00139_x0005_`QTY1|1_x0005_`BQC|08' 신규_x0005_`EQC|03020100600_x0005_`JDC|00000201006000000_x0005_`WQC|_x0005_`EDT|2026_x0005_`ADJ|F_x0005_`RXX|0_x0005_`DET|44_x0005_`</v>
      </c>
      <c r="K9" s="3" t="str">
        <f ca="1">HYPERLINK("#"&amp;중기사용료!N2&amp;"!A"&amp;ROW(중기사용료!A44),"중기6 →")</f>
        <v>중기6 →</v>
      </c>
    </row>
    <row r="10" spans="1:11" ht="23.1" customHeight="1" x14ac:dyDescent="0.3">
      <c r="A10" s="9" t="s">
        <v>40</v>
      </c>
      <c r="B10" s="10" t="s">
        <v>280</v>
      </c>
      <c r="C10" s="10" t="s">
        <v>277</v>
      </c>
      <c r="D10" s="9" t="s">
        <v>261</v>
      </c>
      <c r="E10" s="47">
        <f>중기사용료!F56</f>
        <v>112016</v>
      </c>
      <c r="F10" s="46">
        <f>중기사용료!H56</f>
        <v>59020</v>
      </c>
      <c r="G10" s="55">
        <f>중기사용료!J56</f>
        <v>25876</v>
      </c>
      <c r="H10" s="47">
        <f>중기사용료!L56</f>
        <v>27120</v>
      </c>
      <c r="I10" s="15" t="s">
        <v>281</v>
      </c>
      <c r="J10" s="17" t="str">
        <f>"_x0007_`COD|X00179_x0005_`QTY1|1_x0005_`BQC|08' 신규_x0005_`EQC|03021100600_x0005_`JDC|00000211006000000_x0005_`WQC|_x0005_`EDT|2026_x0005_`ADJ|F_x0005_`RXX|0_x0005_`DET|"&amp;ROW(중기사용료!A51)&amp;"_x0005_`"</f>
        <v>_x0007_`COD|X00179_x0005_`QTY1|1_x0005_`BQC|08' 신규_x0005_`EQC|03021100600_x0005_`JDC|00000211006000000_x0005_`WQC|_x0005_`EDT|2026_x0005_`ADJ|F_x0005_`RXX|0_x0005_`DET|51_x0005_`</v>
      </c>
      <c r="K10" s="3" t="str">
        <f ca="1">HYPERLINK("#"&amp;중기사용료!N2&amp;"!A"&amp;ROW(중기사용료!A51),"중기7 →")</f>
        <v>중기7 →</v>
      </c>
    </row>
    <row r="11" spans="1:11" ht="23.1" customHeight="1" x14ac:dyDescent="0.3">
      <c r="A11" s="9" t="s">
        <v>44</v>
      </c>
      <c r="B11" s="10" t="s">
        <v>283</v>
      </c>
      <c r="C11" s="10" t="s">
        <v>284</v>
      </c>
      <c r="D11" s="9" t="s">
        <v>261</v>
      </c>
      <c r="E11" s="47">
        <f>중기사용료!F63</f>
        <v>345741</v>
      </c>
      <c r="F11" s="46">
        <f>중기사용료!H63</f>
        <v>59020</v>
      </c>
      <c r="G11" s="55">
        <f>중기사용료!J63</f>
        <v>109976</v>
      </c>
      <c r="H11" s="47">
        <f>중기사용료!L63</f>
        <v>176745</v>
      </c>
      <c r="I11" s="15" t="s">
        <v>285</v>
      </c>
      <c r="J11" s="17" t="str">
        <f>"_x0007_`COD|X00121_x0005_`QTY1|1_x0005_`BQC|_x0005_`EQC|03570100200_x0005_`JDC|00005701002000000_x0005_`WQC|_x0005_`EDT|2026_x0005_`ADJ|F_x0005_`RXX|0_x0005_`DET|"&amp;ROW(중기사용료!A58)&amp;"_x0005_`"</f>
        <v>_x0007_`COD|X00121_x0005_`QTY1|1_x0005_`BQC|_x0005_`EQC|03570100200_x0005_`JDC|00005701002000000_x0005_`WQC|_x0005_`EDT|2026_x0005_`ADJ|F_x0005_`RXX|0_x0005_`DET|58_x0005_`</v>
      </c>
      <c r="K11" s="3" t="str">
        <f ca="1">HYPERLINK("#"&amp;중기사용료!N2&amp;"!A"&amp;ROW(중기사용료!A58),"중기8 →")</f>
        <v>중기8 →</v>
      </c>
    </row>
    <row r="12" spans="1:11" ht="23.1" customHeight="1" x14ac:dyDescent="0.3">
      <c r="A12" s="9" t="s">
        <v>48</v>
      </c>
      <c r="B12" s="10" t="s">
        <v>287</v>
      </c>
      <c r="C12" s="10" t="s">
        <v>277</v>
      </c>
      <c r="D12" s="9" t="s">
        <v>261</v>
      </c>
      <c r="E12" s="47">
        <f>중기사용료!F67</f>
        <v>9356</v>
      </c>
      <c r="F12" s="46">
        <f>중기사용료!H67</f>
        <v>0</v>
      </c>
      <c r="G12" s="55">
        <f>중기사용료!J67</f>
        <v>0</v>
      </c>
      <c r="H12" s="47">
        <f>중기사용료!L67</f>
        <v>9356</v>
      </c>
      <c r="I12" s="15" t="s">
        <v>288</v>
      </c>
      <c r="J12" s="17" t="str">
        <f>"_x0007_`COD|X00232_x0005_`QTY1|1_x0005_`BQC|08하' 신규_x0005_`EQC|03023000060_x0005_`JDC|00000230000600000_x0005_`WQC|_x0005_`EDT|2026_x0005_`ADJ|F_x0005_`RXX|0_x0005_`DET|"&amp;ROW(중기사용료!A65)&amp;"_x0005_`"</f>
        <v>_x0007_`COD|X00232_x0005_`QTY1|1_x0005_`BQC|08하' 신규_x0005_`EQC|03023000060_x0005_`JDC|00000230000600000_x0005_`WQC|_x0005_`EDT|2026_x0005_`ADJ|F_x0005_`RXX|0_x0005_`DET|65_x0005_`</v>
      </c>
      <c r="K12" s="3" t="str">
        <f ca="1">HYPERLINK("#"&amp;중기사용료!N2&amp;"!A"&amp;ROW(중기사용료!A65),"중기9 →")</f>
        <v>중기9 →</v>
      </c>
    </row>
    <row r="13" spans="1:11" ht="23.1" customHeight="1" x14ac:dyDescent="0.3">
      <c r="A13" s="9" t="s">
        <v>52</v>
      </c>
      <c r="B13" s="10" t="s">
        <v>290</v>
      </c>
      <c r="C13" s="10" t="s">
        <v>291</v>
      </c>
      <c r="D13" s="9" t="s">
        <v>261</v>
      </c>
      <c r="E13" s="47">
        <f>중기사용료!F74</f>
        <v>119152</v>
      </c>
      <c r="F13" s="46">
        <f>중기사용료!H74</f>
        <v>59020</v>
      </c>
      <c r="G13" s="55">
        <f>중기사용료!J74</f>
        <v>39473</v>
      </c>
      <c r="H13" s="47">
        <f>중기사용료!L74</f>
        <v>20659</v>
      </c>
      <c r="I13" s="15" t="s">
        <v>292</v>
      </c>
      <c r="J13" s="17" t="str">
        <f>"_x0007_`COD|X00010_x0005_`QTY1|1_x0005_`BQC|_x0005_`EQC|03060201500_x0005_`JDC|00000602015000000_x0005_`WQC|_x0005_`EDT|2026_x0005_`ADJ|F_x0005_`RXX|0_x0005_`DET|"&amp;ROW(중기사용료!A69)&amp;"_x0005_`"</f>
        <v>_x0007_`COD|X00010_x0005_`QTY1|1_x0005_`BQC|_x0005_`EQC|03060201500_x0005_`JDC|00000602015000000_x0005_`WQC|_x0005_`EDT|2026_x0005_`ADJ|F_x0005_`RXX|0_x0005_`DET|69_x0005_`</v>
      </c>
      <c r="K13" s="3" t="str">
        <f ca="1">HYPERLINK("#"&amp;중기사용료!N2&amp;"!A"&amp;ROW(중기사용료!A69),"중기10 →")</f>
        <v>중기10 →</v>
      </c>
    </row>
    <row r="14" spans="1:11" ht="23.1" customHeight="1" x14ac:dyDescent="0.3">
      <c r="A14" s="9" t="s">
        <v>56</v>
      </c>
      <c r="B14" s="10" t="s">
        <v>290</v>
      </c>
      <c r="C14" s="10" t="s">
        <v>294</v>
      </c>
      <c r="D14" s="9" t="s">
        <v>261</v>
      </c>
      <c r="E14" s="47">
        <f>중기사용료!F81</f>
        <v>63499</v>
      </c>
      <c r="F14" s="46">
        <f>중기사용료!H81</f>
        <v>49778</v>
      </c>
      <c r="G14" s="55">
        <f>중기사용료!J81</f>
        <v>7199</v>
      </c>
      <c r="H14" s="47">
        <f>중기사용료!L81</f>
        <v>6522</v>
      </c>
      <c r="I14" s="15" t="s">
        <v>295</v>
      </c>
      <c r="J14" s="17" t="str">
        <f>"_x0007_`COD|X00120_x0005_`QTY1|1_x0005_`BQC|_x0005_`EQC|03060200250_x0005_`JDC|00000602002500000_x0005_`WQC|_x0005_`EDT|2026_x0005_`ADJ|F_x0005_`RXX|0_x0005_`DET|"&amp;ROW(중기사용료!A76)&amp;"_x0005_`"</f>
        <v>_x0007_`COD|X00120_x0005_`QTY1|1_x0005_`BQC|_x0005_`EQC|03060200250_x0005_`JDC|00000602002500000_x0005_`WQC|_x0005_`EDT|2026_x0005_`ADJ|F_x0005_`RXX|0_x0005_`DET|76_x0005_`</v>
      </c>
      <c r="K14" s="3" t="str">
        <f ca="1">HYPERLINK("#"&amp;중기사용료!N2&amp;"!A"&amp;ROW(중기사용료!A76),"중기11 →")</f>
        <v>중기11 →</v>
      </c>
    </row>
    <row r="15" spans="1:11" ht="23.1" customHeight="1" x14ac:dyDescent="0.3">
      <c r="A15" s="9" t="s">
        <v>60</v>
      </c>
      <c r="B15" s="10" t="s">
        <v>290</v>
      </c>
      <c r="C15" s="10" t="s">
        <v>297</v>
      </c>
      <c r="D15" s="9" t="s">
        <v>261</v>
      </c>
      <c r="E15" s="47">
        <f>중기사용료!F88</f>
        <v>69804</v>
      </c>
      <c r="F15" s="46">
        <f>중기사용료!H88</f>
        <v>49778</v>
      </c>
      <c r="G15" s="55">
        <f>중기사용료!J88</f>
        <v>12413</v>
      </c>
      <c r="H15" s="47">
        <f>중기사용료!L88</f>
        <v>7613</v>
      </c>
      <c r="I15" s="15" t="s">
        <v>298</v>
      </c>
      <c r="J15" s="17" t="str">
        <f>"_x0007_`COD|X00001_x0005_`QTY1|1_x0005_`BQC|_x0005_`EQC|03060200450_x0005_`JDC|00000602004500000_x0005_`WQC|_x0005_`EDT|2026_x0005_`ADJ|F_x0005_`RXX|0_x0005_`DET|"&amp;ROW(중기사용료!A83)&amp;"_x0005_`"</f>
        <v>_x0007_`COD|X00001_x0005_`QTY1|1_x0005_`BQC|_x0005_`EQC|03060200450_x0005_`JDC|00000602004500000_x0005_`WQC|_x0005_`EDT|2026_x0005_`ADJ|F_x0005_`RXX|0_x0005_`DET|83_x0005_`</v>
      </c>
      <c r="K15" s="3" t="str">
        <f ca="1">HYPERLINK("#"&amp;중기사용료!N2&amp;"!A"&amp;ROW(중기사용료!A83),"중기12 →")</f>
        <v>중기12 →</v>
      </c>
    </row>
    <row r="16" spans="1:11" ht="23.1" customHeight="1" x14ac:dyDescent="0.3">
      <c r="A16" s="9" t="s">
        <v>64</v>
      </c>
      <c r="B16" s="10" t="s">
        <v>300</v>
      </c>
      <c r="C16" s="10" t="s">
        <v>301</v>
      </c>
      <c r="D16" s="9" t="s">
        <v>261</v>
      </c>
      <c r="E16" s="47">
        <f>중기사용료!F94</f>
        <v>3073</v>
      </c>
      <c r="F16" s="46">
        <f>중기사용료!H94</f>
        <v>0</v>
      </c>
      <c r="G16" s="55">
        <f>중기사용료!J94</f>
        <v>2815</v>
      </c>
      <c r="H16" s="47">
        <f>중기사용료!L94</f>
        <v>258</v>
      </c>
      <c r="I16" s="15" t="s">
        <v>302</v>
      </c>
      <c r="J16" s="17" t="str">
        <f>"_x0007_`COD|X00216_x0005_`QTY1|1_x0005_`BQC|14상' 신규_x0005_`EQC|03721004850_x0005_`JDC|00007210048500000_x0005_`WQC|_x0005_`EDT|2026_x0005_`ADJ|F_x0005_`RXX|0_x0005_`DET|"&amp;ROW(중기사용료!A90)&amp;"_x0005_`"</f>
        <v>_x0007_`COD|X00216_x0005_`QTY1|1_x0005_`BQC|14상' 신규_x0005_`EQC|03721004850_x0005_`JDC|00007210048500000_x0005_`WQC|_x0005_`EDT|2026_x0005_`ADJ|F_x0005_`RXX|0_x0005_`DET|90_x0005_`</v>
      </c>
      <c r="K16" s="3" t="str">
        <f ca="1">HYPERLINK("#"&amp;중기사용료!N2&amp;"!A"&amp;ROW(중기사용료!A90),"중기13 →")</f>
        <v>중기13 →</v>
      </c>
    </row>
    <row r="17" spans="1:11" ht="23.1" customHeight="1" x14ac:dyDescent="0.3">
      <c r="A17" s="9" t="s">
        <v>68</v>
      </c>
      <c r="B17" s="10" t="s">
        <v>304</v>
      </c>
      <c r="C17" s="10" t="s">
        <v>305</v>
      </c>
      <c r="D17" s="9" t="s">
        <v>261</v>
      </c>
      <c r="E17" s="47">
        <f>중기사용료!F101</f>
        <v>75591</v>
      </c>
      <c r="F17" s="46">
        <f>중기사용료!H101</f>
        <v>59020</v>
      </c>
      <c r="G17" s="55">
        <f>중기사용료!J101</f>
        <v>9066</v>
      </c>
      <c r="H17" s="47">
        <f>중기사용료!L101</f>
        <v>7505</v>
      </c>
      <c r="I17" s="15" t="s">
        <v>306</v>
      </c>
      <c r="J17" s="17" t="str">
        <f>"_x0007_`COD|X00138_x0005_`QTY1|1_x0005_`BQC|_x0005_`EQC|03030200570_x0005_`JDC|00000302005700000_x0005_`WQC|_x0005_`EDT|2026_x0005_`ADJ|F_x0005_`RXX|0_x0005_`DET|"&amp;ROW(중기사용료!A96)&amp;"_x0005_`"</f>
        <v>_x0007_`COD|X00138_x0005_`QTY1|1_x0005_`BQC|_x0005_`EQC|03030200570_x0005_`JDC|00000302005700000_x0005_`WQC|_x0005_`EDT|2026_x0005_`ADJ|F_x0005_`RXX|0_x0005_`DET|96_x0005_`</v>
      </c>
      <c r="K17" s="3" t="str">
        <f ca="1">HYPERLINK("#"&amp;중기사용료!N2&amp;"!A"&amp;ROW(중기사용료!A96),"중기14 →")</f>
        <v>중기14 →</v>
      </c>
    </row>
    <row r="18" spans="1:11" ht="23.1" customHeight="1" x14ac:dyDescent="0.3">
      <c r="A18" s="9" t="s">
        <v>71</v>
      </c>
      <c r="B18" s="10" t="s">
        <v>308</v>
      </c>
      <c r="C18" s="10" t="s">
        <v>309</v>
      </c>
      <c r="D18" s="9" t="s">
        <v>261</v>
      </c>
      <c r="E18" s="47">
        <f>중기사용료!F109</f>
        <v>96585</v>
      </c>
      <c r="F18" s="46">
        <f>중기사용료!H109</f>
        <v>59020</v>
      </c>
      <c r="G18" s="55">
        <f>중기사용료!J109</f>
        <v>16061</v>
      </c>
      <c r="H18" s="47">
        <f>중기사용료!L109</f>
        <v>21504</v>
      </c>
      <c r="I18" s="15" t="s">
        <v>310</v>
      </c>
      <c r="J18" s="17" t="str">
        <f>"_x0007_`COD|X00289_x0005_`QTY1|1_x0005_`BQC|_x0005_`EQC|03030200570_x0005_`JDC|_x0005_`WQC|_x0005_`EDT|_x0005_`ADJ|F_x0005_`RXX|0_x0005_`DET|"&amp;ROW(중기사용료!A103)&amp;"_x0005_`"</f>
        <v>_x0007_`COD|X00289_x0005_`QTY1|1_x0005_`BQC|_x0005_`EQC|03030200570_x0005_`JDC|_x0005_`WQC|_x0005_`EDT|_x0005_`ADJ|F_x0005_`RXX|0_x0005_`DET|103_x0005_`</v>
      </c>
      <c r="K18" s="3" t="str">
        <f ca="1">HYPERLINK("#"&amp;중기사용료!N2&amp;"!A"&amp;ROW(중기사용료!A103),"중기15 →")</f>
        <v>중기15 →</v>
      </c>
    </row>
    <row r="19" spans="1:11" ht="23.1" customHeight="1" x14ac:dyDescent="0.3">
      <c r="A19" s="9" t="s">
        <v>75</v>
      </c>
      <c r="B19" s="10" t="s">
        <v>312</v>
      </c>
      <c r="C19" s="10" t="s">
        <v>313</v>
      </c>
      <c r="D19" s="9" t="s">
        <v>261</v>
      </c>
      <c r="E19" s="47">
        <f>중기사용료!F116</f>
        <v>91619</v>
      </c>
      <c r="F19" s="46">
        <f>중기사용료!H116</f>
        <v>59020</v>
      </c>
      <c r="G19" s="55">
        <f>중기사용료!J116</f>
        <v>19742</v>
      </c>
      <c r="H19" s="47">
        <f>중기사용료!L116</f>
        <v>12857</v>
      </c>
      <c r="I19" s="15" t="s">
        <v>314</v>
      </c>
      <c r="J19" s="17" t="str">
        <f>"_x0007_`COD|X00020_x0005_`QTY1|1_x0005_`BQC|_x0005_`EQC|03110600120_x0005_`JDC|00001106001200000_x0005_`WQC|_x0005_`EDT|2026_x0005_`ADJ|F_x0005_`RXX|0_x0005_`DET|"&amp;ROW(중기사용료!A111)&amp;"_x0005_`"</f>
        <v>_x0007_`COD|X00020_x0005_`QTY1|1_x0005_`BQC|_x0005_`EQC|03110600120_x0005_`JDC|00001106001200000_x0005_`WQC|_x0005_`EDT|2026_x0005_`ADJ|F_x0005_`RXX|0_x0005_`DET|111_x0005_`</v>
      </c>
      <c r="K19" s="3" t="str">
        <f ca="1">HYPERLINK("#"&amp;중기사용료!N2&amp;"!A"&amp;ROW(중기사용료!A111),"중기16 →")</f>
        <v>중기16 →</v>
      </c>
    </row>
    <row r="20" spans="1:11" ht="23.1" customHeight="1" x14ac:dyDescent="0.3">
      <c r="A20" s="9" t="s">
        <v>79</v>
      </c>
      <c r="B20" s="10" t="s">
        <v>316</v>
      </c>
      <c r="C20" s="10" t="s">
        <v>317</v>
      </c>
      <c r="D20" s="9" t="s">
        <v>261</v>
      </c>
      <c r="E20" s="47">
        <f>중기사용료!F123</f>
        <v>99101</v>
      </c>
      <c r="F20" s="46">
        <f>중기사용료!H123</f>
        <v>49778</v>
      </c>
      <c r="G20" s="55">
        <f>중기사용료!J123</f>
        <v>30169</v>
      </c>
      <c r="H20" s="47">
        <f>중기사용료!L123</f>
        <v>19154</v>
      </c>
      <c r="I20" s="15" t="s">
        <v>318</v>
      </c>
      <c r="J20" s="17" t="str">
        <f>"_x0007_`COD|X00135_x0005_`QTY1|1_x0005_`BQC|_x0005_`EQC|03720401600_x0005_`JDC|00007204016000000_x0005_`WQC|_x0005_`EDT|2026_x0005_`ADJ|F_x0005_`RXX|0_x0005_`DET|"&amp;ROW(중기사용료!A118)&amp;"_x0005_`"</f>
        <v>_x0007_`COD|X00135_x0005_`QTY1|1_x0005_`BQC|_x0005_`EQC|03720401600_x0005_`JDC|00007204016000000_x0005_`WQC|_x0005_`EDT|2026_x0005_`ADJ|F_x0005_`RXX|0_x0005_`DET|118_x0005_`</v>
      </c>
      <c r="K20" s="3" t="str">
        <f ca="1">HYPERLINK("#"&amp;중기사용료!N2&amp;"!A"&amp;ROW(중기사용료!A118),"중기17 →")</f>
        <v>중기17 →</v>
      </c>
    </row>
    <row r="21" spans="1:11" ht="23.1" customHeight="1" x14ac:dyDescent="0.3">
      <c r="A21" s="9" t="s">
        <v>83</v>
      </c>
      <c r="B21" s="10" t="s">
        <v>316</v>
      </c>
      <c r="C21" s="10" t="s">
        <v>320</v>
      </c>
      <c r="D21" s="9" t="s">
        <v>261</v>
      </c>
      <c r="E21" s="47">
        <f>중기사용료!F130</f>
        <v>81513</v>
      </c>
      <c r="F21" s="46">
        <f>중기사용료!H130</f>
        <v>49778</v>
      </c>
      <c r="G21" s="55">
        <f>중기사용료!J130</f>
        <v>21749</v>
      </c>
      <c r="H21" s="47">
        <f>중기사용료!L130</f>
        <v>9986</v>
      </c>
      <c r="I21" s="15" t="s">
        <v>321</v>
      </c>
      <c r="J21" s="17" t="str">
        <f>"_x0007_`COD|X00051_x0005_`QTY1|1_x0005_`BQC|_x0005_`EQC|03720400550_x0005_`JDC|00007204005500000_x0005_`WQC|_x0005_`EDT|2026_x0005_`ADJ|F_x0005_`RXX|0_x0005_`DET|"&amp;ROW(중기사용료!A125)&amp;"_x0005_`"</f>
        <v>_x0007_`COD|X00051_x0005_`QTY1|1_x0005_`BQC|_x0005_`EQC|03720400550_x0005_`JDC|00007204005500000_x0005_`WQC|_x0005_`EDT|2026_x0005_`ADJ|F_x0005_`RXX|0_x0005_`DET|125_x0005_`</v>
      </c>
      <c r="K21" s="3" t="str">
        <f ca="1">HYPERLINK("#"&amp;중기사용료!N2&amp;"!A"&amp;ROW(중기사용료!A125),"중기18 →")</f>
        <v>중기18 →</v>
      </c>
    </row>
    <row r="22" spans="1:11" ht="23.1" customHeight="1" x14ac:dyDescent="0.3">
      <c r="A22" s="9" t="s">
        <v>86</v>
      </c>
      <c r="B22" s="10" t="s">
        <v>323</v>
      </c>
      <c r="C22" s="10" t="s">
        <v>324</v>
      </c>
      <c r="D22" s="9" t="s">
        <v>261</v>
      </c>
      <c r="E22" s="47">
        <f>중기사용료!F137</f>
        <v>147075</v>
      </c>
      <c r="F22" s="46">
        <f>중기사용료!H137</f>
        <v>59020</v>
      </c>
      <c r="G22" s="55">
        <f>중기사용료!J137</f>
        <v>52171</v>
      </c>
      <c r="H22" s="47">
        <f>중기사용료!L137</f>
        <v>35884</v>
      </c>
      <c r="I22" s="15" t="s">
        <v>325</v>
      </c>
      <c r="J22" s="17" t="str">
        <f>"_x0007_`COD|X00006_x0005_`QTY1|1_x0005_`BQC|_x0005_`EQC|03010100190_x0005_`JDC|00000101001900000_x0005_`WQC|_x0005_`EDT|2026_x0005_`ADJ|F_x0005_`RXX|0_x0005_`DET|"&amp;ROW(중기사용료!A132)&amp;"_x0005_`"</f>
        <v>_x0007_`COD|X00006_x0005_`QTY1|1_x0005_`BQC|_x0005_`EQC|03010100190_x0005_`JDC|00000101001900000_x0005_`WQC|_x0005_`EDT|2026_x0005_`ADJ|F_x0005_`RXX|0_x0005_`DET|132_x0005_`</v>
      </c>
      <c r="K22" s="3" t="str">
        <f ca="1">HYPERLINK("#"&amp;중기사용료!N2&amp;"!A"&amp;ROW(중기사용료!A132),"중기19 →")</f>
        <v>중기19 →</v>
      </c>
    </row>
    <row r="23" spans="1:11" ht="23.1" customHeight="1" x14ac:dyDescent="0.3">
      <c r="A23" s="9" t="s">
        <v>90</v>
      </c>
      <c r="B23" s="10" t="s">
        <v>327</v>
      </c>
      <c r="C23" s="10" t="s">
        <v>309</v>
      </c>
      <c r="D23" s="9" t="s">
        <v>261</v>
      </c>
      <c r="E23" s="47">
        <f>중기사용료!F141</f>
        <v>11793</v>
      </c>
      <c r="F23" s="46">
        <f>중기사용료!H141</f>
        <v>0</v>
      </c>
      <c r="G23" s="55">
        <f>중기사용료!J141</f>
        <v>0</v>
      </c>
      <c r="H23" s="47">
        <f>중기사용료!L141</f>
        <v>11793</v>
      </c>
      <c r="I23" s="15" t="s">
        <v>328</v>
      </c>
      <c r="J23" s="17" t="str">
        <f>"_x0007_`COD|X00287_x0005_`QTY1|1_x0005_`BQC|20상' 신규_x0005_`EQC|03570200950_x0005_`JDC|00005702009500000_x0005_`WQC|_x0005_`EDT|2026_x0005_`ADJ|F_x0005_`RXX|0_x0005_`DET|"&amp;ROW(중기사용료!A139)&amp;"_x0005_`"</f>
        <v>_x0007_`COD|X00287_x0005_`QTY1|1_x0005_`BQC|20상' 신규_x0005_`EQC|03570200950_x0005_`JDC|00005702009500000_x0005_`WQC|_x0005_`EDT|2026_x0005_`ADJ|F_x0005_`RXX|0_x0005_`DET|139_x0005_`</v>
      </c>
      <c r="K23" s="3" t="str">
        <f ca="1">HYPERLINK("#"&amp;중기사용료!N2&amp;"!A"&amp;ROW(중기사용료!A139),"중기20 →")</f>
        <v>중기20 →</v>
      </c>
    </row>
    <row r="24" spans="1:11" ht="23.1" customHeight="1" x14ac:dyDescent="0.3">
      <c r="A24" s="9" t="s">
        <v>94</v>
      </c>
      <c r="B24" s="10" t="s">
        <v>330</v>
      </c>
      <c r="C24" s="10" t="s">
        <v>331</v>
      </c>
      <c r="D24" s="9" t="s">
        <v>261</v>
      </c>
      <c r="E24" s="47">
        <f>중기사용료!F148</f>
        <v>100001</v>
      </c>
      <c r="F24" s="46">
        <f>중기사용료!H148</f>
        <v>59020</v>
      </c>
      <c r="G24" s="55">
        <f>중기사용료!J148</f>
        <v>24511</v>
      </c>
      <c r="H24" s="47">
        <f>중기사용료!L148</f>
        <v>16470</v>
      </c>
      <c r="I24" s="15" t="s">
        <v>332</v>
      </c>
      <c r="J24" s="17" t="str">
        <f>"_x0007_`COD|X00038_x0005_`QTY1|1_x0005_`BQC|_x0005_`EQC|03330200380_x0005_`JDC|00003302003800000_x0005_`WQC|_x0005_`EDT|2026_x0005_`ADJ|F_x0005_`RXX|0_x0005_`DET|"&amp;ROW(중기사용료!A143)&amp;"_x0005_`"</f>
        <v>_x0007_`COD|X00038_x0005_`QTY1|1_x0005_`BQC|_x0005_`EQC|03330200380_x0005_`JDC|00003302003800000_x0005_`WQC|_x0005_`EDT|2026_x0005_`ADJ|F_x0005_`RXX|0_x0005_`DET|143_x0005_`</v>
      </c>
      <c r="K24" s="3" t="str">
        <f ca="1">HYPERLINK("#"&amp;중기사용료!N2&amp;"!A"&amp;ROW(중기사용료!A143),"중기21 →")</f>
        <v>중기21 →</v>
      </c>
    </row>
    <row r="25" spans="1:11" ht="23.1" customHeight="1" x14ac:dyDescent="0.3">
      <c r="A25" s="9" t="s">
        <v>98</v>
      </c>
      <c r="B25" s="10" t="s">
        <v>334</v>
      </c>
      <c r="C25" s="10" t="s">
        <v>335</v>
      </c>
      <c r="D25" s="9" t="s">
        <v>261</v>
      </c>
      <c r="E25" s="47">
        <f>중기사용료!F155</f>
        <v>39347</v>
      </c>
      <c r="F25" s="46">
        <f>중기사용료!H155</f>
        <v>36248</v>
      </c>
      <c r="G25" s="55">
        <f>중기사용료!J155</f>
        <v>2295</v>
      </c>
      <c r="H25" s="47">
        <f>중기사용료!L155</f>
        <v>804</v>
      </c>
      <c r="I25" s="15" t="s">
        <v>336</v>
      </c>
      <c r="J25" s="17" t="str">
        <f>"_x0007_`COD|X00109_x0005_`QTY1|1_x0005_`BQC|_x0005_`EQC|03343004000_x0005_`JDC|00003430040000000_x0005_`WQC|_x0005_`EDT|2026_x0005_`ADJ|F_x0005_`RXX|0_x0005_`DET|"&amp;ROW(중기사용료!A150)&amp;"_x0005_`"</f>
        <v>_x0007_`COD|X00109_x0005_`QTY1|1_x0005_`BQC|_x0005_`EQC|03343004000_x0005_`JDC|00003430040000000_x0005_`WQC|_x0005_`EDT|2026_x0005_`ADJ|F_x0005_`RXX|0_x0005_`DET|150_x0005_`</v>
      </c>
      <c r="K25" s="3" t="str">
        <f ca="1">HYPERLINK("#"&amp;중기사용료!N2&amp;"!A"&amp;ROW(중기사용료!A150),"중기22 →")</f>
        <v>중기22 →</v>
      </c>
    </row>
    <row r="26" spans="1:11" ht="23.1" customHeight="1" x14ac:dyDescent="0.3">
      <c r="A26" s="9" t="s">
        <v>103</v>
      </c>
      <c r="B26" s="10" t="s">
        <v>338</v>
      </c>
      <c r="C26" s="10" t="s">
        <v>339</v>
      </c>
      <c r="D26" s="9" t="s">
        <v>261</v>
      </c>
      <c r="E26" s="47">
        <f>중기사용료!F162</f>
        <v>143185</v>
      </c>
      <c r="F26" s="46">
        <f>중기사용료!H162</f>
        <v>59020</v>
      </c>
      <c r="G26" s="55">
        <f>중기사용료!J162</f>
        <v>25024</v>
      </c>
      <c r="H26" s="47">
        <f>중기사용료!L162</f>
        <v>59141</v>
      </c>
      <c r="I26" s="15" t="s">
        <v>340</v>
      </c>
      <c r="J26" s="17" t="str">
        <f>"_x0007_`COD|X00037_x0005_`QTY1|1_x0005_`BQC|_x0005_`EQC|03320100030_x0005_`JDC|00003201000300000_x0005_`WQC|_x0005_`EDT|2026_x0005_`ADJ|F_x0005_`RXX|0_x0005_`DET|"&amp;ROW(중기사용료!A157)&amp;"_x0005_`"</f>
        <v>_x0007_`COD|X00037_x0005_`QTY1|1_x0005_`BQC|_x0005_`EQC|03320100030_x0005_`JDC|00003201000300000_x0005_`WQC|_x0005_`EDT|2026_x0005_`ADJ|F_x0005_`RXX|0_x0005_`DET|157_x0005_`</v>
      </c>
      <c r="K26" s="3" t="str">
        <f ca="1">HYPERLINK("#"&amp;중기사용료!N2&amp;"!A"&amp;ROW(중기사용료!A157),"중기23 →")</f>
        <v>중기23 →</v>
      </c>
    </row>
    <row r="27" spans="1:11" ht="23.1" customHeight="1" x14ac:dyDescent="0.3">
      <c r="A27" s="9" t="s">
        <v>108</v>
      </c>
      <c r="B27" s="10" t="s">
        <v>342</v>
      </c>
      <c r="C27" s="10" t="s">
        <v>343</v>
      </c>
      <c r="D27" s="9" t="s">
        <v>261</v>
      </c>
      <c r="E27" s="47">
        <f>중기사용료!F169</f>
        <v>6439</v>
      </c>
      <c r="F27" s="46">
        <f>중기사용료!H169</f>
        <v>0</v>
      </c>
      <c r="G27" s="55">
        <f>중기사용료!J169</f>
        <v>4472</v>
      </c>
      <c r="H27" s="47">
        <f>중기사용료!L169</f>
        <v>1967</v>
      </c>
      <c r="I27" s="15" t="s">
        <v>344</v>
      </c>
      <c r="J27" s="17" t="str">
        <f>"_x0007_`COD|X00091_x0005_`QTY1|1_x0005_`BQC|_x0005_`EQC|03130500070_x0005_`JDC|00001305000700000_x0005_`WQC|_x0005_`EDT|2026_x0005_`ADJ|F_x0005_`RXX|0_x0005_`DET|"&amp;ROW(중기사용료!A164)&amp;"_x0005_`"</f>
        <v>_x0007_`COD|X00091_x0005_`QTY1|1_x0005_`BQC|_x0005_`EQC|03130500070_x0005_`JDC|00001305000700000_x0005_`WQC|_x0005_`EDT|2026_x0005_`ADJ|F_x0005_`RXX|0_x0005_`DET|164_x0005_`</v>
      </c>
      <c r="K27" s="3" t="str">
        <f ca="1">HYPERLINK("#"&amp;중기사용료!N2&amp;"!A"&amp;ROW(중기사용료!A164),"중기24 →")</f>
        <v>중기24 →</v>
      </c>
    </row>
    <row r="28" spans="1:11" ht="23.1" customHeight="1" x14ac:dyDescent="0.3">
      <c r="A28" s="9" t="s">
        <v>112</v>
      </c>
      <c r="B28" s="10" t="s">
        <v>346</v>
      </c>
      <c r="C28" s="10" t="s">
        <v>347</v>
      </c>
      <c r="D28" s="9" t="s">
        <v>261</v>
      </c>
      <c r="E28" s="47">
        <f>중기사용료!F176</f>
        <v>50441</v>
      </c>
      <c r="F28" s="46">
        <f>중기사용료!H176</f>
        <v>36248</v>
      </c>
      <c r="G28" s="55">
        <f>중기사용료!J176</f>
        <v>12129</v>
      </c>
      <c r="H28" s="47">
        <f>중기사용료!L176</f>
        <v>2064</v>
      </c>
      <c r="I28" s="15" t="s">
        <v>348</v>
      </c>
      <c r="J28" s="17" t="str">
        <f>"_x0007_`COD|X00039_x0005_`QTY1|1_x0005_`BQC|_x0005_`EQC|03443004000_x0005_`JDC|00004430040000000_x0005_`WQC|_x0005_`EDT|2026_x0005_`ADJ|F_x0005_`RXX|0_x0005_`DET|"&amp;ROW(중기사용료!A171)&amp;"_x0005_`"</f>
        <v>_x0007_`COD|X00039_x0005_`QTY1|1_x0005_`BQC|_x0005_`EQC|03443004000_x0005_`JDC|00004430040000000_x0005_`WQC|_x0005_`EDT|2026_x0005_`ADJ|F_x0005_`RXX|0_x0005_`DET|171_x0005_`</v>
      </c>
      <c r="K28" s="3" t="str">
        <f ca="1">HYPERLINK("#"&amp;중기사용료!N2&amp;"!A"&amp;ROW(중기사용료!A171),"중기25 →")</f>
        <v>중기25 →</v>
      </c>
    </row>
    <row r="29" spans="1:11" ht="23.1" customHeight="1" x14ac:dyDescent="0.3">
      <c r="A29" s="9" t="s">
        <v>117</v>
      </c>
      <c r="B29" s="10" t="s">
        <v>350</v>
      </c>
      <c r="C29" s="10" t="s">
        <v>351</v>
      </c>
      <c r="D29" s="9" t="s">
        <v>261</v>
      </c>
      <c r="E29" s="47">
        <f>중기사용료!F183</f>
        <v>99866</v>
      </c>
      <c r="F29" s="46">
        <f>중기사용료!H183</f>
        <v>59020</v>
      </c>
      <c r="G29" s="55">
        <f>중기사용료!J183</f>
        <v>9502</v>
      </c>
      <c r="H29" s="47">
        <f>중기사용료!L183</f>
        <v>31344</v>
      </c>
      <c r="I29" s="15" t="s">
        <v>352</v>
      </c>
      <c r="J29" s="17" t="str">
        <f>"_x0007_`COD|X00031_x0005_`QTY1|1_x0005_`BQC|_x0005_`EQC|03210400100_x0005_`JDC|00002104001000000_x0005_`WQC|_x0005_`EDT|2026_x0005_`ADJ|F_x0005_`RXX|0_x0005_`DET|"&amp;ROW(중기사용료!A178)&amp;"_x0005_`"</f>
        <v>_x0007_`COD|X00031_x0005_`QTY1|1_x0005_`BQC|_x0005_`EQC|03210400100_x0005_`JDC|00002104001000000_x0005_`WQC|_x0005_`EDT|2026_x0005_`ADJ|F_x0005_`RXX|0_x0005_`DET|178_x0005_`</v>
      </c>
      <c r="K29" s="3" t="str">
        <f ca="1">HYPERLINK("#"&amp;중기사용료!N2&amp;"!A"&amp;ROW(중기사용료!A178),"중기26 →")</f>
        <v>중기26 →</v>
      </c>
    </row>
    <row r="30" spans="1:11" ht="23.1" customHeight="1" x14ac:dyDescent="0.3">
      <c r="A30" s="9" t="s">
        <v>121</v>
      </c>
      <c r="B30" s="10" t="s">
        <v>350</v>
      </c>
      <c r="C30" s="10" t="s">
        <v>354</v>
      </c>
      <c r="D30" s="9" t="s">
        <v>261</v>
      </c>
      <c r="E30" s="47">
        <f>중기사용료!F190</f>
        <v>126152</v>
      </c>
      <c r="F30" s="46">
        <f>중기사용료!H190</f>
        <v>59020</v>
      </c>
      <c r="G30" s="55">
        <f>중기사용료!J190</f>
        <v>13503</v>
      </c>
      <c r="H30" s="47">
        <f>중기사용료!L190</f>
        <v>53629</v>
      </c>
      <c r="I30" s="15" t="s">
        <v>355</v>
      </c>
      <c r="J30" s="17" t="str">
        <f>"_x0007_`COD|X00033_x0005_`QTY1|1_x0005_`BQC|_x0005_`EQC|03210400200_x0005_`JDC|00002104002000000_x0005_`WQC|_x0005_`EDT|2026_x0005_`ADJ|F_x0005_`RXX|0_x0005_`DET|"&amp;ROW(중기사용료!A185)&amp;"_x0005_`"</f>
        <v>_x0007_`COD|X00033_x0005_`QTY1|1_x0005_`BQC|_x0005_`EQC|03210400200_x0005_`JDC|00002104002000000_x0005_`WQC|_x0005_`EDT|2026_x0005_`ADJ|F_x0005_`RXX|0_x0005_`DET|185_x0005_`</v>
      </c>
      <c r="K30" s="3" t="str">
        <f ca="1">HYPERLINK("#"&amp;중기사용료!N2&amp;"!A"&amp;ROW(중기사용료!A185),"중기27 →")</f>
        <v>중기27 →</v>
      </c>
    </row>
    <row r="31" spans="1:11" ht="23.1" customHeight="1" x14ac:dyDescent="0.3">
      <c r="A31" s="9" t="s">
        <v>204</v>
      </c>
      <c r="B31" s="10" t="s">
        <v>357</v>
      </c>
      <c r="C31" s="10" t="s">
        <v>358</v>
      </c>
      <c r="D31" s="9" t="s">
        <v>261</v>
      </c>
      <c r="E31" s="47">
        <f>중기사용료!F197</f>
        <v>95858</v>
      </c>
      <c r="F31" s="46">
        <f>중기사용료!H197</f>
        <v>59020</v>
      </c>
      <c r="G31" s="55">
        <f>중기사용료!J197</f>
        <v>17702</v>
      </c>
      <c r="H31" s="47">
        <f>중기사용료!L197</f>
        <v>19136</v>
      </c>
      <c r="I31" s="15" t="s">
        <v>359</v>
      </c>
      <c r="J31" s="17" t="str">
        <f>"_x0007_`COD|X00024_x0005_`QTY1|1_x0005_`BQC|_x0005_`EQC|03140600150_x0005_`JDC|00001406001500000_x0005_`WQC|_x0005_`EDT|2026_x0005_`ADJ|F_x0005_`RXX|0_x0005_`DET|"&amp;ROW(중기사용료!A192)&amp;"_x0005_`"</f>
        <v>_x0007_`COD|X00024_x0005_`QTY1|1_x0005_`BQC|_x0005_`EQC|03140600150_x0005_`JDC|00001406001500000_x0005_`WQC|_x0005_`EDT|2026_x0005_`ADJ|F_x0005_`RXX|0_x0005_`DET|192_x0005_`</v>
      </c>
      <c r="K31" s="3" t="str">
        <f ca="1">HYPERLINK("#"&amp;중기사용료!N2&amp;"!A"&amp;ROW(중기사용료!A192),"중기28 →")</f>
        <v>중기28 →</v>
      </c>
    </row>
    <row r="32" spans="1:11" ht="23.1" customHeight="1" x14ac:dyDescent="0.3">
      <c r="A32" s="9" t="s">
        <v>208</v>
      </c>
      <c r="B32" s="10" t="s">
        <v>361</v>
      </c>
      <c r="C32" s="10" t="s">
        <v>362</v>
      </c>
      <c r="D32" s="9" t="s">
        <v>261</v>
      </c>
      <c r="E32" s="47">
        <f>중기사용료!F204</f>
        <v>78671</v>
      </c>
      <c r="F32" s="46">
        <f>중기사용료!H204</f>
        <v>59020</v>
      </c>
      <c r="G32" s="55">
        <f>중기사용료!J204</f>
        <v>10614</v>
      </c>
      <c r="H32" s="47">
        <f>중기사용료!L204</f>
        <v>9037</v>
      </c>
      <c r="I32" s="15" t="s">
        <v>363</v>
      </c>
      <c r="J32" s="17" t="str">
        <f>"_x0007_`COD|X00134_x0005_`QTY1|1_x0005_`BQC|_x0005_`EQC|03120600080_x0005_`JDC|00001206000800000_x0005_`WQC|_x0005_`EDT|2026_x0005_`ADJ|F_x0005_`RXX|0_x0005_`DET|"&amp;ROW(중기사용료!A199)&amp;"_x0005_`"</f>
        <v>_x0007_`COD|X00134_x0005_`QTY1|1_x0005_`BQC|_x0005_`EQC|03120600080_x0005_`JDC|00001206000800000_x0005_`WQC|_x0005_`EDT|2026_x0005_`ADJ|F_x0005_`RXX|0_x0005_`DET|199_x0005_`</v>
      </c>
      <c r="K32" s="3" t="str">
        <f ca="1">HYPERLINK("#"&amp;중기사용료!N2&amp;"!A"&amp;ROW(중기사용료!A199),"중기29 →")</f>
        <v>중기29 →</v>
      </c>
    </row>
    <row r="33" spans="1:11" ht="23.1" customHeight="1" x14ac:dyDescent="0.3">
      <c r="A33" s="9" t="s">
        <v>211</v>
      </c>
      <c r="B33" s="10" t="s">
        <v>365</v>
      </c>
      <c r="C33" s="10" t="s">
        <v>354</v>
      </c>
      <c r="D33" s="9" t="s">
        <v>261</v>
      </c>
      <c r="E33" s="47">
        <f>중기사용료!F211</f>
        <v>117594</v>
      </c>
      <c r="F33" s="46">
        <f>중기사용료!H211</f>
        <v>59020</v>
      </c>
      <c r="G33" s="55">
        <f>중기사용료!J211</f>
        <v>41260</v>
      </c>
      <c r="H33" s="47">
        <f>중기사용료!L211</f>
        <v>17314</v>
      </c>
      <c r="I33" s="15" t="s">
        <v>366</v>
      </c>
      <c r="J33" s="17" t="str">
        <f>"_x0007_`COD|X00036_x0005_`QTY1|1_x0005_`BQC|_x0005_`EQC|03270200200_x0005_`JDC|00002702002000000_x0005_`WQC|_x0005_`EDT|2026_x0005_`ADJ|F_x0005_`RXX|0_x0005_`DET|"&amp;ROW(중기사용료!A206)&amp;"_x0005_`"</f>
        <v>_x0007_`COD|X00036_x0005_`QTY1|1_x0005_`BQC|_x0005_`EQC|03270200200_x0005_`JDC|00002702002000000_x0005_`WQC|_x0005_`EDT|2026_x0005_`ADJ|F_x0005_`RXX|0_x0005_`DET|206_x0005_`</v>
      </c>
      <c r="K33" s="3" t="str">
        <f ca="1">HYPERLINK("#"&amp;중기사용료!N2&amp;"!A"&amp;ROW(중기사용료!A206),"중기30 →")</f>
        <v>중기30 →</v>
      </c>
    </row>
    <row r="34" spans="1:11" ht="23.1" customHeight="1" x14ac:dyDescent="0.3">
      <c r="A34" s="9" t="s">
        <v>215</v>
      </c>
      <c r="B34" s="10" t="s">
        <v>368</v>
      </c>
      <c r="C34" s="10" t="s">
        <v>351</v>
      </c>
      <c r="D34" s="9" t="s">
        <v>261</v>
      </c>
      <c r="E34" s="47">
        <f>중기사용료!F218</f>
        <v>95808</v>
      </c>
      <c r="F34" s="46">
        <f>중기사용료!H218</f>
        <v>49778</v>
      </c>
      <c r="G34" s="55">
        <f>중기사용료!J218</f>
        <v>22235</v>
      </c>
      <c r="H34" s="47">
        <f>중기사용료!L218</f>
        <v>23795</v>
      </c>
      <c r="I34" s="15" t="s">
        <v>369</v>
      </c>
      <c r="J34" s="17" t="str">
        <f>"_x0007_`COD|X00167_x0005_`QTY1|1_x0005_`BQC|08' 신규_x0005_`EQC|03210500100_x0005_`JDC|00002105001000000_x0005_`WQC|_x0005_`EDT|2026_x0005_`ADJ|F_x0005_`RXX|0_x0005_`DET|"&amp;ROW(중기사용료!A213)&amp;"_x0005_`"</f>
        <v>_x0007_`COD|X00167_x0005_`QTY1|1_x0005_`BQC|08' 신규_x0005_`EQC|03210500100_x0005_`JDC|00002105001000000_x0005_`WQC|_x0005_`EDT|2026_x0005_`ADJ|F_x0005_`RXX|0_x0005_`DET|213_x0005_`</v>
      </c>
      <c r="K34" s="3" t="str">
        <f ca="1">HYPERLINK("#"&amp;중기사용료!N2&amp;"!A"&amp;ROW(중기사용료!A213),"중기31 →")</f>
        <v>중기31 →</v>
      </c>
    </row>
    <row r="35" spans="1:11" ht="23.1" customHeight="1" x14ac:dyDescent="0.3">
      <c r="A35" s="9" t="s">
        <v>219</v>
      </c>
      <c r="B35" s="10" t="s">
        <v>368</v>
      </c>
      <c r="C35" s="10" t="s">
        <v>371</v>
      </c>
      <c r="D35" s="9" t="s">
        <v>261</v>
      </c>
      <c r="E35" s="47">
        <f>중기사용료!F225</f>
        <v>71904</v>
      </c>
      <c r="F35" s="46">
        <f>중기사용료!H225</f>
        <v>49778</v>
      </c>
      <c r="G35" s="55">
        <f>중기사용료!J225</f>
        <v>11009</v>
      </c>
      <c r="H35" s="47">
        <f>중기사용료!L225</f>
        <v>11117</v>
      </c>
      <c r="I35" s="15" t="s">
        <v>372</v>
      </c>
      <c r="J35" s="17" t="str">
        <f>"_x0007_`COD|X00124_x0005_`QTY1|1_x0005_`BQC|_x0005_`EQC|03210500050_x0005_`JDC|00002105000500000_x0005_`WQC|_x0005_`EDT|2026_x0005_`ADJ|F_x0005_`RXX|0_x0005_`DET|"&amp;ROW(중기사용료!A220)&amp;"_x0005_`"</f>
        <v>_x0007_`COD|X00124_x0005_`QTY1|1_x0005_`BQC|_x0005_`EQC|03210500050_x0005_`JDC|00002105000500000_x0005_`WQC|_x0005_`EDT|2026_x0005_`ADJ|F_x0005_`RXX|0_x0005_`DET|220_x0005_`</v>
      </c>
      <c r="K35" s="3" t="str">
        <f ca="1">HYPERLINK("#"&amp;중기사용료!N2&amp;"!A"&amp;ROW(중기사용료!A220),"중기32 →")</f>
        <v>중기32 →</v>
      </c>
    </row>
    <row r="36" spans="1:11" ht="23.1" customHeight="1" x14ac:dyDescent="0.3">
      <c r="A36" s="9" t="s">
        <v>223</v>
      </c>
      <c r="B36" s="10" t="s">
        <v>374</v>
      </c>
      <c r="C36" s="10" t="s">
        <v>375</v>
      </c>
      <c r="D36" s="9" t="s">
        <v>261</v>
      </c>
      <c r="E36" s="47">
        <f>중기사용료!F232</f>
        <v>39034</v>
      </c>
      <c r="F36" s="46">
        <f>중기사용료!H232</f>
        <v>36248</v>
      </c>
      <c r="G36" s="55">
        <f>중기사용료!J232</f>
        <v>2166</v>
      </c>
      <c r="H36" s="47">
        <f>중기사용료!L232</f>
        <v>620</v>
      </c>
      <c r="I36" s="15" t="s">
        <v>376</v>
      </c>
      <c r="J36" s="17" t="str">
        <f>"_x0007_`COD|X00026_x0005_`QTY1|1_x0005_`BQC|_x0005_`EQC|03173000150_x0005_`JDC|00001730001500000_x0005_`WQC|_x0005_`EDT|2026_x0005_`ADJ|F_x0005_`RXX|0_x0005_`DET|"&amp;ROW(중기사용료!A227)&amp;"_x0005_`"</f>
        <v>_x0007_`COD|X00026_x0005_`QTY1|1_x0005_`BQC|_x0005_`EQC|03173000150_x0005_`JDC|00001730001500000_x0005_`WQC|_x0005_`EDT|2026_x0005_`ADJ|F_x0005_`RXX|0_x0005_`DET|227_x0005_`</v>
      </c>
      <c r="K36" s="3" t="str">
        <f ca="1">HYPERLINK("#"&amp;중기사용료!N2&amp;"!A"&amp;ROW(중기사용료!A227),"중기33 →")</f>
        <v>중기33 →</v>
      </c>
    </row>
  </sheetData>
  <mergeCells count="1">
    <mergeCell ref="A1:I1"/>
  </mergeCells>
  <phoneticPr fontId="25" type="noConversion"/>
  <hyperlinks>
    <hyperlink ref="K1" r:id="rId1" tooltip="설계예산시스템(STmate w26.05)으로 작성 하였으며,_x000a_엑셀 인쇄품질 600 dpi에 최적화 되어 있습니다._x000a_경영정보(주) http://www.stma.co.kr_x000a_Tel) 070-4350-0040_x000a_Fax) 0505-300-3948" xr:uid="{560DCFB3-A01E-4B25-A134-DF24F58A2F0A}"/>
    <hyperlink ref="J1" r:id="rId2" tooltip="설계예산시스템(STmate w26.05)으로 작성 하였으며,_x000a_엑셀 인쇄품질 600 dpi에 최적화 되어 있습니다._x000a_경영정보(주) http://www.stma.co.kr_x000a_Tel) 070-4350-0040_x000a_Fax) 0505-300-3948" xr:uid="{95C0F86B-593C-4901-8A45-CC204A6D32BE}"/>
  </hyperlinks>
  <printOptions horizontalCentered="1"/>
  <pageMargins left="0.39370078740157483" right="0.78740157480314954" top="0.78740157480314965" bottom="0.82677165354330706" header="0" footer="0.62992125984251968"/>
  <pageSetup paperSize="9" scale="72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5B332-AE90-46DC-BE1B-D12130DCC813}">
  <dimension ref="A1:Z232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2" width="24.25" style="6" customWidth="1"/>
    <col min="3" max="3" width="10" style="6" customWidth="1"/>
    <col min="4" max="4" width="5.5" style="6" customWidth="1"/>
    <col min="5" max="5" width="10" style="6" customWidth="1"/>
    <col min="6" max="6" width="11.5" style="6" customWidth="1"/>
    <col min="7" max="7" width="10" style="6" customWidth="1"/>
    <col min="8" max="8" width="11.5" style="6" customWidth="1"/>
    <col min="9" max="9" width="10" style="6" customWidth="1"/>
    <col min="10" max="10" width="11.5" style="6" customWidth="1"/>
    <col min="11" max="11" width="10" style="6" customWidth="1"/>
    <col min="12" max="13" width="11.5" style="6" customWidth="1"/>
    <col min="14" max="14" width="9.125" style="83" hidden="1" customWidth="1"/>
    <col min="15" max="25" width="2.125" style="6" customWidth="1"/>
    <col min="26" max="26" width="9.125" style="18" customWidth="1"/>
    <col min="27" max="16384" width="9.125" style="6"/>
  </cols>
  <sheetData>
    <row r="1" spans="1:26" ht="24.95" customHeight="1" x14ac:dyDescent="0.3">
      <c r="A1" s="130" t="s">
        <v>2338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5" t="s">
        <v>124</v>
      </c>
      <c r="Z1" s="19" t="s">
        <v>124</v>
      </c>
    </row>
    <row r="2" spans="1:26" ht="28.7" customHeight="1" x14ac:dyDescent="0.3">
      <c r="A2" s="1" t="s">
        <v>1</v>
      </c>
      <c r="N2" s="20" t="str">
        <f ca="1">MID(CELL("filename",$A$1),FIND("]",CELL("filename",$A$1))+1,LEN(CELL("filename",$A$1)))</f>
        <v>중기사용료</v>
      </c>
    </row>
    <row r="3" spans="1:26" ht="28.7" customHeight="1" x14ac:dyDescent="0.3">
      <c r="A3" s="147" t="s">
        <v>3</v>
      </c>
      <c r="B3" s="147" t="s">
        <v>4</v>
      </c>
      <c r="C3" s="147" t="s">
        <v>789</v>
      </c>
      <c r="D3" s="147" t="s">
        <v>5</v>
      </c>
      <c r="E3" s="133" t="s">
        <v>6</v>
      </c>
      <c r="F3" s="148"/>
      <c r="G3" s="133" t="s">
        <v>7</v>
      </c>
      <c r="H3" s="148"/>
      <c r="I3" s="133" t="s">
        <v>8</v>
      </c>
      <c r="J3" s="148"/>
      <c r="K3" s="133" t="s">
        <v>9</v>
      </c>
      <c r="L3" s="148"/>
      <c r="M3" s="133" t="s">
        <v>10</v>
      </c>
    </row>
    <row r="4" spans="1:26" ht="28.7" customHeight="1" x14ac:dyDescent="0.3">
      <c r="A4" s="148"/>
      <c r="B4" s="148"/>
      <c r="C4" s="148"/>
      <c r="D4" s="148"/>
      <c r="E4" s="9" t="s">
        <v>379</v>
      </c>
      <c r="F4" s="9" t="s">
        <v>790</v>
      </c>
      <c r="G4" s="9" t="s">
        <v>379</v>
      </c>
      <c r="H4" s="9" t="s">
        <v>790</v>
      </c>
      <c r="I4" s="9" t="s">
        <v>379</v>
      </c>
      <c r="J4" s="9" t="s">
        <v>790</v>
      </c>
      <c r="K4" s="9" t="s">
        <v>379</v>
      </c>
      <c r="L4" s="9" t="s">
        <v>790</v>
      </c>
      <c r="M4" s="134"/>
      <c r="Z4" s="3" t="str">
        <f>HYPERLINK("#'〓 목 차 〓'!B2","목차 →")</f>
        <v>목차 →</v>
      </c>
    </row>
    <row r="5" spans="1:26" ht="28.7" customHeight="1" x14ac:dyDescent="0.3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1:26" ht="28.7" customHeight="1" x14ac:dyDescent="0.3">
      <c r="A6" s="135" t="s">
        <v>2339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49"/>
      <c r="M6" s="23" t="s">
        <v>262</v>
      </c>
      <c r="N6" s="84" t="str">
        <f>HYPERLINK("#N"&amp;ROW(N11),"_x0005_`BDCOD|X00156_x0007_`POSS|"&amp;ROW(N7)&amp;"_x0007_`POSE|"&amp;ROW(N11)&amp;"_x0007_`")</f>
        <v>_x0005_`BDCOD|X00156_x0007_`POSS|7_x0007_`POSE|11_x0007_`</v>
      </c>
      <c r="O6" s="7" t="s">
        <v>2340</v>
      </c>
    </row>
    <row r="7" spans="1:26" ht="28.7" customHeight="1" x14ac:dyDescent="0.3">
      <c r="A7" s="10" t="s">
        <v>264</v>
      </c>
      <c r="B7" s="10" t="s">
        <v>277</v>
      </c>
      <c r="C7" s="75">
        <v>0.20849999999999999</v>
      </c>
      <c r="D7" s="32" t="s">
        <v>619</v>
      </c>
      <c r="E7" s="54">
        <f t="shared" ref="E7:F11" si="0">I7+G7+K7</f>
        <v>112342</v>
      </c>
      <c r="F7" s="77">
        <f t="shared" si="0"/>
        <v>23423.3</v>
      </c>
      <c r="G7" s="50">
        <v>0</v>
      </c>
      <c r="H7" s="77">
        <f>IF(C7=0,0,ROUNDDOWN(G7*C7,1))</f>
        <v>0</v>
      </c>
      <c r="I7" s="50">
        <v>0</v>
      </c>
      <c r="J7" s="76">
        <f>IF(C7=0,0,ROUNDDOWN(I7*C7,1))</f>
        <v>0</v>
      </c>
      <c r="K7" s="78">
        <f>경비목록표!E7</f>
        <v>112342</v>
      </c>
      <c r="L7" s="80">
        <f>IF(C7=0,0,ROUNDDOWN(K7*C7,1))</f>
        <v>23423.3</v>
      </c>
      <c r="M7" s="23" t="s">
        <v>2343</v>
      </c>
      <c r="N7" s="17" t="s">
        <v>2341</v>
      </c>
      <c r="O7" s="7" t="s">
        <v>2342</v>
      </c>
      <c r="P7" s="7" t="s">
        <v>1209</v>
      </c>
      <c r="Z7" s="3" t="str">
        <f ca="1">HYPERLINK("#"&amp;경비목록표!G2&amp;"!A"&amp;ROW(경비목록표!A7),"경비4 →")</f>
        <v>경비4 →</v>
      </c>
    </row>
    <row r="8" spans="1:26" ht="28.7" customHeight="1" x14ac:dyDescent="0.3">
      <c r="A8" s="10" t="s">
        <v>586</v>
      </c>
      <c r="B8" s="10"/>
      <c r="C8" s="75">
        <v>1</v>
      </c>
      <c r="D8" s="32" t="s">
        <v>587</v>
      </c>
      <c r="E8" s="54">
        <f t="shared" si="0"/>
        <v>59020.2</v>
      </c>
      <c r="F8" s="76">
        <f t="shared" si="0"/>
        <v>59020.2</v>
      </c>
      <c r="G8" s="78">
        <f>환율및기초자료!G6</f>
        <v>59020.2</v>
      </c>
      <c r="H8" s="81">
        <f>IF(C8=0,0,ROUNDDOWN(G8*C8,1))</f>
        <v>59020.2</v>
      </c>
      <c r="I8" s="50">
        <v>0</v>
      </c>
      <c r="J8" s="77">
        <f>IF(C8=0,0,ROUNDDOWN(I8*C8,1))</f>
        <v>0</v>
      </c>
      <c r="K8" s="50">
        <v>0</v>
      </c>
      <c r="L8" s="76">
        <f>IF(C8=0,0,ROUNDDOWN(K8*C8,1))</f>
        <v>0</v>
      </c>
      <c r="M8" s="23" t="s">
        <v>2346</v>
      </c>
      <c r="N8" s="17" t="s">
        <v>2344</v>
      </c>
      <c r="O8" s="7" t="s">
        <v>2345</v>
      </c>
      <c r="P8" s="7" t="s">
        <v>1209</v>
      </c>
      <c r="Z8" s="3" t="str">
        <f ca="1">HYPERLINK("#"&amp;환율및기초자료!I2&amp;"!A"&amp;ROW(환율및기초자료!A6),"노무1 →")</f>
        <v>노무1 →</v>
      </c>
    </row>
    <row r="9" spans="1:26" ht="28.7" customHeight="1" x14ac:dyDescent="0.3">
      <c r="A9" s="10" t="s">
        <v>415</v>
      </c>
      <c r="B9" s="10" t="s">
        <v>416</v>
      </c>
      <c r="C9" s="75">
        <v>10.199999999999999</v>
      </c>
      <c r="D9" s="32" t="s">
        <v>417</v>
      </c>
      <c r="E9" s="54">
        <f t="shared" si="0"/>
        <v>1799</v>
      </c>
      <c r="F9" s="77">
        <f t="shared" si="0"/>
        <v>18349.8</v>
      </c>
      <c r="G9" s="50">
        <v>0</v>
      </c>
      <c r="H9" s="76">
        <f>IF(C9=0,0,ROUNDDOWN(G9*C9,1))</f>
        <v>0</v>
      </c>
      <c r="I9" s="78">
        <f>재료비목록표!E13</f>
        <v>1799</v>
      </c>
      <c r="J9" s="81">
        <f>IF(C9=0,0,ROUNDDOWN(I9*C9,1))</f>
        <v>18349.8</v>
      </c>
      <c r="K9" s="50">
        <v>0</v>
      </c>
      <c r="L9" s="76">
        <f>IF(C9=0,0,ROUNDDOWN(K9*C9,1))</f>
        <v>0</v>
      </c>
      <c r="M9" s="23" t="s">
        <v>2349</v>
      </c>
      <c r="N9" s="17" t="s">
        <v>2347</v>
      </c>
      <c r="O9" s="7" t="s">
        <v>2348</v>
      </c>
      <c r="P9" s="7" t="s">
        <v>1209</v>
      </c>
      <c r="Z9" s="3" t="str">
        <f ca="1">HYPERLINK("#"&amp;재료비목록표!G2&amp;"!A"&amp;ROW(재료비목록표!A13),"자재10 →")</f>
        <v>자재10 →</v>
      </c>
    </row>
    <row r="10" spans="1:26" ht="28.7" customHeight="1" x14ac:dyDescent="0.3">
      <c r="A10" s="10" t="s">
        <v>287</v>
      </c>
      <c r="B10" s="10" t="s">
        <v>277</v>
      </c>
      <c r="C10" s="75">
        <v>1</v>
      </c>
      <c r="D10" s="32" t="s">
        <v>261</v>
      </c>
      <c r="E10" s="54">
        <f t="shared" si="0"/>
        <v>9356</v>
      </c>
      <c r="F10" s="76">
        <f t="shared" si="0"/>
        <v>9356</v>
      </c>
      <c r="G10" s="78">
        <f>중기목록표!F12</f>
        <v>0</v>
      </c>
      <c r="H10" s="80">
        <f>IF(C10=0,0,ROUNDDOWN(G10*C10,1))</f>
        <v>0</v>
      </c>
      <c r="I10" s="78">
        <f>중기목록표!G12</f>
        <v>0</v>
      </c>
      <c r="J10" s="80">
        <f>IF(C10=0,0,ROUNDDOWN(I10*C10,1))</f>
        <v>0</v>
      </c>
      <c r="K10" s="78">
        <f>중기목록표!H12</f>
        <v>9356</v>
      </c>
      <c r="L10" s="80">
        <f>IF(C10=0,0,ROUNDDOWN(K10*C10,1))</f>
        <v>9356</v>
      </c>
      <c r="M10" s="23" t="s">
        <v>2352</v>
      </c>
      <c r="N10" s="17" t="s">
        <v>2350</v>
      </c>
      <c r="O10" s="7" t="s">
        <v>2351</v>
      </c>
      <c r="P10" s="7" t="s">
        <v>1209</v>
      </c>
      <c r="Z10" s="3" t="str">
        <f ca="1">HYPERLINK("#"&amp;중기목록표!J2&amp;"!A"&amp;ROW(중기목록표!A12),"중기9 →")</f>
        <v>중기9 →</v>
      </c>
    </row>
    <row r="11" spans="1:26" ht="28.7" customHeight="1" x14ac:dyDescent="0.3">
      <c r="A11" s="10" t="s">
        <v>537</v>
      </c>
      <c r="B11" s="10" t="s">
        <v>538</v>
      </c>
      <c r="C11" s="75">
        <v>16</v>
      </c>
      <c r="D11" s="32" t="s">
        <v>539</v>
      </c>
      <c r="E11" s="54">
        <f t="shared" si="0"/>
        <v>0</v>
      </c>
      <c r="F11" s="77">
        <f t="shared" si="0"/>
        <v>0</v>
      </c>
      <c r="G11" s="50">
        <v>0</v>
      </c>
      <c r="H11" s="76">
        <f>IF(C11=0,0,ROUNDDOWN(G11*C11/100,1))</f>
        <v>0</v>
      </c>
      <c r="I11" s="78">
        <f>J10</f>
        <v>0</v>
      </c>
      <c r="J11" s="81">
        <f>IF(C11=0,0,ROUNDDOWN(I11*C11/100,1))</f>
        <v>0</v>
      </c>
      <c r="K11" s="50">
        <v>0</v>
      </c>
      <c r="L11" s="76">
        <f>IF(C11=0,0,ROUNDDOWN(K11*C11/100,1))</f>
        <v>0</v>
      </c>
      <c r="M11" s="23" t="s">
        <v>2355</v>
      </c>
      <c r="N11" s="17" t="s">
        <v>2353</v>
      </c>
      <c r="O11" s="7" t="s">
        <v>2354</v>
      </c>
      <c r="P11" s="7" t="s">
        <v>1209</v>
      </c>
      <c r="Z11" s="3" t="str">
        <f ca="1">HYPERLINK("#"&amp;재료비목록표!G2&amp;"!A"&amp;ROW(재료비목록표!A44),"자재41 →")</f>
        <v>자재41 →</v>
      </c>
    </row>
    <row r="12" spans="1:26" ht="28.7" customHeight="1" x14ac:dyDescent="0.3">
      <c r="A12" s="23" t="s">
        <v>6</v>
      </c>
      <c r="B12" s="74"/>
      <c r="C12" s="74"/>
      <c r="D12" s="74"/>
      <c r="E12" s="74"/>
      <c r="F12" s="47">
        <f>J12+H12+L12</f>
        <v>110148</v>
      </c>
      <c r="G12" s="74"/>
      <c r="H12" s="47">
        <f>ROUNDDOWN(SUMIF(P7:P11,O12,H7:H11),0)</f>
        <v>59020</v>
      </c>
      <c r="I12" s="74"/>
      <c r="J12" s="47">
        <f>ROUNDDOWN(SUMIF(P7:P11,O12,J7:J11),0)</f>
        <v>18349</v>
      </c>
      <c r="K12" s="74"/>
      <c r="L12" s="47">
        <f>ROUNDDOWN(SUMIF(P7:P11,O12,L7:L11),0)</f>
        <v>32779</v>
      </c>
      <c r="M12" s="74"/>
      <c r="O12" s="7" t="s">
        <v>1209</v>
      </c>
    </row>
    <row r="13" spans="1:26" ht="28.7" customHeight="1" x14ac:dyDescent="0.3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</row>
    <row r="14" spans="1:26" ht="28.7" customHeight="1" x14ac:dyDescent="0.3">
      <c r="A14" s="135" t="s">
        <v>263</v>
      </c>
      <c r="B14" s="136"/>
      <c r="C14" s="136"/>
      <c r="D14" s="136"/>
      <c r="E14" s="136"/>
      <c r="F14" s="136"/>
      <c r="G14" s="136"/>
      <c r="H14" s="136"/>
      <c r="I14" s="136"/>
      <c r="J14" s="136"/>
      <c r="K14" s="136"/>
      <c r="L14" s="149"/>
      <c r="M14" s="23" t="s">
        <v>266</v>
      </c>
      <c r="N14" s="84" t="str">
        <f>HYPERLINK("#N"&amp;ROW(N18),"_x0005_`BDCOD|X00113_x0007_`POSS|"&amp;ROW(N15)&amp;"_x0007_`POSE|"&amp;ROW(N18)&amp;"_x0007_`")</f>
        <v>_x0005_`BDCOD|X00113_x0007_`POSS|15_x0007_`POSE|18_x0007_`</v>
      </c>
      <c r="O14" s="7" t="s">
        <v>2356</v>
      </c>
    </row>
    <row r="15" spans="1:26" ht="28.7" customHeight="1" x14ac:dyDescent="0.3">
      <c r="A15" s="10" t="s">
        <v>264</v>
      </c>
      <c r="B15" s="10" t="s">
        <v>265</v>
      </c>
      <c r="C15" s="75">
        <v>0.20849999999999999</v>
      </c>
      <c r="D15" s="32" t="s">
        <v>619</v>
      </c>
      <c r="E15" s="54">
        <f t="shared" ref="E15:F18" si="1">I15+G15+K15</f>
        <v>66538</v>
      </c>
      <c r="F15" s="77">
        <f t="shared" si="1"/>
        <v>13873.1</v>
      </c>
      <c r="G15" s="50">
        <v>0</v>
      </c>
      <c r="H15" s="77">
        <f>IF(C15=0,0,ROUNDDOWN(G15*C15,1))</f>
        <v>0</v>
      </c>
      <c r="I15" s="50">
        <v>0</v>
      </c>
      <c r="J15" s="76">
        <f>IF(C15=0,0,ROUNDDOWN(I15*C15,1))</f>
        <v>0</v>
      </c>
      <c r="K15" s="78">
        <f>경비목록표!E5</f>
        <v>66538</v>
      </c>
      <c r="L15" s="80">
        <f>IF(C15=0,0,ROUNDDOWN(K15*C15,1))</f>
        <v>13873.1</v>
      </c>
      <c r="M15" s="23" t="s">
        <v>2359</v>
      </c>
      <c r="N15" s="17" t="s">
        <v>2357</v>
      </c>
      <c r="O15" s="7" t="s">
        <v>2358</v>
      </c>
      <c r="P15" s="7" t="s">
        <v>1209</v>
      </c>
      <c r="Z15" s="3" t="str">
        <f ca="1">HYPERLINK("#"&amp;경비목록표!G2&amp;"!A"&amp;ROW(경비목록표!A5),"경비2 →")</f>
        <v>경비2 →</v>
      </c>
    </row>
    <row r="16" spans="1:26" ht="28.7" customHeight="1" x14ac:dyDescent="0.3">
      <c r="A16" s="10" t="s">
        <v>586</v>
      </c>
      <c r="B16" s="10"/>
      <c r="C16" s="75">
        <v>1</v>
      </c>
      <c r="D16" s="32" t="s">
        <v>587</v>
      </c>
      <c r="E16" s="54">
        <f t="shared" si="1"/>
        <v>59020.2</v>
      </c>
      <c r="F16" s="76">
        <f t="shared" si="1"/>
        <v>59020.2</v>
      </c>
      <c r="G16" s="78">
        <f>환율및기초자료!G6</f>
        <v>59020.2</v>
      </c>
      <c r="H16" s="81">
        <f>IF(C16=0,0,ROUNDDOWN(G16*C16,1))</f>
        <v>59020.2</v>
      </c>
      <c r="I16" s="50">
        <v>0</v>
      </c>
      <c r="J16" s="77">
        <f>IF(C16=0,0,ROUNDDOWN(I16*C16,1))</f>
        <v>0</v>
      </c>
      <c r="K16" s="50">
        <v>0</v>
      </c>
      <c r="L16" s="76">
        <f>IF(C16=0,0,ROUNDDOWN(K16*C16,1))</f>
        <v>0</v>
      </c>
      <c r="M16" s="23" t="s">
        <v>2346</v>
      </c>
      <c r="N16" s="17" t="s">
        <v>2344</v>
      </c>
      <c r="O16" s="7" t="s">
        <v>2345</v>
      </c>
      <c r="P16" s="7" t="s">
        <v>1209</v>
      </c>
      <c r="Z16" s="3" t="str">
        <f ca="1">HYPERLINK("#"&amp;환율및기초자료!I2&amp;"!A"&amp;ROW(환율및기초자료!A6),"노무1 →")</f>
        <v>노무1 →</v>
      </c>
    </row>
    <row r="17" spans="1:26" ht="28.7" customHeight="1" x14ac:dyDescent="0.3">
      <c r="A17" s="10" t="s">
        <v>415</v>
      </c>
      <c r="B17" s="10" t="s">
        <v>416</v>
      </c>
      <c r="C17" s="75">
        <v>5</v>
      </c>
      <c r="D17" s="32" t="s">
        <v>417</v>
      </c>
      <c r="E17" s="54">
        <f t="shared" si="1"/>
        <v>1799</v>
      </c>
      <c r="F17" s="77">
        <f t="shared" si="1"/>
        <v>8995</v>
      </c>
      <c r="G17" s="50">
        <v>0</v>
      </c>
      <c r="H17" s="76">
        <f>IF(C17=0,0,ROUNDDOWN(G17*C17,1))</f>
        <v>0</v>
      </c>
      <c r="I17" s="78">
        <f>재료비목록표!E13</f>
        <v>1799</v>
      </c>
      <c r="J17" s="81">
        <f>IF(C17=0,0,ROUNDDOWN(I17*C17,1))</f>
        <v>8995</v>
      </c>
      <c r="K17" s="50">
        <v>0</v>
      </c>
      <c r="L17" s="76">
        <f>IF(C17=0,0,ROUNDDOWN(K17*C17,1))</f>
        <v>0</v>
      </c>
      <c r="M17" s="23" t="s">
        <v>2349</v>
      </c>
      <c r="N17" s="17" t="s">
        <v>2360</v>
      </c>
      <c r="O17" s="7" t="s">
        <v>2348</v>
      </c>
      <c r="P17" s="7" t="s">
        <v>1209</v>
      </c>
      <c r="Q17" s="7" t="s">
        <v>1214</v>
      </c>
      <c r="Z17" s="3" t="str">
        <f ca="1">HYPERLINK("#"&amp;재료비목록표!G2&amp;"!A"&amp;ROW(재료비목록표!A13),"자재10 →")</f>
        <v>자재10 →</v>
      </c>
    </row>
    <row r="18" spans="1:26" ht="28.7" customHeight="1" x14ac:dyDescent="0.3">
      <c r="A18" s="10" t="s">
        <v>537</v>
      </c>
      <c r="B18" s="10" t="s">
        <v>2361</v>
      </c>
      <c r="C18" s="75">
        <v>21</v>
      </c>
      <c r="D18" s="32" t="s">
        <v>539</v>
      </c>
      <c r="E18" s="54">
        <f t="shared" si="1"/>
        <v>8995</v>
      </c>
      <c r="F18" s="77">
        <f t="shared" si="1"/>
        <v>1888.9</v>
      </c>
      <c r="G18" s="13">
        <v>0</v>
      </c>
      <c r="H18" s="77">
        <f>IF(C18=0,0,ROUNDDOWN(G18*C18/100,1))</f>
        <v>0</v>
      </c>
      <c r="I18" s="79">
        <f>J17</f>
        <v>8995</v>
      </c>
      <c r="J18" s="76">
        <f>IF(C18=0,0,ROUNDDOWN(I18*C18/100,1))</f>
        <v>1888.9</v>
      </c>
      <c r="K18" s="22">
        <v>0</v>
      </c>
      <c r="L18" s="76">
        <f>IF(C18=0,0,ROUNDDOWN(K18*C18/100,1))</f>
        <v>0</v>
      </c>
      <c r="M18" s="23"/>
      <c r="N18" s="17" t="s">
        <v>2362</v>
      </c>
      <c r="O18" s="7" t="s">
        <v>1236</v>
      </c>
      <c r="P18" s="7" t="s">
        <v>1209</v>
      </c>
    </row>
    <row r="19" spans="1:26" ht="28.7" customHeight="1" x14ac:dyDescent="0.3">
      <c r="A19" s="23" t="s">
        <v>6</v>
      </c>
      <c r="B19" s="74"/>
      <c r="C19" s="74"/>
      <c r="D19" s="74"/>
      <c r="E19" s="74"/>
      <c r="F19" s="47">
        <f>J19+H19+L19</f>
        <v>83776</v>
      </c>
      <c r="G19" s="74"/>
      <c r="H19" s="47">
        <f>ROUNDDOWN(SUMIF(P15:P18,O19,H15:H18),0)</f>
        <v>59020</v>
      </c>
      <c r="I19" s="74"/>
      <c r="J19" s="47">
        <f>ROUNDDOWN(SUMIF(P15:P18,O19,J15:J18),0)</f>
        <v>10883</v>
      </c>
      <c r="K19" s="74"/>
      <c r="L19" s="47">
        <f>ROUNDDOWN(SUMIF(P15:P18,O19,L15:L18),0)</f>
        <v>13873</v>
      </c>
      <c r="M19" s="74"/>
      <c r="O19" s="7" t="s">
        <v>1209</v>
      </c>
    </row>
    <row r="20" spans="1:26" ht="28.7" customHeight="1" x14ac:dyDescent="0.3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1" spans="1:26" ht="28.7" customHeight="1" x14ac:dyDescent="0.3">
      <c r="A21" s="135" t="s">
        <v>267</v>
      </c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49"/>
      <c r="M21" s="23" t="s">
        <v>269</v>
      </c>
      <c r="N21" s="84" t="str">
        <f>HYPERLINK("#N"&amp;ROW(N25),"_x0005_`BDCOD|X00108_x0007_`POSS|"&amp;ROW(N22)&amp;"_x0007_`POSE|"&amp;ROW(N25)&amp;"_x0007_`")</f>
        <v>_x0005_`BDCOD|X00108_x0007_`POSS|22_x0007_`POSE|25_x0007_`</v>
      </c>
      <c r="O21" s="7" t="s">
        <v>2363</v>
      </c>
    </row>
    <row r="22" spans="1:26" ht="28.7" customHeight="1" x14ac:dyDescent="0.3">
      <c r="A22" s="10" t="s">
        <v>264</v>
      </c>
      <c r="B22" s="10" t="s">
        <v>268</v>
      </c>
      <c r="C22" s="75">
        <v>0.20849999999999999</v>
      </c>
      <c r="D22" s="32" t="s">
        <v>619</v>
      </c>
      <c r="E22" s="54">
        <f t="shared" ref="E22:F25" si="2">I22+G22+K22</f>
        <v>84000</v>
      </c>
      <c r="F22" s="77">
        <f t="shared" si="2"/>
        <v>17514</v>
      </c>
      <c r="G22" s="50">
        <v>0</v>
      </c>
      <c r="H22" s="77">
        <f>IF(C22=0,0,ROUNDDOWN(G22*C22,1))</f>
        <v>0</v>
      </c>
      <c r="I22" s="50">
        <v>0</v>
      </c>
      <c r="J22" s="76">
        <f>IF(C22=0,0,ROUNDDOWN(I22*C22,1))</f>
        <v>0</v>
      </c>
      <c r="K22" s="78">
        <f>경비목록표!E6</f>
        <v>84000</v>
      </c>
      <c r="L22" s="80">
        <f>IF(C22=0,0,ROUNDDOWN(K22*C22,1))</f>
        <v>17514</v>
      </c>
      <c r="M22" s="23" t="s">
        <v>2366</v>
      </c>
      <c r="N22" s="17" t="s">
        <v>2364</v>
      </c>
      <c r="O22" s="7" t="s">
        <v>2365</v>
      </c>
      <c r="P22" s="7" t="s">
        <v>1209</v>
      </c>
      <c r="Z22" s="3" t="str">
        <f ca="1">HYPERLINK("#"&amp;경비목록표!G2&amp;"!A"&amp;ROW(경비목록표!A6),"경비3 →")</f>
        <v>경비3 →</v>
      </c>
    </row>
    <row r="23" spans="1:26" ht="28.7" customHeight="1" x14ac:dyDescent="0.3">
      <c r="A23" s="10" t="s">
        <v>586</v>
      </c>
      <c r="B23" s="10"/>
      <c r="C23" s="75">
        <v>1</v>
      </c>
      <c r="D23" s="32" t="s">
        <v>587</v>
      </c>
      <c r="E23" s="54">
        <f t="shared" si="2"/>
        <v>59020.2</v>
      </c>
      <c r="F23" s="76">
        <f t="shared" si="2"/>
        <v>59020.2</v>
      </c>
      <c r="G23" s="78">
        <f>환율및기초자료!G6</f>
        <v>59020.2</v>
      </c>
      <c r="H23" s="81">
        <f>IF(C23=0,0,ROUNDDOWN(G23*C23,1))</f>
        <v>59020.2</v>
      </c>
      <c r="I23" s="50">
        <v>0</v>
      </c>
      <c r="J23" s="77">
        <f>IF(C23=0,0,ROUNDDOWN(I23*C23,1))</f>
        <v>0</v>
      </c>
      <c r="K23" s="50">
        <v>0</v>
      </c>
      <c r="L23" s="76">
        <f>IF(C23=0,0,ROUNDDOWN(K23*C23,1))</f>
        <v>0</v>
      </c>
      <c r="M23" s="23" t="s">
        <v>2346</v>
      </c>
      <c r="N23" s="17" t="s">
        <v>2344</v>
      </c>
      <c r="O23" s="7" t="s">
        <v>2345</v>
      </c>
      <c r="P23" s="7" t="s">
        <v>1209</v>
      </c>
      <c r="Z23" s="3" t="str">
        <f ca="1">HYPERLINK("#"&amp;환율및기초자료!I2&amp;"!A"&amp;ROW(환율및기초자료!A6),"노무1 →")</f>
        <v>노무1 →</v>
      </c>
    </row>
    <row r="24" spans="1:26" ht="28.7" customHeight="1" x14ac:dyDescent="0.3">
      <c r="A24" s="10" t="s">
        <v>415</v>
      </c>
      <c r="B24" s="10" t="s">
        <v>416</v>
      </c>
      <c r="C24" s="75">
        <v>9.9</v>
      </c>
      <c r="D24" s="32" t="s">
        <v>417</v>
      </c>
      <c r="E24" s="54">
        <f t="shared" si="2"/>
        <v>1799</v>
      </c>
      <c r="F24" s="77">
        <f t="shared" si="2"/>
        <v>17810.099999999999</v>
      </c>
      <c r="G24" s="50">
        <v>0</v>
      </c>
      <c r="H24" s="76">
        <f>IF(C24=0,0,ROUNDDOWN(G24*C24,1))</f>
        <v>0</v>
      </c>
      <c r="I24" s="78">
        <f>재료비목록표!E13</f>
        <v>1799</v>
      </c>
      <c r="J24" s="81">
        <f>IF(C24=0,0,ROUNDDOWN(I24*C24,1))</f>
        <v>17810.099999999999</v>
      </c>
      <c r="K24" s="50">
        <v>0</v>
      </c>
      <c r="L24" s="76">
        <f>IF(C24=0,0,ROUNDDOWN(K24*C24,1))</f>
        <v>0</v>
      </c>
      <c r="M24" s="23" t="s">
        <v>2349</v>
      </c>
      <c r="N24" s="17" t="s">
        <v>2360</v>
      </c>
      <c r="O24" s="7" t="s">
        <v>2348</v>
      </c>
      <c r="P24" s="7" t="s">
        <v>1209</v>
      </c>
      <c r="Q24" s="7" t="s">
        <v>1214</v>
      </c>
      <c r="Z24" s="3" t="str">
        <f ca="1">HYPERLINK("#"&amp;재료비목록표!G2&amp;"!A"&amp;ROW(재료비목록표!A13),"자재10 →")</f>
        <v>자재10 →</v>
      </c>
    </row>
    <row r="25" spans="1:26" ht="28.7" customHeight="1" x14ac:dyDescent="0.3">
      <c r="A25" s="10" t="s">
        <v>537</v>
      </c>
      <c r="B25" s="10" t="s">
        <v>2361</v>
      </c>
      <c r="C25" s="75">
        <v>22</v>
      </c>
      <c r="D25" s="32" t="s">
        <v>539</v>
      </c>
      <c r="E25" s="54">
        <f t="shared" si="2"/>
        <v>17810.099999999999</v>
      </c>
      <c r="F25" s="77">
        <f t="shared" si="2"/>
        <v>3918.2</v>
      </c>
      <c r="G25" s="13">
        <v>0</v>
      </c>
      <c r="H25" s="77">
        <f>IF(C25=0,0,ROUNDDOWN(G25*C25/100,1))</f>
        <v>0</v>
      </c>
      <c r="I25" s="79">
        <f>J24</f>
        <v>17810.099999999999</v>
      </c>
      <c r="J25" s="76">
        <f>IF(C25=0,0,ROUNDDOWN(I25*C25/100,1))</f>
        <v>3918.2</v>
      </c>
      <c r="K25" s="22">
        <v>0</v>
      </c>
      <c r="L25" s="76">
        <f>IF(C25=0,0,ROUNDDOWN(K25*C25/100,1))</f>
        <v>0</v>
      </c>
      <c r="M25" s="23"/>
      <c r="N25" s="17" t="s">
        <v>2362</v>
      </c>
      <c r="O25" s="7" t="s">
        <v>1236</v>
      </c>
      <c r="P25" s="7" t="s">
        <v>1209</v>
      </c>
    </row>
    <row r="26" spans="1:26" ht="28.7" customHeight="1" x14ac:dyDescent="0.3">
      <c r="A26" s="23" t="s">
        <v>6</v>
      </c>
      <c r="B26" s="74"/>
      <c r="C26" s="74"/>
      <c r="D26" s="74"/>
      <c r="E26" s="74"/>
      <c r="F26" s="47">
        <f>J26+H26+L26</f>
        <v>98262</v>
      </c>
      <c r="G26" s="74"/>
      <c r="H26" s="47">
        <f>ROUNDDOWN(SUMIF(P22:P25,O26,H22:H25),0)</f>
        <v>59020</v>
      </c>
      <c r="I26" s="74"/>
      <c r="J26" s="47">
        <f>ROUNDDOWN(SUMIF(P22:P25,O26,J22:J25),0)</f>
        <v>21728</v>
      </c>
      <c r="K26" s="74"/>
      <c r="L26" s="47">
        <f>ROUNDDOWN(SUMIF(P22:P25,O26,L22:L25),0)</f>
        <v>17514</v>
      </c>
      <c r="M26" s="74"/>
      <c r="O26" s="7" t="s">
        <v>1209</v>
      </c>
    </row>
    <row r="27" spans="1:26" ht="28.7" customHeight="1" x14ac:dyDescent="0.3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</row>
    <row r="28" spans="1:26" ht="28.7" customHeight="1" x14ac:dyDescent="0.3">
      <c r="A28" s="135" t="s">
        <v>270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49"/>
      <c r="M28" s="23" t="s">
        <v>272</v>
      </c>
      <c r="N28" s="84" t="str">
        <f>HYPERLINK("#N"&amp;ROW(N33),"_x0005_`BDCOD|X00160_x0007_`POSS|"&amp;ROW(N29)&amp;"_x0007_`POSE|"&amp;ROW(N33)&amp;"_x0007_`")</f>
        <v>_x0005_`BDCOD|X00160_x0007_`POSS|29_x0007_`POSE|33_x0007_`</v>
      </c>
      <c r="O28" s="7" t="s">
        <v>2367</v>
      </c>
    </row>
    <row r="29" spans="1:26" ht="28.7" customHeight="1" x14ac:dyDescent="0.3">
      <c r="A29" s="10" t="s">
        <v>264</v>
      </c>
      <c r="B29" s="10" t="s">
        <v>268</v>
      </c>
      <c r="C29" s="75">
        <v>0.20849999999999999</v>
      </c>
      <c r="D29" s="32" t="s">
        <v>619</v>
      </c>
      <c r="E29" s="54">
        <f t="shared" ref="E29:F33" si="3">I29+G29+K29</f>
        <v>84000</v>
      </c>
      <c r="F29" s="77">
        <f t="shared" si="3"/>
        <v>17514</v>
      </c>
      <c r="G29" s="50">
        <v>0</v>
      </c>
      <c r="H29" s="77">
        <f>IF(C29=0,0,ROUNDDOWN(G29*C29,1))</f>
        <v>0</v>
      </c>
      <c r="I29" s="50">
        <v>0</v>
      </c>
      <c r="J29" s="76">
        <f>IF(C29=0,0,ROUNDDOWN(I29*C29,1))</f>
        <v>0</v>
      </c>
      <c r="K29" s="78">
        <f>경비목록표!E6</f>
        <v>84000</v>
      </c>
      <c r="L29" s="80">
        <f>IF(C29=0,0,ROUNDDOWN(K29*C29,1))</f>
        <v>17514</v>
      </c>
      <c r="M29" s="23" t="s">
        <v>2366</v>
      </c>
      <c r="N29" s="17" t="s">
        <v>2364</v>
      </c>
      <c r="O29" s="7" t="s">
        <v>2365</v>
      </c>
      <c r="P29" s="7" t="s">
        <v>1209</v>
      </c>
      <c r="Z29" s="3" t="str">
        <f ca="1">HYPERLINK("#"&amp;경비목록표!G2&amp;"!A"&amp;ROW(경비목록표!A6),"경비3 →")</f>
        <v>경비3 →</v>
      </c>
    </row>
    <row r="30" spans="1:26" ht="28.7" customHeight="1" x14ac:dyDescent="0.3">
      <c r="A30" s="10" t="s">
        <v>586</v>
      </c>
      <c r="B30" s="10"/>
      <c r="C30" s="75">
        <v>1</v>
      </c>
      <c r="D30" s="32" t="s">
        <v>587</v>
      </c>
      <c r="E30" s="54">
        <f t="shared" si="3"/>
        <v>59020.2</v>
      </c>
      <c r="F30" s="76">
        <f t="shared" si="3"/>
        <v>59020.2</v>
      </c>
      <c r="G30" s="78">
        <f>환율및기초자료!G6</f>
        <v>59020.2</v>
      </c>
      <c r="H30" s="81">
        <f>IF(C30=0,0,ROUNDDOWN(G30*C30,1))</f>
        <v>59020.2</v>
      </c>
      <c r="I30" s="50">
        <v>0</v>
      </c>
      <c r="J30" s="77">
        <f>IF(C30=0,0,ROUNDDOWN(I30*C30,1))</f>
        <v>0</v>
      </c>
      <c r="K30" s="50">
        <v>0</v>
      </c>
      <c r="L30" s="76">
        <f>IF(C30=0,0,ROUNDDOWN(K30*C30,1))</f>
        <v>0</v>
      </c>
      <c r="M30" s="23" t="s">
        <v>2346</v>
      </c>
      <c r="N30" s="17" t="s">
        <v>2344</v>
      </c>
      <c r="O30" s="7" t="s">
        <v>2345</v>
      </c>
      <c r="P30" s="7" t="s">
        <v>1209</v>
      </c>
      <c r="Z30" s="3" t="str">
        <f ca="1">HYPERLINK("#"&amp;환율및기초자료!I2&amp;"!A"&amp;ROW(환율및기초자료!A6),"노무1 →")</f>
        <v>노무1 →</v>
      </c>
    </row>
    <row r="31" spans="1:26" ht="28.7" customHeight="1" x14ac:dyDescent="0.3">
      <c r="A31" s="10" t="s">
        <v>415</v>
      </c>
      <c r="B31" s="10" t="s">
        <v>416</v>
      </c>
      <c r="C31" s="75">
        <v>9.9</v>
      </c>
      <c r="D31" s="32" t="s">
        <v>417</v>
      </c>
      <c r="E31" s="54">
        <f t="shared" si="3"/>
        <v>1799</v>
      </c>
      <c r="F31" s="77">
        <f t="shared" si="3"/>
        <v>17810.099999999999</v>
      </c>
      <c r="G31" s="50">
        <v>0</v>
      </c>
      <c r="H31" s="76">
        <f>IF(C31=0,0,ROUNDDOWN(G31*C31,1))</f>
        <v>0</v>
      </c>
      <c r="I31" s="78">
        <f>재료비목록표!E13</f>
        <v>1799</v>
      </c>
      <c r="J31" s="81">
        <f>IF(C31=0,0,ROUNDDOWN(I31*C31,1))</f>
        <v>17810.099999999999</v>
      </c>
      <c r="K31" s="50">
        <v>0</v>
      </c>
      <c r="L31" s="76">
        <f>IF(C31=0,0,ROUNDDOWN(K31*C31,1))</f>
        <v>0</v>
      </c>
      <c r="M31" s="23" t="s">
        <v>2349</v>
      </c>
      <c r="N31" s="17" t="s">
        <v>2347</v>
      </c>
      <c r="O31" s="7" t="s">
        <v>2348</v>
      </c>
      <c r="P31" s="7" t="s">
        <v>1209</v>
      </c>
      <c r="Z31" s="3" t="str">
        <f ca="1">HYPERLINK("#"&amp;재료비목록표!G2&amp;"!A"&amp;ROW(재료비목록표!A13),"자재10 →")</f>
        <v>자재10 →</v>
      </c>
    </row>
    <row r="32" spans="1:26" ht="28.7" customHeight="1" x14ac:dyDescent="0.3">
      <c r="A32" s="10" t="s">
        <v>537</v>
      </c>
      <c r="B32" s="10" t="s">
        <v>538</v>
      </c>
      <c r="C32" s="75">
        <v>16</v>
      </c>
      <c r="D32" s="32" t="s">
        <v>539</v>
      </c>
      <c r="E32" s="54">
        <f t="shared" si="3"/>
        <v>17810.099999999999</v>
      </c>
      <c r="F32" s="77">
        <f t="shared" si="3"/>
        <v>2849.6</v>
      </c>
      <c r="G32" s="50">
        <v>0</v>
      </c>
      <c r="H32" s="76">
        <f>IF(C32=0,0,ROUNDDOWN(G32*C32/100,1))</f>
        <v>0</v>
      </c>
      <c r="I32" s="78">
        <f>J31</f>
        <v>17810.099999999999</v>
      </c>
      <c r="J32" s="81">
        <f>IF(C32=0,0,ROUNDDOWN(I32*C32/100,1))</f>
        <v>2849.6</v>
      </c>
      <c r="K32" s="50">
        <v>0</v>
      </c>
      <c r="L32" s="76">
        <f>IF(C32=0,0,ROUNDDOWN(K32*C32/100,1))</f>
        <v>0</v>
      </c>
      <c r="M32" s="23" t="s">
        <v>2368</v>
      </c>
      <c r="N32" s="17" t="s">
        <v>2353</v>
      </c>
      <c r="O32" s="7" t="s">
        <v>2354</v>
      </c>
      <c r="P32" s="7" t="s">
        <v>1209</v>
      </c>
      <c r="Z32" s="3" t="str">
        <f ca="1">HYPERLINK("#"&amp;재료비목록표!G2&amp;"!A"&amp;ROW(재료비목록표!A44),"자재41 →")</f>
        <v>자재41 →</v>
      </c>
    </row>
    <row r="33" spans="1:26" ht="28.7" customHeight="1" x14ac:dyDescent="0.3">
      <c r="A33" s="10" t="s">
        <v>287</v>
      </c>
      <c r="B33" s="10" t="s">
        <v>268</v>
      </c>
      <c r="C33" s="75">
        <v>0.66010000000000002</v>
      </c>
      <c r="D33" s="32" t="s">
        <v>619</v>
      </c>
      <c r="E33" s="54">
        <f t="shared" si="3"/>
        <v>8352</v>
      </c>
      <c r="F33" s="77">
        <f t="shared" si="3"/>
        <v>5513.1</v>
      </c>
      <c r="G33" s="50">
        <v>0</v>
      </c>
      <c r="H33" s="77">
        <f>IF(C33=0,0,ROUNDDOWN(G33*C33,1))</f>
        <v>0</v>
      </c>
      <c r="I33" s="50">
        <v>0</v>
      </c>
      <c r="J33" s="76">
        <f>IF(C33=0,0,ROUNDDOWN(I33*C33,1))</f>
        <v>0</v>
      </c>
      <c r="K33" s="78">
        <f>경비목록표!E13</f>
        <v>8352</v>
      </c>
      <c r="L33" s="80">
        <f>IF(C33=0,0,ROUNDDOWN(K33*C33,1))</f>
        <v>5513.1</v>
      </c>
      <c r="M33" s="23" t="s">
        <v>2371</v>
      </c>
      <c r="N33" s="17" t="s">
        <v>2369</v>
      </c>
      <c r="O33" s="7" t="s">
        <v>2370</v>
      </c>
      <c r="P33" s="7" t="s">
        <v>1209</v>
      </c>
      <c r="Z33" s="3" t="str">
        <f ca="1">HYPERLINK("#"&amp;경비목록표!G2&amp;"!A"&amp;ROW(경비목록표!A13),"경비10 →")</f>
        <v>경비10 →</v>
      </c>
    </row>
    <row r="34" spans="1:26" ht="28.7" customHeight="1" x14ac:dyDescent="0.3">
      <c r="A34" s="23" t="s">
        <v>6</v>
      </c>
      <c r="B34" s="74"/>
      <c r="C34" s="74"/>
      <c r="D34" s="74"/>
      <c r="E34" s="74"/>
      <c r="F34" s="47">
        <f>J34+H34+L34</f>
        <v>102706</v>
      </c>
      <c r="G34" s="74"/>
      <c r="H34" s="47">
        <f>ROUNDDOWN(SUMIF(P29:P33,O34,H29:H33),0)</f>
        <v>59020</v>
      </c>
      <c r="I34" s="74"/>
      <c r="J34" s="47">
        <f>ROUNDDOWN(SUMIF(P29:P33,O34,J29:J33),0)</f>
        <v>20659</v>
      </c>
      <c r="K34" s="74"/>
      <c r="L34" s="47">
        <f>ROUNDDOWN(SUMIF(P29:P33,O34,L29:L33),0)</f>
        <v>23027</v>
      </c>
      <c r="M34" s="74"/>
      <c r="O34" s="7" t="s">
        <v>1209</v>
      </c>
    </row>
    <row r="35" spans="1:26" ht="28.7" customHeight="1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</row>
    <row r="36" spans="1:26" ht="28.7" customHeight="1" x14ac:dyDescent="0.3">
      <c r="A36" s="135" t="s">
        <v>273</v>
      </c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49"/>
      <c r="M36" s="23" t="s">
        <v>275</v>
      </c>
      <c r="N36" s="84" t="str">
        <f>HYPERLINK("#N"&amp;ROW(N41),"_x0005_`BDCOD|X00238_x0007_`POSS|"&amp;ROW(N37)&amp;"_x0007_`POSE|"&amp;ROW(N41)&amp;"_x0007_`")</f>
        <v>_x0005_`BDCOD|X00238_x0007_`POSS|37_x0007_`POSE|41_x0007_`</v>
      </c>
      <c r="O36" s="7" t="s">
        <v>2372</v>
      </c>
    </row>
    <row r="37" spans="1:26" ht="28.7" customHeight="1" x14ac:dyDescent="0.3">
      <c r="A37" s="10" t="s">
        <v>264</v>
      </c>
      <c r="B37" s="10" t="s">
        <v>268</v>
      </c>
      <c r="C37" s="75">
        <v>0.20849999999999999</v>
      </c>
      <c r="D37" s="32" t="s">
        <v>619</v>
      </c>
      <c r="E37" s="54">
        <f t="shared" ref="E37:F41" si="4">I37+G37+K37</f>
        <v>84000</v>
      </c>
      <c r="F37" s="77">
        <f t="shared" si="4"/>
        <v>17514</v>
      </c>
      <c r="G37" s="50">
        <v>0</v>
      </c>
      <c r="H37" s="77">
        <f>IF(C37=0,0,ROUNDDOWN(G37*C37,1))</f>
        <v>0</v>
      </c>
      <c r="I37" s="50">
        <v>0</v>
      </c>
      <c r="J37" s="76">
        <f>IF(C37=0,0,ROUNDDOWN(I37*C37,1))</f>
        <v>0</v>
      </c>
      <c r="K37" s="78">
        <f>경비목록표!E6</f>
        <v>84000</v>
      </c>
      <c r="L37" s="80">
        <f>IF(C37=0,0,ROUNDDOWN(K37*C37,1))</f>
        <v>17514</v>
      </c>
      <c r="M37" s="23" t="s">
        <v>2366</v>
      </c>
      <c r="N37" s="17" t="s">
        <v>2364</v>
      </c>
      <c r="O37" s="7" t="s">
        <v>2365</v>
      </c>
      <c r="P37" s="7" t="s">
        <v>1209</v>
      </c>
      <c r="Z37" s="3" t="str">
        <f ca="1">HYPERLINK("#"&amp;경비목록표!G2&amp;"!A"&amp;ROW(경비목록표!A6),"경비3 →")</f>
        <v>경비3 →</v>
      </c>
    </row>
    <row r="38" spans="1:26" ht="28.7" customHeight="1" x14ac:dyDescent="0.3">
      <c r="A38" s="10" t="s">
        <v>586</v>
      </c>
      <c r="B38" s="10"/>
      <c r="C38" s="75">
        <v>1</v>
      </c>
      <c r="D38" s="32" t="s">
        <v>587</v>
      </c>
      <c r="E38" s="54">
        <f t="shared" si="4"/>
        <v>59020.2</v>
      </c>
      <c r="F38" s="76">
        <f t="shared" si="4"/>
        <v>59020.2</v>
      </c>
      <c r="G38" s="78">
        <f>환율및기초자료!G6</f>
        <v>59020.2</v>
      </c>
      <c r="H38" s="81">
        <f>IF(C38=0,0,ROUNDDOWN(G38*C38,1))</f>
        <v>59020.2</v>
      </c>
      <c r="I38" s="50">
        <v>0</v>
      </c>
      <c r="J38" s="77">
        <f>IF(C38=0,0,ROUNDDOWN(I38*C38,1))</f>
        <v>0</v>
      </c>
      <c r="K38" s="50">
        <v>0</v>
      </c>
      <c r="L38" s="76">
        <f>IF(C38=0,0,ROUNDDOWN(K38*C38,1))</f>
        <v>0</v>
      </c>
      <c r="M38" s="23" t="s">
        <v>2346</v>
      </c>
      <c r="N38" s="17" t="s">
        <v>2344</v>
      </c>
      <c r="O38" s="7" t="s">
        <v>2345</v>
      </c>
      <c r="P38" s="7" t="s">
        <v>1209</v>
      </c>
      <c r="Z38" s="3" t="str">
        <f ca="1">HYPERLINK("#"&amp;환율및기초자료!I2&amp;"!A"&amp;ROW(환율및기초자료!A6),"노무1 →")</f>
        <v>노무1 →</v>
      </c>
    </row>
    <row r="39" spans="1:26" ht="28.7" customHeight="1" x14ac:dyDescent="0.3">
      <c r="A39" s="10" t="s">
        <v>415</v>
      </c>
      <c r="B39" s="10" t="s">
        <v>416</v>
      </c>
      <c r="C39" s="75">
        <v>9.9</v>
      </c>
      <c r="D39" s="32" t="s">
        <v>417</v>
      </c>
      <c r="E39" s="54">
        <f t="shared" si="4"/>
        <v>1799</v>
      </c>
      <c r="F39" s="77">
        <f t="shared" si="4"/>
        <v>17810.099999999999</v>
      </c>
      <c r="G39" s="50">
        <v>0</v>
      </c>
      <c r="H39" s="76">
        <f>IF(C39=0,0,ROUNDDOWN(G39*C39,1))</f>
        <v>0</v>
      </c>
      <c r="I39" s="78">
        <f>재료비목록표!E13</f>
        <v>1799</v>
      </c>
      <c r="J39" s="81">
        <f>IF(C39=0,0,ROUNDDOWN(I39*C39,1))</f>
        <v>17810.099999999999</v>
      </c>
      <c r="K39" s="50">
        <v>0</v>
      </c>
      <c r="L39" s="76">
        <f>IF(C39=0,0,ROUNDDOWN(K39*C39,1))</f>
        <v>0</v>
      </c>
      <c r="M39" s="23" t="s">
        <v>2349</v>
      </c>
      <c r="N39" s="17" t="s">
        <v>2360</v>
      </c>
      <c r="O39" s="7" t="s">
        <v>2348</v>
      </c>
      <c r="P39" s="7" t="s">
        <v>1209</v>
      </c>
      <c r="Q39" s="7" t="s">
        <v>1214</v>
      </c>
      <c r="Z39" s="3" t="str">
        <f ca="1">HYPERLINK("#"&amp;재료비목록표!G2&amp;"!A"&amp;ROW(재료비목록표!A13),"자재10 →")</f>
        <v>자재10 →</v>
      </c>
    </row>
    <row r="40" spans="1:26" ht="28.7" customHeight="1" x14ac:dyDescent="0.3">
      <c r="A40" s="10" t="s">
        <v>537</v>
      </c>
      <c r="B40" s="10" t="s">
        <v>2361</v>
      </c>
      <c r="C40" s="75">
        <v>16</v>
      </c>
      <c r="D40" s="32" t="s">
        <v>539</v>
      </c>
      <c r="E40" s="54">
        <f t="shared" si="4"/>
        <v>17810.099999999999</v>
      </c>
      <c r="F40" s="77">
        <f t="shared" si="4"/>
        <v>2849.6</v>
      </c>
      <c r="G40" s="13">
        <v>0</v>
      </c>
      <c r="H40" s="77">
        <f>IF(C40=0,0,ROUNDDOWN(G40*C40/100,1))</f>
        <v>0</v>
      </c>
      <c r="I40" s="79">
        <f>J39</f>
        <v>17810.099999999999</v>
      </c>
      <c r="J40" s="76">
        <f>IF(C40=0,0,ROUNDDOWN(I40*C40/100,1))</f>
        <v>2849.6</v>
      </c>
      <c r="K40" s="22">
        <v>0</v>
      </c>
      <c r="L40" s="76">
        <f>IF(C40=0,0,ROUNDDOWN(K40*C40/100,1))</f>
        <v>0</v>
      </c>
      <c r="M40" s="23"/>
      <c r="N40" s="17" t="s">
        <v>2362</v>
      </c>
      <c r="O40" s="7" t="s">
        <v>1236</v>
      </c>
      <c r="P40" s="7" t="s">
        <v>1209</v>
      </c>
    </row>
    <row r="41" spans="1:26" ht="28.7" customHeight="1" x14ac:dyDescent="0.3">
      <c r="A41" s="10" t="s">
        <v>287</v>
      </c>
      <c r="B41" s="10" t="s">
        <v>268</v>
      </c>
      <c r="C41" s="75">
        <v>0.66010000000000002</v>
      </c>
      <c r="D41" s="32" t="s">
        <v>619</v>
      </c>
      <c r="E41" s="54">
        <f t="shared" si="4"/>
        <v>8352</v>
      </c>
      <c r="F41" s="77">
        <f t="shared" si="4"/>
        <v>5513.1</v>
      </c>
      <c r="G41" s="50">
        <v>0</v>
      </c>
      <c r="H41" s="77">
        <f>IF(C41=0,0,ROUNDDOWN(G41*C41,1))</f>
        <v>0</v>
      </c>
      <c r="I41" s="50">
        <v>0</v>
      </c>
      <c r="J41" s="76">
        <f>IF(C41=0,0,ROUNDDOWN(I41*C41,1))</f>
        <v>0</v>
      </c>
      <c r="K41" s="78">
        <f>경비목록표!E13</f>
        <v>8352</v>
      </c>
      <c r="L41" s="80">
        <f>IF(C41=0,0,ROUNDDOWN(K41*C41,1))</f>
        <v>5513.1</v>
      </c>
      <c r="M41" s="23" t="s">
        <v>2371</v>
      </c>
      <c r="N41" s="17" t="s">
        <v>2369</v>
      </c>
      <c r="O41" s="7" t="s">
        <v>2370</v>
      </c>
      <c r="P41" s="7" t="s">
        <v>1209</v>
      </c>
      <c r="Z41" s="3" t="str">
        <f ca="1">HYPERLINK("#"&amp;경비목록표!G2&amp;"!A"&amp;ROW(경비목록표!A13),"경비10 →")</f>
        <v>경비10 →</v>
      </c>
    </row>
    <row r="42" spans="1:26" ht="28.7" customHeight="1" x14ac:dyDescent="0.3">
      <c r="A42" s="23" t="s">
        <v>6</v>
      </c>
      <c r="B42" s="74"/>
      <c r="C42" s="74"/>
      <c r="D42" s="74"/>
      <c r="E42" s="74"/>
      <c r="F42" s="47">
        <f>J42+H42+L42</f>
        <v>102706</v>
      </c>
      <c r="G42" s="74"/>
      <c r="H42" s="47">
        <f>ROUNDDOWN(SUMIF(P37:P41,O42,H37:H41),0)</f>
        <v>59020</v>
      </c>
      <c r="I42" s="74"/>
      <c r="J42" s="47">
        <f>ROUNDDOWN(SUMIF(P37:P41,O42,J37:J41),0)</f>
        <v>20659</v>
      </c>
      <c r="K42" s="74"/>
      <c r="L42" s="47">
        <f>ROUNDDOWN(SUMIF(P37:P41,O42,L37:L41),0)</f>
        <v>23027</v>
      </c>
      <c r="M42" s="74"/>
      <c r="O42" s="7" t="s">
        <v>1209</v>
      </c>
    </row>
    <row r="43" spans="1:26" ht="28.7" customHeight="1" x14ac:dyDescent="0.3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</row>
    <row r="44" spans="1:26" ht="28.7" customHeight="1" x14ac:dyDescent="0.3">
      <c r="A44" s="135" t="s">
        <v>276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49"/>
      <c r="M44" s="23" t="s">
        <v>278</v>
      </c>
      <c r="N44" s="84" t="str">
        <f>HYPERLINK("#N"&amp;ROW(N48),"_x0005_`BDCOD|X00139_x0007_`POSS|"&amp;ROW(N45)&amp;"_x0007_`POSE|"&amp;ROW(N48)&amp;"_x0007_`")</f>
        <v>_x0005_`BDCOD|X00139_x0007_`POSS|45_x0007_`POSE|48_x0007_`</v>
      </c>
      <c r="O44" s="7" t="s">
        <v>2373</v>
      </c>
    </row>
    <row r="45" spans="1:26" ht="28.7" customHeight="1" x14ac:dyDescent="0.3">
      <c r="A45" s="10" t="s">
        <v>264</v>
      </c>
      <c r="B45" s="10" t="s">
        <v>277</v>
      </c>
      <c r="C45" s="75">
        <v>0.20849999999999999</v>
      </c>
      <c r="D45" s="32" t="s">
        <v>619</v>
      </c>
      <c r="E45" s="54">
        <f t="shared" ref="E45:F48" si="5">I45+G45+K45</f>
        <v>112342</v>
      </c>
      <c r="F45" s="77">
        <f t="shared" si="5"/>
        <v>23423.3</v>
      </c>
      <c r="G45" s="50">
        <v>0</v>
      </c>
      <c r="H45" s="77">
        <f>IF(C45=0,0,ROUNDDOWN(G45*C45,1))</f>
        <v>0</v>
      </c>
      <c r="I45" s="50">
        <v>0</v>
      </c>
      <c r="J45" s="76">
        <f>IF(C45=0,0,ROUNDDOWN(I45*C45,1))</f>
        <v>0</v>
      </c>
      <c r="K45" s="78">
        <f>경비목록표!E7</f>
        <v>112342</v>
      </c>
      <c r="L45" s="80">
        <f>IF(C45=0,0,ROUNDDOWN(K45*C45,1))</f>
        <v>23423.3</v>
      </c>
      <c r="M45" s="23" t="s">
        <v>2343</v>
      </c>
      <c r="N45" s="17" t="s">
        <v>2341</v>
      </c>
      <c r="O45" s="7" t="s">
        <v>2342</v>
      </c>
      <c r="P45" s="7" t="s">
        <v>1209</v>
      </c>
      <c r="Z45" s="3" t="str">
        <f ca="1">HYPERLINK("#"&amp;경비목록표!G2&amp;"!A"&amp;ROW(경비목록표!A7),"경비4 →")</f>
        <v>경비4 →</v>
      </c>
    </row>
    <row r="46" spans="1:26" ht="28.7" customHeight="1" x14ac:dyDescent="0.3">
      <c r="A46" s="10" t="s">
        <v>586</v>
      </c>
      <c r="B46" s="10"/>
      <c r="C46" s="75">
        <v>1</v>
      </c>
      <c r="D46" s="32" t="s">
        <v>587</v>
      </c>
      <c r="E46" s="54">
        <f t="shared" si="5"/>
        <v>59020.2</v>
      </c>
      <c r="F46" s="76">
        <f t="shared" si="5"/>
        <v>59020.2</v>
      </c>
      <c r="G46" s="78">
        <f>환율및기초자료!G6</f>
        <v>59020.2</v>
      </c>
      <c r="H46" s="81">
        <f>IF(C46=0,0,ROUNDDOWN(G46*C46,1))</f>
        <v>59020.2</v>
      </c>
      <c r="I46" s="50">
        <v>0</v>
      </c>
      <c r="J46" s="77">
        <f>IF(C46=0,0,ROUNDDOWN(I46*C46,1))</f>
        <v>0</v>
      </c>
      <c r="K46" s="50">
        <v>0</v>
      </c>
      <c r="L46" s="76">
        <f>IF(C46=0,0,ROUNDDOWN(K46*C46,1))</f>
        <v>0</v>
      </c>
      <c r="M46" s="23" t="s">
        <v>2346</v>
      </c>
      <c r="N46" s="17" t="s">
        <v>2344</v>
      </c>
      <c r="O46" s="7" t="s">
        <v>2345</v>
      </c>
      <c r="P46" s="7" t="s">
        <v>1209</v>
      </c>
      <c r="Z46" s="3" t="str">
        <f ca="1">HYPERLINK("#"&amp;환율및기초자료!I2&amp;"!A"&amp;ROW(환율및기초자료!A6),"노무1 →")</f>
        <v>노무1 →</v>
      </c>
    </row>
    <row r="47" spans="1:26" ht="28.7" customHeight="1" x14ac:dyDescent="0.3">
      <c r="A47" s="10" t="s">
        <v>415</v>
      </c>
      <c r="B47" s="10" t="s">
        <v>416</v>
      </c>
      <c r="C47" s="75">
        <v>10.199999999999999</v>
      </c>
      <c r="D47" s="32" t="s">
        <v>417</v>
      </c>
      <c r="E47" s="54">
        <f t="shared" si="5"/>
        <v>1799</v>
      </c>
      <c r="F47" s="77">
        <f t="shared" si="5"/>
        <v>18349.8</v>
      </c>
      <c r="G47" s="50">
        <v>0</v>
      </c>
      <c r="H47" s="76">
        <f>IF(C47=0,0,ROUNDDOWN(G47*C47,1))</f>
        <v>0</v>
      </c>
      <c r="I47" s="78">
        <f>재료비목록표!E13</f>
        <v>1799</v>
      </c>
      <c r="J47" s="81">
        <f>IF(C47=0,0,ROUNDDOWN(I47*C47,1))</f>
        <v>18349.8</v>
      </c>
      <c r="K47" s="50">
        <v>0</v>
      </c>
      <c r="L47" s="76">
        <f>IF(C47=0,0,ROUNDDOWN(K47*C47,1))</f>
        <v>0</v>
      </c>
      <c r="M47" s="23" t="s">
        <v>2349</v>
      </c>
      <c r="N47" s="17" t="s">
        <v>2360</v>
      </c>
      <c r="O47" s="7" t="s">
        <v>2348</v>
      </c>
      <c r="P47" s="7" t="s">
        <v>1209</v>
      </c>
      <c r="Q47" s="7" t="s">
        <v>1214</v>
      </c>
      <c r="Z47" s="3" t="str">
        <f ca="1">HYPERLINK("#"&amp;재료비목록표!G2&amp;"!A"&amp;ROW(재료비목록표!A13),"자재10 →")</f>
        <v>자재10 →</v>
      </c>
    </row>
    <row r="48" spans="1:26" ht="28.7" customHeight="1" x14ac:dyDescent="0.3">
      <c r="A48" s="10" t="s">
        <v>537</v>
      </c>
      <c r="B48" s="10" t="s">
        <v>2361</v>
      </c>
      <c r="C48" s="75">
        <v>22</v>
      </c>
      <c r="D48" s="32" t="s">
        <v>539</v>
      </c>
      <c r="E48" s="54">
        <f t="shared" si="5"/>
        <v>18349.8</v>
      </c>
      <c r="F48" s="77">
        <f t="shared" si="5"/>
        <v>4036.9</v>
      </c>
      <c r="G48" s="13">
        <v>0</v>
      </c>
      <c r="H48" s="77">
        <f>IF(C48=0,0,ROUNDDOWN(G48*C48/100,1))</f>
        <v>0</v>
      </c>
      <c r="I48" s="79">
        <f>J47</f>
        <v>18349.8</v>
      </c>
      <c r="J48" s="76">
        <f>IF(C48=0,0,ROUNDDOWN(I48*C48/100,1))</f>
        <v>4036.9</v>
      </c>
      <c r="K48" s="22">
        <v>0</v>
      </c>
      <c r="L48" s="76">
        <f>IF(C48=0,0,ROUNDDOWN(K48*C48/100,1))</f>
        <v>0</v>
      </c>
      <c r="M48" s="23"/>
      <c r="N48" s="17" t="s">
        <v>2362</v>
      </c>
      <c r="O48" s="7" t="s">
        <v>1236</v>
      </c>
      <c r="P48" s="7" t="s">
        <v>1209</v>
      </c>
    </row>
    <row r="49" spans="1:26" ht="28.7" customHeight="1" x14ac:dyDescent="0.3">
      <c r="A49" s="23" t="s">
        <v>6</v>
      </c>
      <c r="B49" s="74"/>
      <c r="C49" s="74"/>
      <c r="D49" s="74"/>
      <c r="E49" s="74"/>
      <c r="F49" s="47">
        <f>J49+H49+L49</f>
        <v>104829</v>
      </c>
      <c r="G49" s="74"/>
      <c r="H49" s="47">
        <f>ROUNDDOWN(SUMIF(P45:P48,O49,H45:H48),0)</f>
        <v>59020</v>
      </c>
      <c r="I49" s="74"/>
      <c r="J49" s="47">
        <f>ROUNDDOWN(SUMIF(P45:P48,O49,J45:J48),0)</f>
        <v>22386</v>
      </c>
      <c r="K49" s="74"/>
      <c r="L49" s="47">
        <f>ROUNDDOWN(SUMIF(P45:P48,O49,L45:L48),0)</f>
        <v>23423</v>
      </c>
      <c r="M49" s="74"/>
      <c r="O49" s="7" t="s">
        <v>1209</v>
      </c>
    </row>
    <row r="50" spans="1:26" ht="28.7" customHeight="1" x14ac:dyDescent="0.3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</row>
    <row r="51" spans="1:26" ht="28.7" customHeight="1" x14ac:dyDescent="0.3">
      <c r="A51" s="135" t="s">
        <v>279</v>
      </c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49"/>
      <c r="M51" s="23" t="s">
        <v>281</v>
      </c>
      <c r="N51" s="84" t="str">
        <f>HYPERLINK("#N"&amp;ROW(N55),"_x0005_`BDCOD|X00179_x0007_`POSS|"&amp;ROW(N52)&amp;"_x0007_`POSE|"&amp;ROW(N55)&amp;"_x0007_`")</f>
        <v>_x0005_`BDCOD|X00179_x0007_`POSS|52_x0007_`POSE|55_x0007_`</v>
      </c>
      <c r="O51" s="7" t="s">
        <v>2374</v>
      </c>
    </row>
    <row r="52" spans="1:26" ht="28.7" customHeight="1" x14ac:dyDescent="0.3">
      <c r="A52" s="10" t="s">
        <v>280</v>
      </c>
      <c r="B52" s="10" t="s">
        <v>277</v>
      </c>
      <c r="C52" s="75">
        <v>0.22789999999999999</v>
      </c>
      <c r="D52" s="32" t="s">
        <v>619</v>
      </c>
      <c r="E52" s="54">
        <f t="shared" ref="E52:F55" si="6">I52+G52+K52</f>
        <v>119000</v>
      </c>
      <c r="F52" s="77">
        <f t="shared" si="6"/>
        <v>27120.1</v>
      </c>
      <c r="G52" s="50">
        <v>0</v>
      </c>
      <c r="H52" s="77">
        <f>IF(C52=0,0,ROUNDDOWN(G52*C52,1))</f>
        <v>0</v>
      </c>
      <c r="I52" s="50">
        <v>0</v>
      </c>
      <c r="J52" s="76">
        <f>IF(C52=0,0,ROUNDDOWN(I52*C52,1))</f>
        <v>0</v>
      </c>
      <c r="K52" s="78">
        <f>경비목록표!E8</f>
        <v>119000</v>
      </c>
      <c r="L52" s="80">
        <f>IF(C52=0,0,ROUNDDOWN(K52*C52,1))</f>
        <v>27120.1</v>
      </c>
      <c r="M52" s="23" t="s">
        <v>2377</v>
      </c>
      <c r="N52" s="17" t="s">
        <v>2375</v>
      </c>
      <c r="O52" s="7" t="s">
        <v>2376</v>
      </c>
      <c r="P52" s="7" t="s">
        <v>1209</v>
      </c>
      <c r="Z52" s="3" t="str">
        <f ca="1">HYPERLINK("#"&amp;경비목록표!G2&amp;"!A"&amp;ROW(경비목록표!A8),"경비5 →")</f>
        <v>경비5 →</v>
      </c>
    </row>
    <row r="53" spans="1:26" ht="28.7" customHeight="1" x14ac:dyDescent="0.3">
      <c r="A53" s="10" t="s">
        <v>586</v>
      </c>
      <c r="B53" s="10"/>
      <c r="C53" s="75">
        <v>1</v>
      </c>
      <c r="D53" s="32" t="s">
        <v>587</v>
      </c>
      <c r="E53" s="54">
        <f t="shared" si="6"/>
        <v>59020.2</v>
      </c>
      <c r="F53" s="76">
        <f t="shared" si="6"/>
        <v>59020.2</v>
      </c>
      <c r="G53" s="78">
        <f>환율및기초자료!G6</f>
        <v>59020.2</v>
      </c>
      <c r="H53" s="81">
        <f>IF(C53=0,0,ROUNDDOWN(G53*C53,1))</f>
        <v>59020.2</v>
      </c>
      <c r="I53" s="50">
        <v>0</v>
      </c>
      <c r="J53" s="77">
        <f>IF(C53=0,0,ROUNDDOWN(I53*C53,1))</f>
        <v>0</v>
      </c>
      <c r="K53" s="50">
        <v>0</v>
      </c>
      <c r="L53" s="76">
        <f>IF(C53=0,0,ROUNDDOWN(K53*C53,1))</f>
        <v>0</v>
      </c>
      <c r="M53" s="23" t="s">
        <v>2346</v>
      </c>
      <c r="N53" s="17" t="s">
        <v>2344</v>
      </c>
      <c r="O53" s="7" t="s">
        <v>2345</v>
      </c>
      <c r="P53" s="7" t="s">
        <v>1209</v>
      </c>
      <c r="Z53" s="3" t="str">
        <f ca="1">HYPERLINK("#"&amp;환율및기초자료!I2&amp;"!A"&amp;ROW(환율및기초자료!A6),"노무1 →")</f>
        <v>노무1 →</v>
      </c>
    </row>
    <row r="54" spans="1:26" ht="28.7" customHeight="1" x14ac:dyDescent="0.3">
      <c r="A54" s="10" t="s">
        <v>415</v>
      </c>
      <c r="B54" s="10" t="s">
        <v>416</v>
      </c>
      <c r="C54" s="75">
        <v>11.6</v>
      </c>
      <c r="D54" s="32" t="s">
        <v>417</v>
      </c>
      <c r="E54" s="54">
        <f t="shared" si="6"/>
        <v>1799</v>
      </c>
      <c r="F54" s="77">
        <f t="shared" si="6"/>
        <v>20868.400000000001</v>
      </c>
      <c r="G54" s="50">
        <v>0</v>
      </c>
      <c r="H54" s="76">
        <f>IF(C54=0,0,ROUNDDOWN(G54*C54,1))</f>
        <v>0</v>
      </c>
      <c r="I54" s="78">
        <f>재료비목록표!E13</f>
        <v>1799</v>
      </c>
      <c r="J54" s="81">
        <f>IF(C54=0,0,ROUNDDOWN(I54*C54,1))</f>
        <v>20868.400000000001</v>
      </c>
      <c r="K54" s="50">
        <v>0</v>
      </c>
      <c r="L54" s="76">
        <f>IF(C54=0,0,ROUNDDOWN(K54*C54,1))</f>
        <v>0</v>
      </c>
      <c r="M54" s="23" t="s">
        <v>2349</v>
      </c>
      <c r="N54" s="17" t="s">
        <v>2360</v>
      </c>
      <c r="O54" s="7" t="s">
        <v>2348</v>
      </c>
      <c r="P54" s="7" t="s">
        <v>1209</v>
      </c>
      <c r="Q54" s="7" t="s">
        <v>1214</v>
      </c>
      <c r="Z54" s="3" t="str">
        <f ca="1">HYPERLINK("#"&amp;재료비목록표!G2&amp;"!A"&amp;ROW(재료비목록표!A13),"자재10 →")</f>
        <v>자재10 →</v>
      </c>
    </row>
    <row r="55" spans="1:26" ht="28.7" customHeight="1" x14ac:dyDescent="0.3">
      <c r="A55" s="10" t="s">
        <v>537</v>
      </c>
      <c r="B55" s="10" t="s">
        <v>2361</v>
      </c>
      <c r="C55" s="75">
        <v>24</v>
      </c>
      <c r="D55" s="32" t="s">
        <v>539</v>
      </c>
      <c r="E55" s="54">
        <f t="shared" si="6"/>
        <v>20868.400000000001</v>
      </c>
      <c r="F55" s="77">
        <f t="shared" si="6"/>
        <v>5008.3999999999996</v>
      </c>
      <c r="G55" s="13">
        <v>0</v>
      </c>
      <c r="H55" s="77">
        <f>IF(C55=0,0,ROUNDDOWN(G55*C55/100,1))</f>
        <v>0</v>
      </c>
      <c r="I55" s="79">
        <f>J54</f>
        <v>20868.400000000001</v>
      </c>
      <c r="J55" s="76">
        <f>IF(C55=0,0,ROUNDDOWN(I55*C55/100,1))</f>
        <v>5008.3999999999996</v>
      </c>
      <c r="K55" s="22">
        <v>0</v>
      </c>
      <c r="L55" s="76">
        <f>IF(C55=0,0,ROUNDDOWN(K55*C55/100,1))</f>
        <v>0</v>
      </c>
      <c r="M55" s="23"/>
      <c r="N55" s="17" t="s">
        <v>2362</v>
      </c>
      <c r="O55" s="7" t="s">
        <v>1236</v>
      </c>
      <c r="P55" s="7" t="s">
        <v>1209</v>
      </c>
    </row>
    <row r="56" spans="1:26" ht="28.7" customHeight="1" x14ac:dyDescent="0.3">
      <c r="A56" s="23" t="s">
        <v>6</v>
      </c>
      <c r="B56" s="74"/>
      <c r="C56" s="74"/>
      <c r="D56" s="74"/>
      <c r="E56" s="74"/>
      <c r="F56" s="47">
        <f>J56+H56+L56</f>
        <v>112016</v>
      </c>
      <c r="G56" s="74"/>
      <c r="H56" s="47">
        <f>ROUNDDOWN(SUMIF(P52:P55,O56,H52:H55),0)</f>
        <v>59020</v>
      </c>
      <c r="I56" s="74"/>
      <c r="J56" s="47">
        <f>ROUNDDOWN(SUMIF(P52:P55,O56,J52:J55),0)</f>
        <v>25876</v>
      </c>
      <c r="K56" s="74"/>
      <c r="L56" s="47">
        <f>ROUNDDOWN(SUMIF(P52:P55,O56,L52:L55),0)</f>
        <v>27120</v>
      </c>
      <c r="M56" s="74"/>
      <c r="O56" s="7" t="s">
        <v>1209</v>
      </c>
    </row>
    <row r="57" spans="1:26" ht="28.7" customHeight="1" x14ac:dyDescent="0.3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</row>
    <row r="58" spans="1:26" ht="28.7" customHeight="1" x14ac:dyDescent="0.3">
      <c r="A58" s="135" t="s">
        <v>282</v>
      </c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49"/>
      <c r="M58" s="23" t="s">
        <v>285</v>
      </c>
      <c r="N58" s="84" t="str">
        <f>HYPERLINK("#N"&amp;ROW(N62),"_x0005_`BDCOD|X00121_x0007_`POSS|"&amp;ROW(N59)&amp;"_x0007_`POSE|"&amp;ROW(N62)&amp;"_x0007_`")</f>
        <v>_x0005_`BDCOD|X00121_x0007_`POSS|59_x0007_`POSE|62_x0007_`</v>
      </c>
      <c r="O58" s="7" t="s">
        <v>2378</v>
      </c>
    </row>
    <row r="59" spans="1:26" ht="28.7" customHeight="1" x14ac:dyDescent="0.3">
      <c r="A59" s="10" t="s">
        <v>283</v>
      </c>
      <c r="B59" s="10" t="s">
        <v>284</v>
      </c>
      <c r="C59" s="75">
        <v>0.4032</v>
      </c>
      <c r="D59" s="32" t="s">
        <v>619</v>
      </c>
      <c r="E59" s="54">
        <f t="shared" ref="E59:F62" si="7">I59+G59+K59</f>
        <v>438356</v>
      </c>
      <c r="F59" s="77">
        <f t="shared" si="7"/>
        <v>176745.1</v>
      </c>
      <c r="G59" s="50">
        <v>0</v>
      </c>
      <c r="H59" s="77">
        <f>IF(C59=0,0,ROUNDDOWN(G59*C59,1))</f>
        <v>0</v>
      </c>
      <c r="I59" s="50">
        <v>0</v>
      </c>
      <c r="J59" s="76">
        <f>IF(C59=0,0,ROUNDDOWN(I59*C59,1))</f>
        <v>0</v>
      </c>
      <c r="K59" s="78">
        <f>경비목록표!E11</f>
        <v>438356</v>
      </c>
      <c r="L59" s="80">
        <f>IF(C59=0,0,ROUNDDOWN(K59*C59,1))</f>
        <v>176745.1</v>
      </c>
      <c r="M59" s="23" t="s">
        <v>2381</v>
      </c>
      <c r="N59" s="17" t="s">
        <v>2379</v>
      </c>
      <c r="O59" s="7" t="s">
        <v>2380</v>
      </c>
      <c r="P59" s="7" t="s">
        <v>1209</v>
      </c>
      <c r="Z59" s="3" t="str">
        <f ca="1">HYPERLINK("#"&amp;경비목록표!G2&amp;"!A"&amp;ROW(경비목록표!A11),"경비8 →")</f>
        <v>경비8 →</v>
      </c>
    </row>
    <row r="60" spans="1:26" ht="28.7" customHeight="1" x14ac:dyDescent="0.3">
      <c r="A60" s="10" t="s">
        <v>586</v>
      </c>
      <c r="B60" s="10"/>
      <c r="C60" s="75">
        <v>1</v>
      </c>
      <c r="D60" s="32" t="s">
        <v>587</v>
      </c>
      <c r="E60" s="54">
        <f t="shared" si="7"/>
        <v>59020.2</v>
      </c>
      <c r="F60" s="76">
        <f t="shared" si="7"/>
        <v>59020.2</v>
      </c>
      <c r="G60" s="78">
        <f>환율및기초자료!G6</f>
        <v>59020.2</v>
      </c>
      <c r="H60" s="81">
        <f>IF(C60=0,0,ROUNDDOWN(G60*C60,1))</f>
        <v>59020.2</v>
      </c>
      <c r="I60" s="50">
        <v>0</v>
      </c>
      <c r="J60" s="77">
        <f>IF(C60=0,0,ROUNDDOWN(I60*C60,1))</f>
        <v>0</v>
      </c>
      <c r="K60" s="50">
        <v>0</v>
      </c>
      <c r="L60" s="76">
        <f>IF(C60=0,0,ROUNDDOWN(K60*C60,1))</f>
        <v>0</v>
      </c>
      <c r="M60" s="23" t="s">
        <v>2346</v>
      </c>
      <c r="N60" s="17" t="s">
        <v>2344</v>
      </c>
      <c r="O60" s="7" t="s">
        <v>2345</v>
      </c>
      <c r="P60" s="7" t="s">
        <v>1209</v>
      </c>
      <c r="Z60" s="3" t="str">
        <f ca="1">HYPERLINK("#"&amp;환율및기초자료!I2&amp;"!A"&amp;ROW(환율및기초자료!A6),"노무1 →")</f>
        <v>노무1 →</v>
      </c>
    </row>
    <row r="61" spans="1:26" ht="28.7" customHeight="1" x14ac:dyDescent="0.3">
      <c r="A61" s="10" t="s">
        <v>415</v>
      </c>
      <c r="B61" s="10" t="s">
        <v>416</v>
      </c>
      <c r="C61" s="75">
        <v>52.7</v>
      </c>
      <c r="D61" s="32" t="s">
        <v>417</v>
      </c>
      <c r="E61" s="54">
        <f t="shared" si="7"/>
        <v>1799</v>
      </c>
      <c r="F61" s="77">
        <f t="shared" si="7"/>
        <v>94807.3</v>
      </c>
      <c r="G61" s="50">
        <v>0</v>
      </c>
      <c r="H61" s="76">
        <f>IF(C61=0,0,ROUNDDOWN(G61*C61,1))</f>
        <v>0</v>
      </c>
      <c r="I61" s="78">
        <f>재료비목록표!E13</f>
        <v>1799</v>
      </c>
      <c r="J61" s="81">
        <f>IF(C61=0,0,ROUNDDOWN(I61*C61,1))</f>
        <v>94807.3</v>
      </c>
      <c r="K61" s="50">
        <v>0</v>
      </c>
      <c r="L61" s="76">
        <f>IF(C61=0,0,ROUNDDOWN(K61*C61,1))</f>
        <v>0</v>
      </c>
      <c r="M61" s="23" t="s">
        <v>2349</v>
      </c>
      <c r="N61" s="17" t="s">
        <v>2360</v>
      </c>
      <c r="O61" s="7" t="s">
        <v>2348</v>
      </c>
      <c r="P61" s="7" t="s">
        <v>1209</v>
      </c>
      <c r="Q61" s="7" t="s">
        <v>1214</v>
      </c>
      <c r="Z61" s="3" t="str">
        <f ca="1">HYPERLINK("#"&amp;재료비목록표!G2&amp;"!A"&amp;ROW(재료비목록표!A13),"자재10 →")</f>
        <v>자재10 →</v>
      </c>
    </row>
    <row r="62" spans="1:26" ht="28.7" customHeight="1" x14ac:dyDescent="0.3">
      <c r="A62" s="10" t="s">
        <v>537</v>
      </c>
      <c r="B62" s="10" t="s">
        <v>2361</v>
      </c>
      <c r="C62" s="75">
        <v>16</v>
      </c>
      <c r="D62" s="32" t="s">
        <v>539</v>
      </c>
      <c r="E62" s="54">
        <f t="shared" si="7"/>
        <v>94807.3</v>
      </c>
      <c r="F62" s="77">
        <f t="shared" si="7"/>
        <v>15169.1</v>
      </c>
      <c r="G62" s="13">
        <v>0</v>
      </c>
      <c r="H62" s="77">
        <f>IF(C62=0,0,ROUNDDOWN(G62*C62/100,1))</f>
        <v>0</v>
      </c>
      <c r="I62" s="79">
        <f>J61</f>
        <v>94807.3</v>
      </c>
      <c r="J62" s="76">
        <f>IF(C62=0,0,ROUNDDOWN(I62*C62/100,1))</f>
        <v>15169.1</v>
      </c>
      <c r="K62" s="22">
        <v>0</v>
      </c>
      <c r="L62" s="76">
        <f>IF(C62=0,0,ROUNDDOWN(K62*C62/100,1))</f>
        <v>0</v>
      </c>
      <c r="M62" s="23"/>
      <c r="N62" s="17" t="s">
        <v>2362</v>
      </c>
      <c r="O62" s="7" t="s">
        <v>1236</v>
      </c>
      <c r="P62" s="7" t="s">
        <v>1209</v>
      </c>
    </row>
    <row r="63" spans="1:26" ht="28.7" customHeight="1" x14ac:dyDescent="0.3">
      <c r="A63" s="23" t="s">
        <v>6</v>
      </c>
      <c r="B63" s="74"/>
      <c r="C63" s="74"/>
      <c r="D63" s="74"/>
      <c r="E63" s="74"/>
      <c r="F63" s="47">
        <f>J63+H63+L63</f>
        <v>345741</v>
      </c>
      <c r="G63" s="74"/>
      <c r="H63" s="47">
        <f>ROUNDDOWN(SUMIF(P59:P62,O63,H59:H62),0)</f>
        <v>59020</v>
      </c>
      <c r="I63" s="74"/>
      <c r="J63" s="47">
        <f>ROUNDDOWN(SUMIF(P59:P62,O63,J59:J62),0)</f>
        <v>109976</v>
      </c>
      <c r="K63" s="74"/>
      <c r="L63" s="47">
        <f>ROUNDDOWN(SUMIF(P59:P62,O63,L59:L62),0)</f>
        <v>176745</v>
      </c>
      <c r="M63" s="74"/>
      <c r="O63" s="7" t="s">
        <v>1209</v>
      </c>
    </row>
    <row r="64" spans="1:26" ht="28.7" customHeight="1" x14ac:dyDescent="0.3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</row>
    <row r="65" spans="1:26" ht="28.7" customHeight="1" x14ac:dyDescent="0.3">
      <c r="A65" s="135" t="s">
        <v>286</v>
      </c>
      <c r="B65" s="136"/>
      <c r="C65" s="136"/>
      <c r="D65" s="136"/>
      <c r="E65" s="136"/>
      <c r="F65" s="136"/>
      <c r="G65" s="136"/>
      <c r="H65" s="136"/>
      <c r="I65" s="136"/>
      <c r="J65" s="136"/>
      <c r="K65" s="136"/>
      <c r="L65" s="149"/>
      <c r="M65" s="23" t="s">
        <v>288</v>
      </c>
      <c r="N65" s="84" t="str">
        <f>HYPERLINK("#N"&amp;ROW(N66),"_x0005_`BDCOD|X00232_x0007_`POSS|"&amp;ROW(N66)&amp;"_x0007_`POSE|"&amp;ROW(N66)&amp;"_x0007_`")</f>
        <v>_x0005_`BDCOD|X00232_x0007_`POSS|66_x0007_`POSE|66_x0007_`</v>
      </c>
      <c r="O65" s="7" t="s">
        <v>2382</v>
      </c>
    </row>
    <row r="66" spans="1:26" ht="28.7" customHeight="1" x14ac:dyDescent="0.3">
      <c r="A66" s="10" t="s">
        <v>287</v>
      </c>
      <c r="B66" s="10" t="s">
        <v>277</v>
      </c>
      <c r="C66" s="75">
        <v>0.66010000000000002</v>
      </c>
      <c r="D66" s="32" t="s">
        <v>619</v>
      </c>
      <c r="E66" s="54">
        <f>I66+G66+K66</f>
        <v>14174</v>
      </c>
      <c r="F66" s="77">
        <f>J66+H66+L66</f>
        <v>9356.2000000000007</v>
      </c>
      <c r="G66" s="50">
        <v>0</v>
      </c>
      <c r="H66" s="77">
        <f>IF(C66=0,0,ROUNDDOWN(G66*C66,1))</f>
        <v>0</v>
      </c>
      <c r="I66" s="50">
        <v>0</v>
      </c>
      <c r="J66" s="76">
        <f>IF(C66=0,0,ROUNDDOWN(I66*C66,1))</f>
        <v>0</v>
      </c>
      <c r="K66" s="78">
        <f>경비목록표!E14</f>
        <v>14174</v>
      </c>
      <c r="L66" s="80">
        <f>IF(C66=0,0,ROUNDDOWN(K66*C66,1))</f>
        <v>9356.2000000000007</v>
      </c>
      <c r="M66" s="23" t="s">
        <v>2385</v>
      </c>
      <c r="N66" s="17" t="s">
        <v>2383</v>
      </c>
      <c r="O66" s="7" t="s">
        <v>2384</v>
      </c>
      <c r="P66" s="7" t="s">
        <v>1209</v>
      </c>
      <c r="Z66" s="3" t="str">
        <f ca="1">HYPERLINK("#"&amp;경비목록표!G2&amp;"!A"&amp;ROW(경비목록표!A14),"경비11 →")</f>
        <v>경비11 →</v>
      </c>
    </row>
    <row r="67" spans="1:26" ht="28.7" customHeight="1" x14ac:dyDescent="0.3">
      <c r="A67" s="23" t="s">
        <v>6</v>
      </c>
      <c r="B67" s="74"/>
      <c r="C67" s="74"/>
      <c r="D67" s="74"/>
      <c r="E67" s="74"/>
      <c r="F67" s="47">
        <f>J67+H67+L67</f>
        <v>9356</v>
      </c>
      <c r="G67" s="74"/>
      <c r="H67" s="47">
        <f>ROUNDDOWN(SUMIF(P66:P66,O67,H66:H66),0)</f>
        <v>0</v>
      </c>
      <c r="I67" s="74"/>
      <c r="J67" s="47">
        <f>ROUNDDOWN(SUMIF(P66:P66,O67,J66:J66),0)</f>
        <v>0</v>
      </c>
      <c r="K67" s="74"/>
      <c r="L67" s="47">
        <f>ROUNDDOWN(SUMIF(P66:P66,O67,L66:L66),0)</f>
        <v>9356</v>
      </c>
      <c r="M67" s="74"/>
      <c r="O67" s="7" t="s">
        <v>1209</v>
      </c>
    </row>
    <row r="68" spans="1:26" ht="28.7" customHeight="1" x14ac:dyDescent="0.3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</row>
    <row r="69" spans="1:26" ht="28.7" customHeight="1" x14ac:dyDescent="0.3">
      <c r="A69" s="135" t="s">
        <v>289</v>
      </c>
      <c r="B69" s="136"/>
      <c r="C69" s="136"/>
      <c r="D69" s="136"/>
      <c r="E69" s="136"/>
      <c r="F69" s="136"/>
      <c r="G69" s="136"/>
      <c r="H69" s="136"/>
      <c r="I69" s="136"/>
      <c r="J69" s="136"/>
      <c r="K69" s="136"/>
      <c r="L69" s="149"/>
      <c r="M69" s="23" t="s">
        <v>292</v>
      </c>
      <c r="N69" s="84" t="str">
        <f>HYPERLINK("#N"&amp;ROW(N73),"_x0005_`BDCOD|X00010_x0007_`POSS|"&amp;ROW(N70)&amp;"_x0007_`POSE|"&amp;ROW(N73)&amp;"_x0007_`")</f>
        <v>_x0005_`BDCOD|X00010_x0007_`POSS|70_x0007_`POSE|73_x0007_`</v>
      </c>
      <c r="O69" s="7" t="s">
        <v>2386</v>
      </c>
    </row>
    <row r="70" spans="1:26" ht="28.7" customHeight="1" x14ac:dyDescent="0.3">
      <c r="A70" s="10" t="s">
        <v>290</v>
      </c>
      <c r="B70" s="10" t="s">
        <v>291</v>
      </c>
      <c r="C70" s="75">
        <v>0.22789999999999999</v>
      </c>
      <c r="D70" s="32" t="s">
        <v>619</v>
      </c>
      <c r="E70" s="54">
        <f t="shared" ref="E70:F73" si="8">I70+G70+K70</f>
        <v>90653</v>
      </c>
      <c r="F70" s="77">
        <f t="shared" si="8"/>
        <v>20659.8</v>
      </c>
      <c r="G70" s="50">
        <v>0</v>
      </c>
      <c r="H70" s="77">
        <f>IF(C70=0,0,ROUNDDOWN(G70*C70,1))</f>
        <v>0</v>
      </c>
      <c r="I70" s="50">
        <v>0</v>
      </c>
      <c r="J70" s="76">
        <f>IF(C70=0,0,ROUNDDOWN(I70*C70,1))</f>
        <v>0</v>
      </c>
      <c r="K70" s="78">
        <f>경비목록표!E15</f>
        <v>90653</v>
      </c>
      <c r="L70" s="80">
        <f>IF(C70=0,0,ROUNDDOWN(K70*C70,1))</f>
        <v>20659.8</v>
      </c>
      <c r="M70" s="23" t="s">
        <v>2389</v>
      </c>
      <c r="N70" s="17" t="s">
        <v>2387</v>
      </c>
      <c r="O70" s="7" t="s">
        <v>2388</v>
      </c>
      <c r="P70" s="7" t="s">
        <v>1209</v>
      </c>
      <c r="Z70" s="3" t="str">
        <f ca="1">HYPERLINK("#"&amp;경비목록표!G2&amp;"!A"&amp;ROW(경비목록표!A15),"경비12 →")</f>
        <v>경비12 →</v>
      </c>
    </row>
    <row r="71" spans="1:26" ht="28.7" customHeight="1" x14ac:dyDescent="0.3">
      <c r="A71" s="10" t="s">
        <v>586</v>
      </c>
      <c r="B71" s="10"/>
      <c r="C71" s="75">
        <v>1</v>
      </c>
      <c r="D71" s="32" t="s">
        <v>587</v>
      </c>
      <c r="E71" s="54">
        <f t="shared" si="8"/>
        <v>59020.2</v>
      </c>
      <c r="F71" s="76">
        <f t="shared" si="8"/>
        <v>59020.2</v>
      </c>
      <c r="G71" s="78">
        <f>환율및기초자료!G6</f>
        <v>59020.2</v>
      </c>
      <c r="H71" s="81">
        <f>IF(C71=0,0,ROUNDDOWN(G71*C71,1))</f>
        <v>59020.2</v>
      </c>
      <c r="I71" s="50">
        <v>0</v>
      </c>
      <c r="J71" s="77">
        <f>IF(C71=0,0,ROUNDDOWN(I71*C71,1))</f>
        <v>0</v>
      </c>
      <c r="K71" s="50">
        <v>0</v>
      </c>
      <c r="L71" s="76">
        <f>IF(C71=0,0,ROUNDDOWN(K71*C71,1))</f>
        <v>0</v>
      </c>
      <c r="M71" s="23" t="s">
        <v>2346</v>
      </c>
      <c r="N71" s="17" t="s">
        <v>2344</v>
      </c>
      <c r="O71" s="7" t="s">
        <v>2345</v>
      </c>
      <c r="P71" s="7" t="s">
        <v>1209</v>
      </c>
      <c r="Z71" s="3" t="str">
        <f ca="1">HYPERLINK("#"&amp;환율및기초자료!I2&amp;"!A"&amp;ROW(환율및기초자료!A6),"노무1 →")</f>
        <v>노무1 →</v>
      </c>
    </row>
    <row r="72" spans="1:26" ht="28.7" customHeight="1" x14ac:dyDescent="0.3">
      <c r="A72" s="10" t="s">
        <v>415</v>
      </c>
      <c r="B72" s="10" t="s">
        <v>416</v>
      </c>
      <c r="C72" s="75">
        <v>15.9</v>
      </c>
      <c r="D72" s="32" t="s">
        <v>417</v>
      </c>
      <c r="E72" s="54">
        <f t="shared" si="8"/>
        <v>1799</v>
      </c>
      <c r="F72" s="77">
        <f t="shared" si="8"/>
        <v>28604.1</v>
      </c>
      <c r="G72" s="50">
        <v>0</v>
      </c>
      <c r="H72" s="76">
        <f>IF(C72=0,0,ROUNDDOWN(G72*C72,1))</f>
        <v>0</v>
      </c>
      <c r="I72" s="78">
        <f>재료비목록표!E13</f>
        <v>1799</v>
      </c>
      <c r="J72" s="81">
        <f>IF(C72=0,0,ROUNDDOWN(I72*C72,1))</f>
        <v>28604.1</v>
      </c>
      <c r="K72" s="50">
        <v>0</v>
      </c>
      <c r="L72" s="76">
        <f>IF(C72=0,0,ROUNDDOWN(K72*C72,1))</f>
        <v>0</v>
      </c>
      <c r="M72" s="23" t="s">
        <v>2349</v>
      </c>
      <c r="N72" s="17" t="s">
        <v>2360</v>
      </c>
      <c r="O72" s="7" t="s">
        <v>2348</v>
      </c>
      <c r="P72" s="7" t="s">
        <v>1209</v>
      </c>
      <c r="Q72" s="7" t="s">
        <v>1214</v>
      </c>
      <c r="Z72" s="3" t="str">
        <f ca="1">HYPERLINK("#"&amp;재료비목록표!G2&amp;"!A"&amp;ROW(재료비목록표!A13),"자재10 →")</f>
        <v>자재10 →</v>
      </c>
    </row>
    <row r="73" spans="1:26" ht="28.7" customHeight="1" x14ac:dyDescent="0.3">
      <c r="A73" s="10" t="s">
        <v>537</v>
      </c>
      <c r="B73" s="10" t="s">
        <v>2361</v>
      </c>
      <c r="C73" s="75">
        <v>38</v>
      </c>
      <c r="D73" s="32" t="s">
        <v>539</v>
      </c>
      <c r="E73" s="54">
        <f t="shared" si="8"/>
        <v>28604.1</v>
      </c>
      <c r="F73" s="77">
        <f t="shared" si="8"/>
        <v>10869.5</v>
      </c>
      <c r="G73" s="13">
        <v>0</v>
      </c>
      <c r="H73" s="77">
        <f>IF(C73=0,0,ROUNDDOWN(G73*C73/100,1))</f>
        <v>0</v>
      </c>
      <c r="I73" s="79">
        <f>J72</f>
        <v>28604.1</v>
      </c>
      <c r="J73" s="76">
        <f>IF(C73=0,0,ROUNDDOWN(I73*C73/100,1))</f>
        <v>10869.5</v>
      </c>
      <c r="K73" s="22">
        <v>0</v>
      </c>
      <c r="L73" s="76">
        <f>IF(C73=0,0,ROUNDDOWN(K73*C73/100,1))</f>
        <v>0</v>
      </c>
      <c r="M73" s="23"/>
      <c r="N73" s="17" t="s">
        <v>2362</v>
      </c>
      <c r="O73" s="7" t="s">
        <v>1236</v>
      </c>
      <c r="P73" s="7" t="s">
        <v>1209</v>
      </c>
    </row>
    <row r="74" spans="1:26" ht="28.7" customHeight="1" x14ac:dyDescent="0.3">
      <c r="A74" s="23" t="s">
        <v>6</v>
      </c>
      <c r="B74" s="74"/>
      <c r="C74" s="74"/>
      <c r="D74" s="74"/>
      <c r="E74" s="74"/>
      <c r="F74" s="47">
        <f>J74+H74+L74</f>
        <v>119152</v>
      </c>
      <c r="G74" s="74"/>
      <c r="H74" s="47">
        <f>ROUNDDOWN(SUMIF(P70:P73,O74,H70:H73),0)</f>
        <v>59020</v>
      </c>
      <c r="I74" s="74"/>
      <c r="J74" s="47">
        <f>ROUNDDOWN(SUMIF(P70:P73,O74,J70:J73),0)</f>
        <v>39473</v>
      </c>
      <c r="K74" s="74"/>
      <c r="L74" s="47">
        <f>ROUNDDOWN(SUMIF(P70:P73,O74,L70:L73),0)</f>
        <v>20659</v>
      </c>
      <c r="M74" s="74"/>
      <c r="O74" s="7" t="s">
        <v>1209</v>
      </c>
    </row>
    <row r="75" spans="1:26" ht="28.7" customHeight="1" x14ac:dyDescent="0.3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</row>
    <row r="76" spans="1:26" ht="28.7" customHeight="1" x14ac:dyDescent="0.3">
      <c r="A76" s="135" t="s">
        <v>293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49"/>
      <c r="M76" s="23" t="s">
        <v>295</v>
      </c>
      <c r="N76" s="84" t="str">
        <f>HYPERLINK("#N"&amp;ROW(N80),"_x0005_`BDCOD|X00120_x0007_`POSS|"&amp;ROW(N77)&amp;"_x0007_`POSE|"&amp;ROW(N80)&amp;"_x0007_`")</f>
        <v>_x0005_`BDCOD|X00120_x0007_`POSS|77_x0007_`POSE|80_x0007_`</v>
      </c>
      <c r="O76" s="7" t="s">
        <v>2390</v>
      </c>
    </row>
    <row r="77" spans="1:26" ht="28.7" customHeight="1" x14ac:dyDescent="0.3">
      <c r="A77" s="10" t="s">
        <v>290</v>
      </c>
      <c r="B77" s="10" t="s">
        <v>294</v>
      </c>
      <c r="C77" s="75">
        <v>0.29670000000000002</v>
      </c>
      <c r="D77" s="32" t="s">
        <v>619</v>
      </c>
      <c r="E77" s="54">
        <f t="shared" ref="E77:F80" si="9">I77+G77+K77</f>
        <v>21982</v>
      </c>
      <c r="F77" s="77">
        <f t="shared" si="9"/>
        <v>6522</v>
      </c>
      <c r="G77" s="50">
        <v>0</v>
      </c>
      <c r="H77" s="77">
        <f>IF(C77=0,0,ROUNDDOWN(G77*C77,1))</f>
        <v>0</v>
      </c>
      <c r="I77" s="50">
        <v>0</v>
      </c>
      <c r="J77" s="76">
        <f>IF(C77=0,0,ROUNDDOWN(I77*C77,1))</f>
        <v>0</v>
      </c>
      <c r="K77" s="78">
        <f>경비목록표!E16</f>
        <v>21982</v>
      </c>
      <c r="L77" s="80">
        <f>IF(C77=0,0,ROUNDDOWN(K77*C77,1))</f>
        <v>6522</v>
      </c>
      <c r="M77" s="23" t="s">
        <v>2393</v>
      </c>
      <c r="N77" s="17" t="s">
        <v>2391</v>
      </c>
      <c r="O77" s="7" t="s">
        <v>2392</v>
      </c>
      <c r="P77" s="7" t="s">
        <v>1209</v>
      </c>
      <c r="Z77" s="3" t="str">
        <f ca="1">HYPERLINK("#"&amp;경비목록표!G2&amp;"!A"&amp;ROW(경비목록표!A16),"경비13 →")</f>
        <v>경비13 →</v>
      </c>
    </row>
    <row r="78" spans="1:26" ht="28.7" customHeight="1" x14ac:dyDescent="0.3">
      <c r="A78" s="10" t="s">
        <v>613</v>
      </c>
      <c r="B78" s="10"/>
      <c r="C78" s="75">
        <v>1</v>
      </c>
      <c r="D78" s="32" t="s">
        <v>587</v>
      </c>
      <c r="E78" s="54">
        <f t="shared" si="9"/>
        <v>49778.3</v>
      </c>
      <c r="F78" s="76">
        <f t="shared" si="9"/>
        <v>49778.3</v>
      </c>
      <c r="G78" s="78">
        <f>환율및기초자료!G7</f>
        <v>49778.3</v>
      </c>
      <c r="H78" s="81">
        <f>IF(C78=0,0,ROUNDDOWN(G78*C78,1))</f>
        <v>49778.3</v>
      </c>
      <c r="I78" s="50">
        <v>0</v>
      </c>
      <c r="J78" s="77">
        <f>IF(C78=0,0,ROUNDDOWN(I78*C78,1))</f>
        <v>0</v>
      </c>
      <c r="K78" s="50">
        <v>0</v>
      </c>
      <c r="L78" s="76">
        <f>IF(C78=0,0,ROUNDDOWN(K78*C78,1))</f>
        <v>0</v>
      </c>
      <c r="M78" s="23" t="s">
        <v>2396</v>
      </c>
      <c r="N78" s="17" t="s">
        <v>2394</v>
      </c>
      <c r="O78" s="7" t="s">
        <v>2395</v>
      </c>
      <c r="P78" s="7" t="s">
        <v>1209</v>
      </c>
      <c r="Z78" s="3" t="str">
        <f ca="1">HYPERLINK("#"&amp;환율및기초자료!I2&amp;"!A"&amp;ROW(환율및기초자료!A7),"노무14 →")</f>
        <v>노무14 →</v>
      </c>
    </row>
    <row r="79" spans="1:26" ht="28.7" customHeight="1" x14ac:dyDescent="0.3">
      <c r="A79" s="10" t="s">
        <v>415</v>
      </c>
      <c r="B79" s="10" t="s">
        <v>416</v>
      </c>
      <c r="C79" s="75">
        <v>2.9</v>
      </c>
      <c r="D79" s="32" t="s">
        <v>417</v>
      </c>
      <c r="E79" s="54">
        <f t="shared" si="9"/>
        <v>1799</v>
      </c>
      <c r="F79" s="77">
        <f t="shared" si="9"/>
        <v>5217.1000000000004</v>
      </c>
      <c r="G79" s="50">
        <v>0</v>
      </c>
      <c r="H79" s="76">
        <f>IF(C79=0,0,ROUNDDOWN(G79*C79,1))</f>
        <v>0</v>
      </c>
      <c r="I79" s="78">
        <f>재료비목록표!E13</f>
        <v>1799</v>
      </c>
      <c r="J79" s="81">
        <f>IF(C79=0,0,ROUNDDOWN(I79*C79,1))</f>
        <v>5217.1000000000004</v>
      </c>
      <c r="K79" s="50">
        <v>0</v>
      </c>
      <c r="L79" s="76">
        <f>IF(C79=0,0,ROUNDDOWN(K79*C79,1))</f>
        <v>0</v>
      </c>
      <c r="M79" s="23" t="s">
        <v>2349</v>
      </c>
      <c r="N79" s="17" t="s">
        <v>2360</v>
      </c>
      <c r="O79" s="7" t="s">
        <v>2348</v>
      </c>
      <c r="P79" s="7" t="s">
        <v>1209</v>
      </c>
      <c r="Q79" s="7" t="s">
        <v>1214</v>
      </c>
      <c r="Z79" s="3" t="str">
        <f ca="1">HYPERLINK("#"&amp;재료비목록표!G2&amp;"!A"&amp;ROW(재료비목록표!A13),"자재10 →")</f>
        <v>자재10 →</v>
      </c>
    </row>
    <row r="80" spans="1:26" ht="28.7" customHeight="1" x14ac:dyDescent="0.3">
      <c r="A80" s="10" t="s">
        <v>537</v>
      </c>
      <c r="B80" s="10" t="s">
        <v>2361</v>
      </c>
      <c r="C80" s="75">
        <v>38</v>
      </c>
      <c r="D80" s="32" t="s">
        <v>539</v>
      </c>
      <c r="E80" s="54">
        <f t="shared" si="9"/>
        <v>5217.1000000000004</v>
      </c>
      <c r="F80" s="77">
        <f t="shared" si="9"/>
        <v>1982.4</v>
      </c>
      <c r="G80" s="13">
        <v>0</v>
      </c>
      <c r="H80" s="77">
        <f>IF(C80=0,0,ROUNDDOWN(G80*C80/100,1))</f>
        <v>0</v>
      </c>
      <c r="I80" s="79">
        <f>J79</f>
        <v>5217.1000000000004</v>
      </c>
      <c r="J80" s="76">
        <f>IF(C80=0,0,ROUNDDOWN(I80*C80/100,1))</f>
        <v>1982.4</v>
      </c>
      <c r="K80" s="22">
        <v>0</v>
      </c>
      <c r="L80" s="76">
        <f>IF(C80=0,0,ROUNDDOWN(K80*C80/100,1))</f>
        <v>0</v>
      </c>
      <c r="M80" s="23"/>
      <c r="N80" s="17" t="s">
        <v>2362</v>
      </c>
      <c r="O80" s="7" t="s">
        <v>1236</v>
      </c>
      <c r="P80" s="7" t="s">
        <v>1209</v>
      </c>
    </row>
    <row r="81" spans="1:26" ht="28.7" customHeight="1" x14ac:dyDescent="0.3">
      <c r="A81" s="23" t="s">
        <v>6</v>
      </c>
      <c r="B81" s="74"/>
      <c r="C81" s="74"/>
      <c r="D81" s="74"/>
      <c r="E81" s="74"/>
      <c r="F81" s="47">
        <f>J81+H81+L81</f>
        <v>63499</v>
      </c>
      <c r="G81" s="74"/>
      <c r="H81" s="47">
        <f>ROUNDDOWN(SUMIF(P77:P80,O81,H77:H80),0)</f>
        <v>49778</v>
      </c>
      <c r="I81" s="74"/>
      <c r="J81" s="47">
        <f>ROUNDDOWN(SUMIF(P77:P80,O81,J77:J80),0)</f>
        <v>7199</v>
      </c>
      <c r="K81" s="74"/>
      <c r="L81" s="47">
        <f>ROUNDDOWN(SUMIF(P77:P80,O81,L77:L80),0)</f>
        <v>6522</v>
      </c>
      <c r="M81" s="74"/>
      <c r="O81" s="7" t="s">
        <v>1209</v>
      </c>
    </row>
    <row r="82" spans="1:26" ht="28.7" customHeight="1" x14ac:dyDescent="0.3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</row>
    <row r="83" spans="1:26" ht="28.7" customHeight="1" x14ac:dyDescent="0.3">
      <c r="A83" s="135" t="s">
        <v>296</v>
      </c>
      <c r="B83" s="136"/>
      <c r="C83" s="136"/>
      <c r="D83" s="136"/>
      <c r="E83" s="136"/>
      <c r="F83" s="136"/>
      <c r="G83" s="136"/>
      <c r="H83" s="136"/>
      <c r="I83" s="136"/>
      <c r="J83" s="136"/>
      <c r="K83" s="136"/>
      <c r="L83" s="149"/>
      <c r="M83" s="23" t="s">
        <v>298</v>
      </c>
      <c r="N83" s="84" t="str">
        <f>HYPERLINK("#N"&amp;ROW(N87),"_x0005_`BDCOD|X00001_x0007_`POSS|"&amp;ROW(N84)&amp;"_x0007_`POSE|"&amp;ROW(N87)&amp;"_x0007_`")</f>
        <v>_x0005_`BDCOD|X00001_x0007_`POSS|84_x0007_`POSE|87_x0007_`</v>
      </c>
      <c r="O83" s="7" t="s">
        <v>2397</v>
      </c>
    </row>
    <row r="84" spans="1:26" ht="28.7" customHeight="1" x14ac:dyDescent="0.3">
      <c r="A84" s="10" t="s">
        <v>290</v>
      </c>
      <c r="B84" s="10" t="s">
        <v>297</v>
      </c>
      <c r="C84" s="75">
        <v>0.29670000000000002</v>
      </c>
      <c r="D84" s="32" t="s">
        <v>619</v>
      </c>
      <c r="E84" s="54">
        <f t="shared" ref="E84:F87" si="10">I84+G84+K84</f>
        <v>25662</v>
      </c>
      <c r="F84" s="77">
        <f t="shared" si="10"/>
        <v>7613.9</v>
      </c>
      <c r="G84" s="50">
        <v>0</v>
      </c>
      <c r="H84" s="77">
        <f>IF(C84=0,0,ROUNDDOWN(G84*C84,1))</f>
        <v>0</v>
      </c>
      <c r="I84" s="50">
        <v>0</v>
      </c>
      <c r="J84" s="76">
        <f>IF(C84=0,0,ROUNDDOWN(I84*C84,1))</f>
        <v>0</v>
      </c>
      <c r="K84" s="78">
        <f>경비목록표!E17</f>
        <v>25662</v>
      </c>
      <c r="L84" s="80">
        <f>IF(C84=0,0,ROUNDDOWN(K84*C84,1))</f>
        <v>7613.9</v>
      </c>
      <c r="M84" s="23" t="s">
        <v>2400</v>
      </c>
      <c r="N84" s="17" t="s">
        <v>2398</v>
      </c>
      <c r="O84" s="7" t="s">
        <v>2399</v>
      </c>
      <c r="P84" s="7" t="s">
        <v>1209</v>
      </c>
      <c r="Z84" s="3" t="str">
        <f ca="1">HYPERLINK("#"&amp;경비목록표!G2&amp;"!A"&amp;ROW(경비목록표!A17),"경비14 →")</f>
        <v>경비14 →</v>
      </c>
    </row>
    <row r="85" spans="1:26" ht="28.7" customHeight="1" x14ac:dyDescent="0.3">
      <c r="A85" s="10" t="s">
        <v>613</v>
      </c>
      <c r="B85" s="10"/>
      <c r="C85" s="75">
        <v>1</v>
      </c>
      <c r="D85" s="32" t="s">
        <v>587</v>
      </c>
      <c r="E85" s="54">
        <f t="shared" si="10"/>
        <v>49778.3</v>
      </c>
      <c r="F85" s="76">
        <f t="shared" si="10"/>
        <v>49778.3</v>
      </c>
      <c r="G85" s="78">
        <f>환율및기초자료!G7</f>
        <v>49778.3</v>
      </c>
      <c r="H85" s="81">
        <f>IF(C85=0,0,ROUNDDOWN(G85*C85,1))</f>
        <v>49778.3</v>
      </c>
      <c r="I85" s="50">
        <v>0</v>
      </c>
      <c r="J85" s="77">
        <f>IF(C85=0,0,ROUNDDOWN(I85*C85,1))</f>
        <v>0</v>
      </c>
      <c r="K85" s="50">
        <v>0</v>
      </c>
      <c r="L85" s="76">
        <f>IF(C85=0,0,ROUNDDOWN(K85*C85,1))</f>
        <v>0</v>
      </c>
      <c r="M85" s="23" t="s">
        <v>2396</v>
      </c>
      <c r="N85" s="17" t="s">
        <v>2394</v>
      </c>
      <c r="O85" s="7" t="s">
        <v>2395</v>
      </c>
      <c r="P85" s="7" t="s">
        <v>1209</v>
      </c>
      <c r="Z85" s="3" t="str">
        <f ca="1">HYPERLINK("#"&amp;환율및기초자료!I2&amp;"!A"&amp;ROW(환율및기초자료!A7),"노무14 →")</f>
        <v>노무14 →</v>
      </c>
    </row>
    <row r="86" spans="1:26" ht="28.7" customHeight="1" x14ac:dyDescent="0.3">
      <c r="A86" s="10" t="s">
        <v>415</v>
      </c>
      <c r="B86" s="10" t="s">
        <v>416</v>
      </c>
      <c r="C86" s="75">
        <v>5</v>
      </c>
      <c r="D86" s="32" t="s">
        <v>417</v>
      </c>
      <c r="E86" s="54">
        <f t="shared" si="10"/>
        <v>1799</v>
      </c>
      <c r="F86" s="77">
        <f t="shared" si="10"/>
        <v>8995</v>
      </c>
      <c r="G86" s="50">
        <v>0</v>
      </c>
      <c r="H86" s="76">
        <f>IF(C86=0,0,ROUNDDOWN(G86*C86,1))</f>
        <v>0</v>
      </c>
      <c r="I86" s="78">
        <f>재료비목록표!E13</f>
        <v>1799</v>
      </c>
      <c r="J86" s="81">
        <f>IF(C86=0,0,ROUNDDOWN(I86*C86,1))</f>
        <v>8995</v>
      </c>
      <c r="K86" s="50">
        <v>0</v>
      </c>
      <c r="L86" s="76">
        <f>IF(C86=0,0,ROUNDDOWN(K86*C86,1))</f>
        <v>0</v>
      </c>
      <c r="M86" s="23" t="s">
        <v>2349</v>
      </c>
      <c r="N86" s="17" t="s">
        <v>2360</v>
      </c>
      <c r="O86" s="7" t="s">
        <v>2348</v>
      </c>
      <c r="P86" s="7" t="s">
        <v>1209</v>
      </c>
      <c r="Q86" s="7" t="s">
        <v>1214</v>
      </c>
      <c r="Z86" s="3" t="str">
        <f ca="1">HYPERLINK("#"&amp;재료비목록표!G2&amp;"!A"&amp;ROW(재료비목록표!A13),"자재10 →")</f>
        <v>자재10 →</v>
      </c>
    </row>
    <row r="87" spans="1:26" ht="28.7" customHeight="1" x14ac:dyDescent="0.3">
      <c r="A87" s="10" t="s">
        <v>537</v>
      </c>
      <c r="B87" s="10" t="s">
        <v>2361</v>
      </c>
      <c r="C87" s="75">
        <v>38</v>
      </c>
      <c r="D87" s="32" t="s">
        <v>539</v>
      </c>
      <c r="E87" s="54">
        <f t="shared" si="10"/>
        <v>8995</v>
      </c>
      <c r="F87" s="77">
        <f t="shared" si="10"/>
        <v>3418.1</v>
      </c>
      <c r="G87" s="13">
        <v>0</v>
      </c>
      <c r="H87" s="77">
        <f>IF(C87=0,0,ROUNDDOWN(G87*C87/100,1))</f>
        <v>0</v>
      </c>
      <c r="I87" s="79">
        <f>J86</f>
        <v>8995</v>
      </c>
      <c r="J87" s="76">
        <f>IF(C87=0,0,ROUNDDOWN(I87*C87/100,1))</f>
        <v>3418.1</v>
      </c>
      <c r="K87" s="22">
        <v>0</v>
      </c>
      <c r="L87" s="76">
        <f>IF(C87=0,0,ROUNDDOWN(K87*C87/100,1))</f>
        <v>0</v>
      </c>
      <c r="M87" s="23"/>
      <c r="N87" s="17" t="s">
        <v>2362</v>
      </c>
      <c r="O87" s="7" t="s">
        <v>1236</v>
      </c>
      <c r="P87" s="7" t="s">
        <v>1209</v>
      </c>
    </row>
    <row r="88" spans="1:26" ht="28.7" customHeight="1" x14ac:dyDescent="0.3">
      <c r="A88" s="23" t="s">
        <v>6</v>
      </c>
      <c r="B88" s="74"/>
      <c r="C88" s="74"/>
      <c r="D88" s="74"/>
      <c r="E88" s="74"/>
      <c r="F88" s="47">
        <f>J88+H88+L88</f>
        <v>69804</v>
      </c>
      <c r="G88" s="74"/>
      <c r="H88" s="47">
        <f>ROUNDDOWN(SUMIF(P84:P87,O88,H84:H87),0)</f>
        <v>49778</v>
      </c>
      <c r="I88" s="74"/>
      <c r="J88" s="47">
        <f>ROUNDDOWN(SUMIF(P84:P87,O88,J84:J87),0)</f>
        <v>12413</v>
      </c>
      <c r="K88" s="74"/>
      <c r="L88" s="47">
        <f>ROUNDDOWN(SUMIF(P84:P87,O88,L84:L87),0)</f>
        <v>7613</v>
      </c>
      <c r="M88" s="74"/>
      <c r="O88" s="7" t="s">
        <v>1209</v>
      </c>
    </row>
    <row r="89" spans="1:26" ht="28.7" customHeight="1" x14ac:dyDescent="0.3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</row>
    <row r="90" spans="1:26" ht="28.7" customHeight="1" x14ac:dyDescent="0.3">
      <c r="A90" s="135" t="s">
        <v>299</v>
      </c>
      <c r="B90" s="136"/>
      <c r="C90" s="136"/>
      <c r="D90" s="136"/>
      <c r="E90" s="136"/>
      <c r="F90" s="136"/>
      <c r="G90" s="136"/>
      <c r="H90" s="136"/>
      <c r="I90" s="136"/>
      <c r="J90" s="136"/>
      <c r="K90" s="136"/>
      <c r="L90" s="149"/>
      <c r="M90" s="23" t="s">
        <v>302</v>
      </c>
      <c r="N90" s="84" t="str">
        <f>HYPERLINK("#N"&amp;ROW(N93),"_x0005_`BDCOD|X00216_x0007_`POSS|"&amp;ROW(N91)&amp;"_x0007_`POSE|"&amp;ROW(N93)&amp;"_x0007_`")</f>
        <v>_x0005_`BDCOD|X00216_x0007_`POSS|91_x0007_`POSE|93_x0007_`</v>
      </c>
      <c r="O90" s="7" t="s">
        <v>2401</v>
      </c>
    </row>
    <row r="91" spans="1:26" ht="28.7" customHeight="1" x14ac:dyDescent="0.3">
      <c r="A91" s="10" t="s">
        <v>300</v>
      </c>
      <c r="B91" s="10" t="s">
        <v>301</v>
      </c>
      <c r="C91" s="75">
        <v>0.27989999999999998</v>
      </c>
      <c r="D91" s="32" t="s">
        <v>619</v>
      </c>
      <c r="E91" s="54">
        <f t="shared" ref="E91:F93" si="11">I91+G91+K91</f>
        <v>922</v>
      </c>
      <c r="F91" s="77">
        <f t="shared" si="11"/>
        <v>258</v>
      </c>
      <c r="G91" s="50">
        <v>0</v>
      </c>
      <c r="H91" s="77">
        <f>IF(C91=0,0,ROUNDDOWN(G91*C91,1))</f>
        <v>0</v>
      </c>
      <c r="I91" s="50">
        <v>0</v>
      </c>
      <c r="J91" s="76">
        <f>IF(C91=0,0,ROUNDDOWN(I91*C91,1))</f>
        <v>0</v>
      </c>
      <c r="K91" s="78">
        <f>경비목록표!E18</f>
        <v>922</v>
      </c>
      <c r="L91" s="80">
        <f>IF(C91=0,0,ROUNDDOWN(K91*C91,1))</f>
        <v>258</v>
      </c>
      <c r="M91" s="23" t="s">
        <v>2404</v>
      </c>
      <c r="N91" s="17" t="s">
        <v>2402</v>
      </c>
      <c r="O91" s="7" t="s">
        <v>2403</v>
      </c>
      <c r="P91" s="7" t="s">
        <v>1209</v>
      </c>
      <c r="Z91" s="3" t="str">
        <f ca="1">HYPERLINK("#"&amp;경비목록표!G2&amp;"!A"&amp;ROW(경비목록표!A18),"경비15 →")</f>
        <v>경비15 →</v>
      </c>
    </row>
    <row r="92" spans="1:26" ht="28.7" customHeight="1" x14ac:dyDescent="0.3">
      <c r="A92" s="10" t="s">
        <v>582</v>
      </c>
      <c r="B92" s="10" t="s">
        <v>583</v>
      </c>
      <c r="C92" s="75">
        <v>1.3</v>
      </c>
      <c r="D92" s="32" t="s">
        <v>417</v>
      </c>
      <c r="E92" s="54">
        <f t="shared" si="11"/>
        <v>1805</v>
      </c>
      <c r="F92" s="77">
        <f t="shared" si="11"/>
        <v>2346.5</v>
      </c>
      <c r="G92" s="50">
        <v>0</v>
      </c>
      <c r="H92" s="76">
        <f>IF(C92=0,0,ROUNDDOWN(G92*C92,1))</f>
        <v>0</v>
      </c>
      <c r="I92" s="78">
        <f>재료비목록표!E56</f>
        <v>1805</v>
      </c>
      <c r="J92" s="81">
        <f>IF(C92=0,0,ROUNDDOWN(I92*C92,1))</f>
        <v>2346.5</v>
      </c>
      <c r="K92" s="50">
        <v>0</v>
      </c>
      <c r="L92" s="76">
        <f>IF(C92=0,0,ROUNDDOWN(K92*C92,1))</f>
        <v>0</v>
      </c>
      <c r="M92" s="23" t="s">
        <v>2407</v>
      </c>
      <c r="N92" s="17" t="s">
        <v>2405</v>
      </c>
      <c r="O92" s="7" t="s">
        <v>2406</v>
      </c>
      <c r="P92" s="7" t="s">
        <v>1209</v>
      </c>
      <c r="Q92" s="7" t="s">
        <v>1214</v>
      </c>
      <c r="Z92" s="3" t="str">
        <f ca="1">HYPERLINK("#"&amp;재료비목록표!G2&amp;"!A"&amp;ROW(재료비목록표!A56),"자재53 →")</f>
        <v>자재53 →</v>
      </c>
    </row>
    <row r="93" spans="1:26" ht="28.7" customHeight="1" x14ac:dyDescent="0.3">
      <c r="A93" s="10" t="s">
        <v>2408</v>
      </c>
      <c r="B93" s="10" t="s">
        <v>538</v>
      </c>
      <c r="C93" s="75">
        <v>20</v>
      </c>
      <c r="D93" s="32" t="s">
        <v>539</v>
      </c>
      <c r="E93" s="54">
        <f t="shared" si="11"/>
        <v>2346.5</v>
      </c>
      <c r="F93" s="77">
        <f t="shared" si="11"/>
        <v>469.3</v>
      </c>
      <c r="G93" s="13">
        <v>0</v>
      </c>
      <c r="H93" s="77">
        <f>IF(C93=0,0,ROUNDDOWN(G93*C93/100,1))</f>
        <v>0</v>
      </c>
      <c r="I93" s="79">
        <f>J92</f>
        <v>2346.5</v>
      </c>
      <c r="J93" s="76">
        <f>IF(C93=0,0,ROUNDDOWN(I93*C93/100,1))</f>
        <v>469.3</v>
      </c>
      <c r="K93" s="22">
        <v>0</v>
      </c>
      <c r="L93" s="76">
        <f>IF(C93=0,0,ROUNDDOWN(K93*C93/100,1))</f>
        <v>0</v>
      </c>
      <c r="M93" s="23"/>
      <c r="N93" s="17" t="s">
        <v>2362</v>
      </c>
      <c r="O93" s="7" t="s">
        <v>1236</v>
      </c>
      <c r="P93" s="7" t="s">
        <v>1209</v>
      </c>
    </row>
    <row r="94" spans="1:26" ht="28.7" customHeight="1" x14ac:dyDescent="0.3">
      <c r="A94" s="23" t="s">
        <v>6</v>
      </c>
      <c r="B94" s="74"/>
      <c r="C94" s="74"/>
      <c r="D94" s="74"/>
      <c r="E94" s="74"/>
      <c r="F94" s="47">
        <f>J94+H94+L94</f>
        <v>3073</v>
      </c>
      <c r="G94" s="74"/>
      <c r="H94" s="47">
        <f>ROUNDDOWN(SUMIF(P91:P93,O94,H91:H93),0)</f>
        <v>0</v>
      </c>
      <c r="I94" s="74"/>
      <c r="J94" s="47">
        <f>ROUNDDOWN(SUMIF(P91:P93,O94,J91:J93),0)</f>
        <v>2815</v>
      </c>
      <c r="K94" s="74"/>
      <c r="L94" s="47">
        <f>ROUNDDOWN(SUMIF(P91:P93,O94,L91:L93),0)</f>
        <v>258</v>
      </c>
      <c r="M94" s="74"/>
      <c r="O94" s="7" t="s">
        <v>1209</v>
      </c>
    </row>
    <row r="95" spans="1:26" ht="28.7" customHeight="1" x14ac:dyDescent="0.3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</row>
    <row r="96" spans="1:26" ht="28.7" customHeight="1" x14ac:dyDescent="0.3">
      <c r="A96" s="135" t="s">
        <v>303</v>
      </c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49"/>
      <c r="M96" s="23" t="s">
        <v>306</v>
      </c>
      <c r="N96" s="84" t="str">
        <f>HYPERLINK("#N"&amp;ROW(N100),"_x0005_`BDCOD|X00138_x0007_`POSS|"&amp;ROW(N97)&amp;"_x0007_`POSE|"&amp;ROW(N100)&amp;"_x0007_`")</f>
        <v>_x0005_`BDCOD|X00138_x0007_`POSS|97_x0007_`POSE|100_x0007_`</v>
      </c>
      <c r="O96" s="7" t="s">
        <v>2409</v>
      </c>
    </row>
    <row r="97" spans="1:26" ht="28.7" customHeight="1" x14ac:dyDescent="0.3">
      <c r="A97" s="10" t="s">
        <v>304</v>
      </c>
      <c r="B97" s="10" t="s">
        <v>305</v>
      </c>
      <c r="C97" s="75">
        <v>0.20849999999999999</v>
      </c>
      <c r="D97" s="32" t="s">
        <v>619</v>
      </c>
      <c r="E97" s="54">
        <f t="shared" ref="E97:F100" si="12">I97+G97+K97</f>
        <v>35999</v>
      </c>
      <c r="F97" s="77">
        <f t="shared" si="12"/>
        <v>7505.7</v>
      </c>
      <c r="G97" s="50">
        <v>0</v>
      </c>
      <c r="H97" s="77">
        <f>IF(C97=0,0,ROUNDDOWN(G97*C97,1))</f>
        <v>0</v>
      </c>
      <c r="I97" s="50">
        <v>0</v>
      </c>
      <c r="J97" s="76">
        <f>IF(C97=0,0,ROUNDDOWN(I97*C97,1))</f>
        <v>0</v>
      </c>
      <c r="K97" s="78">
        <f>경비목록표!E19</f>
        <v>35999</v>
      </c>
      <c r="L97" s="80">
        <f>IF(C97=0,0,ROUNDDOWN(K97*C97,1))</f>
        <v>7505.7</v>
      </c>
      <c r="M97" s="23" t="s">
        <v>2412</v>
      </c>
      <c r="N97" s="17" t="s">
        <v>2410</v>
      </c>
      <c r="O97" s="7" t="s">
        <v>2411</v>
      </c>
      <c r="P97" s="7" t="s">
        <v>1209</v>
      </c>
      <c r="Z97" s="3" t="str">
        <f ca="1">HYPERLINK("#"&amp;경비목록표!G2&amp;"!A"&amp;ROW(경비목록표!A19),"경비16 →")</f>
        <v>경비16 →</v>
      </c>
    </row>
    <row r="98" spans="1:26" ht="28.7" customHeight="1" x14ac:dyDescent="0.3">
      <c r="A98" s="10" t="s">
        <v>586</v>
      </c>
      <c r="B98" s="10"/>
      <c r="C98" s="75">
        <v>1</v>
      </c>
      <c r="D98" s="32" t="s">
        <v>587</v>
      </c>
      <c r="E98" s="54">
        <f t="shared" si="12"/>
        <v>59020.2</v>
      </c>
      <c r="F98" s="76">
        <f t="shared" si="12"/>
        <v>59020.2</v>
      </c>
      <c r="G98" s="78">
        <f>환율및기초자료!G6</f>
        <v>59020.2</v>
      </c>
      <c r="H98" s="81">
        <f>IF(C98=0,0,ROUNDDOWN(G98*C98,1))</f>
        <v>59020.2</v>
      </c>
      <c r="I98" s="50">
        <v>0</v>
      </c>
      <c r="J98" s="77">
        <f>IF(C98=0,0,ROUNDDOWN(I98*C98,1))</f>
        <v>0</v>
      </c>
      <c r="K98" s="50">
        <v>0</v>
      </c>
      <c r="L98" s="76">
        <f>IF(C98=0,0,ROUNDDOWN(K98*C98,1))</f>
        <v>0</v>
      </c>
      <c r="M98" s="23" t="s">
        <v>2346</v>
      </c>
      <c r="N98" s="17" t="s">
        <v>2344</v>
      </c>
      <c r="O98" s="7" t="s">
        <v>2345</v>
      </c>
      <c r="P98" s="7" t="s">
        <v>1209</v>
      </c>
      <c r="Z98" s="3" t="str">
        <f ca="1">HYPERLINK("#"&amp;환율및기초자료!I2&amp;"!A"&amp;ROW(환율및기초자료!A6),"노무1 →")</f>
        <v>노무1 →</v>
      </c>
    </row>
    <row r="99" spans="1:26" ht="28.7" customHeight="1" x14ac:dyDescent="0.3">
      <c r="A99" s="10" t="s">
        <v>415</v>
      </c>
      <c r="B99" s="10" t="s">
        <v>416</v>
      </c>
      <c r="C99" s="75">
        <v>3.5</v>
      </c>
      <c r="D99" s="32" t="s">
        <v>417</v>
      </c>
      <c r="E99" s="54">
        <f t="shared" si="12"/>
        <v>1799</v>
      </c>
      <c r="F99" s="77">
        <f t="shared" si="12"/>
        <v>6296.5</v>
      </c>
      <c r="G99" s="50">
        <v>0</v>
      </c>
      <c r="H99" s="76">
        <f>IF(C99=0,0,ROUNDDOWN(G99*C99,1))</f>
        <v>0</v>
      </c>
      <c r="I99" s="78">
        <f>재료비목록표!E13</f>
        <v>1799</v>
      </c>
      <c r="J99" s="81">
        <f>IF(C99=0,0,ROUNDDOWN(I99*C99,1))</f>
        <v>6296.5</v>
      </c>
      <c r="K99" s="50">
        <v>0</v>
      </c>
      <c r="L99" s="76">
        <f>IF(C99=0,0,ROUNDDOWN(K99*C99,1))</f>
        <v>0</v>
      </c>
      <c r="M99" s="23" t="s">
        <v>2349</v>
      </c>
      <c r="N99" s="17" t="s">
        <v>2360</v>
      </c>
      <c r="O99" s="7" t="s">
        <v>2348</v>
      </c>
      <c r="P99" s="7" t="s">
        <v>1209</v>
      </c>
      <c r="Q99" s="7" t="s">
        <v>1214</v>
      </c>
      <c r="Z99" s="3" t="str">
        <f ca="1">HYPERLINK("#"&amp;재료비목록표!G2&amp;"!A"&amp;ROW(재료비목록표!A13),"자재10 →")</f>
        <v>자재10 →</v>
      </c>
    </row>
    <row r="100" spans="1:26" ht="28.7" customHeight="1" x14ac:dyDescent="0.3">
      <c r="A100" s="10" t="s">
        <v>537</v>
      </c>
      <c r="B100" s="10" t="s">
        <v>2361</v>
      </c>
      <c r="C100" s="75">
        <v>44</v>
      </c>
      <c r="D100" s="32" t="s">
        <v>539</v>
      </c>
      <c r="E100" s="54">
        <f t="shared" si="12"/>
        <v>6296.5</v>
      </c>
      <c r="F100" s="77">
        <f t="shared" si="12"/>
        <v>2770.4</v>
      </c>
      <c r="G100" s="13">
        <v>0</v>
      </c>
      <c r="H100" s="77">
        <f>IF(C100=0,0,ROUNDDOWN(G100*C100/100,1))</f>
        <v>0</v>
      </c>
      <c r="I100" s="79">
        <f>J99</f>
        <v>6296.5</v>
      </c>
      <c r="J100" s="76">
        <f>IF(C100=0,0,ROUNDDOWN(I100*C100/100,1))</f>
        <v>2770.4</v>
      </c>
      <c r="K100" s="22">
        <v>0</v>
      </c>
      <c r="L100" s="76">
        <f>IF(C100=0,0,ROUNDDOWN(K100*C100/100,1))</f>
        <v>0</v>
      </c>
      <c r="M100" s="23"/>
      <c r="N100" s="17" t="s">
        <v>2362</v>
      </c>
      <c r="O100" s="7" t="s">
        <v>1236</v>
      </c>
      <c r="P100" s="7" t="s">
        <v>1209</v>
      </c>
    </row>
    <row r="101" spans="1:26" ht="28.7" customHeight="1" x14ac:dyDescent="0.3">
      <c r="A101" s="23" t="s">
        <v>6</v>
      </c>
      <c r="B101" s="74"/>
      <c r="C101" s="74"/>
      <c r="D101" s="74"/>
      <c r="E101" s="74"/>
      <c r="F101" s="47">
        <f>J101+H101+L101</f>
        <v>75591</v>
      </c>
      <c r="G101" s="74"/>
      <c r="H101" s="47">
        <f>ROUNDDOWN(SUMIF(P97:P100,O101,H97:H100),0)</f>
        <v>59020</v>
      </c>
      <c r="I101" s="74"/>
      <c r="J101" s="47">
        <f>ROUNDDOWN(SUMIF(P97:P100,O101,J97:J100),0)</f>
        <v>9066</v>
      </c>
      <c r="K101" s="74"/>
      <c r="L101" s="47">
        <f>ROUNDDOWN(SUMIF(P97:P100,O101,L97:L100),0)</f>
        <v>7505</v>
      </c>
      <c r="M101" s="74"/>
      <c r="O101" s="7" t="s">
        <v>1209</v>
      </c>
    </row>
    <row r="102" spans="1:26" ht="28.7" customHeight="1" x14ac:dyDescent="0.3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</row>
    <row r="103" spans="1:26" ht="28.7" customHeight="1" x14ac:dyDescent="0.3">
      <c r="A103" s="135" t="s">
        <v>307</v>
      </c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49"/>
      <c r="M103" s="23" t="s">
        <v>310</v>
      </c>
      <c r="N103" s="84" t="str">
        <f>HYPERLINK("#N"&amp;ROW(N108),"_x0005_`BDCOD|X00289_x0007_`POSS|"&amp;ROW(N104)&amp;"_x0007_`POSE|"&amp;ROW(N108)&amp;"_x0007_`")</f>
        <v>_x0005_`BDCOD|X00289_x0007_`POSS|104_x0007_`POSE|108_x0007_`</v>
      </c>
      <c r="O103" s="7" t="s">
        <v>2413</v>
      </c>
    </row>
    <row r="104" spans="1:26" ht="28.7" customHeight="1" x14ac:dyDescent="0.3">
      <c r="A104" s="10" t="s">
        <v>304</v>
      </c>
      <c r="B104" s="10" t="s">
        <v>309</v>
      </c>
      <c r="C104" s="75">
        <v>0.20849999999999999</v>
      </c>
      <c r="D104" s="32" t="s">
        <v>619</v>
      </c>
      <c r="E104" s="54">
        <f t="shared" ref="E104:F108" si="13">I104+G104+K104</f>
        <v>46576</v>
      </c>
      <c r="F104" s="77">
        <f t="shared" si="13"/>
        <v>9711</v>
      </c>
      <c r="G104" s="50">
        <v>0</v>
      </c>
      <c r="H104" s="77">
        <f>IF(C104=0,0,ROUNDDOWN(G104*C104,1))</f>
        <v>0</v>
      </c>
      <c r="I104" s="50">
        <v>0</v>
      </c>
      <c r="J104" s="76">
        <f>IF(C104=0,0,ROUNDDOWN(I104*C104,1))</f>
        <v>0</v>
      </c>
      <c r="K104" s="78">
        <f>경비목록표!E20</f>
        <v>46576</v>
      </c>
      <c r="L104" s="80">
        <f>IF(C104=0,0,ROUNDDOWN(K104*C104,1))</f>
        <v>9711</v>
      </c>
      <c r="M104" s="23" t="s">
        <v>2416</v>
      </c>
      <c r="N104" s="17" t="s">
        <v>2414</v>
      </c>
      <c r="O104" s="7" t="s">
        <v>2415</v>
      </c>
      <c r="P104" s="7" t="s">
        <v>1209</v>
      </c>
      <c r="Z104" s="3" t="str">
        <f ca="1">HYPERLINK("#"&amp;경비목록표!G2&amp;"!A"&amp;ROW(경비목록표!A20),"경비17 →")</f>
        <v>경비17 →</v>
      </c>
    </row>
    <row r="105" spans="1:26" ht="28.7" customHeight="1" x14ac:dyDescent="0.3">
      <c r="A105" s="10" t="s">
        <v>586</v>
      </c>
      <c r="B105" s="10"/>
      <c r="C105" s="75">
        <v>1</v>
      </c>
      <c r="D105" s="32" t="s">
        <v>587</v>
      </c>
      <c r="E105" s="54">
        <f t="shared" si="13"/>
        <v>59020.2</v>
      </c>
      <c r="F105" s="76">
        <f t="shared" si="13"/>
        <v>59020.2</v>
      </c>
      <c r="G105" s="78">
        <f>환율및기초자료!G6</f>
        <v>59020.2</v>
      </c>
      <c r="H105" s="81">
        <f>IF(C105=0,0,ROUNDDOWN(G105*C105,1))</f>
        <v>59020.2</v>
      </c>
      <c r="I105" s="50">
        <v>0</v>
      </c>
      <c r="J105" s="77">
        <f>IF(C105=0,0,ROUNDDOWN(I105*C105,1))</f>
        <v>0</v>
      </c>
      <c r="K105" s="50">
        <v>0</v>
      </c>
      <c r="L105" s="76">
        <f>IF(C105=0,0,ROUNDDOWN(K105*C105,1))</f>
        <v>0</v>
      </c>
      <c r="M105" s="23" t="s">
        <v>2346</v>
      </c>
      <c r="N105" s="17" t="s">
        <v>2344</v>
      </c>
      <c r="O105" s="7" t="s">
        <v>2345</v>
      </c>
      <c r="P105" s="7" t="s">
        <v>1209</v>
      </c>
      <c r="Z105" s="3" t="str">
        <f ca="1">HYPERLINK("#"&amp;환율및기초자료!I2&amp;"!A"&amp;ROW(환율및기초자료!A6),"노무1 →")</f>
        <v>노무1 →</v>
      </c>
    </row>
    <row r="106" spans="1:26" ht="28.7" customHeight="1" x14ac:dyDescent="0.3">
      <c r="A106" s="10" t="s">
        <v>415</v>
      </c>
      <c r="B106" s="10" t="s">
        <v>416</v>
      </c>
      <c r="C106" s="75">
        <v>6.2</v>
      </c>
      <c r="D106" s="32" t="s">
        <v>417</v>
      </c>
      <c r="E106" s="54">
        <f t="shared" si="13"/>
        <v>1799</v>
      </c>
      <c r="F106" s="77">
        <f t="shared" si="13"/>
        <v>11153.8</v>
      </c>
      <c r="G106" s="50">
        <v>0</v>
      </c>
      <c r="H106" s="76">
        <f>IF(C106=0,0,ROUNDDOWN(G106*C106,1))</f>
        <v>0</v>
      </c>
      <c r="I106" s="78">
        <f>재료비목록표!E13</f>
        <v>1799</v>
      </c>
      <c r="J106" s="81">
        <f>IF(C106=0,0,ROUNDDOWN(I106*C106,1))</f>
        <v>11153.8</v>
      </c>
      <c r="K106" s="50">
        <v>0</v>
      </c>
      <c r="L106" s="76">
        <f>IF(C106=0,0,ROUNDDOWN(K106*C106,1))</f>
        <v>0</v>
      </c>
      <c r="M106" s="23" t="s">
        <v>2349</v>
      </c>
      <c r="N106" s="17" t="s">
        <v>2360</v>
      </c>
      <c r="O106" s="7" t="s">
        <v>2348</v>
      </c>
      <c r="P106" s="7" t="s">
        <v>1209</v>
      </c>
      <c r="Q106" s="7" t="s">
        <v>1214</v>
      </c>
      <c r="Z106" s="3" t="str">
        <f ca="1">HYPERLINK("#"&amp;재료비목록표!G2&amp;"!A"&amp;ROW(재료비목록표!A13),"자재10 →")</f>
        <v>자재10 →</v>
      </c>
    </row>
    <row r="107" spans="1:26" ht="28.7" customHeight="1" x14ac:dyDescent="0.3">
      <c r="A107" s="10" t="s">
        <v>537</v>
      </c>
      <c r="B107" s="10" t="s">
        <v>2361</v>
      </c>
      <c r="C107" s="75">
        <v>44</v>
      </c>
      <c r="D107" s="32" t="s">
        <v>539</v>
      </c>
      <c r="E107" s="54">
        <f t="shared" si="13"/>
        <v>11153.8</v>
      </c>
      <c r="F107" s="77">
        <f t="shared" si="13"/>
        <v>4907.6000000000004</v>
      </c>
      <c r="G107" s="13">
        <v>0</v>
      </c>
      <c r="H107" s="77">
        <f>IF(C107=0,0,ROUNDDOWN(G107*C107/100,1))</f>
        <v>0</v>
      </c>
      <c r="I107" s="79">
        <f>J106</f>
        <v>11153.8</v>
      </c>
      <c r="J107" s="76">
        <f>IF(C107=0,0,ROUNDDOWN(I107*C107/100,1))</f>
        <v>4907.6000000000004</v>
      </c>
      <c r="K107" s="22">
        <v>0</v>
      </c>
      <c r="L107" s="76">
        <f>IF(C107=0,0,ROUNDDOWN(K107*C107/100,1))</f>
        <v>0</v>
      </c>
      <c r="M107" s="23"/>
      <c r="N107" s="17" t="s">
        <v>2362</v>
      </c>
      <c r="O107" s="7" t="s">
        <v>1236</v>
      </c>
      <c r="P107" s="7" t="s">
        <v>1209</v>
      </c>
    </row>
    <row r="108" spans="1:26" ht="28.7" customHeight="1" x14ac:dyDescent="0.3">
      <c r="A108" s="10" t="s">
        <v>327</v>
      </c>
      <c r="B108" s="10" t="s">
        <v>309</v>
      </c>
      <c r="C108" s="75">
        <v>1</v>
      </c>
      <c r="D108" s="32" t="s">
        <v>261</v>
      </c>
      <c r="E108" s="54">
        <f t="shared" si="13"/>
        <v>11793</v>
      </c>
      <c r="F108" s="76">
        <f t="shared" si="13"/>
        <v>11793</v>
      </c>
      <c r="G108" s="78">
        <f>중기목록표!F23</f>
        <v>0</v>
      </c>
      <c r="H108" s="80">
        <f>IF(C108=0,0,ROUNDDOWN(G108*C108,1))</f>
        <v>0</v>
      </c>
      <c r="I108" s="78">
        <f>중기목록표!G23</f>
        <v>0</v>
      </c>
      <c r="J108" s="80">
        <f>IF(C108=0,0,ROUNDDOWN(I108*C108,1))</f>
        <v>0</v>
      </c>
      <c r="K108" s="78">
        <f>중기목록표!H23</f>
        <v>11793</v>
      </c>
      <c r="L108" s="80">
        <f>IF(C108=0,0,ROUNDDOWN(K108*C108,1))</f>
        <v>11793</v>
      </c>
      <c r="M108" s="23" t="s">
        <v>2419</v>
      </c>
      <c r="N108" s="17" t="s">
        <v>2417</v>
      </c>
      <c r="O108" s="7" t="s">
        <v>2418</v>
      </c>
      <c r="P108" s="7" t="s">
        <v>1209</v>
      </c>
      <c r="Z108" s="3" t="str">
        <f ca="1">HYPERLINK("#"&amp;중기목록표!J2&amp;"!A"&amp;ROW(중기목록표!A23),"중기20 →")</f>
        <v>중기20 →</v>
      </c>
    </row>
    <row r="109" spans="1:26" ht="28.7" customHeight="1" x14ac:dyDescent="0.3">
      <c r="A109" s="23" t="s">
        <v>6</v>
      </c>
      <c r="B109" s="74"/>
      <c r="C109" s="74"/>
      <c r="D109" s="74"/>
      <c r="E109" s="74"/>
      <c r="F109" s="47">
        <f>J109+H109+L109</f>
        <v>96585</v>
      </c>
      <c r="G109" s="74"/>
      <c r="H109" s="47">
        <f>ROUNDDOWN(SUMIF(P104:P108,O109,H104:H108),0)</f>
        <v>59020</v>
      </c>
      <c r="I109" s="74"/>
      <c r="J109" s="47">
        <f>ROUNDDOWN(SUMIF(P104:P108,O109,J104:J108),0)</f>
        <v>16061</v>
      </c>
      <c r="K109" s="74"/>
      <c r="L109" s="47">
        <f>ROUNDDOWN(SUMIF(P104:P108,O109,L104:L108),0)</f>
        <v>21504</v>
      </c>
      <c r="M109" s="74"/>
      <c r="O109" s="7" t="s">
        <v>1209</v>
      </c>
    </row>
    <row r="110" spans="1:26" ht="28.7" customHeight="1" x14ac:dyDescent="0.3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</row>
    <row r="111" spans="1:26" ht="28.7" customHeight="1" x14ac:dyDescent="0.3">
      <c r="A111" s="135" t="s">
        <v>311</v>
      </c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49"/>
      <c r="M111" s="23" t="s">
        <v>314</v>
      </c>
      <c r="N111" s="84" t="str">
        <f>HYPERLINK("#N"&amp;ROW(N115),"_x0005_`BDCOD|X00020_x0007_`POSS|"&amp;ROW(N112)&amp;"_x0007_`POSE|"&amp;ROW(N115)&amp;"_x0007_`")</f>
        <v>_x0005_`BDCOD|X00020_x0007_`POSS|112_x0007_`POSE|115_x0007_`</v>
      </c>
      <c r="O111" s="7" t="s">
        <v>2420</v>
      </c>
    </row>
    <row r="112" spans="1:26" ht="28.7" customHeight="1" x14ac:dyDescent="0.3">
      <c r="A112" s="10" t="s">
        <v>312</v>
      </c>
      <c r="B112" s="10" t="s">
        <v>313</v>
      </c>
      <c r="C112" s="75">
        <v>0.1802</v>
      </c>
      <c r="D112" s="32" t="s">
        <v>619</v>
      </c>
      <c r="E112" s="54">
        <f t="shared" ref="E112:F115" si="14">I112+G112+K112</f>
        <v>71351</v>
      </c>
      <c r="F112" s="77">
        <f t="shared" si="14"/>
        <v>12857.4</v>
      </c>
      <c r="G112" s="50">
        <v>0</v>
      </c>
      <c r="H112" s="77">
        <f>IF(C112=0,0,ROUNDDOWN(G112*C112,1))</f>
        <v>0</v>
      </c>
      <c r="I112" s="50">
        <v>0</v>
      </c>
      <c r="J112" s="76">
        <f>IF(C112=0,0,ROUNDDOWN(I112*C112,1))</f>
        <v>0</v>
      </c>
      <c r="K112" s="78">
        <f>경비목록표!E21</f>
        <v>71351</v>
      </c>
      <c r="L112" s="80">
        <f>IF(C112=0,0,ROUNDDOWN(K112*C112,1))</f>
        <v>12857.4</v>
      </c>
      <c r="M112" s="23" t="s">
        <v>2423</v>
      </c>
      <c r="N112" s="17" t="s">
        <v>2421</v>
      </c>
      <c r="O112" s="7" t="s">
        <v>2422</v>
      </c>
      <c r="P112" s="7" t="s">
        <v>1209</v>
      </c>
      <c r="Z112" s="3" t="str">
        <f ca="1">HYPERLINK("#"&amp;경비목록표!G2&amp;"!A"&amp;ROW(경비목록표!A21),"경비18 →")</f>
        <v>경비18 →</v>
      </c>
    </row>
    <row r="113" spans="1:26" ht="28.7" customHeight="1" x14ac:dyDescent="0.3">
      <c r="A113" s="10" t="s">
        <v>586</v>
      </c>
      <c r="B113" s="10"/>
      <c r="C113" s="75">
        <v>1</v>
      </c>
      <c r="D113" s="32" t="s">
        <v>587</v>
      </c>
      <c r="E113" s="54">
        <f t="shared" si="14"/>
        <v>59020.2</v>
      </c>
      <c r="F113" s="76">
        <f t="shared" si="14"/>
        <v>59020.2</v>
      </c>
      <c r="G113" s="78">
        <f>환율및기초자료!G6</f>
        <v>59020.2</v>
      </c>
      <c r="H113" s="81">
        <f>IF(C113=0,0,ROUNDDOWN(G113*C113,1))</f>
        <v>59020.2</v>
      </c>
      <c r="I113" s="50">
        <v>0</v>
      </c>
      <c r="J113" s="77">
        <f>IF(C113=0,0,ROUNDDOWN(I113*C113,1))</f>
        <v>0</v>
      </c>
      <c r="K113" s="50">
        <v>0</v>
      </c>
      <c r="L113" s="76">
        <f>IF(C113=0,0,ROUNDDOWN(K113*C113,1))</f>
        <v>0</v>
      </c>
      <c r="M113" s="23" t="s">
        <v>2346</v>
      </c>
      <c r="N113" s="17" t="s">
        <v>2344</v>
      </c>
      <c r="O113" s="7" t="s">
        <v>2345</v>
      </c>
      <c r="P113" s="7" t="s">
        <v>1209</v>
      </c>
      <c r="Z113" s="3" t="str">
        <f ca="1">HYPERLINK("#"&amp;환율및기초자료!I2&amp;"!A"&amp;ROW(환율및기초자료!A6),"노무1 →")</f>
        <v>노무1 →</v>
      </c>
    </row>
    <row r="114" spans="1:26" ht="28.7" customHeight="1" x14ac:dyDescent="0.3">
      <c r="A114" s="10" t="s">
        <v>415</v>
      </c>
      <c r="B114" s="10" t="s">
        <v>416</v>
      </c>
      <c r="C114" s="75">
        <v>9.3000000000000007</v>
      </c>
      <c r="D114" s="32" t="s">
        <v>417</v>
      </c>
      <c r="E114" s="54">
        <f t="shared" si="14"/>
        <v>1799</v>
      </c>
      <c r="F114" s="77">
        <f t="shared" si="14"/>
        <v>16730.7</v>
      </c>
      <c r="G114" s="50">
        <v>0</v>
      </c>
      <c r="H114" s="76">
        <f>IF(C114=0,0,ROUNDDOWN(G114*C114,1))</f>
        <v>0</v>
      </c>
      <c r="I114" s="78">
        <f>재료비목록표!E13</f>
        <v>1799</v>
      </c>
      <c r="J114" s="81">
        <f>IF(C114=0,0,ROUNDDOWN(I114*C114,1))</f>
        <v>16730.7</v>
      </c>
      <c r="K114" s="50">
        <v>0</v>
      </c>
      <c r="L114" s="76">
        <f>IF(C114=0,0,ROUNDDOWN(K114*C114,1))</f>
        <v>0</v>
      </c>
      <c r="M114" s="23" t="s">
        <v>2349</v>
      </c>
      <c r="N114" s="17" t="s">
        <v>2360</v>
      </c>
      <c r="O114" s="7" t="s">
        <v>2348</v>
      </c>
      <c r="P114" s="7" t="s">
        <v>1209</v>
      </c>
      <c r="Q114" s="7" t="s">
        <v>1214</v>
      </c>
      <c r="Z114" s="3" t="str">
        <f ca="1">HYPERLINK("#"&amp;재료비목록표!G2&amp;"!A"&amp;ROW(재료비목록표!A13),"자재10 →")</f>
        <v>자재10 →</v>
      </c>
    </row>
    <row r="115" spans="1:26" ht="28.7" customHeight="1" x14ac:dyDescent="0.3">
      <c r="A115" s="10" t="s">
        <v>537</v>
      </c>
      <c r="B115" s="10" t="s">
        <v>2361</v>
      </c>
      <c r="C115" s="75">
        <v>18</v>
      </c>
      <c r="D115" s="32" t="s">
        <v>539</v>
      </c>
      <c r="E115" s="54">
        <f t="shared" si="14"/>
        <v>16730.7</v>
      </c>
      <c r="F115" s="77">
        <f t="shared" si="14"/>
        <v>3011.5</v>
      </c>
      <c r="G115" s="13">
        <v>0</v>
      </c>
      <c r="H115" s="77">
        <f>IF(C115=0,0,ROUNDDOWN(G115*C115/100,1))</f>
        <v>0</v>
      </c>
      <c r="I115" s="79">
        <f>J114</f>
        <v>16730.7</v>
      </c>
      <c r="J115" s="76">
        <f>IF(C115=0,0,ROUNDDOWN(I115*C115/100,1))</f>
        <v>3011.5</v>
      </c>
      <c r="K115" s="22">
        <v>0</v>
      </c>
      <c r="L115" s="76">
        <f>IF(C115=0,0,ROUNDDOWN(K115*C115/100,1))</f>
        <v>0</v>
      </c>
      <c r="M115" s="23"/>
      <c r="N115" s="17" t="s">
        <v>2362</v>
      </c>
      <c r="O115" s="7" t="s">
        <v>1236</v>
      </c>
      <c r="P115" s="7" t="s">
        <v>1209</v>
      </c>
    </row>
    <row r="116" spans="1:26" ht="28.7" customHeight="1" x14ac:dyDescent="0.3">
      <c r="A116" s="23" t="s">
        <v>6</v>
      </c>
      <c r="B116" s="74"/>
      <c r="C116" s="74"/>
      <c r="D116" s="74"/>
      <c r="E116" s="74"/>
      <c r="F116" s="47">
        <f>J116+H116+L116</f>
        <v>91619</v>
      </c>
      <c r="G116" s="74"/>
      <c r="H116" s="47">
        <f>ROUNDDOWN(SUMIF(P112:P115,O116,H112:H115),0)</f>
        <v>59020</v>
      </c>
      <c r="I116" s="74"/>
      <c r="J116" s="47">
        <f>ROUNDDOWN(SUMIF(P112:P115,O116,J112:J115),0)</f>
        <v>19742</v>
      </c>
      <c r="K116" s="74"/>
      <c r="L116" s="47">
        <f>ROUNDDOWN(SUMIF(P112:P115,O116,L112:L115),0)</f>
        <v>12857</v>
      </c>
      <c r="M116" s="74"/>
      <c r="O116" s="7" t="s">
        <v>1209</v>
      </c>
    </row>
    <row r="117" spans="1:26" ht="28.7" customHeight="1" x14ac:dyDescent="0.3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</row>
    <row r="118" spans="1:26" ht="28.7" customHeight="1" x14ac:dyDescent="0.3">
      <c r="A118" s="135" t="s">
        <v>315</v>
      </c>
      <c r="B118" s="136"/>
      <c r="C118" s="136"/>
      <c r="D118" s="136"/>
      <c r="E118" s="136"/>
      <c r="F118" s="136"/>
      <c r="G118" s="136"/>
      <c r="H118" s="136"/>
      <c r="I118" s="136"/>
      <c r="J118" s="136"/>
      <c r="K118" s="136"/>
      <c r="L118" s="149"/>
      <c r="M118" s="23" t="s">
        <v>318</v>
      </c>
      <c r="N118" s="84" t="str">
        <f>HYPERLINK("#N"&amp;ROW(N122),"_x0005_`BDCOD|X00135_x0007_`POSS|"&amp;ROW(N119)&amp;"_x0007_`POSE|"&amp;ROW(N122)&amp;"_x0007_`")</f>
        <v>_x0005_`BDCOD|X00135_x0007_`POSS|119_x0007_`POSE|122_x0007_`</v>
      </c>
      <c r="O118" s="7" t="s">
        <v>2424</v>
      </c>
    </row>
    <row r="119" spans="1:26" ht="28.7" customHeight="1" x14ac:dyDescent="0.3">
      <c r="A119" s="10" t="s">
        <v>316</v>
      </c>
      <c r="B119" s="10" t="s">
        <v>317</v>
      </c>
      <c r="C119" s="75">
        <v>0.21129999999999999</v>
      </c>
      <c r="D119" s="32" t="s">
        <v>619</v>
      </c>
      <c r="E119" s="54">
        <f t="shared" ref="E119:F122" si="15">I119+G119+K119</f>
        <v>90649</v>
      </c>
      <c r="F119" s="77">
        <f t="shared" si="15"/>
        <v>19154.099999999999</v>
      </c>
      <c r="G119" s="50">
        <v>0</v>
      </c>
      <c r="H119" s="77">
        <f>IF(C119=0,0,ROUNDDOWN(G119*C119,1))</f>
        <v>0</v>
      </c>
      <c r="I119" s="50">
        <v>0</v>
      </c>
      <c r="J119" s="76">
        <f>IF(C119=0,0,ROUNDDOWN(I119*C119,1))</f>
        <v>0</v>
      </c>
      <c r="K119" s="78">
        <f>경비목록표!E22</f>
        <v>90649</v>
      </c>
      <c r="L119" s="80">
        <f>IF(C119=0,0,ROUNDDOWN(K119*C119,1))</f>
        <v>19154.099999999999</v>
      </c>
      <c r="M119" s="23" t="s">
        <v>2427</v>
      </c>
      <c r="N119" s="17" t="s">
        <v>2425</v>
      </c>
      <c r="O119" s="7" t="s">
        <v>2426</v>
      </c>
      <c r="P119" s="7" t="s">
        <v>1209</v>
      </c>
      <c r="Z119" s="3" t="str">
        <f ca="1">HYPERLINK("#"&amp;경비목록표!G2&amp;"!A"&amp;ROW(경비목록표!A22),"경비19 →")</f>
        <v>경비19 →</v>
      </c>
    </row>
    <row r="120" spans="1:26" ht="28.7" customHeight="1" x14ac:dyDescent="0.3">
      <c r="A120" s="10" t="s">
        <v>613</v>
      </c>
      <c r="B120" s="10"/>
      <c r="C120" s="75">
        <v>1</v>
      </c>
      <c r="D120" s="32" t="s">
        <v>587</v>
      </c>
      <c r="E120" s="54">
        <f t="shared" si="15"/>
        <v>49778.3</v>
      </c>
      <c r="F120" s="76">
        <f t="shared" si="15"/>
        <v>49778.3</v>
      </c>
      <c r="G120" s="78">
        <f>환율및기초자료!G7</f>
        <v>49778.3</v>
      </c>
      <c r="H120" s="81">
        <f>IF(C120=0,0,ROUNDDOWN(G120*C120,1))</f>
        <v>49778.3</v>
      </c>
      <c r="I120" s="50">
        <v>0</v>
      </c>
      <c r="J120" s="77">
        <f>IF(C120=0,0,ROUNDDOWN(I120*C120,1))</f>
        <v>0</v>
      </c>
      <c r="K120" s="50">
        <v>0</v>
      </c>
      <c r="L120" s="76">
        <f>IF(C120=0,0,ROUNDDOWN(K120*C120,1))</f>
        <v>0</v>
      </c>
      <c r="M120" s="23" t="s">
        <v>2396</v>
      </c>
      <c r="N120" s="17" t="s">
        <v>2394</v>
      </c>
      <c r="O120" s="7" t="s">
        <v>2395</v>
      </c>
      <c r="P120" s="7" t="s">
        <v>1209</v>
      </c>
      <c r="Z120" s="3" t="str">
        <f ca="1">HYPERLINK("#"&amp;환율및기초자료!I2&amp;"!A"&amp;ROW(환율및기초자료!A7),"노무14 →")</f>
        <v>노무14 →</v>
      </c>
    </row>
    <row r="121" spans="1:26" ht="28.7" customHeight="1" x14ac:dyDescent="0.3">
      <c r="A121" s="10" t="s">
        <v>415</v>
      </c>
      <c r="B121" s="10" t="s">
        <v>416</v>
      </c>
      <c r="C121" s="75">
        <v>12.9</v>
      </c>
      <c r="D121" s="32" t="s">
        <v>417</v>
      </c>
      <c r="E121" s="54">
        <f t="shared" si="15"/>
        <v>1799</v>
      </c>
      <c r="F121" s="77">
        <f t="shared" si="15"/>
        <v>23207.1</v>
      </c>
      <c r="G121" s="50">
        <v>0</v>
      </c>
      <c r="H121" s="76">
        <f>IF(C121=0,0,ROUNDDOWN(G121*C121,1))</f>
        <v>0</v>
      </c>
      <c r="I121" s="78">
        <f>재료비목록표!E13</f>
        <v>1799</v>
      </c>
      <c r="J121" s="81">
        <f>IF(C121=0,0,ROUNDDOWN(I121*C121,1))</f>
        <v>23207.1</v>
      </c>
      <c r="K121" s="50">
        <v>0</v>
      </c>
      <c r="L121" s="76">
        <f>IF(C121=0,0,ROUNDDOWN(K121*C121,1))</f>
        <v>0</v>
      </c>
      <c r="M121" s="23" t="s">
        <v>2349</v>
      </c>
      <c r="N121" s="17" t="s">
        <v>2360</v>
      </c>
      <c r="O121" s="7" t="s">
        <v>2348</v>
      </c>
      <c r="P121" s="7" t="s">
        <v>1209</v>
      </c>
      <c r="Q121" s="7" t="s">
        <v>1214</v>
      </c>
      <c r="Z121" s="3" t="str">
        <f ca="1">HYPERLINK("#"&amp;재료비목록표!G2&amp;"!A"&amp;ROW(재료비목록표!A13),"자재10 →")</f>
        <v>자재10 →</v>
      </c>
    </row>
    <row r="122" spans="1:26" ht="28.7" customHeight="1" x14ac:dyDescent="0.3">
      <c r="A122" s="10" t="s">
        <v>537</v>
      </c>
      <c r="B122" s="10" t="s">
        <v>2361</v>
      </c>
      <c r="C122" s="75">
        <v>30</v>
      </c>
      <c r="D122" s="32" t="s">
        <v>539</v>
      </c>
      <c r="E122" s="54">
        <f t="shared" si="15"/>
        <v>23207.1</v>
      </c>
      <c r="F122" s="77">
        <f t="shared" si="15"/>
        <v>6962.1</v>
      </c>
      <c r="G122" s="13">
        <v>0</v>
      </c>
      <c r="H122" s="77">
        <f>IF(C122=0,0,ROUNDDOWN(G122*C122/100,1))</f>
        <v>0</v>
      </c>
      <c r="I122" s="79">
        <f>J121</f>
        <v>23207.1</v>
      </c>
      <c r="J122" s="76">
        <f>IF(C122=0,0,ROUNDDOWN(I122*C122/100,1))</f>
        <v>6962.1</v>
      </c>
      <c r="K122" s="22">
        <v>0</v>
      </c>
      <c r="L122" s="76">
        <f>IF(C122=0,0,ROUNDDOWN(K122*C122/100,1))</f>
        <v>0</v>
      </c>
      <c r="M122" s="23"/>
      <c r="N122" s="17" t="s">
        <v>2362</v>
      </c>
      <c r="O122" s="7" t="s">
        <v>1236</v>
      </c>
      <c r="P122" s="7" t="s">
        <v>1209</v>
      </c>
    </row>
    <row r="123" spans="1:26" ht="28.7" customHeight="1" x14ac:dyDescent="0.3">
      <c r="A123" s="23" t="s">
        <v>6</v>
      </c>
      <c r="B123" s="74"/>
      <c r="C123" s="74"/>
      <c r="D123" s="74"/>
      <c r="E123" s="74"/>
      <c r="F123" s="47">
        <f>J123+H123+L123</f>
        <v>99101</v>
      </c>
      <c r="G123" s="74"/>
      <c r="H123" s="47">
        <f>ROUNDDOWN(SUMIF(P119:P122,O123,H119:H122),0)</f>
        <v>49778</v>
      </c>
      <c r="I123" s="74"/>
      <c r="J123" s="47">
        <f>ROUNDDOWN(SUMIF(P119:P122,O123,J119:J122),0)</f>
        <v>30169</v>
      </c>
      <c r="K123" s="74"/>
      <c r="L123" s="47">
        <f>ROUNDDOWN(SUMIF(P119:P122,O123,L119:L122),0)</f>
        <v>19154</v>
      </c>
      <c r="M123" s="74"/>
      <c r="O123" s="7" t="s">
        <v>1209</v>
      </c>
    </row>
    <row r="124" spans="1:26" ht="28.7" customHeight="1" x14ac:dyDescent="0.3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</row>
    <row r="125" spans="1:26" ht="28.7" customHeight="1" x14ac:dyDescent="0.3">
      <c r="A125" s="135" t="s">
        <v>319</v>
      </c>
      <c r="B125" s="136"/>
      <c r="C125" s="136"/>
      <c r="D125" s="136"/>
      <c r="E125" s="136"/>
      <c r="F125" s="136"/>
      <c r="G125" s="136"/>
      <c r="H125" s="136"/>
      <c r="I125" s="136"/>
      <c r="J125" s="136"/>
      <c r="K125" s="136"/>
      <c r="L125" s="149"/>
      <c r="M125" s="23" t="s">
        <v>321</v>
      </c>
      <c r="N125" s="84" t="str">
        <f>HYPERLINK("#N"&amp;ROW(N129),"_x0005_`BDCOD|X00051_x0007_`POSS|"&amp;ROW(N126)&amp;"_x0007_`POSE|"&amp;ROW(N129)&amp;"_x0007_`")</f>
        <v>_x0005_`BDCOD|X00051_x0007_`POSS|126_x0007_`POSE|129_x0007_`</v>
      </c>
      <c r="O125" s="7" t="s">
        <v>2428</v>
      </c>
    </row>
    <row r="126" spans="1:26" ht="28.7" customHeight="1" x14ac:dyDescent="0.3">
      <c r="A126" s="10" t="s">
        <v>316</v>
      </c>
      <c r="B126" s="10" t="s">
        <v>320</v>
      </c>
      <c r="C126" s="75">
        <v>0.21129999999999999</v>
      </c>
      <c r="D126" s="32" t="s">
        <v>619</v>
      </c>
      <c r="E126" s="54">
        <f t="shared" ref="E126:F129" si="16">I126+G126+K126</f>
        <v>47263</v>
      </c>
      <c r="F126" s="77">
        <f t="shared" si="16"/>
        <v>9986.6</v>
      </c>
      <c r="G126" s="50">
        <v>0</v>
      </c>
      <c r="H126" s="77">
        <f>IF(C126=0,0,ROUNDDOWN(G126*C126,1))</f>
        <v>0</v>
      </c>
      <c r="I126" s="50">
        <v>0</v>
      </c>
      <c r="J126" s="76">
        <f>IF(C126=0,0,ROUNDDOWN(I126*C126,1))</f>
        <v>0</v>
      </c>
      <c r="K126" s="78">
        <f>경비목록표!E23</f>
        <v>47263</v>
      </c>
      <c r="L126" s="80">
        <f>IF(C126=0,0,ROUNDDOWN(K126*C126,1))</f>
        <v>9986.6</v>
      </c>
      <c r="M126" s="23" t="s">
        <v>2431</v>
      </c>
      <c r="N126" s="17" t="s">
        <v>2429</v>
      </c>
      <c r="O126" s="7" t="s">
        <v>2430</v>
      </c>
      <c r="P126" s="7" t="s">
        <v>1209</v>
      </c>
      <c r="Z126" s="3" t="str">
        <f ca="1">HYPERLINK("#"&amp;경비목록표!G2&amp;"!A"&amp;ROW(경비목록표!A23),"경비20 →")</f>
        <v>경비20 →</v>
      </c>
    </row>
    <row r="127" spans="1:26" ht="28.7" customHeight="1" x14ac:dyDescent="0.3">
      <c r="A127" s="10" t="s">
        <v>613</v>
      </c>
      <c r="B127" s="10"/>
      <c r="C127" s="75">
        <v>1</v>
      </c>
      <c r="D127" s="32" t="s">
        <v>587</v>
      </c>
      <c r="E127" s="54">
        <f t="shared" si="16"/>
        <v>49778.3</v>
      </c>
      <c r="F127" s="76">
        <f t="shared" si="16"/>
        <v>49778.3</v>
      </c>
      <c r="G127" s="78">
        <f>환율및기초자료!G7</f>
        <v>49778.3</v>
      </c>
      <c r="H127" s="81">
        <f>IF(C127=0,0,ROUNDDOWN(G127*C127,1))</f>
        <v>49778.3</v>
      </c>
      <c r="I127" s="50">
        <v>0</v>
      </c>
      <c r="J127" s="77">
        <f>IF(C127=0,0,ROUNDDOWN(I127*C127,1))</f>
        <v>0</v>
      </c>
      <c r="K127" s="50">
        <v>0</v>
      </c>
      <c r="L127" s="76">
        <f>IF(C127=0,0,ROUNDDOWN(K127*C127,1))</f>
        <v>0</v>
      </c>
      <c r="M127" s="23" t="s">
        <v>2396</v>
      </c>
      <c r="N127" s="17" t="s">
        <v>2394</v>
      </c>
      <c r="O127" s="7" t="s">
        <v>2395</v>
      </c>
      <c r="P127" s="7" t="s">
        <v>1209</v>
      </c>
      <c r="Z127" s="3" t="str">
        <f ca="1">HYPERLINK("#"&amp;환율및기초자료!I2&amp;"!A"&amp;ROW(환율및기초자료!A7),"노무14 →")</f>
        <v>노무14 →</v>
      </c>
    </row>
    <row r="128" spans="1:26" ht="28.7" customHeight="1" x14ac:dyDescent="0.3">
      <c r="A128" s="10" t="s">
        <v>415</v>
      </c>
      <c r="B128" s="10" t="s">
        <v>416</v>
      </c>
      <c r="C128" s="75">
        <v>9.3000000000000007</v>
      </c>
      <c r="D128" s="32" t="s">
        <v>417</v>
      </c>
      <c r="E128" s="54">
        <f t="shared" si="16"/>
        <v>1799</v>
      </c>
      <c r="F128" s="77">
        <f t="shared" si="16"/>
        <v>16730.7</v>
      </c>
      <c r="G128" s="50">
        <v>0</v>
      </c>
      <c r="H128" s="76">
        <f>IF(C128=0,0,ROUNDDOWN(G128*C128,1))</f>
        <v>0</v>
      </c>
      <c r="I128" s="78">
        <f>재료비목록표!E13</f>
        <v>1799</v>
      </c>
      <c r="J128" s="81">
        <f>IF(C128=0,0,ROUNDDOWN(I128*C128,1))</f>
        <v>16730.7</v>
      </c>
      <c r="K128" s="50">
        <v>0</v>
      </c>
      <c r="L128" s="76">
        <f>IF(C128=0,0,ROUNDDOWN(K128*C128,1))</f>
        <v>0</v>
      </c>
      <c r="M128" s="23" t="s">
        <v>2349</v>
      </c>
      <c r="N128" s="17" t="s">
        <v>2360</v>
      </c>
      <c r="O128" s="7" t="s">
        <v>2348</v>
      </c>
      <c r="P128" s="7" t="s">
        <v>1209</v>
      </c>
      <c r="Q128" s="7" t="s">
        <v>1214</v>
      </c>
      <c r="Z128" s="3" t="str">
        <f ca="1">HYPERLINK("#"&amp;재료비목록표!G2&amp;"!A"&amp;ROW(재료비목록표!A13),"자재10 →")</f>
        <v>자재10 →</v>
      </c>
    </row>
    <row r="129" spans="1:26" ht="28.7" customHeight="1" x14ac:dyDescent="0.3">
      <c r="A129" s="10" t="s">
        <v>537</v>
      </c>
      <c r="B129" s="10" t="s">
        <v>2361</v>
      </c>
      <c r="C129" s="75">
        <v>30</v>
      </c>
      <c r="D129" s="32" t="s">
        <v>539</v>
      </c>
      <c r="E129" s="54">
        <f t="shared" si="16"/>
        <v>16730.7</v>
      </c>
      <c r="F129" s="77">
        <f t="shared" si="16"/>
        <v>5019.2</v>
      </c>
      <c r="G129" s="13">
        <v>0</v>
      </c>
      <c r="H129" s="77">
        <f>IF(C129=0,0,ROUNDDOWN(G129*C129/100,1))</f>
        <v>0</v>
      </c>
      <c r="I129" s="79">
        <f>J128</f>
        <v>16730.7</v>
      </c>
      <c r="J129" s="76">
        <f>IF(C129=0,0,ROUNDDOWN(I129*C129/100,1))</f>
        <v>5019.2</v>
      </c>
      <c r="K129" s="22">
        <v>0</v>
      </c>
      <c r="L129" s="76">
        <f>IF(C129=0,0,ROUNDDOWN(K129*C129/100,1))</f>
        <v>0</v>
      </c>
      <c r="M129" s="23"/>
      <c r="N129" s="17" t="s">
        <v>2362</v>
      </c>
      <c r="O129" s="7" t="s">
        <v>1236</v>
      </c>
      <c r="P129" s="7" t="s">
        <v>1209</v>
      </c>
    </row>
    <row r="130" spans="1:26" ht="28.7" customHeight="1" x14ac:dyDescent="0.3">
      <c r="A130" s="23" t="s">
        <v>6</v>
      </c>
      <c r="B130" s="74"/>
      <c r="C130" s="74"/>
      <c r="D130" s="74"/>
      <c r="E130" s="74"/>
      <c r="F130" s="47">
        <f>J130+H130+L130</f>
        <v>81513</v>
      </c>
      <c r="G130" s="74"/>
      <c r="H130" s="47">
        <f>ROUNDDOWN(SUMIF(P126:P129,O130,H126:H129),0)</f>
        <v>49778</v>
      </c>
      <c r="I130" s="74"/>
      <c r="J130" s="47">
        <f>ROUNDDOWN(SUMIF(P126:P129,O130,J126:J129),0)</f>
        <v>21749</v>
      </c>
      <c r="K130" s="74"/>
      <c r="L130" s="47">
        <f>ROUNDDOWN(SUMIF(P126:P129,O130,L126:L129),0)</f>
        <v>9986</v>
      </c>
      <c r="M130" s="74"/>
      <c r="O130" s="7" t="s">
        <v>1209</v>
      </c>
    </row>
    <row r="131" spans="1:26" ht="28.7" customHeight="1" x14ac:dyDescent="0.3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</row>
    <row r="132" spans="1:26" ht="28.7" customHeight="1" x14ac:dyDescent="0.3">
      <c r="A132" s="135" t="s">
        <v>322</v>
      </c>
      <c r="B132" s="136"/>
      <c r="C132" s="136"/>
      <c r="D132" s="136"/>
      <c r="E132" s="136"/>
      <c r="F132" s="136"/>
      <c r="G132" s="136"/>
      <c r="H132" s="136"/>
      <c r="I132" s="136"/>
      <c r="J132" s="136"/>
      <c r="K132" s="136"/>
      <c r="L132" s="149"/>
      <c r="M132" s="23" t="s">
        <v>325</v>
      </c>
      <c r="N132" s="84" t="str">
        <f>HYPERLINK("#N"&amp;ROW(N136),"_x0005_`BDCOD|X00006_x0007_`POSS|"&amp;ROW(N133)&amp;"_x0007_`POSE|"&amp;ROW(N136)&amp;"_x0007_`")</f>
        <v>_x0005_`BDCOD|X00006_x0007_`POSS|133_x0007_`POSE|136_x0007_`</v>
      </c>
      <c r="O132" s="7" t="s">
        <v>2432</v>
      </c>
    </row>
    <row r="133" spans="1:26" ht="28.7" customHeight="1" x14ac:dyDescent="0.3">
      <c r="A133" s="10" t="s">
        <v>323</v>
      </c>
      <c r="B133" s="10" t="s">
        <v>324</v>
      </c>
      <c r="C133" s="75">
        <v>0.18110000000000001</v>
      </c>
      <c r="D133" s="32" t="s">
        <v>619</v>
      </c>
      <c r="E133" s="54">
        <f t="shared" ref="E133:F136" si="17">I133+G133+K133</f>
        <v>198150</v>
      </c>
      <c r="F133" s="77">
        <f t="shared" si="17"/>
        <v>35884.9</v>
      </c>
      <c r="G133" s="50">
        <v>0</v>
      </c>
      <c r="H133" s="77">
        <f>IF(C133=0,0,ROUNDDOWN(G133*C133,1))</f>
        <v>0</v>
      </c>
      <c r="I133" s="50">
        <v>0</v>
      </c>
      <c r="J133" s="76">
        <f>IF(C133=0,0,ROUNDDOWN(I133*C133,1))</f>
        <v>0</v>
      </c>
      <c r="K133" s="78">
        <f>경비목록표!E24</f>
        <v>198150</v>
      </c>
      <c r="L133" s="80">
        <f>IF(C133=0,0,ROUNDDOWN(K133*C133,1))</f>
        <v>35884.9</v>
      </c>
      <c r="M133" s="23" t="s">
        <v>2435</v>
      </c>
      <c r="N133" s="17" t="s">
        <v>2433</v>
      </c>
      <c r="O133" s="7" t="s">
        <v>2434</v>
      </c>
      <c r="P133" s="7" t="s">
        <v>1209</v>
      </c>
      <c r="Z133" s="3" t="str">
        <f ca="1">HYPERLINK("#"&amp;경비목록표!G2&amp;"!A"&amp;ROW(경비목록표!A24),"경비21 →")</f>
        <v>경비21 →</v>
      </c>
    </row>
    <row r="134" spans="1:26" ht="28.7" customHeight="1" x14ac:dyDescent="0.3">
      <c r="A134" s="10" t="s">
        <v>586</v>
      </c>
      <c r="B134" s="10"/>
      <c r="C134" s="75">
        <v>1</v>
      </c>
      <c r="D134" s="32" t="s">
        <v>587</v>
      </c>
      <c r="E134" s="54">
        <f t="shared" si="17"/>
        <v>59020.2</v>
      </c>
      <c r="F134" s="76">
        <f t="shared" si="17"/>
        <v>59020.2</v>
      </c>
      <c r="G134" s="78">
        <f>환율및기초자료!G6</f>
        <v>59020.2</v>
      </c>
      <c r="H134" s="81">
        <f>IF(C134=0,0,ROUNDDOWN(G134*C134,1))</f>
        <v>59020.2</v>
      </c>
      <c r="I134" s="50">
        <v>0</v>
      </c>
      <c r="J134" s="77">
        <f>IF(C134=0,0,ROUNDDOWN(I134*C134,1))</f>
        <v>0</v>
      </c>
      <c r="K134" s="50">
        <v>0</v>
      </c>
      <c r="L134" s="76">
        <f>IF(C134=0,0,ROUNDDOWN(K134*C134,1))</f>
        <v>0</v>
      </c>
      <c r="M134" s="23" t="s">
        <v>2346</v>
      </c>
      <c r="N134" s="17" t="s">
        <v>2344</v>
      </c>
      <c r="O134" s="7" t="s">
        <v>2345</v>
      </c>
      <c r="P134" s="7" t="s">
        <v>1209</v>
      </c>
      <c r="Z134" s="3" t="str">
        <f ca="1">HYPERLINK("#"&amp;환율및기초자료!I2&amp;"!A"&amp;ROW(환율및기초자료!A6),"노무1 →")</f>
        <v>노무1 →</v>
      </c>
    </row>
    <row r="135" spans="1:26" ht="28.7" customHeight="1" x14ac:dyDescent="0.3">
      <c r="A135" s="10" t="s">
        <v>415</v>
      </c>
      <c r="B135" s="10" t="s">
        <v>416</v>
      </c>
      <c r="C135" s="75">
        <v>25</v>
      </c>
      <c r="D135" s="32" t="s">
        <v>417</v>
      </c>
      <c r="E135" s="54">
        <f t="shared" si="17"/>
        <v>1799</v>
      </c>
      <c r="F135" s="77">
        <f t="shared" si="17"/>
        <v>44975</v>
      </c>
      <c r="G135" s="50">
        <v>0</v>
      </c>
      <c r="H135" s="76">
        <f>IF(C135=0,0,ROUNDDOWN(G135*C135,1))</f>
        <v>0</v>
      </c>
      <c r="I135" s="78">
        <f>재료비목록표!E13</f>
        <v>1799</v>
      </c>
      <c r="J135" s="81">
        <f>IF(C135=0,0,ROUNDDOWN(I135*C135,1))</f>
        <v>44975</v>
      </c>
      <c r="K135" s="50">
        <v>0</v>
      </c>
      <c r="L135" s="76">
        <f>IF(C135=0,0,ROUNDDOWN(K135*C135,1))</f>
        <v>0</v>
      </c>
      <c r="M135" s="23" t="s">
        <v>2349</v>
      </c>
      <c r="N135" s="17" t="s">
        <v>2360</v>
      </c>
      <c r="O135" s="7" t="s">
        <v>2348</v>
      </c>
      <c r="P135" s="7" t="s">
        <v>1209</v>
      </c>
      <c r="Q135" s="7" t="s">
        <v>1214</v>
      </c>
      <c r="Z135" s="3" t="str">
        <f ca="1">HYPERLINK("#"&amp;재료비목록표!G2&amp;"!A"&amp;ROW(재료비목록표!A13),"자재10 →")</f>
        <v>자재10 →</v>
      </c>
    </row>
    <row r="136" spans="1:26" ht="28.7" customHeight="1" x14ac:dyDescent="0.3">
      <c r="A136" s="10" t="s">
        <v>537</v>
      </c>
      <c r="B136" s="10" t="s">
        <v>2361</v>
      </c>
      <c r="C136" s="75">
        <v>16</v>
      </c>
      <c r="D136" s="32" t="s">
        <v>539</v>
      </c>
      <c r="E136" s="54">
        <f t="shared" si="17"/>
        <v>44975</v>
      </c>
      <c r="F136" s="77">
        <f t="shared" si="17"/>
        <v>7196</v>
      </c>
      <c r="G136" s="13">
        <v>0</v>
      </c>
      <c r="H136" s="77">
        <f>IF(C136=0,0,ROUNDDOWN(G136*C136/100,1))</f>
        <v>0</v>
      </c>
      <c r="I136" s="79">
        <f>J135</f>
        <v>44975</v>
      </c>
      <c r="J136" s="76">
        <f>IF(C136=0,0,ROUNDDOWN(I136*C136/100,1))</f>
        <v>7196</v>
      </c>
      <c r="K136" s="22">
        <v>0</v>
      </c>
      <c r="L136" s="76">
        <f>IF(C136=0,0,ROUNDDOWN(K136*C136/100,1))</f>
        <v>0</v>
      </c>
      <c r="M136" s="23"/>
      <c r="N136" s="17" t="s">
        <v>2362</v>
      </c>
      <c r="O136" s="7" t="s">
        <v>1236</v>
      </c>
      <c r="P136" s="7" t="s">
        <v>1209</v>
      </c>
    </row>
    <row r="137" spans="1:26" ht="28.7" customHeight="1" x14ac:dyDescent="0.3">
      <c r="A137" s="23" t="s">
        <v>6</v>
      </c>
      <c r="B137" s="74"/>
      <c r="C137" s="74"/>
      <c r="D137" s="74"/>
      <c r="E137" s="74"/>
      <c r="F137" s="47">
        <f>J137+H137+L137</f>
        <v>147075</v>
      </c>
      <c r="G137" s="74"/>
      <c r="H137" s="47">
        <f>ROUNDDOWN(SUMIF(P133:P136,O137,H133:H136),0)</f>
        <v>59020</v>
      </c>
      <c r="I137" s="74"/>
      <c r="J137" s="47">
        <f>ROUNDDOWN(SUMIF(P133:P136,O137,J133:J136),0)</f>
        <v>52171</v>
      </c>
      <c r="K137" s="74"/>
      <c r="L137" s="47">
        <f>ROUNDDOWN(SUMIF(P133:P136,O137,L133:L136),0)</f>
        <v>35884</v>
      </c>
      <c r="M137" s="74"/>
      <c r="O137" s="7" t="s">
        <v>1209</v>
      </c>
    </row>
    <row r="138" spans="1:26" ht="28.7" customHeight="1" x14ac:dyDescent="0.3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</row>
    <row r="139" spans="1:26" ht="28.7" customHeight="1" x14ac:dyDescent="0.3">
      <c r="A139" s="135" t="s">
        <v>326</v>
      </c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49"/>
      <c r="M139" s="23" t="s">
        <v>328</v>
      </c>
      <c r="N139" s="84" t="str">
        <f>HYPERLINK("#N"&amp;ROW(N140),"_x0005_`BDCOD|X00287_x0007_`POSS|"&amp;ROW(N140)&amp;"_x0007_`POSE|"&amp;ROW(N140)&amp;"_x0007_`")</f>
        <v>_x0005_`BDCOD|X00287_x0007_`POSS|140_x0007_`POSE|140_x0007_`</v>
      </c>
      <c r="O139" s="7" t="s">
        <v>2436</v>
      </c>
    </row>
    <row r="140" spans="1:26" ht="28.7" customHeight="1" x14ac:dyDescent="0.3">
      <c r="A140" s="10" t="s">
        <v>327</v>
      </c>
      <c r="B140" s="10" t="s">
        <v>309</v>
      </c>
      <c r="C140" s="75">
        <v>0.4032</v>
      </c>
      <c r="D140" s="32" t="s">
        <v>619</v>
      </c>
      <c r="E140" s="54">
        <f>I140+G140+K140</f>
        <v>29250</v>
      </c>
      <c r="F140" s="77">
        <f>J140+H140+L140</f>
        <v>11793.6</v>
      </c>
      <c r="G140" s="50">
        <v>0</v>
      </c>
      <c r="H140" s="77">
        <f>IF(C140=0,0,ROUNDDOWN(G140*C140,1))</f>
        <v>0</v>
      </c>
      <c r="I140" s="50">
        <v>0</v>
      </c>
      <c r="J140" s="76">
        <f>IF(C140=0,0,ROUNDDOWN(I140*C140,1))</f>
        <v>0</v>
      </c>
      <c r="K140" s="78">
        <f>경비목록표!E25</f>
        <v>29250</v>
      </c>
      <c r="L140" s="80">
        <f>IF(C140=0,0,ROUNDDOWN(K140*C140,1))</f>
        <v>11793.6</v>
      </c>
      <c r="M140" s="23" t="s">
        <v>2439</v>
      </c>
      <c r="N140" s="17" t="s">
        <v>2437</v>
      </c>
      <c r="O140" s="7" t="s">
        <v>2438</v>
      </c>
      <c r="P140" s="7" t="s">
        <v>1209</v>
      </c>
      <c r="Z140" s="3" t="str">
        <f ca="1">HYPERLINK("#"&amp;경비목록표!G2&amp;"!A"&amp;ROW(경비목록표!A25),"경비22 →")</f>
        <v>경비22 →</v>
      </c>
    </row>
    <row r="141" spans="1:26" ht="28.7" customHeight="1" x14ac:dyDescent="0.3">
      <c r="A141" s="23" t="s">
        <v>6</v>
      </c>
      <c r="B141" s="74"/>
      <c r="C141" s="74"/>
      <c r="D141" s="74"/>
      <c r="E141" s="74"/>
      <c r="F141" s="47">
        <f>J141+H141+L141</f>
        <v>11793</v>
      </c>
      <c r="G141" s="74"/>
      <c r="H141" s="47">
        <f>ROUNDDOWN(SUMIF(P140:P140,O141,H140:H140),0)</f>
        <v>0</v>
      </c>
      <c r="I141" s="74"/>
      <c r="J141" s="47">
        <f>ROUNDDOWN(SUMIF(P140:P140,O141,J140:J140),0)</f>
        <v>0</v>
      </c>
      <c r="K141" s="74"/>
      <c r="L141" s="47">
        <f>ROUNDDOWN(SUMIF(P140:P140,O141,L140:L140),0)</f>
        <v>11793</v>
      </c>
      <c r="M141" s="74"/>
      <c r="O141" s="7" t="s">
        <v>1209</v>
      </c>
    </row>
    <row r="142" spans="1:26" ht="28.7" customHeight="1" x14ac:dyDescent="0.3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</row>
    <row r="143" spans="1:26" ht="28.7" customHeight="1" x14ac:dyDescent="0.3">
      <c r="A143" s="135" t="s">
        <v>329</v>
      </c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49"/>
      <c r="M143" s="23" t="s">
        <v>332</v>
      </c>
      <c r="N143" s="84" t="str">
        <f>HYPERLINK("#N"&amp;ROW(N147),"_x0005_`BDCOD|X00038_x0007_`POSS|"&amp;ROW(N144)&amp;"_x0007_`POSE|"&amp;ROW(N147)&amp;"_x0007_`")</f>
        <v>_x0005_`BDCOD|X00038_x0007_`POSS|144_x0007_`POSE|147_x0007_`</v>
      </c>
      <c r="O143" s="7" t="s">
        <v>2440</v>
      </c>
    </row>
    <row r="144" spans="1:26" ht="28.7" customHeight="1" x14ac:dyDescent="0.3">
      <c r="A144" s="10" t="s">
        <v>330</v>
      </c>
      <c r="B144" s="10" t="s">
        <v>331</v>
      </c>
      <c r="C144" s="75">
        <v>0.25690000000000002</v>
      </c>
      <c r="D144" s="32" t="s">
        <v>619</v>
      </c>
      <c r="E144" s="54">
        <f t="shared" ref="E144:F147" si="18">I144+G144+K144</f>
        <v>64113</v>
      </c>
      <c r="F144" s="77">
        <f t="shared" si="18"/>
        <v>16470.599999999999</v>
      </c>
      <c r="G144" s="50">
        <v>0</v>
      </c>
      <c r="H144" s="77">
        <f>IF(C144=0,0,ROUNDDOWN(G144*C144,1))</f>
        <v>0</v>
      </c>
      <c r="I144" s="50">
        <v>0</v>
      </c>
      <c r="J144" s="76">
        <f>IF(C144=0,0,ROUNDDOWN(I144*C144,1))</f>
        <v>0</v>
      </c>
      <c r="K144" s="78">
        <f>경비목록표!E26</f>
        <v>64113</v>
      </c>
      <c r="L144" s="80">
        <f>IF(C144=0,0,ROUNDDOWN(K144*C144,1))</f>
        <v>16470.599999999999</v>
      </c>
      <c r="M144" s="23" t="s">
        <v>2443</v>
      </c>
      <c r="N144" s="17" t="s">
        <v>2441</v>
      </c>
      <c r="O144" s="7" t="s">
        <v>2442</v>
      </c>
      <c r="P144" s="7" t="s">
        <v>1209</v>
      </c>
      <c r="Z144" s="3" t="str">
        <f ca="1">HYPERLINK("#"&amp;경비목록표!G2&amp;"!A"&amp;ROW(경비목록표!A26),"경비23 →")</f>
        <v>경비23 →</v>
      </c>
    </row>
    <row r="145" spans="1:26" ht="28.7" customHeight="1" x14ac:dyDescent="0.3">
      <c r="A145" s="10" t="s">
        <v>586</v>
      </c>
      <c r="B145" s="10"/>
      <c r="C145" s="75">
        <v>1</v>
      </c>
      <c r="D145" s="32" t="s">
        <v>587</v>
      </c>
      <c r="E145" s="54">
        <f t="shared" si="18"/>
        <v>59020.2</v>
      </c>
      <c r="F145" s="76">
        <f t="shared" si="18"/>
        <v>59020.2</v>
      </c>
      <c r="G145" s="78">
        <f>환율및기초자료!G6</f>
        <v>59020.2</v>
      </c>
      <c r="H145" s="81">
        <f>IF(C145=0,0,ROUNDDOWN(G145*C145,1))</f>
        <v>59020.2</v>
      </c>
      <c r="I145" s="50">
        <v>0</v>
      </c>
      <c r="J145" s="77">
        <f>IF(C145=0,0,ROUNDDOWN(I145*C145,1))</f>
        <v>0</v>
      </c>
      <c r="K145" s="50">
        <v>0</v>
      </c>
      <c r="L145" s="76">
        <f>IF(C145=0,0,ROUNDDOWN(K145*C145,1))</f>
        <v>0</v>
      </c>
      <c r="M145" s="23" t="s">
        <v>2346</v>
      </c>
      <c r="N145" s="17" t="s">
        <v>2344</v>
      </c>
      <c r="O145" s="7" t="s">
        <v>2345</v>
      </c>
      <c r="P145" s="7" t="s">
        <v>1209</v>
      </c>
      <c r="Z145" s="3" t="str">
        <f ca="1">HYPERLINK("#"&amp;환율및기초자료!I2&amp;"!A"&amp;ROW(환율및기초자료!A6),"노무1 →")</f>
        <v>노무1 →</v>
      </c>
    </row>
    <row r="146" spans="1:26" ht="28.7" customHeight="1" x14ac:dyDescent="0.3">
      <c r="A146" s="10" t="s">
        <v>415</v>
      </c>
      <c r="B146" s="10" t="s">
        <v>416</v>
      </c>
      <c r="C146" s="75">
        <v>10.9</v>
      </c>
      <c r="D146" s="32" t="s">
        <v>417</v>
      </c>
      <c r="E146" s="54">
        <f t="shared" si="18"/>
        <v>1799</v>
      </c>
      <c r="F146" s="77">
        <f t="shared" si="18"/>
        <v>19609.099999999999</v>
      </c>
      <c r="G146" s="50">
        <v>0</v>
      </c>
      <c r="H146" s="76">
        <f>IF(C146=0,0,ROUNDDOWN(G146*C146,1))</f>
        <v>0</v>
      </c>
      <c r="I146" s="78">
        <f>재료비목록표!E13</f>
        <v>1799</v>
      </c>
      <c r="J146" s="81">
        <f>IF(C146=0,0,ROUNDDOWN(I146*C146,1))</f>
        <v>19609.099999999999</v>
      </c>
      <c r="K146" s="50">
        <v>0</v>
      </c>
      <c r="L146" s="76">
        <f>IF(C146=0,0,ROUNDDOWN(K146*C146,1))</f>
        <v>0</v>
      </c>
      <c r="M146" s="23" t="s">
        <v>2349</v>
      </c>
      <c r="N146" s="17" t="s">
        <v>2360</v>
      </c>
      <c r="O146" s="7" t="s">
        <v>2348</v>
      </c>
      <c r="P146" s="7" t="s">
        <v>1209</v>
      </c>
      <c r="Q146" s="7" t="s">
        <v>1214</v>
      </c>
      <c r="Z146" s="3" t="str">
        <f ca="1">HYPERLINK("#"&amp;재료비목록표!G2&amp;"!A"&amp;ROW(재료비목록표!A13),"자재10 →")</f>
        <v>자재10 →</v>
      </c>
    </row>
    <row r="147" spans="1:26" ht="28.7" customHeight="1" x14ac:dyDescent="0.3">
      <c r="A147" s="10" t="s">
        <v>537</v>
      </c>
      <c r="B147" s="10" t="s">
        <v>2361</v>
      </c>
      <c r="C147" s="75">
        <v>25</v>
      </c>
      <c r="D147" s="32" t="s">
        <v>539</v>
      </c>
      <c r="E147" s="54">
        <f t="shared" si="18"/>
        <v>19609.099999999999</v>
      </c>
      <c r="F147" s="77">
        <f t="shared" si="18"/>
        <v>4902.2</v>
      </c>
      <c r="G147" s="13">
        <v>0</v>
      </c>
      <c r="H147" s="77">
        <f>IF(C147=0,0,ROUNDDOWN(G147*C147/100,1))</f>
        <v>0</v>
      </c>
      <c r="I147" s="79">
        <f>J146</f>
        <v>19609.099999999999</v>
      </c>
      <c r="J147" s="76">
        <f>IF(C147=0,0,ROUNDDOWN(I147*C147/100,1))</f>
        <v>4902.2</v>
      </c>
      <c r="K147" s="22">
        <v>0</v>
      </c>
      <c r="L147" s="76">
        <f>IF(C147=0,0,ROUNDDOWN(K147*C147/100,1))</f>
        <v>0</v>
      </c>
      <c r="M147" s="23"/>
      <c r="N147" s="17" t="s">
        <v>2362</v>
      </c>
      <c r="O147" s="7" t="s">
        <v>1236</v>
      </c>
      <c r="P147" s="7" t="s">
        <v>1209</v>
      </c>
    </row>
    <row r="148" spans="1:26" ht="28.7" customHeight="1" x14ac:dyDescent="0.3">
      <c r="A148" s="23" t="s">
        <v>6</v>
      </c>
      <c r="B148" s="74"/>
      <c r="C148" s="74"/>
      <c r="D148" s="74"/>
      <c r="E148" s="74"/>
      <c r="F148" s="47">
        <f>J148+H148+L148</f>
        <v>100001</v>
      </c>
      <c r="G148" s="74"/>
      <c r="H148" s="47">
        <f>ROUNDDOWN(SUMIF(P144:P147,O148,H144:H147),0)</f>
        <v>59020</v>
      </c>
      <c r="I148" s="74"/>
      <c r="J148" s="47">
        <f>ROUNDDOWN(SUMIF(P144:P147,O148,J144:J147),0)</f>
        <v>24511</v>
      </c>
      <c r="K148" s="74"/>
      <c r="L148" s="47">
        <f>ROUNDDOWN(SUMIF(P144:P147,O148,L144:L147),0)</f>
        <v>16470</v>
      </c>
      <c r="M148" s="74"/>
      <c r="O148" s="7" t="s">
        <v>1209</v>
      </c>
    </row>
    <row r="149" spans="1:26" ht="28.7" customHeight="1" x14ac:dyDescent="0.3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</row>
    <row r="150" spans="1:26" ht="28.7" customHeight="1" x14ac:dyDescent="0.3">
      <c r="A150" s="135" t="s">
        <v>333</v>
      </c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49"/>
      <c r="M150" s="23" t="s">
        <v>336</v>
      </c>
      <c r="N150" s="84" t="str">
        <f>HYPERLINK("#N"&amp;ROW(N154),"_x0005_`BDCOD|X00109_x0007_`POSS|"&amp;ROW(N151)&amp;"_x0007_`POSE|"&amp;ROW(N154)&amp;"_x0007_`")</f>
        <v>_x0005_`BDCOD|X00109_x0007_`POSS|151_x0007_`POSE|154_x0007_`</v>
      </c>
      <c r="O150" s="7" t="s">
        <v>2444</v>
      </c>
    </row>
    <row r="151" spans="1:26" ht="28.7" customHeight="1" x14ac:dyDescent="0.3">
      <c r="A151" s="10" t="s">
        <v>334</v>
      </c>
      <c r="B151" s="10" t="s">
        <v>335</v>
      </c>
      <c r="C151" s="75">
        <v>0.25490000000000002</v>
      </c>
      <c r="D151" s="32" t="s">
        <v>619</v>
      </c>
      <c r="E151" s="54">
        <f t="shared" ref="E151:F154" si="19">I151+G151+K151</f>
        <v>3158</v>
      </c>
      <c r="F151" s="77">
        <f t="shared" si="19"/>
        <v>804.9</v>
      </c>
      <c r="G151" s="50">
        <v>0</v>
      </c>
      <c r="H151" s="77">
        <f>IF(C151=0,0,ROUNDDOWN(G151*C151,1))</f>
        <v>0</v>
      </c>
      <c r="I151" s="50">
        <v>0</v>
      </c>
      <c r="J151" s="76">
        <f>IF(C151=0,0,ROUNDDOWN(I151*C151,1))</f>
        <v>0</v>
      </c>
      <c r="K151" s="78">
        <f>경비목록표!E27</f>
        <v>3158</v>
      </c>
      <c r="L151" s="80">
        <f>IF(C151=0,0,ROUNDDOWN(K151*C151,1))</f>
        <v>804.9</v>
      </c>
      <c r="M151" s="23" t="s">
        <v>2447</v>
      </c>
      <c r="N151" s="17" t="s">
        <v>2445</v>
      </c>
      <c r="O151" s="7" t="s">
        <v>2446</v>
      </c>
      <c r="P151" s="7" t="s">
        <v>1209</v>
      </c>
      <c r="Z151" s="3" t="str">
        <f ca="1">HYPERLINK("#"&amp;경비목록표!G2&amp;"!A"&amp;ROW(경비목록표!A27),"경비24 →")</f>
        <v>경비24 →</v>
      </c>
    </row>
    <row r="152" spans="1:26" ht="28.7" customHeight="1" x14ac:dyDescent="0.3">
      <c r="A152" s="10" t="s">
        <v>599</v>
      </c>
      <c r="B152" s="10"/>
      <c r="C152" s="75">
        <v>1</v>
      </c>
      <c r="D152" s="32" t="s">
        <v>587</v>
      </c>
      <c r="E152" s="54">
        <f t="shared" si="19"/>
        <v>36248.9</v>
      </c>
      <c r="F152" s="76">
        <f t="shared" si="19"/>
        <v>36248.9</v>
      </c>
      <c r="G152" s="78">
        <f>환율및기초자료!G8</f>
        <v>36248.9</v>
      </c>
      <c r="H152" s="81">
        <f>IF(C152=0,0,ROUNDDOWN(G152*C152,1))</f>
        <v>36248.9</v>
      </c>
      <c r="I152" s="50">
        <v>0</v>
      </c>
      <c r="J152" s="77">
        <f>IF(C152=0,0,ROUNDDOWN(I152*C152,1))</f>
        <v>0</v>
      </c>
      <c r="K152" s="50">
        <v>0</v>
      </c>
      <c r="L152" s="76">
        <f>IF(C152=0,0,ROUNDDOWN(K152*C152,1))</f>
        <v>0</v>
      </c>
      <c r="M152" s="23" t="s">
        <v>2450</v>
      </c>
      <c r="N152" s="17" t="s">
        <v>2448</v>
      </c>
      <c r="O152" s="7" t="s">
        <v>2449</v>
      </c>
      <c r="P152" s="7" t="s">
        <v>1209</v>
      </c>
      <c r="Z152" s="3" t="str">
        <f ca="1">HYPERLINK("#"&amp;환율및기초자료!I2&amp;"!A"&amp;ROW(환율및기초자료!A8),"노무7 →")</f>
        <v>노무7 →</v>
      </c>
    </row>
    <row r="153" spans="1:26" ht="28.7" customHeight="1" x14ac:dyDescent="0.3">
      <c r="A153" s="10" t="s">
        <v>582</v>
      </c>
      <c r="B153" s="10" t="s">
        <v>583</v>
      </c>
      <c r="C153" s="75">
        <v>1.2</v>
      </c>
      <c r="D153" s="32" t="s">
        <v>417</v>
      </c>
      <c r="E153" s="54">
        <f t="shared" si="19"/>
        <v>1805</v>
      </c>
      <c r="F153" s="77">
        <f t="shared" si="19"/>
        <v>2166</v>
      </c>
      <c r="G153" s="50">
        <v>0</v>
      </c>
      <c r="H153" s="76">
        <f>IF(C153=0,0,ROUNDDOWN(G153*C153,1))</f>
        <v>0</v>
      </c>
      <c r="I153" s="78">
        <f>재료비목록표!E56</f>
        <v>1805</v>
      </c>
      <c r="J153" s="81">
        <f>IF(C153=0,0,ROUNDDOWN(I153*C153,1))</f>
        <v>2166</v>
      </c>
      <c r="K153" s="50">
        <v>0</v>
      </c>
      <c r="L153" s="76">
        <f>IF(C153=0,0,ROUNDDOWN(K153*C153,1))</f>
        <v>0</v>
      </c>
      <c r="M153" s="23" t="s">
        <v>2407</v>
      </c>
      <c r="N153" s="17" t="s">
        <v>2405</v>
      </c>
      <c r="O153" s="7" t="s">
        <v>2406</v>
      </c>
      <c r="P153" s="7" t="s">
        <v>1209</v>
      </c>
      <c r="Q153" s="7" t="s">
        <v>1214</v>
      </c>
      <c r="Z153" s="3" t="str">
        <f ca="1">HYPERLINK("#"&amp;재료비목록표!G2&amp;"!A"&amp;ROW(재료비목록표!A56),"자재53 →")</f>
        <v>자재53 →</v>
      </c>
    </row>
    <row r="154" spans="1:26" ht="28.7" customHeight="1" x14ac:dyDescent="0.3">
      <c r="A154" s="10" t="s">
        <v>537</v>
      </c>
      <c r="B154" s="10" t="s">
        <v>2361</v>
      </c>
      <c r="C154" s="75">
        <v>6</v>
      </c>
      <c r="D154" s="32" t="s">
        <v>539</v>
      </c>
      <c r="E154" s="54">
        <f t="shared" si="19"/>
        <v>2166</v>
      </c>
      <c r="F154" s="77">
        <f t="shared" si="19"/>
        <v>129.9</v>
      </c>
      <c r="G154" s="13">
        <v>0</v>
      </c>
      <c r="H154" s="77">
        <f>IF(C154=0,0,ROUNDDOWN(G154*C154/100,1))</f>
        <v>0</v>
      </c>
      <c r="I154" s="79">
        <f>J153</f>
        <v>2166</v>
      </c>
      <c r="J154" s="76">
        <f>IF(C154=0,0,ROUNDDOWN(I154*C154/100,1))</f>
        <v>129.9</v>
      </c>
      <c r="K154" s="22">
        <v>0</v>
      </c>
      <c r="L154" s="76">
        <f>IF(C154=0,0,ROUNDDOWN(K154*C154/100,1))</f>
        <v>0</v>
      </c>
      <c r="M154" s="23"/>
      <c r="N154" s="17" t="s">
        <v>2362</v>
      </c>
      <c r="O154" s="7" t="s">
        <v>1236</v>
      </c>
      <c r="P154" s="7" t="s">
        <v>1209</v>
      </c>
    </row>
    <row r="155" spans="1:26" ht="28.7" customHeight="1" x14ac:dyDescent="0.3">
      <c r="A155" s="23" t="s">
        <v>6</v>
      </c>
      <c r="B155" s="74"/>
      <c r="C155" s="74"/>
      <c r="D155" s="74"/>
      <c r="E155" s="74"/>
      <c r="F155" s="47">
        <f>J155+H155+L155</f>
        <v>39347</v>
      </c>
      <c r="G155" s="74"/>
      <c r="H155" s="47">
        <f>ROUNDDOWN(SUMIF(P151:P154,O155,H151:H154),0)</f>
        <v>36248</v>
      </c>
      <c r="I155" s="74"/>
      <c r="J155" s="47">
        <f>ROUNDDOWN(SUMIF(P151:P154,O155,J151:J154),0)</f>
        <v>2295</v>
      </c>
      <c r="K155" s="74"/>
      <c r="L155" s="47">
        <f>ROUNDDOWN(SUMIF(P151:P154,O155,L151:L154),0)</f>
        <v>804</v>
      </c>
      <c r="M155" s="74"/>
      <c r="O155" s="7" t="s">
        <v>1209</v>
      </c>
    </row>
    <row r="156" spans="1:26" ht="28.7" customHeight="1" x14ac:dyDescent="0.3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</row>
    <row r="157" spans="1:26" ht="28.7" customHeight="1" x14ac:dyDescent="0.3">
      <c r="A157" s="135" t="s">
        <v>337</v>
      </c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49"/>
      <c r="M157" s="23" t="s">
        <v>340</v>
      </c>
      <c r="N157" s="84" t="str">
        <f>HYPERLINK("#N"&amp;ROW(N161),"_x0005_`BDCOD|X00037_x0007_`POSS|"&amp;ROW(N158)&amp;"_x0007_`POSE|"&amp;ROW(N161)&amp;"_x0007_`")</f>
        <v>_x0005_`BDCOD|X00037_x0007_`POSS|158_x0007_`POSE|161_x0007_`</v>
      </c>
      <c r="O157" s="7" t="s">
        <v>2451</v>
      </c>
    </row>
    <row r="158" spans="1:26" ht="28.7" customHeight="1" x14ac:dyDescent="0.3">
      <c r="A158" s="10" t="s">
        <v>338</v>
      </c>
      <c r="B158" s="10" t="s">
        <v>339</v>
      </c>
      <c r="C158" s="75">
        <v>0.23619999999999999</v>
      </c>
      <c r="D158" s="32" t="s">
        <v>619</v>
      </c>
      <c r="E158" s="54">
        <f t="shared" ref="E158:F161" si="20">I158+G158+K158</f>
        <v>250388</v>
      </c>
      <c r="F158" s="77">
        <f t="shared" si="20"/>
        <v>59141.599999999999</v>
      </c>
      <c r="G158" s="50">
        <v>0</v>
      </c>
      <c r="H158" s="77">
        <f>IF(C158=0,0,ROUNDDOWN(G158*C158,1))</f>
        <v>0</v>
      </c>
      <c r="I158" s="50">
        <v>0</v>
      </c>
      <c r="J158" s="76">
        <f>IF(C158=0,0,ROUNDDOWN(I158*C158,1))</f>
        <v>0</v>
      </c>
      <c r="K158" s="78">
        <f>경비목록표!E28</f>
        <v>250388</v>
      </c>
      <c r="L158" s="80">
        <f>IF(C158=0,0,ROUNDDOWN(K158*C158,1))</f>
        <v>59141.599999999999</v>
      </c>
      <c r="M158" s="23" t="s">
        <v>2454</v>
      </c>
      <c r="N158" s="17" t="s">
        <v>2452</v>
      </c>
      <c r="O158" s="7" t="s">
        <v>2453</v>
      </c>
      <c r="P158" s="7" t="s">
        <v>1209</v>
      </c>
      <c r="Z158" s="3" t="str">
        <f ca="1">HYPERLINK("#"&amp;경비목록표!G2&amp;"!A"&amp;ROW(경비목록표!A28),"경비25 →")</f>
        <v>경비25 →</v>
      </c>
    </row>
    <row r="159" spans="1:26" ht="28.7" customHeight="1" x14ac:dyDescent="0.3">
      <c r="A159" s="10" t="s">
        <v>586</v>
      </c>
      <c r="B159" s="10"/>
      <c r="C159" s="75">
        <v>1</v>
      </c>
      <c r="D159" s="32" t="s">
        <v>587</v>
      </c>
      <c r="E159" s="54">
        <f t="shared" si="20"/>
        <v>59020.2</v>
      </c>
      <c r="F159" s="76">
        <f t="shared" si="20"/>
        <v>59020.2</v>
      </c>
      <c r="G159" s="78">
        <f>환율및기초자료!G6</f>
        <v>59020.2</v>
      </c>
      <c r="H159" s="81">
        <f>IF(C159=0,0,ROUNDDOWN(G159*C159,1))</f>
        <v>59020.2</v>
      </c>
      <c r="I159" s="50">
        <v>0</v>
      </c>
      <c r="J159" s="77">
        <f>IF(C159=0,0,ROUNDDOWN(I159*C159,1))</f>
        <v>0</v>
      </c>
      <c r="K159" s="50">
        <v>0</v>
      </c>
      <c r="L159" s="76">
        <f>IF(C159=0,0,ROUNDDOWN(K159*C159,1))</f>
        <v>0</v>
      </c>
      <c r="M159" s="23" t="s">
        <v>2346</v>
      </c>
      <c r="N159" s="17" t="s">
        <v>2344</v>
      </c>
      <c r="O159" s="7" t="s">
        <v>2345</v>
      </c>
      <c r="P159" s="7" t="s">
        <v>1209</v>
      </c>
      <c r="Z159" s="3" t="str">
        <f ca="1">HYPERLINK("#"&amp;환율및기초자료!I2&amp;"!A"&amp;ROW(환율및기초자료!A6),"노무1 →")</f>
        <v>노무1 →</v>
      </c>
    </row>
    <row r="160" spans="1:26" ht="28.7" customHeight="1" x14ac:dyDescent="0.3">
      <c r="A160" s="10" t="s">
        <v>415</v>
      </c>
      <c r="B160" s="10" t="s">
        <v>416</v>
      </c>
      <c r="C160" s="75">
        <v>13</v>
      </c>
      <c r="D160" s="32" t="s">
        <v>417</v>
      </c>
      <c r="E160" s="54">
        <f t="shared" si="20"/>
        <v>1799</v>
      </c>
      <c r="F160" s="77">
        <f t="shared" si="20"/>
        <v>23387</v>
      </c>
      <c r="G160" s="50">
        <v>0</v>
      </c>
      <c r="H160" s="76">
        <f>IF(C160=0,0,ROUNDDOWN(G160*C160,1))</f>
        <v>0</v>
      </c>
      <c r="I160" s="78">
        <f>재료비목록표!E13</f>
        <v>1799</v>
      </c>
      <c r="J160" s="81">
        <f>IF(C160=0,0,ROUNDDOWN(I160*C160,1))</f>
        <v>23387</v>
      </c>
      <c r="K160" s="50">
        <v>0</v>
      </c>
      <c r="L160" s="76">
        <f>IF(C160=0,0,ROUNDDOWN(K160*C160,1))</f>
        <v>0</v>
      </c>
      <c r="M160" s="23" t="s">
        <v>2349</v>
      </c>
      <c r="N160" s="17" t="s">
        <v>2360</v>
      </c>
      <c r="O160" s="7" t="s">
        <v>2348</v>
      </c>
      <c r="P160" s="7" t="s">
        <v>1209</v>
      </c>
      <c r="Q160" s="7" t="s">
        <v>1214</v>
      </c>
      <c r="Z160" s="3" t="str">
        <f ca="1">HYPERLINK("#"&amp;재료비목록표!G2&amp;"!A"&amp;ROW(재료비목록표!A13),"자재10 →")</f>
        <v>자재10 →</v>
      </c>
    </row>
    <row r="161" spans="1:26" ht="28.7" customHeight="1" x14ac:dyDescent="0.3">
      <c r="A161" s="10" t="s">
        <v>537</v>
      </c>
      <c r="B161" s="10" t="s">
        <v>2361</v>
      </c>
      <c r="C161" s="75">
        <v>7</v>
      </c>
      <c r="D161" s="32" t="s">
        <v>539</v>
      </c>
      <c r="E161" s="54">
        <f t="shared" si="20"/>
        <v>23387</v>
      </c>
      <c r="F161" s="77">
        <f t="shared" si="20"/>
        <v>1637</v>
      </c>
      <c r="G161" s="13">
        <v>0</v>
      </c>
      <c r="H161" s="77">
        <f>IF(C161=0,0,ROUNDDOWN(G161*C161/100,1))</f>
        <v>0</v>
      </c>
      <c r="I161" s="79">
        <f>J160</f>
        <v>23387</v>
      </c>
      <c r="J161" s="76">
        <f>IF(C161=0,0,ROUNDDOWN(I161*C161/100,1))</f>
        <v>1637</v>
      </c>
      <c r="K161" s="22">
        <v>0</v>
      </c>
      <c r="L161" s="76">
        <f>IF(C161=0,0,ROUNDDOWN(K161*C161/100,1))</f>
        <v>0</v>
      </c>
      <c r="M161" s="23"/>
      <c r="N161" s="17" t="s">
        <v>2362</v>
      </c>
      <c r="O161" s="7" t="s">
        <v>1236</v>
      </c>
      <c r="P161" s="7" t="s">
        <v>1209</v>
      </c>
    </row>
    <row r="162" spans="1:26" ht="28.7" customHeight="1" x14ac:dyDescent="0.3">
      <c r="A162" s="23" t="s">
        <v>6</v>
      </c>
      <c r="B162" s="74"/>
      <c r="C162" s="74"/>
      <c r="D162" s="74"/>
      <c r="E162" s="74"/>
      <c r="F162" s="47">
        <f>J162+H162+L162</f>
        <v>143185</v>
      </c>
      <c r="G162" s="74"/>
      <c r="H162" s="47">
        <f>ROUNDDOWN(SUMIF(P158:P161,O162,H158:H161),0)</f>
        <v>59020</v>
      </c>
      <c r="I162" s="74"/>
      <c r="J162" s="47">
        <f>ROUNDDOWN(SUMIF(P158:P161,O162,J158:J161),0)</f>
        <v>25024</v>
      </c>
      <c r="K162" s="74"/>
      <c r="L162" s="47">
        <f>ROUNDDOWN(SUMIF(P158:P161,O162,L158:L161),0)</f>
        <v>59141</v>
      </c>
      <c r="M162" s="74"/>
      <c r="O162" s="7" t="s">
        <v>1209</v>
      </c>
    </row>
    <row r="163" spans="1:26" ht="28.7" customHeight="1" x14ac:dyDescent="0.3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</row>
    <row r="164" spans="1:26" ht="28.7" customHeight="1" x14ac:dyDescent="0.3">
      <c r="A164" s="135" t="s">
        <v>341</v>
      </c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49"/>
      <c r="M164" s="23" t="s">
        <v>344</v>
      </c>
      <c r="N164" s="84" t="str">
        <f>HYPERLINK("#N"&amp;ROW(N168),"_x0005_`BDCOD|X00091_x0007_`POSS|"&amp;ROW(N165)&amp;"_x0007_`POSE|"&amp;ROW(N168)&amp;"_x0007_`")</f>
        <v>_x0005_`BDCOD|X00091_x0007_`POSS|165_x0007_`POSE|168_x0007_`</v>
      </c>
      <c r="O164" s="7" t="s">
        <v>2455</v>
      </c>
    </row>
    <row r="165" spans="1:26" ht="28.7" customHeight="1" x14ac:dyDescent="0.3">
      <c r="A165" s="10" t="s">
        <v>342</v>
      </c>
      <c r="B165" s="10" t="s">
        <v>343</v>
      </c>
      <c r="C165" s="75">
        <v>0.28249999999999997</v>
      </c>
      <c r="D165" s="32" t="s">
        <v>619</v>
      </c>
      <c r="E165" s="54">
        <f t="shared" ref="E165:F168" si="21">I165+G165+K165</f>
        <v>6966</v>
      </c>
      <c r="F165" s="77">
        <f t="shared" si="21"/>
        <v>1967.8</v>
      </c>
      <c r="G165" s="50">
        <v>0</v>
      </c>
      <c r="H165" s="77">
        <f>IF(C165=0,0,ROUNDDOWN(G165*C165,1))</f>
        <v>0</v>
      </c>
      <c r="I165" s="50">
        <v>0</v>
      </c>
      <c r="J165" s="76">
        <f>IF(C165=0,0,ROUNDDOWN(I165*C165,1))</f>
        <v>0</v>
      </c>
      <c r="K165" s="78">
        <f>경비목록표!E29</f>
        <v>6966</v>
      </c>
      <c r="L165" s="80">
        <f>IF(C165=0,0,ROUNDDOWN(K165*C165,1))</f>
        <v>1967.8</v>
      </c>
      <c r="M165" s="23" t="s">
        <v>2458</v>
      </c>
      <c r="N165" s="17" t="s">
        <v>2456</v>
      </c>
      <c r="O165" s="7" t="s">
        <v>2457</v>
      </c>
      <c r="P165" s="7" t="s">
        <v>1209</v>
      </c>
      <c r="Z165" s="3" t="str">
        <f ca="1">HYPERLINK("#"&amp;경비목록표!G2&amp;"!A"&amp;ROW(경비목록표!A29),"경비26 →")</f>
        <v>경비26 →</v>
      </c>
    </row>
    <row r="166" spans="1:26" ht="28.7" customHeight="1" x14ac:dyDescent="0.3">
      <c r="A166" s="10" t="s">
        <v>599</v>
      </c>
      <c r="B166" s="10"/>
      <c r="C166" s="75">
        <v>0</v>
      </c>
      <c r="D166" s="32" t="s">
        <v>587</v>
      </c>
      <c r="E166" s="54">
        <f t="shared" si="21"/>
        <v>36248.9</v>
      </c>
      <c r="F166" s="76">
        <f t="shared" si="21"/>
        <v>0</v>
      </c>
      <c r="G166" s="78">
        <f>환율및기초자료!G8</f>
        <v>36248.9</v>
      </c>
      <c r="H166" s="81">
        <f>IF(C166=0,0,ROUNDDOWN(G166*C166,1))</f>
        <v>0</v>
      </c>
      <c r="I166" s="50">
        <v>0</v>
      </c>
      <c r="J166" s="77">
        <f>IF(C166=0,0,ROUNDDOWN(I166*C166,1))</f>
        <v>0</v>
      </c>
      <c r="K166" s="50">
        <v>0</v>
      </c>
      <c r="L166" s="76">
        <f>IF(C166=0,0,ROUNDDOWN(K166*C166,1))</f>
        <v>0</v>
      </c>
      <c r="M166" s="23" t="s">
        <v>2450</v>
      </c>
      <c r="N166" s="17" t="s">
        <v>2448</v>
      </c>
      <c r="O166" s="7" t="s">
        <v>2449</v>
      </c>
      <c r="P166" s="7" t="s">
        <v>1209</v>
      </c>
      <c r="Z166" s="3" t="str">
        <f ca="1">HYPERLINK("#"&amp;환율및기초자료!I2&amp;"!A"&amp;ROW(환율및기초자료!A8),"노무7 →")</f>
        <v>노무7 →</v>
      </c>
    </row>
    <row r="167" spans="1:26" ht="28.7" customHeight="1" x14ac:dyDescent="0.3">
      <c r="A167" s="10" t="s">
        <v>415</v>
      </c>
      <c r="B167" s="10" t="s">
        <v>416</v>
      </c>
      <c r="C167" s="75">
        <v>2.2000000000000002</v>
      </c>
      <c r="D167" s="32" t="s">
        <v>417</v>
      </c>
      <c r="E167" s="54">
        <f t="shared" si="21"/>
        <v>1799</v>
      </c>
      <c r="F167" s="77">
        <f t="shared" si="21"/>
        <v>3957.8</v>
      </c>
      <c r="G167" s="50">
        <v>0</v>
      </c>
      <c r="H167" s="76">
        <f>IF(C167=0,0,ROUNDDOWN(G167*C167,1))</f>
        <v>0</v>
      </c>
      <c r="I167" s="78">
        <f>재료비목록표!E13</f>
        <v>1799</v>
      </c>
      <c r="J167" s="81">
        <f>IF(C167=0,0,ROUNDDOWN(I167*C167,1))</f>
        <v>3957.8</v>
      </c>
      <c r="K167" s="50">
        <v>0</v>
      </c>
      <c r="L167" s="76">
        <f>IF(C167=0,0,ROUNDDOWN(K167*C167,1))</f>
        <v>0</v>
      </c>
      <c r="M167" s="23" t="s">
        <v>2349</v>
      </c>
      <c r="N167" s="17" t="s">
        <v>2360</v>
      </c>
      <c r="O167" s="7" t="s">
        <v>2348</v>
      </c>
      <c r="P167" s="7" t="s">
        <v>1209</v>
      </c>
      <c r="Q167" s="7" t="s">
        <v>1214</v>
      </c>
      <c r="Z167" s="3" t="str">
        <f ca="1">HYPERLINK("#"&amp;재료비목록표!G2&amp;"!A"&amp;ROW(재료비목록표!A13),"자재10 →")</f>
        <v>자재10 →</v>
      </c>
    </row>
    <row r="168" spans="1:26" ht="28.7" customHeight="1" x14ac:dyDescent="0.3">
      <c r="A168" s="10" t="s">
        <v>537</v>
      </c>
      <c r="B168" s="10" t="s">
        <v>2361</v>
      </c>
      <c r="C168" s="75">
        <v>13</v>
      </c>
      <c r="D168" s="32" t="s">
        <v>539</v>
      </c>
      <c r="E168" s="54">
        <f t="shared" si="21"/>
        <v>3957.8</v>
      </c>
      <c r="F168" s="77">
        <f t="shared" si="21"/>
        <v>514.5</v>
      </c>
      <c r="G168" s="13">
        <v>0</v>
      </c>
      <c r="H168" s="77">
        <f>IF(C168=0,0,ROUNDDOWN(G168*C168/100,1))</f>
        <v>0</v>
      </c>
      <c r="I168" s="79">
        <f>J167</f>
        <v>3957.8</v>
      </c>
      <c r="J168" s="76">
        <f>IF(C168=0,0,ROUNDDOWN(I168*C168/100,1))</f>
        <v>514.5</v>
      </c>
      <c r="K168" s="22">
        <v>0</v>
      </c>
      <c r="L168" s="76">
        <f>IF(C168=0,0,ROUNDDOWN(K168*C168/100,1))</f>
        <v>0</v>
      </c>
      <c r="M168" s="23"/>
      <c r="N168" s="17" t="s">
        <v>2362</v>
      </c>
      <c r="O168" s="7" t="s">
        <v>1236</v>
      </c>
      <c r="P168" s="7" t="s">
        <v>1209</v>
      </c>
    </row>
    <row r="169" spans="1:26" ht="28.7" customHeight="1" x14ac:dyDescent="0.3">
      <c r="A169" s="23" t="s">
        <v>6</v>
      </c>
      <c r="B169" s="74"/>
      <c r="C169" s="74"/>
      <c r="D169" s="74"/>
      <c r="E169" s="74"/>
      <c r="F169" s="47">
        <f>J169+H169+L169</f>
        <v>6439</v>
      </c>
      <c r="G169" s="74"/>
      <c r="H169" s="47">
        <f>ROUNDDOWN(SUMIF(P165:P168,O169,H165:H168),0)</f>
        <v>0</v>
      </c>
      <c r="I169" s="74"/>
      <c r="J169" s="47">
        <f>ROUNDDOWN(SUMIF(P165:P168,O169,J165:J168),0)</f>
        <v>4472</v>
      </c>
      <c r="K169" s="74"/>
      <c r="L169" s="47">
        <f>ROUNDDOWN(SUMIF(P165:P168,O169,L165:L168),0)</f>
        <v>1967</v>
      </c>
      <c r="M169" s="74"/>
      <c r="O169" s="7" t="s">
        <v>1209</v>
      </c>
    </row>
    <row r="170" spans="1:26" ht="28.7" customHeight="1" x14ac:dyDescent="0.3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</row>
    <row r="171" spans="1:26" ht="28.7" customHeight="1" x14ac:dyDescent="0.3">
      <c r="A171" s="135" t="s">
        <v>345</v>
      </c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49"/>
      <c r="M171" s="23" t="s">
        <v>348</v>
      </c>
      <c r="N171" s="84" t="str">
        <f>HYPERLINK("#N"&amp;ROW(N175),"_x0005_`BDCOD|X00039_x0007_`POSS|"&amp;ROW(N172)&amp;"_x0007_`POSE|"&amp;ROW(N175)&amp;"_x0007_`")</f>
        <v>_x0005_`BDCOD|X00039_x0007_`POSS|172_x0007_`POSE|175_x0007_`</v>
      </c>
      <c r="O171" s="7" t="s">
        <v>2459</v>
      </c>
    </row>
    <row r="172" spans="1:26" ht="28.7" customHeight="1" x14ac:dyDescent="0.3">
      <c r="A172" s="10" t="s">
        <v>346</v>
      </c>
      <c r="B172" s="10" t="s">
        <v>347</v>
      </c>
      <c r="C172" s="75">
        <v>0.63539999999999996</v>
      </c>
      <c r="D172" s="32" t="s">
        <v>619</v>
      </c>
      <c r="E172" s="54">
        <f t="shared" ref="E172:F175" si="22">I172+G172+K172</f>
        <v>3249</v>
      </c>
      <c r="F172" s="77">
        <f t="shared" si="22"/>
        <v>2064.4</v>
      </c>
      <c r="G172" s="50">
        <v>0</v>
      </c>
      <c r="H172" s="77">
        <f>IF(C172=0,0,ROUNDDOWN(G172*C172,1))</f>
        <v>0</v>
      </c>
      <c r="I172" s="50">
        <v>0</v>
      </c>
      <c r="J172" s="76">
        <f>IF(C172=0,0,ROUNDDOWN(I172*C172,1))</f>
        <v>0</v>
      </c>
      <c r="K172" s="78">
        <f>경비목록표!E30</f>
        <v>3249</v>
      </c>
      <c r="L172" s="80">
        <f>IF(C172=0,0,ROUNDDOWN(K172*C172,1))</f>
        <v>2064.4</v>
      </c>
      <c r="M172" s="23" t="s">
        <v>2462</v>
      </c>
      <c r="N172" s="17" t="s">
        <v>2460</v>
      </c>
      <c r="O172" s="7" t="s">
        <v>2461</v>
      </c>
      <c r="P172" s="7" t="s">
        <v>1209</v>
      </c>
      <c r="Z172" s="3" t="str">
        <f ca="1">HYPERLINK("#"&amp;경비목록표!G2&amp;"!A"&amp;ROW(경비목록표!A30),"경비27 →")</f>
        <v>경비27 →</v>
      </c>
    </row>
    <row r="173" spans="1:26" ht="28.7" customHeight="1" x14ac:dyDescent="0.3">
      <c r="A173" s="10" t="s">
        <v>599</v>
      </c>
      <c r="B173" s="10"/>
      <c r="C173" s="75">
        <v>1</v>
      </c>
      <c r="D173" s="32" t="s">
        <v>587</v>
      </c>
      <c r="E173" s="54">
        <f t="shared" si="22"/>
        <v>36248.9</v>
      </c>
      <c r="F173" s="76">
        <f t="shared" si="22"/>
        <v>36248.9</v>
      </c>
      <c r="G173" s="78">
        <f>환율및기초자료!G8</f>
        <v>36248.9</v>
      </c>
      <c r="H173" s="81">
        <f>IF(C173=0,0,ROUNDDOWN(G173*C173,1))</f>
        <v>36248.9</v>
      </c>
      <c r="I173" s="50">
        <v>0</v>
      </c>
      <c r="J173" s="77">
        <f>IF(C173=0,0,ROUNDDOWN(I173*C173,1))</f>
        <v>0</v>
      </c>
      <c r="K173" s="50">
        <v>0</v>
      </c>
      <c r="L173" s="76">
        <f>IF(C173=0,0,ROUNDDOWN(K173*C173,1))</f>
        <v>0</v>
      </c>
      <c r="M173" s="23" t="s">
        <v>2450</v>
      </c>
      <c r="N173" s="17" t="s">
        <v>2448</v>
      </c>
      <c r="O173" s="7" t="s">
        <v>2449</v>
      </c>
      <c r="P173" s="7" t="s">
        <v>1209</v>
      </c>
      <c r="Z173" s="3" t="str">
        <f ca="1">HYPERLINK("#"&amp;환율및기초자료!I2&amp;"!A"&amp;ROW(환율및기초자료!A8),"노무7 →")</f>
        <v>노무7 →</v>
      </c>
    </row>
    <row r="174" spans="1:26" ht="28.7" customHeight="1" x14ac:dyDescent="0.3">
      <c r="A174" s="10" t="s">
        <v>582</v>
      </c>
      <c r="B174" s="10" t="s">
        <v>583</v>
      </c>
      <c r="C174" s="75">
        <v>5.6</v>
      </c>
      <c r="D174" s="32" t="s">
        <v>417</v>
      </c>
      <c r="E174" s="54">
        <f t="shared" si="22"/>
        <v>1805</v>
      </c>
      <c r="F174" s="77">
        <f t="shared" si="22"/>
        <v>10108</v>
      </c>
      <c r="G174" s="50">
        <v>0</v>
      </c>
      <c r="H174" s="76">
        <f>IF(C174=0,0,ROUNDDOWN(G174*C174,1))</f>
        <v>0</v>
      </c>
      <c r="I174" s="78">
        <f>재료비목록표!E56</f>
        <v>1805</v>
      </c>
      <c r="J174" s="81">
        <f>IF(C174=0,0,ROUNDDOWN(I174*C174,1))</f>
        <v>10108</v>
      </c>
      <c r="K174" s="50">
        <v>0</v>
      </c>
      <c r="L174" s="76">
        <f>IF(C174=0,0,ROUNDDOWN(K174*C174,1))</f>
        <v>0</v>
      </c>
      <c r="M174" s="23" t="s">
        <v>2407</v>
      </c>
      <c r="N174" s="17" t="s">
        <v>2405</v>
      </c>
      <c r="O174" s="7" t="s">
        <v>2406</v>
      </c>
      <c r="P174" s="7" t="s">
        <v>1209</v>
      </c>
      <c r="Q174" s="7" t="s">
        <v>1214</v>
      </c>
      <c r="Z174" s="3" t="str">
        <f ca="1">HYPERLINK("#"&amp;재료비목록표!G2&amp;"!A"&amp;ROW(재료비목록표!A56),"자재53 →")</f>
        <v>자재53 →</v>
      </c>
    </row>
    <row r="175" spans="1:26" ht="28.7" customHeight="1" x14ac:dyDescent="0.3">
      <c r="A175" s="10" t="s">
        <v>537</v>
      </c>
      <c r="B175" s="10" t="s">
        <v>2361</v>
      </c>
      <c r="C175" s="75">
        <v>20</v>
      </c>
      <c r="D175" s="32" t="s">
        <v>539</v>
      </c>
      <c r="E175" s="54">
        <f t="shared" si="22"/>
        <v>10108</v>
      </c>
      <c r="F175" s="77">
        <f t="shared" si="22"/>
        <v>2021.6</v>
      </c>
      <c r="G175" s="13">
        <v>0</v>
      </c>
      <c r="H175" s="77">
        <f>IF(C175=0,0,ROUNDDOWN(G175*C175/100,1))</f>
        <v>0</v>
      </c>
      <c r="I175" s="79">
        <f>J174</f>
        <v>10108</v>
      </c>
      <c r="J175" s="76">
        <f>IF(C175=0,0,ROUNDDOWN(I175*C175/100,1))</f>
        <v>2021.6</v>
      </c>
      <c r="K175" s="22">
        <v>0</v>
      </c>
      <c r="L175" s="76">
        <f>IF(C175=0,0,ROUNDDOWN(K175*C175/100,1))</f>
        <v>0</v>
      </c>
      <c r="M175" s="23"/>
      <c r="N175" s="17" t="s">
        <v>2362</v>
      </c>
      <c r="O175" s="7" t="s">
        <v>1236</v>
      </c>
      <c r="P175" s="7" t="s">
        <v>1209</v>
      </c>
    </row>
    <row r="176" spans="1:26" ht="28.7" customHeight="1" x14ac:dyDescent="0.3">
      <c r="A176" s="23" t="s">
        <v>6</v>
      </c>
      <c r="B176" s="74"/>
      <c r="C176" s="74"/>
      <c r="D176" s="74"/>
      <c r="E176" s="74"/>
      <c r="F176" s="47">
        <f>J176+H176+L176</f>
        <v>50441</v>
      </c>
      <c r="G176" s="74"/>
      <c r="H176" s="47">
        <f>ROUNDDOWN(SUMIF(P172:P175,O176,H172:H175),0)</f>
        <v>36248</v>
      </c>
      <c r="I176" s="74"/>
      <c r="J176" s="47">
        <f>ROUNDDOWN(SUMIF(P172:P175,O176,J172:J175),0)</f>
        <v>12129</v>
      </c>
      <c r="K176" s="74"/>
      <c r="L176" s="47">
        <f>ROUNDDOWN(SUMIF(P172:P175,O176,L172:L175),0)</f>
        <v>2064</v>
      </c>
      <c r="M176" s="74"/>
      <c r="O176" s="7" t="s">
        <v>1209</v>
      </c>
    </row>
    <row r="177" spans="1:26" ht="28.7" customHeight="1" x14ac:dyDescent="0.3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</row>
    <row r="178" spans="1:26" ht="28.7" customHeight="1" x14ac:dyDescent="0.3">
      <c r="A178" s="135" t="s">
        <v>349</v>
      </c>
      <c r="B178" s="136"/>
      <c r="C178" s="136"/>
      <c r="D178" s="136"/>
      <c r="E178" s="136"/>
      <c r="F178" s="136"/>
      <c r="G178" s="136"/>
      <c r="H178" s="136"/>
      <c r="I178" s="136"/>
      <c r="J178" s="136"/>
      <c r="K178" s="136"/>
      <c r="L178" s="149"/>
      <c r="M178" s="23" t="s">
        <v>352</v>
      </c>
      <c r="N178" s="84" t="str">
        <f>HYPERLINK("#N"&amp;ROW(N182),"_x0005_`BDCOD|X00031_x0007_`POSS|"&amp;ROW(N179)&amp;"_x0007_`POSE|"&amp;ROW(N182)&amp;"_x0007_`")</f>
        <v>_x0005_`BDCOD|X00031_x0007_`POSS|179_x0007_`POSE|182_x0007_`</v>
      </c>
      <c r="O178" s="7" t="s">
        <v>2463</v>
      </c>
    </row>
    <row r="179" spans="1:26" ht="28.7" customHeight="1" x14ac:dyDescent="0.3">
      <c r="A179" s="10" t="s">
        <v>350</v>
      </c>
      <c r="B179" s="10" t="s">
        <v>351</v>
      </c>
      <c r="C179" s="75">
        <v>0.2298</v>
      </c>
      <c r="D179" s="32" t="s">
        <v>619</v>
      </c>
      <c r="E179" s="54">
        <f t="shared" ref="E179:F182" si="23">I179+G179+K179</f>
        <v>136400</v>
      </c>
      <c r="F179" s="77">
        <f t="shared" si="23"/>
        <v>31344.7</v>
      </c>
      <c r="G179" s="50">
        <v>0</v>
      </c>
      <c r="H179" s="77">
        <f>IF(C179=0,0,ROUNDDOWN(G179*C179,1))</f>
        <v>0</v>
      </c>
      <c r="I179" s="50">
        <v>0</v>
      </c>
      <c r="J179" s="76">
        <f>IF(C179=0,0,ROUNDDOWN(I179*C179,1))</f>
        <v>0</v>
      </c>
      <c r="K179" s="78">
        <f>경비목록표!E31</f>
        <v>136400</v>
      </c>
      <c r="L179" s="80">
        <f>IF(C179=0,0,ROUNDDOWN(K179*C179,1))</f>
        <v>31344.7</v>
      </c>
      <c r="M179" s="23" t="s">
        <v>2466</v>
      </c>
      <c r="N179" s="17" t="s">
        <v>2464</v>
      </c>
      <c r="O179" s="7" t="s">
        <v>2465</v>
      </c>
      <c r="P179" s="7" t="s">
        <v>1209</v>
      </c>
      <c r="Z179" s="3" t="str">
        <f ca="1">HYPERLINK("#"&amp;경비목록표!G2&amp;"!A"&amp;ROW(경비목록표!A31),"경비28 →")</f>
        <v>경비28 →</v>
      </c>
    </row>
    <row r="180" spans="1:26" ht="28.7" customHeight="1" x14ac:dyDescent="0.3">
      <c r="A180" s="10" t="s">
        <v>586</v>
      </c>
      <c r="B180" s="10"/>
      <c r="C180" s="75">
        <v>1</v>
      </c>
      <c r="D180" s="32" t="s">
        <v>587</v>
      </c>
      <c r="E180" s="54">
        <f t="shared" si="23"/>
        <v>59020.2</v>
      </c>
      <c r="F180" s="76">
        <f t="shared" si="23"/>
        <v>59020.2</v>
      </c>
      <c r="G180" s="78">
        <f>환율및기초자료!G6</f>
        <v>59020.2</v>
      </c>
      <c r="H180" s="81">
        <f>IF(C180=0,0,ROUNDDOWN(G180*C180,1))</f>
        <v>59020.2</v>
      </c>
      <c r="I180" s="50">
        <v>0</v>
      </c>
      <c r="J180" s="77">
        <f>IF(C180=0,0,ROUNDDOWN(I180*C180,1))</f>
        <v>0</v>
      </c>
      <c r="K180" s="50">
        <v>0</v>
      </c>
      <c r="L180" s="76">
        <f>IF(C180=0,0,ROUNDDOWN(K180*C180,1))</f>
        <v>0</v>
      </c>
      <c r="M180" s="23" t="s">
        <v>2346</v>
      </c>
      <c r="N180" s="17" t="s">
        <v>2344</v>
      </c>
      <c r="O180" s="7" t="s">
        <v>2345</v>
      </c>
      <c r="P180" s="7" t="s">
        <v>1209</v>
      </c>
      <c r="Z180" s="3" t="str">
        <f ca="1">HYPERLINK("#"&amp;환율및기초자료!I2&amp;"!A"&amp;ROW(환율및기초자료!A6),"노무1 →")</f>
        <v>노무1 →</v>
      </c>
    </row>
    <row r="181" spans="1:26" ht="28.7" customHeight="1" x14ac:dyDescent="0.3">
      <c r="A181" s="10" t="s">
        <v>415</v>
      </c>
      <c r="B181" s="10" t="s">
        <v>416</v>
      </c>
      <c r="C181" s="75">
        <v>3.8</v>
      </c>
      <c r="D181" s="32" t="s">
        <v>417</v>
      </c>
      <c r="E181" s="54">
        <f t="shared" si="23"/>
        <v>1799</v>
      </c>
      <c r="F181" s="77">
        <f t="shared" si="23"/>
        <v>6836.2</v>
      </c>
      <c r="G181" s="50">
        <v>0</v>
      </c>
      <c r="H181" s="76">
        <f>IF(C181=0,0,ROUNDDOWN(G181*C181,1))</f>
        <v>0</v>
      </c>
      <c r="I181" s="78">
        <f>재료비목록표!E13</f>
        <v>1799</v>
      </c>
      <c r="J181" s="81">
        <f>IF(C181=0,0,ROUNDDOWN(I181*C181,1))</f>
        <v>6836.2</v>
      </c>
      <c r="K181" s="50">
        <v>0</v>
      </c>
      <c r="L181" s="76">
        <f>IF(C181=0,0,ROUNDDOWN(K181*C181,1))</f>
        <v>0</v>
      </c>
      <c r="M181" s="23" t="s">
        <v>2349</v>
      </c>
      <c r="N181" s="17" t="s">
        <v>2360</v>
      </c>
      <c r="O181" s="7" t="s">
        <v>2348</v>
      </c>
      <c r="P181" s="7" t="s">
        <v>1209</v>
      </c>
      <c r="Q181" s="7" t="s">
        <v>1214</v>
      </c>
      <c r="Z181" s="3" t="str">
        <f ca="1">HYPERLINK("#"&amp;재료비목록표!G2&amp;"!A"&amp;ROW(재료비목록표!A13),"자재10 →")</f>
        <v>자재10 →</v>
      </c>
    </row>
    <row r="182" spans="1:26" ht="28.7" customHeight="1" x14ac:dyDescent="0.3">
      <c r="A182" s="10" t="s">
        <v>537</v>
      </c>
      <c r="B182" s="10" t="s">
        <v>2361</v>
      </c>
      <c r="C182" s="75">
        <v>39</v>
      </c>
      <c r="D182" s="32" t="s">
        <v>539</v>
      </c>
      <c r="E182" s="54">
        <f t="shared" si="23"/>
        <v>6836.2</v>
      </c>
      <c r="F182" s="77">
        <f t="shared" si="23"/>
        <v>2666.1</v>
      </c>
      <c r="G182" s="13">
        <v>0</v>
      </c>
      <c r="H182" s="77">
        <f>IF(C182=0,0,ROUNDDOWN(G182*C182/100,1))</f>
        <v>0</v>
      </c>
      <c r="I182" s="79">
        <f>J181</f>
        <v>6836.2</v>
      </c>
      <c r="J182" s="76">
        <f>IF(C182=0,0,ROUNDDOWN(I182*C182/100,1))</f>
        <v>2666.1</v>
      </c>
      <c r="K182" s="22">
        <v>0</v>
      </c>
      <c r="L182" s="76">
        <f>IF(C182=0,0,ROUNDDOWN(K182*C182/100,1))</f>
        <v>0</v>
      </c>
      <c r="M182" s="23"/>
      <c r="N182" s="17" t="s">
        <v>2362</v>
      </c>
      <c r="O182" s="7" t="s">
        <v>1236</v>
      </c>
      <c r="P182" s="7" t="s">
        <v>1209</v>
      </c>
    </row>
    <row r="183" spans="1:26" ht="28.7" customHeight="1" x14ac:dyDescent="0.3">
      <c r="A183" s="23" t="s">
        <v>6</v>
      </c>
      <c r="B183" s="74"/>
      <c r="C183" s="74"/>
      <c r="D183" s="74"/>
      <c r="E183" s="74"/>
      <c r="F183" s="47">
        <f>J183+H183+L183</f>
        <v>99866</v>
      </c>
      <c r="G183" s="74"/>
      <c r="H183" s="47">
        <f>ROUNDDOWN(SUMIF(P179:P182,O183,H179:H182),0)</f>
        <v>59020</v>
      </c>
      <c r="I183" s="74"/>
      <c r="J183" s="47">
        <f>ROUNDDOWN(SUMIF(P179:P182,O183,J179:J182),0)</f>
        <v>9502</v>
      </c>
      <c r="K183" s="74"/>
      <c r="L183" s="47">
        <f>ROUNDDOWN(SUMIF(P179:P182,O183,L179:L182),0)</f>
        <v>31344</v>
      </c>
      <c r="M183" s="74"/>
      <c r="O183" s="7" t="s">
        <v>1209</v>
      </c>
    </row>
    <row r="184" spans="1:26" ht="28.7" customHeight="1" x14ac:dyDescent="0.3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</row>
    <row r="185" spans="1:26" ht="28.7" customHeight="1" x14ac:dyDescent="0.3">
      <c r="A185" s="135" t="s">
        <v>353</v>
      </c>
      <c r="B185" s="136"/>
      <c r="C185" s="136"/>
      <c r="D185" s="136"/>
      <c r="E185" s="136"/>
      <c r="F185" s="136"/>
      <c r="G185" s="136"/>
      <c r="H185" s="136"/>
      <c r="I185" s="136"/>
      <c r="J185" s="136"/>
      <c r="K185" s="136"/>
      <c r="L185" s="149"/>
      <c r="M185" s="23" t="s">
        <v>355</v>
      </c>
      <c r="N185" s="84" t="str">
        <f>HYPERLINK("#N"&amp;ROW(N189),"_x0005_`BDCOD|X00033_x0007_`POSS|"&amp;ROW(N186)&amp;"_x0007_`POSE|"&amp;ROW(N189)&amp;"_x0007_`")</f>
        <v>_x0005_`BDCOD|X00033_x0007_`POSS|186_x0007_`POSE|189_x0007_`</v>
      </c>
      <c r="O185" s="7" t="s">
        <v>2467</v>
      </c>
    </row>
    <row r="186" spans="1:26" ht="28.7" customHeight="1" x14ac:dyDescent="0.3">
      <c r="A186" s="10" t="s">
        <v>350</v>
      </c>
      <c r="B186" s="10" t="s">
        <v>354</v>
      </c>
      <c r="C186" s="75">
        <v>0.2298</v>
      </c>
      <c r="D186" s="32" t="s">
        <v>619</v>
      </c>
      <c r="E186" s="54">
        <f t="shared" ref="E186:F189" si="24">I186+G186+K186</f>
        <v>233376</v>
      </c>
      <c r="F186" s="77">
        <f t="shared" si="24"/>
        <v>53629.8</v>
      </c>
      <c r="G186" s="50">
        <v>0</v>
      </c>
      <c r="H186" s="77">
        <f>IF(C186=0,0,ROUNDDOWN(G186*C186,1))</f>
        <v>0</v>
      </c>
      <c r="I186" s="50">
        <v>0</v>
      </c>
      <c r="J186" s="76">
        <f>IF(C186=0,0,ROUNDDOWN(I186*C186,1))</f>
        <v>0</v>
      </c>
      <c r="K186" s="78">
        <f>경비목록표!E32</f>
        <v>233376</v>
      </c>
      <c r="L186" s="80">
        <f>IF(C186=0,0,ROUNDDOWN(K186*C186,1))</f>
        <v>53629.8</v>
      </c>
      <c r="M186" s="23" t="s">
        <v>2470</v>
      </c>
      <c r="N186" s="17" t="s">
        <v>2468</v>
      </c>
      <c r="O186" s="7" t="s">
        <v>2469</v>
      </c>
      <c r="P186" s="7" t="s">
        <v>1209</v>
      </c>
      <c r="Z186" s="3" t="str">
        <f ca="1">HYPERLINK("#"&amp;경비목록표!G2&amp;"!A"&amp;ROW(경비목록표!A32),"경비29 →")</f>
        <v>경비29 →</v>
      </c>
    </row>
    <row r="187" spans="1:26" ht="28.7" customHeight="1" x14ac:dyDescent="0.3">
      <c r="A187" s="10" t="s">
        <v>586</v>
      </c>
      <c r="B187" s="10"/>
      <c r="C187" s="75">
        <v>1</v>
      </c>
      <c r="D187" s="32" t="s">
        <v>587</v>
      </c>
      <c r="E187" s="54">
        <f t="shared" si="24"/>
        <v>59020.2</v>
      </c>
      <c r="F187" s="76">
        <f t="shared" si="24"/>
        <v>59020.2</v>
      </c>
      <c r="G187" s="78">
        <f>환율및기초자료!G6</f>
        <v>59020.2</v>
      </c>
      <c r="H187" s="81">
        <f>IF(C187=0,0,ROUNDDOWN(G187*C187,1))</f>
        <v>59020.2</v>
      </c>
      <c r="I187" s="50">
        <v>0</v>
      </c>
      <c r="J187" s="77">
        <f>IF(C187=0,0,ROUNDDOWN(I187*C187,1))</f>
        <v>0</v>
      </c>
      <c r="K187" s="50">
        <v>0</v>
      </c>
      <c r="L187" s="76">
        <f>IF(C187=0,0,ROUNDDOWN(K187*C187,1))</f>
        <v>0</v>
      </c>
      <c r="M187" s="23" t="s">
        <v>2346</v>
      </c>
      <c r="N187" s="17" t="s">
        <v>2344</v>
      </c>
      <c r="O187" s="7" t="s">
        <v>2345</v>
      </c>
      <c r="P187" s="7" t="s">
        <v>1209</v>
      </c>
      <c r="Z187" s="3" t="str">
        <f ca="1">HYPERLINK("#"&amp;환율및기초자료!I2&amp;"!A"&amp;ROW(환율및기초자료!A6),"노무1 →")</f>
        <v>노무1 →</v>
      </c>
    </row>
    <row r="188" spans="1:26" ht="28.7" customHeight="1" x14ac:dyDescent="0.3">
      <c r="A188" s="10" t="s">
        <v>415</v>
      </c>
      <c r="B188" s="10" t="s">
        <v>416</v>
      </c>
      <c r="C188" s="75">
        <v>5.4</v>
      </c>
      <c r="D188" s="32" t="s">
        <v>417</v>
      </c>
      <c r="E188" s="54">
        <f t="shared" si="24"/>
        <v>1799</v>
      </c>
      <c r="F188" s="77">
        <f t="shared" si="24"/>
        <v>9714.6</v>
      </c>
      <c r="G188" s="50">
        <v>0</v>
      </c>
      <c r="H188" s="76">
        <f>IF(C188=0,0,ROUNDDOWN(G188*C188,1))</f>
        <v>0</v>
      </c>
      <c r="I188" s="78">
        <f>재료비목록표!E13</f>
        <v>1799</v>
      </c>
      <c r="J188" s="81">
        <f>IF(C188=0,0,ROUNDDOWN(I188*C188,1))</f>
        <v>9714.6</v>
      </c>
      <c r="K188" s="50">
        <v>0</v>
      </c>
      <c r="L188" s="76">
        <f>IF(C188=0,0,ROUNDDOWN(K188*C188,1))</f>
        <v>0</v>
      </c>
      <c r="M188" s="23" t="s">
        <v>2349</v>
      </c>
      <c r="N188" s="17" t="s">
        <v>2360</v>
      </c>
      <c r="O188" s="7" t="s">
        <v>2348</v>
      </c>
      <c r="P188" s="7" t="s">
        <v>1209</v>
      </c>
      <c r="Q188" s="7" t="s">
        <v>1214</v>
      </c>
      <c r="Z188" s="3" t="str">
        <f ca="1">HYPERLINK("#"&amp;재료비목록표!G2&amp;"!A"&amp;ROW(재료비목록표!A13),"자재10 →")</f>
        <v>자재10 →</v>
      </c>
    </row>
    <row r="189" spans="1:26" ht="28.7" customHeight="1" x14ac:dyDescent="0.3">
      <c r="A189" s="10" t="s">
        <v>537</v>
      </c>
      <c r="B189" s="10" t="s">
        <v>2361</v>
      </c>
      <c r="C189" s="75">
        <v>39</v>
      </c>
      <c r="D189" s="32" t="s">
        <v>539</v>
      </c>
      <c r="E189" s="54">
        <f t="shared" si="24"/>
        <v>9714.6</v>
      </c>
      <c r="F189" s="77">
        <f t="shared" si="24"/>
        <v>3788.6</v>
      </c>
      <c r="G189" s="13">
        <v>0</v>
      </c>
      <c r="H189" s="77">
        <f>IF(C189=0,0,ROUNDDOWN(G189*C189/100,1))</f>
        <v>0</v>
      </c>
      <c r="I189" s="79">
        <f>J188</f>
        <v>9714.6</v>
      </c>
      <c r="J189" s="76">
        <f>IF(C189=0,0,ROUNDDOWN(I189*C189/100,1))</f>
        <v>3788.6</v>
      </c>
      <c r="K189" s="22">
        <v>0</v>
      </c>
      <c r="L189" s="76">
        <f>IF(C189=0,0,ROUNDDOWN(K189*C189/100,1))</f>
        <v>0</v>
      </c>
      <c r="M189" s="23"/>
      <c r="N189" s="17" t="s">
        <v>2362</v>
      </c>
      <c r="O189" s="7" t="s">
        <v>1236</v>
      </c>
      <c r="P189" s="7" t="s">
        <v>1209</v>
      </c>
    </row>
    <row r="190" spans="1:26" ht="28.7" customHeight="1" x14ac:dyDescent="0.3">
      <c r="A190" s="23" t="s">
        <v>6</v>
      </c>
      <c r="B190" s="74"/>
      <c r="C190" s="74"/>
      <c r="D190" s="74"/>
      <c r="E190" s="74"/>
      <c r="F190" s="47">
        <f>J190+H190+L190</f>
        <v>126152</v>
      </c>
      <c r="G190" s="74"/>
      <c r="H190" s="47">
        <f>ROUNDDOWN(SUMIF(P186:P189,O190,H186:H189),0)</f>
        <v>59020</v>
      </c>
      <c r="I190" s="74"/>
      <c r="J190" s="47">
        <f>ROUNDDOWN(SUMIF(P186:P189,O190,J186:J189),0)</f>
        <v>13503</v>
      </c>
      <c r="K190" s="74"/>
      <c r="L190" s="47">
        <f>ROUNDDOWN(SUMIF(P186:P189,O190,L186:L189),0)</f>
        <v>53629</v>
      </c>
      <c r="M190" s="74"/>
      <c r="O190" s="7" t="s">
        <v>1209</v>
      </c>
    </row>
    <row r="191" spans="1:26" ht="28.7" customHeight="1" x14ac:dyDescent="0.3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</row>
    <row r="192" spans="1:26" ht="28.7" customHeight="1" x14ac:dyDescent="0.3">
      <c r="A192" s="135" t="s">
        <v>356</v>
      </c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49"/>
      <c r="M192" s="23" t="s">
        <v>359</v>
      </c>
      <c r="N192" s="84" t="str">
        <f>HYPERLINK("#N"&amp;ROW(N196),"_x0005_`BDCOD|X00024_x0007_`POSS|"&amp;ROW(N193)&amp;"_x0007_`POSE|"&amp;ROW(N196)&amp;"_x0007_`")</f>
        <v>_x0005_`BDCOD|X00024_x0007_`POSS|193_x0007_`POSE|196_x0007_`</v>
      </c>
      <c r="O192" s="7" t="s">
        <v>2471</v>
      </c>
    </row>
    <row r="193" spans="1:26" ht="28.7" customHeight="1" x14ac:dyDescent="0.3">
      <c r="A193" s="10" t="s">
        <v>357</v>
      </c>
      <c r="B193" s="10" t="s">
        <v>358</v>
      </c>
      <c r="C193" s="75">
        <v>0.19450000000000001</v>
      </c>
      <c r="D193" s="32" t="s">
        <v>619</v>
      </c>
      <c r="E193" s="54">
        <f t="shared" ref="E193:F196" si="25">I193+G193+K193</f>
        <v>98388</v>
      </c>
      <c r="F193" s="77">
        <f t="shared" si="25"/>
        <v>19136.400000000001</v>
      </c>
      <c r="G193" s="50">
        <v>0</v>
      </c>
      <c r="H193" s="77">
        <f>IF(C193=0,0,ROUNDDOWN(G193*C193,1))</f>
        <v>0</v>
      </c>
      <c r="I193" s="50">
        <v>0</v>
      </c>
      <c r="J193" s="76">
        <f>IF(C193=0,0,ROUNDDOWN(I193*C193,1))</f>
        <v>0</v>
      </c>
      <c r="K193" s="78">
        <f>경비목록표!E33</f>
        <v>98388</v>
      </c>
      <c r="L193" s="80">
        <f>IF(C193=0,0,ROUNDDOWN(K193*C193,1))</f>
        <v>19136.400000000001</v>
      </c>
      <c r="M193" s="23" t="s">
        <v>2474</v>
      </c>
      <c r="N193" s="17" t="s">
        <v>2472</v>
      </c>
      <c r="O193" s="7" t="s">
        <v>2473</v>
      </c>
      <c r="P193" s="7" t="s">
        <v>1209</v>
      </c>
      <c r="Z193" s="3" t="str">
        <f ca="1">HYPERLINK("#"&amp;경비목록표!G2&amp;"!A"&amp;ROW(경비목록표!A33),"경비30 →")</f>
        <v>경비30 →</v>
      </c>
    </row>
    <row r="194" spans="1:26" ht="28.7" customHeight="1" x14ac:dyDescent="0.3">
      <c r="A194" s="10" t="s">
        <v>586</v>
      </c>
      <c r="B194" s="10"/>
      <c r="C194" s="75">
        <v>1</v>
      </c>
      <c r="D194" s="32" t="s">
        <v>587</v>
      </c>
      <c r="E194" s="54">
        <f t="shared" si="25"/>
        <v>59020.2</v>
      </c>
      <c r="F194" s="76">
        <f t="shared" si="25"/>
        <v>59020.2</v>
      </c>
      <c r="G194" s="78">
        <f>환율및기초자료!G6</f>
        <v>59020.2</v>
      </c>
      <c r="H194" s="81">
        <f>IF(C194=0,0,ROUNDDOWN(G194*C194,1))</f>
        <v>59020.2</v>
      </c>
      <c r="I194" s="50">
        <v>0</v>
      </c>
      <c r="J194" s="77">
        <f>IF(C194=0,0,ROUNDDOWN(I194*C194,1))</f>
        <v>0</v>
      </c>
      <c r="K194" s="50">
        <v>0</v>
      </c>
      <c r="L194" s="76">
        <f>IF(C194=0,0,ROUNDDOWN(K194*C194,1))</f>
        <v>0</v>
      </c>
      <c r="M194" s="23" t="s">
        <v>2346</v>
      </c>
      <c r="N194" s="17" t="s">
        <v>2344</v>
      </c>
      <c r="O194" s="7" t="s">
        <v>2345</v>
      </c>
      <c r="P194" s="7" t="s">
        <v>1209</v>
      </c>
      <c r="Z194" s="3" t="str">
        <f ca="1">HYPERLINK("#"&amp;환율및기초자료!I2&amp;"!A"&amp;ROW(환율및기초자료!A6),"노무1 →")</f>
        <v>노무1 →</v>
      </c>
    </row>
    <row r="195" spans="1:26" ht="28.7" customHeight="1" x14ac:dyDescent="0.3">
      <c r="A195" s="10" t="s">
        <v>415</v>
      </c>
      <c r="B195" s="10" t="s">
        <v>416</v>
      </c>
      <c r="C195" s="75">
        <v>8</v>
      </c>
      <c r="D195" s="32" t="s">
        <v>417</v>
      </c>
      <c r="E195" s="54">
        <f t="shared" si="25"/>
        <v>1799</v>
      </c>
      <c r="F195" s="77">
        <f t="shared" si="25"/>
        <v>14392</v>
      </c>
      <c r="G195" s="50">
        <v>0</v>
      </c>
      <c r="H195" s="76">
        <f>IF(C195=0,0,ROUNDDOWN(G195*C195,1))</f>
        <v>0</v>
      </c>
      <c r="I195" s="78">
        <f>재료비목록표!E13</f>
        <v>1799</v>
      </c>
      <c r="J195" s="81">
        <f>IF(C195=0,0,ROUNDDOWN(I195*C195,1))</f>
        <v>14392</v>
      </c>
      <c r="K195" s="50">
        <v>0</v>
      </c>
      <c r="L195" s="76">
        <f>IF(C195=0,0,ROUNDDOWN(K195*C195,1))</f>
        <v>0</v>
      </c>
      <c r="M195" s="23" t="s">
        <v>2349</v>
      </c>
      <c r="N195" s="17" t="s">
        <v>2360</v>
      </c>
      <c r="O195" s="7" t="s">
        <v>2348</v>
      </c>
      <c r="P195" s="7" t="s">
        <v>1209</v>
      </c>
      <c r="Q195" s="7" t="s">
        <v>1214</v>
      </c>
      <c r="Z195" s="3" t="str">
        <f ca="1">HYPERLINK("#"&amp;재료비목록표!G2&amp;"!A"&amp;ROW(재료비목록표!A13),"자재10 →")</f>
        <v>자재10 →</v>
      </c>
    </row>
    <row r="196" spans="1:26" ht="28.7" customHeight="1" x14ac:dyDescent="0.3">
      <c r="A196" s="10" t="s">
        <v>537</v>
      </c>
      <c r="B196" s="10" t="s">
        <v>2361</v>
      </c>
      <c r="C196" s="75">
        <v>23</v>
      </c>
      <c r="D196" s="32" t="s">
        <v>539</v>
      </c>
      <c r="E196" s="54">
        <f t="shared" si="25"/>
        <v>14392</v>
      </c>
      <c r="F196" s="77">
        <f t="shared" si="25"/>
        <v>3310.1</v>
      </c>
      <c r="G196" s="13">
        <v>0</v>
      </c>
      <c r="H196" s="77">
        <f>IF(C196=0,0,ROUNDDOWN(G196*C196/100,1))</f>
        <v>0</v>
      </c>
      <c r="I196" s="79">
        <f>J195</f>
        <v>14392</v>
      </c>
      <c r="J196" s="76">
        <f>IF(C196=0,0,ROUNDDOWN(I196*C196/100,1))</f>
        <v>3310.1</v>
      </c>
      <c r="K196" s="22">
        <v>0</v>
      </c>
      <c r="L196" s="76">
        <f>IF(C196=0,0,ROUNDDOWN(K196*C196/100,1))</f>
        <v>0</v>
      </c>
      <c r="M196" s="23"/>
      <c r="N196" s="17" t="s">
        <v>2362</v>
      </c>
      <c r="O196" s="7" t="s">
        <v>1236</v>
      </c>
      <c r="P196" s="7" t="s">
        <v>1209</v>
      </c>
    </row>
    <row r="197" spans="1:26" ht="28.7" customHeight="1" x14ac:dyDescent="0.3">
      <c r="A197" s="23" t="s">
        <v>6</v>
      </c>
      <c r="B197" s="74"/>
      <c r="C197" s="74"/>
      <c r="D197" s="74"/>
      <c r="E197" s="74"/>
      <c r="F197" s="47">
        <f>J197+H197+L197</f>
        <v>95858</v>
      </c>
      <c r="G197" s="74"/>
      <c r="H197" s="47">
        <f>ROUNDDOWN(SUMIF(P193:P196,O197,H193:H196),0)</f>
        <v>59020</v>
      </c>
      <c r="I197" s="74"/>
      <c r="J197" s="47">
        <f>ROUNDDOWN(SUMIF(P193:P196,O197,J193:J196),0)</f>
        <v>17702</v>
      </c>
      <c r="K197" s="74"/>
      <c r="L197" s="47">
        <f>ROUNDDOWN(SUMIF(P193:P196,O197,L193:L196),0)</f>
        <v>19136</v>
      </c>
      <c r="M197" s="74"/>
      <c r="O197" s="7" t="s">
        <v>1209</v>
      </c>
    </row>
    <row r="198" spans="1:26" ht="28.7" customHeight="1" x14ac:dyDescent="0.3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</row>
    <row r="199" spans="1:26" ht="28.7" customHeight="1" x14ac:dyDescent="0.3">
      <c r="A199" s="135" t="s">
        <v>360</v>
      </c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49"/>
      <c r="M199" s="23" t="s">
        <v>363</v>
      </c>
      <c r="N199" s="84" t="str">
        <f>HYPERLINK("#N"&amp;ROW(N203),"_x0005_`BDCOD|X00134_x0007_`POSS|"&amp;ROW(N200)&amp;"_x0007_`POSE|"&amp;ROW(N203)&amp;"_x0007_`")</f>
        <v>_x0005_`BDCOD|X00134_x0007_`POSS|200_x0007_`POSE|203_x0007_`</v>
      </c>
      <c r="O199" s="7" t="s">
        <v>2475</v>
      </c>
    </row>
    <row r="200" spans="1:26" ht="28.7" customHeight="1" x14ac:dyDescent="0.3">
      <c r="A200" s="10" t="s">
        <v>361</v>
      </c>
      <c r="B200" s="10" t="s">
        <v>362</v>
      </c>
      <c r="C200" s="75">
        <v>0.18629999999999999</v>
      </c>
      <c r="D200" s="32" t="s">
        <v>619</v>
      </c>
      <c r="E200" s="54">
        <f t="shared" ref="E200:F203" si="26">I200+G200+K200</f>
        <v>48513</v>
      </c>
      <c r="F200" s="77">
        <f t="shared" si="26"/>
        <v>9037.9</v>
      </c>
      <c r="G200" s="50">
        <v>0</v>
      </c>
      <c r="H200" s="77">
        <f>IF(C200=0,0,ROUNDDOWN(G200*C200,1))</f>
        <v>0</v>
      </c>
      <c r="I200" s="50">
        <v>0</v>
      </c>
      <c r="J200" s="76">
        <f>IF(C200=0,0,ROUNDDOWN(I200*C200,1))</f>
        <v>0</v>
      </c>
      <c r="K200" s="78">
        <f>경비목록표!E34</f>
        <v>48513</v>
      </c>
      <c r="L200" s="80">
        <f>IF(C200=0,0,ROUNDDOWN(K200*C200,1))</f>
        <v>9037.9</v>
      </c>
      <c r="M200" s="23" t="s">
        <v>2478</v>
      </c>
      <c r="N200" s="17" t="s">
        <v>2476</v>
      </c>
      <c r="O200" s="7" t="s">
        <v>2477</v>
      </c>
      <c r="P200" s="7" t="s">
        <v>1209</v>
      </c>
      <c r="Z200" s="3" t="str">
        <f ca="1">HYPERLINK("#"&amp;경비목록표!G2&amp;"!A"&amp;ROW(경비목록표!A34),"경비31 →")</f>
        <v>경비31 →</v>
      </c>
    </row>
    <row r="201" spans="1:26" ht="28.7" customHeight="1" x14ac:dyDescent="0.3">
      <c r="A201" s="10" t="s">
        <v>586</v>
      </c>
      <c r="B201" s="10"/>
      <c r="C201" s="75">
        <v>1</v>
      </c>
      <c r="D201" s="32" t="s">
        <v>587</v>
      </c>
      <c r="E201" s="54">
        <f t="shared" si="26"/>
        <v>59020.2</v>
      </c>
      <c r="F201" s="76">
        <f t="shared" si="26"/>
        <v>59020.2</v>
      </c>
      <c r="G201" s="78">
        <f>환율및기초자료!G6</f>
        <v>59020.2</v>
      </c>
      <c r="H201" s="81">
        <f>IF(C201=0,0,ROUNDDOWN(G201*C201,1))</f>
        <v>59020.2</v>
      </c>
      <c r="I201" s="50">
        <v>0</v>
      </c>
      <c r="J201" s="77">
        <f>IF(C201=0,0,ROUNDDOWN(I201*C201,1))</f>
        <v>0</v>
      </c>
      <c r="K201" s="50">
        <v>0</v>
      </c>
      <c r="L201" s="76">
        <f>IF(C201=0,0,ROUNDDOWN(K201*C201,1))</f>
        <v>0</v>
      </c>
      <c r="M201" s="23" t="s">
        <v>2346</v>
      </c>
      <c r="N201" s="17" t="s">
        <v>2344</v>
      </c>
      <c r="O201" s="7" t="s">
        <v>2345</v>
      </c>
      <c r="P201" s="7" t="s">
        <v>1209</v>
      </c>
      <c r="Z201" s="3" t="str">
        <f ca="1">HYPERLINK("#"&amp;환율및기초자료!I2&amp;"!A"&amp;ROW(환율및기초자료!A6),"노무1 →")</f>
        <v>노무1 →</v>
      </c>
    </row>
    <row r="202" spans="1:26" ht="28.7" customHeight="1" x14ac:dyDescent="0.3">
      <c r="A202" s="10" t="s">
        <v>415</v>
      </c>
      <c r="B202" s="10" t="s">
        <v>416</v>
      </c>
      <c r="C202" s="75">
        <v>5</v>
      </c>
      <c r="D202" s="32" t="s">
        <v>417</v>
      </c>
      <c r="E202" s="54">
        <f t="shared" si="26"/>
        <v>1799</v>
      </c>
      <c r="F202" s="77">
        <f t="shared" si="26"/>
        <v>8995</v>
      </c>
      <c r="G202" s="50">
        <v>0</v>
      </c>
      <c r="H202" s="76">
        <f>IF(C202=0,0,ROUNDDOWN(G202*C202,1))</f>
        <v>0</v>
      </c>
      <c r="I202" s="78">
        <f>재료비목록표!E13</f>
        <v>1799</v>
      </c>
      <c r="J202" s="81">
        <f>IF(C202=0,0,ROUNDDOWN(I202*C202,1))</f>
        <v>8995</v>
      </c>
      <c r="K202" s="50">
        <v>0</v>
      </c>
      <c r="L202" s="76">
        <f>IF(C202=0,0,ROUNDDOWN(K202*C202,1))</f>
        <v>0</v>
      </c>
      <c r="M202" s="23" t="s">
        <v>2349</v>
      </c>
      <c r="N202" s="17" t="s">
        <v>2360</v>
      </c>
      <c r="O202" s="7" t="s">
        <v>2348</v>
      </c>
      <c r="P202" s="7" t="s">
        <v>1209</v>
      </c>
      <c r="Q202" s="7" t="s">
        <v>1214</v>
      </c>
      <c r="Z202" s="3" t="str">
        <f ca="1">HYPERLINK("#"&amp;재료비목록표!G2&amp;"!A"&amp;ROW(재료비목록표!A13),"자재10 →")</f>
        <v>자재10 →</v>
      </c>
    </row>
    <row r="203" spans="1:26" ht="28.7" customHeight="1" x14ac:dyDescent="0.3">
      <c r="A203" s="10" t="s">
        <v>537</v>
      </c>
      <c r="B203" s="10" t="s">
        <v>2361</v>
      </c>
      <c r="C203" s="75">
        <v>18</v>
      </c>
      <c r="D203" s="32" t="s">
        <v>539</v>
      </c>
      <c r="E203" s="54">
        <f t="shared" si="26"/>
        <v>8995</v>
      </c>
      <c r="F203" s="77">
        <f t="shared" si="26"/>
        <v>1619.1</v>
      </c>
      <c r="G203" s="13">
        <v>0</v>
      </c>
      <c r="H203" s="77">
        <f>IF(C203=0,0,ROUNDDOWN(G203*C203/100,1))</f>
        <v>0</v>
      </c>
      <c r="I203" s="79">
        <f>J202</f>
        <v>8995</v>
      </c>
      <c r="J203" s="76">
        <f>IF(C203=0,0,ROUNDDOWN(I203*C203/100,1))</f>
        <v>1619.1</v>
      </c>
      <c r="K203" s="22">
        <v>0</v>
      </c>
      <c r="L203" s="76">
        <f>IF(C203=0,0,ROUNDDOWN(K203*C203/100,1))</f>
        <v>0</v>
      </c>
      <c r="M203" s="23"/>
      <c r="N203" s="17" t="s">
        <v>2362</v>
      </c>
      <c r="O203" s="7" t="s">
        <v>1236</v>
      </c>
      <c r="P203" s="7" t="s">
        <v>1209</v>
      </c>
    </row>
    <row r="204" spans="1:26" ht="28.7" customHeight="1" x14ac:dyDescent="0.3">
      <c r="A204" s="23" t="s">
        <v>6</v>
      </c>
      <c r="B204" s="74"/>
      <c r="C204" s="74"/>
      <c r="D204" s="74"/>
      <c r="E204" s="74"/>
      <c r="F204" s="47">
        <f>J204+H204+L204</f>
        <v>78671</v>
      </c>
      <c r="G204" s="74"/>
      <c r="H204" s="47">
        <f>ROUNDDOWN(SUMIF(P200:P203,O204,H200:H203),0)</f>
        <v>59020</v>
      </c>
      <c r="I204" s="74"/>
      <c r="J204" s="47">
        <f>ROUNDDOWN(SUMIF(P200:P203,O204,J200:J203),0)</f>
        <v>10614</v>
      </c>
      <c r="K204" s="74"/>
      <c r="L204" s="47">
        <f>ROUNDDOWN(SUMIF(P200:P203,O204,L200:L203),0)</f>
        <v>9037</v>
      </c>
      <c r="M204" s="74"/>
      <c r="O204" s="7" t="s">
        <v>1209</v>
      </c>
    </row>
    <row r="205" spans="1:26" ht="28.7" customHeight="1" x14ac:dyDescent="0.3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</row>
    <row r="206" spans="1:26" ht="28.7" customHeight="1" x14ac:dyDescent="0.3">
      <c r="A206" s="135" t="s">
        <v>364</v>
      </c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49"/>
      <c r="M206" s="23" t="s">
        <v>366</v>
      </c>
      <c r="N206" s="84" t="str">
        <f>HYPERLINK("#N"&amp;ROW(N210),"_x0005_`BDCOD|X00036_x0007_`POSS|"&amp;ROW(N207)&amp;"_x0007_`POSE|"&amp;ROW(N210)&amp;"_x0007_`")</f>
        <v>_x0005_`BDCOD|X00036_x0007_`POSS|207_x0007_`POSE|210_x0007_`</v>
      </c>
      <c r="O206" s="7" t="s">
        <v>2479</v>
      </c>
    </row>
    <row r="207" spans="1:26" ht="28.7" customHeight="1" x14ac:dyDescent="0.3">
      <c r="A207" s="10" t="s">
        <v>365</v>
      </c>
      <c r="B207" s="10" t="s">
        <v>354</v>
      </c>
      <c r="C207" s="75">
        <v>0.2576</v>
      </c>
      <c r="D207" s="32" t="s">
        <v>619</v>
      </c>
      <c r="E207" s="54">
        <f t="shared" ref="E207:F210" si="27">I207+G207+K207</f>
        <v>67216</v>
      </c>
      <c r="F207" s="77">
        <f t="shared" si="27"/>
        <v>17314.8</v>
      </c>
      <c r="G207" s="50">
        <v>0</v>
      </c>
      <c r="H207" s="77">
        <f>IF(C207=0,0,ROUNDDOWN(G207*C207,1))</f>
        <v>0</v>
      </c>
      <c r="I207" s="50">
        <v>0</v>
      </c>
      <c r="J207" s="76">
        <f>IF(C207=0,0,ROUNDDOWN(I207*C207,1))</f>
        <v>0</v>
      </c>
      <c r="K207" s="78">
        <f>경비목록표!E35</f>
        <v>67216</v>
      </c>
      <c r="L207" s="80">
        <f>IF(C207=0,0,ROUNDDOWN(K207*C207,1))</f>
        <v>17314.8</v>
      </c>
      <c r="M207" s="23" t="s">
        <v>2482</v>
      </c>
      <c r="N207" s="17" t="s">
        <v>2480</v>
      </c>
      <c r="O207" s="7" t="s">
        <v>2481</v>
      </c>
      <c r="P207" s="7" t="s">
        <v>1209</v>
      </c>
      <c r="Z207" s="3" t="str">
        <f ca="1">HYPERLINK("#"&amp;경비목록표!G2&amp;"!A"&amp;ROW(경비목록표!A35),"경비32 →")</f>
        <v>경비32 →</v>
      </c>
    </row>
    <row r="208" spans="1:26" ht="28.7" customHeight="1" x14ac:dyDescent="0.3">
      <c r="A208" s="10" t="s">
        <v>586</v>
      </c>
      <c r="B208" s="10"/>
      <c r="C208" s="75">
        <v>1</v>
      </c>
      <c r="D208" s="32" t="s">
        <v>587</v>
      </c>
      <c r="E208" s="54">
        <f t="shared" si="27"/>
        <v>59020.2</v>
      </c>
      <c r="F208" s="76">
        <f t="shared" si="27"/>
        <v>59020.2</v>
      </c>
      <c r="G208" s="78">
        <f>환율및기초자료!G6</f>
        <v>59020.2</v>
      </c>
      <c r="H208" s="81">
        <f>IF(C208=0,0,ROUNDDOWN(G208*C208,1))</f>
        <v>59020.2</v>
      </c>
      <c r="I208" s="50">
        <v>0</v>
      </c>
      <c r="J208" s="77">
        <f>IF(C208=0,0,ROUNDDOWN(I208*C208,1))</f>
        <v>0</v>
      </c>
      <c r="K208" s="50">
        <v>0</v>
      </c>
      <c r="L208" s="76">
        <f>IF(C208=0,0,ROUNDDOWN(K208*C208,1))</f>
        <v>0</v>
      </c>
      <c r="M208" s="23" t="s">
        <v>2346</v>
      </c>
      <c r="N208" s="17" t="s">
        <v>2344</v>
      </c>
      <c r="O208" s="7" t="s">
        <v>2345</v>
      </c>
      <c r="P208" s="7" t="s">
        <v>1209</v>
      </c>
      <c r="Z208" s="3" t="str">
        <f ca="1">HYPERLINK("#"&amp;환율및기초자료!I2&amp;"!A"&amp;ROW(환율및기초자료!A6),"노무1 →")</f>
        <v>노무1 →</v>
      </c>
    </row>
    <row r="209" spans="1:26" ht="28.7" customHeight="1" x14ac:dyDescent="0.3">
      <c r="A209" s="10" t="s">
        <v>415</v>
      </c>
      <c r="B209" s="10" t="s">
        <v>416</v>
      </c>
      <c r="C209" s="75">
        <v>16.5</v>
      </c>
      <c r="D209" s="32" t="s">
        <v>417</v>
      </c>
      <c r="E209" s="54">
        <f t="shared" si="27"/>
        <v>1799</v>
      </c>
      <c r="F209" s="77">
        <f t="shared" si="27"/>
        <v>29683.5</v>
      </c>
      <c r="G209" s="50">
        <v>0</v>
      </c>
      <c r="H209" s="76">
        <f>IF(C209=0,0,ROUNDDOWN(G209*C209,1))</f>
        <v>0</v>
      </c>
      <c r="I209" s="78">
        <f>재료비목록표!E13</f>
        <v>1799</v>
      </c>
      <c r="J209" s="81">
        <f>IF(C209=0,0,ROUNDDOWN(I209*C209,1))</f>
        <v>29683.5</v>
      </c>
      <c r="K209" s="50">
        <v>0</v>
      </c>
      <c r="L209" s="76">
        <f>IF(C209=0,0,ROUNDDOWN(K209*C209,1))</f>
        <v>0</v>
      </c>
      <c r="M209" s="23" t="s">
        <v>2349</v>
      </c>
      <c r="N209" s="17" t="s">
        <v>2360</v>
      </c>
      <c r="O209" s="7" t="s">
        <v>2348</v>
      </c>
      <c r="P209" s="7" t="s">
        <v>1209</v>
      </c>
      <c r="Q209" s="7" t="s">
        <v>1214</v>
      </c>
      <c r="Z209" s="3" t="str">
        <f ca="1">HYPERLINK("#"&amp;재료비목록표!G2&amp;"!A"&amp;ROW(재료비목록표!A13),"자재10 →")</f>
        <v>자재10 →</v>
      </c>
    </row>
    <row r="210" spans="1:26" ht="28.7" customHeight="1" x14ac:dyDescent="0.3">
      <c r="A210" s="10" t="s">
        <v>537</v>
      </c>
      <c r="B210" s="10" t="s">
        <v>2361</v>
      </c>
      <c r="C210" s="75">
        <v>39</v>
      </c>
      <c r="D210" s="32" t="s">
        <v>539</v>
      </c>
      <c r="E210" s="54">
        <f t="shared" si="27"/>
        <v>29683.5</v>
      </c>
      <c r="F210" s="77">
        <f t="shared" si="27"/>
        <v>11576.5</v>
      </c>
      <c r="G210" s="13">
        <v>0</v>
      </c>
      <c r="H210" s="77">
        <f>IF(C210=0,0,ROUNDDOWN(G210*C210/100,1))</f>
        <v>0</v>
      </c>
      <c r="I210" s="79">
        <f>J209</f>
        <v>29683.5</v>
      </c>
      <c r="J210" s="76">
        <f>IF(C210=0,0,ROUNDDOWN(I210*C210/100,1))</f>
        <v>11576.5</v>
      </c>
      <c r="K210" s="22">
        <v>0</v>
      </c>
      <c r="L210" s="76">
        <f>IF(C210=0,0,ROUNDDOWN(K210*C210/100,1))</f>
        <v>0</v>
      </c>
      <c r="M210" s="23"/>
      <c r="N210" s="17" t="s">
        <v>2362</v>
      </c>
      <c r="O210" s="7" t="s">
        <v>1236</v>
      </c>
      <c r="P210" s="7" t="s">
        <v>1209</v>
      </c>
    </row>
    <row r="211" spans="1:26" ht="28.7" customHeight="1" x14ac:dyDescent="0.3">
      <c r="A211" s="23" t="s">
        <v>6</v>
      </c>
      <c r="B211" s="74"/>
      <c r="C211" s="74"/>
      <c r="D211" s="74"/>
      <c r="E211" s="74"/>
      <c r="F211" s="47">
        <f>J211+H211+L211</f>
        <v>117594</v>
      </c>
      <c r="G211" s="74"/>
      <c r="H211" s="47">
        <f>ROUNDDOWN(SUMIF(P207:P210,O211,H207:H210),0)</f>
        <v>59020</v>
      </c>
      <c r="I211" s="74"/>
      <c r="J211" s="47">
        <f>ROUNDDOWN(SUMIF(P207:P210,O211,J207:J210),0)</f>
        <v>41260</v>
      </c>
      <c r="K211" s="74"/>
      <c r="L211" s="47">
        <f>ROUNDDOWN(SUMIF(P207:P210,O211,L207:L210),0)</f>
        <v>17314</v>
      </c>
      <c r="M211" s="74"/>
      <c r="O211" s="7" t="s">
        <v>1209</v>
      </c>
    </row>
    <row r="212" spans="1:26" ht="28.7" customHeight="1" x14ac:dyDescent="0.3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</row>
    <row r="213" spans="1:26" ht="28.7" customHeight="1" x14ac:dyDescent="0.3">
      <c r="A213" s="135" t="s">
        <v>367</v>
      </c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49"/>
      <c r="M213" s="23" t="s">
        <v>369</v>
      </c>
      <c r="N213" s="84" t="str">
        <f>HYPERLINK("#N"&amp;ROW(N217),"_x0005_`BDCOD|X00167_x0007_`POSS|"&amp;ROW(N214)&amp;"_x0007_`POSE|"&amp;ROW(N217)&amp;"_x0007_`")</f>
        <v>_x0005_`BDCOD|X00167_x0007_`POSS|214_x0007_`POSE|217_x0007_`</v>
      </c>
      <c r="O213" s="7" t="s">
        <v>2483</v>
      </c>
    </row>
    <row r="214" spans="1:26" ht="28.7" customHeight="1" x14ac:dyDescent="0.3">
      <c r="A214" s="10" t="s">
        <v>368</v>
      </c>
      <c r="B214" s="10" t="s">
        <v>351</v>
      </c>
      <c r="C214" s="75">
        <v>0.25979999999999998</v>
      </c>
      <c r="D214" s="32" t="s">
        <v>619</v>
      </c>
      <c r="E214" s="54">
        <f t="shared" ref="E214:F217" si="28">I214+G214+K214</f>
        <v>91593</v>
      </c>
      <c r="F214" s="77">
        <f t="shared" si="28"/>
        <v>23795.8</v>
      </c>
      <c r="G214" s="50">
        <v>0</v>
      </c>
      <c r="H214" s="77">
        <f>IF(C214=0,0,ROUNDDOWN(G214*C214,1))</f>
        <v>0</v>
      </c>
      <c r="I214" s="50">
        <v>0</v>
      </c>
      <c r="J214" s="76">
        <f>IF(C214=0,0,ROUNDDOWN(I214*C214,1))</f>
        <v>0</v>
      </c>
      <c r="K214" s="78">
        <f>경비목록표!E36</f>
        <v>91593</v>
      </c>
      <c r="L214" s="80">
        <f>IF(C214=0,0,ROUNDDOWN(K214*C214,1))</f>
        <v>23795.8</v>
      </c>
      <c r="M214" s="23" t="s">
        <v>2486</v>
      </c>
      <c r="N214" s="17" t="s">
        <v>2484</v>
      </c>
      <c r="O214" s="7" t="s">
        <v>2485</v>
      </c>
      <c r="P214" s="7" t="s">
        <v>1209</v>
      </c>
      <c r="Z214" s="3" t="str">
        <f ca="1">HYPERLINK("#"&amp;경비목록표!G2&amp;"!A"&amp;ROW(경비목록표!A36),"경비33 →")</f>
        <v>경비33 →</v>
      </c>
    </row>
    <row r="215" spans="1:26" ht="28.7" customHeight="1" x14ac:dyDescent="0.3">
      <c r="A215" s="10" t="s">
        <v>613</v>
      </c>
      <c r="B215" s="10"/>
      <c r="C215" s="75">
        <v>1</v>
      </c>
      <c r="D215" s="32" t="s">
        <v>587</v>
      </c>
      <c r="E215" s="54">
        <f t="shared" si="28"/>
        <v>49778.3</v>
      </c>
      <c r="F215" s="76">
        <f t="shared" si="28"/>
        <v>49778.3</v>
      </c>
      <c r="G215" s="78">
        <f>환율및기초자료!G7</f>
        <v>49778.3</v>
      </c>
      <c r="H215" s="81">
        <f>IF(C215=0,0,ROUNDDOWN(G215*C215,1))</f>
        <v>49778.3</v>
      </c>
      <c r="I215" s="50">
        <v>0</v>
      </c>
      <c r="J215" s="77">
        <f>IF(C215=0,0,ROUNDDOWN(I215*C215,1))</f>
        <v>0</v>
      </c>
      <c r="K215" s="50">
        <v>0</v>
      </c>
      <c r="L215" s="76">
        <f>IF(C215=0,0,ROUNDDOWN(K215*C215,1))</f>
        <v>0</v>
      </c>
      <c r="M215" s="23" t="s">
        <v>2396</v>
      </c>
      <c r="N215" s="17" t="s">
        <v>2394</v>
      </c>
      <c r="O215" s="7" t="s">
        <v>2395</v>
      </c>
      <c r="P215" s="7" t="s">
        <v>1209</v>
      </c>
      <c r="Z215" s="3" t="str">
        <f ca="1">HYPERLINK("#"&amp;환율및기초자료!I2&amp;"!A"&amp;ROW(환율및기초자료!A7),"노무14 →")</f>
        <v>노무14 →</v>
      </c>
    </row>
    <row r="216" spans="1:26" ht="28.7" customHeight="1" x14ac:dyDescent="0.3">
      <c r="A216" s="10" t="s">
        <v>415</v>
      </c>
      <c r="B216" s="10" t="s">
        <v>416</v>
      </c>
      <c r="C216" s="75">
        <v>10.3</v>
      </c>
      <c r="D216" s="32" t="s">
        <v>417</v>
      </c>
      <c r="E216" s="54">
        <f t="shared" si="28"/>
        <v>1799</v>
      </c>
      <c r="F216" s="77">
        <f t="shared" si="28"/>
        <v>18529.7</v>
      </c>
      <c r="G216" s="50">
        <v>0</v>
      </c>
      <c r="H216" s="76">
        <f>IF(C216=0,0,ROUNDDOWN(G216*C216,1))</f>
        <v>0</v>
      </c>
      <c r="I216" s="78">
        <f>재료비목록표!E13</f>
        <v>1799</v>
      </c>
      <c r="J216" s="81">
        <f>IF(C216=0,0,ROUNDDOWN(I216*C216,1))</f>
        <v>18529.7</v>
      </c>
      <c r="K216" s="50">
        <v>0</v>
      </c>
      <c r="L216" s="76">
        <f>IF(C216=0,0,ROUNDDOWN(K216*C216,1))</f>
        <v>0</v>
      </c>
      <c r="M216" s="23" t="s">
        <v>2349</v>
      </c>
      <c r="N216" s="17" t="s">
        <v>2360</v>
      </c>
      <c r="O216" s="7" t="s">
        <v>2348</v>
      </c>
      <c r="P216" s="7" t="s">
        <v>1209</v>
      </c>
      <c r="Q216" s="7" t="s">
        <v>1214</v>
      </c>
      <c r="Z216" s="3" t="str">
        <f ca="1">HYPERLINK("#"&amp;재료비목록표!G2&amp;"!A"&amp;ROW(재료비목록표!A13),"자재10 →")</f>
        <v>자재10 →</v>
      </c>
    </row>
    <row r="217" spans="1:26" ht="28.7" customHeight="1" x14ac:dyDescent="0.3">
      <c r="A217" s="10" t="s">
        <v>537</v>
      </c>
      <c r="B217" s="10" t="s">
        <v>2361</v>
      </c>
      <c r="C217" s="75">
        <v>20</v>
      </c>
      <c r="D217" s="32" t="s">
        <v>539</v>
      </c>
      <c r="E217" s="54">
        <f t="shared" si="28"/>
        <v>18529.7</v>
      </c>
      <c r="F217" s="77">
        <f t="shared" si="28"/>
        <v>3705.9</v>
      </c>
      <c r="G217" s="13">
        <v>0</v>
      </c>
      <c r="H217" s="77">
        <f>IF(C217=0,0,ROUNDDOWN(G217*C217/100,1))</f>
        <v>0</v>
      </c>
      <c r="I217" s="79">
        <f>J216</f>
        <v>18529.7</v>
      </c>
      <c r="J217" s="76">
        <f>IF(C217=0,0,ROUNDDOWN(I217*C217/100,1))</f>
        <v>3705.9</v>
      </c>
      <c r="K217" s="22">
        <v>0</v>
      </c>
      <c r="L217" s="76">
        <f>IF(C217=0,0,ROUNDDOWN(K217*C217/100,1))</f>
        <v>0</v>
      </c>
      <c r="M217" s="23"/>
      <c r="N217" s="17" t="s">
        <v>2362</v>
      </c>
      <c r="O217" s="7" t="s">
        <v>1236</v>
      </c>
      <c r="P217" s="7" t="s">
        <v>1209</v>
      </c>
    </row>
    <row r="218" spans="1:26" ht="28.7" customHeight="1" x14ac:dyDescent="0.3">
      <c r="A218" s="23" t="s">
        <v>6</v>
      </c>
      <c r="B218" s="74"/>
      <c r="C218" s="74"/>
      <c r="D218" s="74"/>
      <c r="E218" s="74"/>
      <c r="F218" s="47">
        <f>J218+H218+L218</f>
        <v>95808</v>
      </c>
      <c r="G218" s="74"/>
      <c r="H218" s="47">
        <f>ROUNDDOWN(SUMIF(P214:P217,O218,H214:H217),0)</f>
        <v>49778</v>
      </c>
      <c r="I218" s="74"/>
      <c r="J218" s="47">
        <f>ROUNDDOWN(SUMIF(P214:P217,O218,J214:J217),0)</f>
        <v>22235</v>
      </c>
      <c r="K218" s="74"/>
      <c r="L218" s="47">
        <f>ROUNDDOWN(SUMIF(P214:P217,O218,L214:L217),0)</f>
        <v>23795</v>
      </c>
      <c r="M218" s="74"/>
      <c r="O218" s="7" t="s">
        <v>1209</v>
      </c>
    </row>
    <row r="219" spans="1:26" ht="28.7" customHeight="1" x14ac:dyDescent="0.3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</row>
    <row r="220" spans="1:26" ht="28.7" customHeight="1" x14ac:dyDescent="0.3">
      <c r="A220" s="135" t="s">
        <v>370</v>
      </c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49"/>
      <c r="M220" s="23" t="s">
        <v>372</v>
      </c>
      <c r="N220" s="84" t="str">
        <f>HYPERLINK("#N"&amp;ROW(N224),"_x0005_`BDCOD|X00124_x0007_`POSS|"&amp;ROW(N221)&amp;"_x0007_`POSE|"&amp;ROW(N224)&amp;"_x0007_`")</f>
        <v>_x0005_`BDCOD|X00124_x0007_`POSS|221_x0007_`POSE|224_x0007_`</v>
      </c>
      <c r="O220" s="7" t="s">
        <v>2487</v>
      </c>
    </row>
    <row r="221" spans="1:26" ht="28.7" customHeight="1" x14ac:dyDescent="0.3">
      <c r="A221" s="10" t="s">
        <v>368</v>
      </c>
      <c r="B221" s="10" t="s">
        <v>371</v>
      </c>
      <c r="C221" s="75">
        <v>0.25979999999999998</v>
      </c>
      <c r="D221" s="32" t="s">
        <v>619</v>
      </c>
      <c r="E221" s="54">
        <f t="shared" ref="E221:F224" si="29">I221+G221+K221</f>
        <v>42791</v>
      </c>
      <c r="F221" s="77">
        <f t="shared" si="29"/>
        <v>11117.1</v>
      </c>
      <c r="G221" s="50">
        <v>0</v>
      </c>
      <c r="H221" s="77">
        <f>IF(C221=0,0,ROUNDDOWN(G221*C221,1))</f>
        <v>0</v>
      </c>
      <c r="I221" s="50">
        <v>0</v>
      </c>
      <c r="J221" s="76">
        <f>IF(C221=0,0,ROUNDDOWN(I221*C221,1))</f>
        <v>0</v>
      </c>
      <c r="K221" s="78">
        <f>경비목록표!E37</f>
        <v>42791</v>
      </c>
      <c r="L221" s="80">
        <f>IF(C221=0,0,ROUNDDOWN(K221*C221,1))</f>
        <v>11117.1</v>
      </c>
      <c r="M221" s="23" t="s">
        <v>2490</v>
      </c>
      <c r="N221" s="17" t="s">
        <v>2488</v>
      </c>
      <c r="O221" s="7" t="s">
        <v>2489</v>
      </c>
      <c r="P221" s="7" t="s">
        <v>1209</v>
      </c>
      <c r="Z221" s="3" t="str">
        <f ca="1">HYPERLINK("#"&amp;경비목록표!G2&amp;"!A"&amp;ROW(경비목록표!A37),"경비34 →")</f>
        <v>경비34 →</v>
      </c>
    </row>
    <row r="222" spans="1:26" ht="28.7" customHeight="1" x14ac:dyDescent="0.3">
      <c r="A222" s="10" t="s">
        <v>613</v>
      </c>
      <c r="B222" s="10"/>
      <c r="C222" s="75">
        <v>1</v>
      </c>
      <c r="D222" s="32" t="s">
        <v>587</v>
      </c>
      <c r="E222" s="54">
        <f t="shared" si="29"/>
        <v>49778.3</v>
      </c>
      <c r="F222" s="76">
        <f t="shared" si="29"/>
        <v>49778.3</v>
      </c>
      <c r="G222" s="78">
        <f>환율및기초자료!G7</f>
        <v>49778.3</v>
      </c>
      <c r="H222" s="81">
        <f>IF(C222=0,0,ROUNDDOWN(G222*C222,1))</f>
        <v>49778.3</v>
      </c>
      <c r="I222" s="50">
        <v>0</v>
      </c>
      <c r="J222" s="77">
        <f>IF(C222=0,0,ROUNDDOWN(I222*C222,1))</f>
        <v>0</v>
      </c>
      <c r="K222" s="50">
        <v>0</v>
      </c>
      <c r="L222" s="76">
        <f>IF(C222=0,0,ROUNDDOWN(K222*C222,1))</f>
        <v>0</v>
      </c>
      <c r="M222" s="23" t="s">
        <v>2396</v>
      </c>
      <c r="N222" s="17" t="s">
        <v>2394</v>
      </c>
      <c r="O222" s="7" t="s">
        <v>2395</v>
      </c>
      <c r="P222" s="7" t="s">
        <v>1209</v>
      </c>
      <c r="Z222" s="3" t="str">
        <f ca="1">HYPERLINK("#"&amp;환율및기초자료!I2&amp;"!A"&amp;ROW(환율및기초자료!A7),"노무14 →")</f>
        <v>노무14 →</v>
      </c>
    </row>
    <row r="223" spans="1:26" ht="28.7" customHeight="1" x14ac:dyDescent="0.3">
      <c r="A223" s="10" t="s">
        <v>415</v>
      </c>
      <c r="B223" s="10" t="s">
        <v>416</v>
      </c>
      <c r="C223" s="75">
        <v>5.0999999999999996</v>
      </c>
      <c r="D223" s="32" t="s">
        <v>417</v>
      </c>
      <c r="E223" s="54">
        <f t="shared" si="29"/>
        <v>1799</v>
      </c>
      <c r="F223" s="77">
        <f t="shared" si="29"/>
        <v>9174.9</v>
      </c>
      <c r="G223" s="50">
        <v>0</v>
      </c>
      <c r="H223" s="76">
        <f>IF(C223=0,0,ROUNDDOWN(G223*C223,1))</f>
        <v>0</v>
      </c>
      <c r="I223" s="78">
        <f>재료비목록표!E13</f>
        <v>1799</v>
      </c>
      <c r="J223" s="81">
        <f>IF(C223=0,0,ROUNDDOWN(I223*C223,1))</f>
        <v>9174.9</v>
      </c>
      <c r="K223" s="50">
        <v>0</v>
      </c>
      <c r="L223" s="76">
        <f>IF(C223=0,0,ROUNDDOWN(K223*C223,1))</f>
        <v>0</v>
      </c>
      <c r="M223" s="23" t="s">
        <v>2349</v>
      </c>
      <c r="N223" s="17" t="s">
        <v>2360</v>
      </c>
      <c r="O223" s="7" t="s">
        <v>2348</v>
      </c>
      <c r="P223" s="7" t="s">
        <v>1209</v>
      </c>
      <c r="Q223" s="7" t="s">
        <v>1214</v>
      </c>
      <c r="Z223" s="3" t="str">
        <f ca="1">HYPERLINK("#"&amp;재료비목록표!G2&amp;"!A"&amp;ROW(재료비목록표!A13),"자재10 →")</f>
        <v>자재10 →</v>
      </c>
    </row>
    <row r="224" spans="1:26" ht="28.7" customHeight="1" x14ac:dyDescent="0.3">
      <c r="A224" s="10" t="s">
        <v>537</v>
      </c>
      <c r="B224" s="10" t="s">
        <v>2361</v>
      </c>
      <c r="C224" s="75">
        <v>20</v>
      </c>
      <c r="D224" s="32" t="s">
        <v>539</v>
      </c>
      <c r="E224" s="54">
        <f t="shared" si="29"/>
        <v>9174.9</v>
      </c>
      <c r="F224" s="77">
        <f t="shared" si="29"/>
        <v>1834.9</v>
      </c>
      <c r="G224" s="13">
        <v>0</v>
      </c>
      <c r="H224" s="77">
        <f>IF(C224=0,0,ROUNDDOWN(G224*C224/100,1))</f>
        <v>0</v>
      </c>
      <c r="I224" s="79">
        <f>J223</f>
        <v>9174.9</v>
      </c>
      <c r="J224" s="76">
        <f>IF(C224=0,0,ROUNDDOWN(I224*C224/100,1))</f>
        <v>1834.9</v>
      </c>
      <c r="K224" s="22">
        <v>0</v>
      </c>
      <c r="L224" s="76">
        <f>IF(C224=0,0,ROUNDDOWN(K224*C224/100,1))</f>
        <v>0</v>
      </c>
      <c r="M224" s="23"/>
      <c r="N224" s="17" t="s">
        <v>2362</v>
      </c>
      <c r="O224" s="7" t="s">
        <v>1236</v>
      </c>
      <c r="P224" s="7" t="s">
        <v>1209</v>
      </c>
    </row>
    <row r="225" spans="1:26" ht="28.7" customHeight="1" x14ac:dyDescent="0.3">
      <c r="A225" s="23" t="s">
        <v>6</v>
      </c>
      <c r="B225" s="74"/>
      <c r="C225" s="74"/>
      <c r="D225" s="74"/>
      <c r="E225" s="74"/>
      <c r="F225" s="47">
        <f>J225+H225+L225</f>
        <v>71904</v>
      </c>
      <c r="G225" s="74"/>
      <c r="H225" s="47">
        <f>ROUNDDOWN(SUMIF(P221:P224,O225,H221:H224),0)</f>
        <v>49778</v>
      </c>
      <c r="I225" s="74"/>
      <c r="J225" s="47">
        <f>ROUNDDOWN(SUMIF(P221:P224,O225,J221:J224),0)</f>
        <v>11009</v>
      </c>
      <c r="K225" s="74"/>
      <c r="L225" s="47">
        <f>ROUNDDOWN(SUMIF(P221:P224,O225,L221:L224),0)</f>
        <v>11117</v>
      </c>
      <c r="M225" s="74"/>
      <c r="O225" s="7" t="s">
        <v>1209</v>
      </c>
    </row>
    <row r="226" spans="1:26" ht="28.7" customHeight="1" x14ac:dyDescent="0.3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</row>
    <row r="227" spans="1:26" ht="28.7" customHeight="1" x14ac:dyDescent="0.3">
      <c r="A227" s="135" t="s">
        <v>373</v>
      </c>
      <c r="B227" s="136"/>
      <c r="C227" s="136"/>
      <c r="D227" s="136"/>
      <c r="E227" s="136"/>
      <c r="F227" s="136"/>
      <c r="G227" s="136"/>
      <c r="H227" s="136"/>
      <c r="I227" s="136"/>
      <c r="J227" s="136"/>
      <c r="K227" s="136"/>
      <c r="L227" s="149"/>
      <c r="M227" s="23" t="s">
        <v>376</v>
      </c>
      <c r="N227" s="84" t="str">
        <f>HYPERLINK("#N"&amp;ROW(N231),"_x0005_`BDCOD|X00026_x0007_`POSS|"&amp;ROW(N228)&amp;"_x0007_`POSE|"&amp;ROW(N231)&amp;"_x0007_`")</f>
        <v>_x0005_`BDCOD|X00026_x0007_`POSS|228_x0007_`POSE|231_x0007_`</v>
      </c>
      <c r="O227" s="7" t="s">
        <v>2491</v>
      </c>
    </row>
    <row r="228" spans="1:26" ht="28.7" customHeight="1" x14ac:dyDescent="0.3">
      <c r="A228" s="10" t="s">
        <v>374</v>
      </c>
      <c r="B228" s="10" t="s">
        <v>375</v>
      </c>
      <c r="C228" s="75">
        <v>0.37080000000000002</v>
      </c>
      <c r="D228" s="32" t="s">
        <v>619</v>
      </c>
      <c r="E228" s="54">
        <f t="shared" ref="E228:F231" si="30">I228+G228+K228</f>
        <v>1673</v>
      </c>
      <c r="F228" s="77">
        <f t="shared" si="30"/>
        <v>620.29999999999995</v>
      </c>
      <c r="G228" s="50">
        <v>0</v>
      </c>
      <c r="H228" s="77">
        <f>IF(C228=0,0,ROUNDDOWN(G228*C228,1))</f>
        <v>0</v>
      </c>
      <c r="I228" s="50">
        <v>0</v>
      </c>
      <c r="J228" s="76">
        <f>IF(C228=0,0,ROUNDDOWN(I228*C228,1))</f>
        <v>0</v>
      </c>
      <c r="K228" s="78">
        <f>경비목록표!E42</f>
        <v>1673</v>
      </c>
      <c r="L228" s="80">
        <f>IF(C228=0,0,ROUNDDOWN(K228*C228,1))</f>
        <v>620.29999999999995</v>
      </c>
      <c r="M228" s="23" t="s">
        <v>2494</v>
      </c>
      <c r="N228" s="17" t="s">
        <v>2492</v>
      </c>
      <c r="O228" s="7" t="s">
        <v>2493</v>
      </c>
      <c r="P228" s="7" t="s">
        <v>1209</v>
      </c>
      <c r="Z228" s="3" t="str">
        <f ca="1">HYPERLINK("#"&amp;경비목록표!G2&amp;"!A"&amp;ROW(경비목록표!A42),"경비39 →")</f>
        <v>경비39 →</v>
      </c>
    </row>
    <row r="229" spans="1:26" ht="28.7" customHeight="1" x14ac:dyDescent="0.3">
      <c r="A229" s="10" t="s">
        <v>599</v>
      </c>
      <c r="B229" s="10"/>
      <c r="C229" s="75">
        <v>1</v>
      </c>
      <c r="D229" s="32" t="s">
        <v>587</v>
      </c>
      <c r="E229" s="54">
        <f t="shared" si="30"/>
        <v>36248.9</v>
      </c>
      <c r="F229" s="76">
        <f t="shared" si="30"/>
        <v>36248.9</v>
      </c>
      <c r="G229" s="78">
        <f>환율및기초자료!G8</f>
        <v>36248.9</v>
      </c>
      <c r="H229" s="81">
        <f>IF(C229=0,0,ROUNDDOWN(G229*C229,1))</f>
        <v>36248.9</v>
      </c>
      <c r="I229" s="50">
        <v>0</v>
      </c>
      <c r="J229" s="77">
        <f>IF(C229=0,0,ROUNDDOWN(I229*C229,1))</f>
        <v>0</v>
      </c>
      <c r="K229" s="50">
        <v>0</v>
      </c>
      <c r="L229" s="76">
        <f>IF(C229=0,0,ROUNDDOWN(K229*C229,1))</f>
        <v>0</v>
      </c>
      <c r="M229" s="23" t="s">
        <v>2450</v>
      </c>
      <c r="N229" s="17" t="s">
        <v>2448</v>
      </c>
      <c r="O229" s="7" t="s">
        <v>2449</v>
      </c>
      <c r="P229" s="7" t="s">
        <v>1209</v>
      </c>
      <c r="Z229" s="3" t="str">
        <f ca="1">HYPERLINK("#"&amp;환율및기초자료!I2&amp;"!A"&amp;ROW(환율및기초자료!A8),"노무7 →")</f>
        <v>노무7 →</v>
      </c>
    </row>
    <row r="230" spans="1:26" ht="28.7" customHeight="1" x14ac:dyDescent="0.3">
      <c r="A230" s="10" t="s">
        <v>582</v>
      </c>
      <c r="B230" s="10" t="s">
        <v>583</v>
      </c>
      <c r="C230" s="75">
        <v>1</v>
      </c>
      <c r="D230" s="32" t="s">
        <v>417</v>
      </c>
      <c r="E230" s="54">
        <f t="shared" si="30"/>
        <v>1805</v>
      </c>
      <c r="F230" s="77">
        <f t="shared" si="30"/>
        <v>1805</v>
      </c>
      <c r="G230" s="50">
        <v>0</v>
      </c>
      <c r="H230" s="76">
        <f>IF(C230=0,0,ROUNDDOWN(G230*C230,1))</f>
        <v>0</v>
      </c>
      <c r="I230" s="78">
        <f>재료비목록표!E56</f>
        <v>1805</v>
      </c>
      <c r="J230" s="81">
        <f>IF(C230=0,0,ROUNDDOWN(I230*C230,1))</f>
        <v>1805</v>
      </c>
      <c r="K230" s="50">
        <v>0</v>
      </c>
      <c r="L230" s="76">
        <f>IF(C230=0,0,ROUNDDOWN(K230*C230,1))</f>
        <v>0</v>
      </c>
      <c r="M230" s="23" t="s">
        <v>2407</v>
      </c>
      <c r="N230" s="17" t="s">
        <v>2405</v>
      </c>
      <c r="O230" s="7" t="s">
        <v>2406</v>
      </c>
      <c r="P230" s="7" t="s">
        <v>1209</v>
      </c>
      <c r="Q230" s="7" t="s">
        <v>1214</v>
      </c>
      <c r="Z230" s="3" t="str">
        <f ca="1">HYPERLINK("#"&amp;재료비목록표!G2&amp;"!A"&amp;ROW(재료비목록표!A56),"자재53 →")</f>
        <v>자재53 →</v>
      </c>
    </row>
    <row r="231" spans="1:26" ht="28.7" customHeight="1" x14ac:dyDescent="0.3">
      <c r="A231" s="10" t="s">
        <v>537</v>
      </c>
      <c r="B231" s="10" t="s">
        <v>2361</v>
      </c>
      <c r="C231" s="75">
        <v>20</v>
      </c>
      <c r="D231" s="32" t="s">
        <v>539</v>
      </c>
      <c r="E231" s="54">
        <f t="shared" si="30"/>
        <v>1805</v>
      </c>
      <c r="F231" s="77">
        <f t="shared" si="30"/>
        <v>361</v>
      </c>
      <c r="G231" s="13">
        <v>0</v>
      </c>
      <c r="H231" s="77">
        <f>IF(C231=0,0,ROUNDDOWN(G231*C231/100,1))</f>
        <v>0</v>
      </c>
      <c r="I231" s="79">
        <f>J230</f>
        <v>1805</v>
      </c>
      <c r="J231" s="76">
        <f>IF(C231=0,0,ROUNDDOWN(I231*C231/100,1))</f>
        <v>361</v>
      </c>
      <c r="K231" s="22">
        <v>0</v>
      </c>
      <c r="L231" s="76">
        <f>IF(C231=0,0,ROUNDDOWN(K231*C231/100,1))</f>
        <v>0</v>
      </c>
      <c r="M231" s="23"/>
      <c r="N231" s="17" t="s">
        <v>2362</v>
      </c>
      <c r="O231" s="7" t="s">
        <v>1236</v>
      </c>
      <c r="P231" s="7" t="s">
        <v>1209</v>
      </c>
    </row>
    <row r="232" spans="1:26" ht="28.7" customHeight="1" x14ac:dyDescent="0.3">
      <c r="A232" s="23" t="s">
        <v>6</v>
      </c>
      <c r="B232" s="74"/>
      <c r="C232" s="74"/>
      <c r="D232" s="74"/>
      <c r="E232" s="74"/>
      <c r="F232" s="47">
        <f>J232+H232+L232</f>
        <v>39034</v>
      </c>
      <c r="G232" s="74"/>
      <c r="H232" s="47">
        <f>ROUNDDOWN(SUMIF(P228:P231,O232,H228:H231),0)</f>
        <v>36248</v>
      </c>
      <c r="I232" s="74"/>
      <c r="J232" s="47">
        <f>ROUNDDOWN(SUMIF(P228:P231,O232,J228:J231),0)</f>
        <v>2166</v>
      </c>
      <c r="K232" s="74"/>
      <c r="L232" s="47">
        <f>ROUNDDOWN(SUMIF(P228:P231,O232,L228:L231),0)</f>
        <v>620</v>
      </c>
      <c r="M232" s="74"/>
      <c r="O232" s="7" t="s">
        <v>1209</v>
      </c>
    </row>
  </sheetData>
  <mergeCells count="43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A83:L83"/>
    <mergeCell ref="A6:L6"/>
    <mergeCell ref="A14:L14"/>
    <mergeCell ref="A21:L21"/>
    <mergeCell ref="A28:L28"/>
    <mergeCell ref="A36:L36"/>
    <mergeCell ref="A44:L44"/>
    <mergeCell ref="A51:L51"/>
    <mergeCell ref="A58:L58"/>
    <mergeCell ref="A65:L65"/>
    <mergeCell ref="A69:L69"/>
    <mergeCell ref="A76:L76"/>
    <mergeCell ref="A164:L164"/>
    <mergeCell ref="A90:L90"/>
    <mergeCell ref="A96:L96"/>
    <mergeCell ref="A103:L103"/>
    <mergeCell ref="A111:L111"/>
    <mergeCell ref="A118:L118"/>
    <mergeCell ref="A125:L125"/>
    <mergeCell ref="A132:L132"/>
    <mergeCell ref="A139:L139"/>
    <mergeCell ref="A143:L143"/>
    <mergeCell ref="A150:L150"/>
    <mergeCell ref="A157:L157"/>
    <mergeCell ref="A213:L213"/>
    <mergeCell ref="A220:L220"/>
    <mergeCell ref="A227:L227"/>
    <mergeCell ref="A171:L171"/>
    <mergeCell ref="A178:L178"/>
    <mergeCell ref="A185:L185"/>
    <mergeCell ref="A192:L192"/>
    <mergeCell ref="A199:L199"/>
    <mergeCell ref="A206:L206"/>
  </mergeCells>
  <phoneticPr fontId="25" type="noConversion"/>
  <conditionalFormatting sqref="C5:M232">
    <cfRule type="expression" dxfId="1" priority="1" stopIfTrue="1">
      <formula>AND(C5&lt;&gt;0,INT(C5)=C5)</formula>
    </cfRule>
  </conditionalFormatting>
  <hyperlinks>
    <hyperlink ref="Z1" r:id="rId1" tooltip="설계예산시스템(STmate w26.05)으로 작성 하였으며,_x000a_엑셀 인쇄품질 600 dpi에 최적화 되어 있습니다._x000a_경영정보(주) http://www.stma.co.kr_x000a_Tel) 070-4350-0040_x000a_Fax) 0505-300-3948" xr:uid="{26D57BFF-A381-4121-8E72-1EC4C81CF4EF}"/>
    <hyperlink ref="N1" r:id="rId2" tooltip="설계예산시스템(STmate w26.05)으로 작성 하였으며,_x000a_엑셀 인쇄품질 600 dpi에 최적화 되어 있습니다._x000a_경영정보(주) http://www.stma.co.kr_x000a_Tel) 070-4350-0040_x000a_Fax) 0505-300-3948" xr:uid="{7313433B-4C10-45BE-B1B3-850912D5AD28}"/>
  </hyperlinks>
  <printOptions horizontalCentered="1"/>
  <pageMargins left="0.78740157480314965" right="0.78740157480314965" top="0.59055118110236215" bottom="0.59055118110236215" header="0" footer="0.39370078740157477"/>
  <pageSetup paperSize="9" scale="73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73C9A-5749-496D-80B5-7259367BCEF4}">
  <dimension ref="A1:H56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6" hidden="1" customWidth="1"/>
    <col min="8" max="8" width="9.125" style="18" customWidth="1"/>
    <col min="9" max="16384" width="9.125" style="6"/>
  </cols>
  <sheetData>
    <row r="1" spans="1:8" ht="24.95" customHeight="1" x14ac:dyDescent="0.3">
      <c r="A1" s="130" t="s">
        <v>378</v>
      </c>
      <c r="B1" s="126"/>
      <c r="C1" s="126"/>
      <c r="D1" s="126"/>
      <c r="E1" s="126"/>
      <c r="F1" s="126"/>
      <c r="G1" s="5" t="s">
        <v>124</v>
      </c>
      <c r="H1" s="19" t="s">
        <v>124</v>
      </c>
    </row>
    <row r="2" spans="1:8" ht="17.45" customHeight="1" x14ac:dyDescent="0.3">
      <c r="A2" s="1" t="s">
        <v>1</v>
      </c>
      <c r="G2" s="20" t="str">
        <f ca="1">MID(CELL("filename",$A$1),FIND("]",CELL("filename",$A$1))+1,LEN(CELL("filename",$A$1)))</f>
        <v>재료비목록표</v>
      </c>
    </row>
    <row r="3" spans="1:8" ht="17.45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379</v>
      </c>
      <c r="F3" s="14" t="s">
        <v>10</v>
      </c>
      <c r="H3" s="3" t="str">
        <f>HYPERLINK("#'〓 목 차 〓'!B2","목차 →")</f>
        <v>목차 →</v>
      </c>
    </row>
    <row r="4" spans="1:8" ht="17.45" customHeight="1" x14ac:dyDescent="0.3">
      <c r="A4" s="9" t="s">
        <v>380</v>
      </c>
      <c r="B4" s="10" t="s">
        <v>381</v>
      </c>
      <c r="C4" s="10" t="s">
        <v>382</v>
      </c>
      <c r="D4" s="9" t="s">
        <v>106</v>
      </c>
      <c r="E4" s="33">
        <f>자재단가대비표!O5</f>
        <v>240800</v>
      </c>
      <c r="F4" s="23" t="s">
        <v>380</v>
      </c>
      <c r="G4" s="17" t="str">
        <f>"_x0007_`COD|M07927_x0005_`QTY1|1_x0005_`BQC|_x0005_`EQC|_x0005_`JDC|_x0005_`WQC|_x0005_`EDT|_x0005_`DET|"&amp;ROW(자재단가대비표!A5)&amp;"_x0005_`"</f>
        <v>_x0007_`COD|M07927_x0005_`QTY1|1_x0005_`BQC|_x0005_`EQC|_x0005_`JDC|_x0005_`WQC|_x0005_`EDT|_x0005_`DET|5_x0005_`</v>
      </c>
      <c r="H4" s="3" t="str">
        <f ca="1">HYPERLINK("#"&amp;자재단가대비표!R2&amp;"!A"&amp;ROW(자재단가대비표!A5),"자재1 →")</f>
        <v>자재1 →</v>
      </c>
    </row>
    <row r="5" spans="1:8" ht="17.45" customHeight="1" x14ac:dyDescent="0.3">
      <c r="A5" s="9" t="s">
        <v>384</v>
      </c>
      <c r="B5" s="10" t="s">
        <v>385</v>
      </c>
      <c r="C5" s="10" t="s">
        <v>386</v>
      </c>
      <c r="D5" s="9" t="s">
        <v>156</v>
      </c>
      <c r="E5" s="33">
        <f>자재단가대비표!O6</f>
        <v>45520</v>
      </c>
      <c r="F5" s="23" t="s">
        <v>384</v>
      </c>
      <c r="G5" s="17" t="str">
        <f>"_x0007_`COD|M01077_x0005_`QTY1|1_x0005_`BQC| 22088481_x0005_`EQC|_x0005_`JDC|_x0005_`WQC|_x0005_`EDT|_x0005_`DET|"&amp;ROW(자재단가대비표!A6)&amp;"_x0005_`"</f>
        <v>_x0007_`COD|M01077_x0005_`QTY1|1_x0005_`BQC| 22088481_x0005_`EQC|_x0005_`JDC|_x0005_`WQC|_x0005_`EDT|_x0005_`DET|6_x0005_`</v>
      </c>
      <c r="H5" s="3" t="str">
        <f ca="1">HYPERLINK("#"&amp;자재단가대비표!R2&amp;"!A"&amp;ROW(자재단가대비표!A6),"자재2 →")</f>
        <v>자재2 →</v>
      </c>
    </row>
    <row r="6" spans="1:8" ht="17.45" customHeight="1" x14ac:dyDescent="0.3">
      <c r="A6" s="9" t="s">
        <v>388</v>
      </c>
      <c r="B6" s="10" t="s">
        <v>389</v>
      </c>
      <c r="C6" s="10" t="s">
        <v>390</v>
      </c>
      <c r="D6" s="9" t="s">
        <v>156</v>
      </c>
      <c r="E6" s="33">
        <f>자재단가대비표!O7</f>
        <v>81680</v>
      </c>
      <c r="F6" s="23" t="s">
        <v>388</v>
      </c>
      <c r="G6" s="17" t="str">
        <f>"_x0007_`COD|M05608_x0005_`QTY1|1_x0005_`BQC|_x0005_`EQC|_x0005_`JDC|_x0005_`WQC|_x0005_`EDT|_x0005_`DET|"&amp;ROW(자재단가대비표!A7)&amp;"_x0005_`"</f>
        <v>_x0007_`COD|M05608_x0005_`QTY1|1_x0005_`BQC|_x0005_`EQC|_x0005_`JDC|_x0005_`WQC|_x0005_`EDT|_x0005_`DET|7_x0005_`</v>
      </c>
      <c r="H6" s="3" t="str">
        <f ca="1">HYPERLINK("#"&amp;자재단가대비표!R2&amp;"!A"&amp;ROW(자재단가대비표!A7),"자재3 →")</f>
        <v>자재3 →</v>
      </c>
    </row>
    <row r="7" spans="1:8" ht="17.45" customHeight="1" x14ac:dyDescent="0.3">
      <c r="A7" s="9" t="s">
        <v>392</v>
      </c>
      <c r="B7" s="10" t="s">
        <v>393</v>
      </c>
      <c r="C7" s="10" t="s">
        <v>394</v>
      </c>
      <c r="D7" s="9" t="s">
        <v>106</v>
      </c>
      <c r="E7" s="33">
        <f>자재단가대비표!O8</f>
        <v>145220</v>
      </c>
      <c r="F7" s="23" t="s">
        <v>392</v>
      </c>
      <c r="G7" s="17" t="str">
        <f>"_x0007_`COD|M06275_x0005_`QTY1|1_x0005_`BQC|_x0005_`EQC|_x0005_`JDC|_x0005_`WQC|_x0005_`EDT|_x0005_`DET|"&amp;ROW(자재단가대비표!A8)&amp;"_x0005_`"</f>
        <v>_x0007_`COD|M06275_x0005_`QTY1|1_x0005_`BQC|_x0005_`EQC|_x0005_`JDC|_x0005_`WQC|_x0005_`EDT|_x0005_`DET|8_x0005_`</v>
      </c>
      <c r="H7" s="3" t="str">
        <f ca="1">HYPERLINK("#"&amp;자재단가대비표!R2&amp;"!A"&amp;ROW(자재단가대비표!A8),"자재4 →")</f>
        <v>자재4 →</v>
      </c>
    </row>
    <row r="8" spans="1:8" ht="17.45" customHeight="1" x14ac:dyDescent="0.3">
      <c r="A8" s="9" t="s">
        <v>396</v>
      </c>
      <c r="B8" s="10" t="s">
        <v>393</v>
      </c>
      <c r="C8" s="10" t="s">
        <v>397</v>
      </c>
      <c r="D8" s="9" t="s">
        <v>106</v>
      </c>
      <c r="E8" s="33">
        <f>자재단가대비표!O9</f>
        <v>181520</v>
      </c>
      <c r="F8" s="23" t="s">
        <v>396</v>
      </c>
      <c r="G8" s="17" t="str">
        <f>"_x0007_`COD|M01279_x0005_`QTY1|1_x0005_`BQC|_x0005_`EQC|_x0005_`JDC|_x0005_`WQC|_x0005_`EDT|_x0005_`DET|"&amp;ROW(자재단가대비표!A9)&amp;"_x0005_`"</f>
        <v>_x0007_`COD|M01279_x0005_`QTY1|1_x0005_`BQC|_x0005_`EQC|_x0005_`JDC|_x0005_`WQC|_x0005_`EDT|_x0005_`DET|9_x0005_`</v>
      </c>
      <c r="H8" s="3" t="str">
        <f ca="1">HYPERLINK("#"&amp;자재단가대비표!R2&amp;"!A"&amp;ROW(자재단가대비표!A9),"자재5 →")</f>
        <v>자재5 →</v>
      </c>
    </row>
    <row r="9" spans="1:8" ht="17.45" customHeight="1" x14ac:dyDescent="0.3">
      <c r="A9" s="9" t="s">
        <v>399</v>
      </c>
      <c r="B9" s="10" t="s">
        <v>400</v>
      </c>
      <c r="C9" s="10" t="s">
        <v>390</v>
      </c>
      <c r="D9" s="9" t="s">
        <v>106</v>
      </c>
      <c r="E9" s="33">
        <f>자재단가대비표!O10</f>
        <v>145220</v>
      </c>
      <c r="F9" s="23" t="s">
        <v>399</v>
      </c>
      <c r="G9" s="17" t="str">
        <f>"_x0007_`COD|M00485_x0005_`QTY1|1_x0005_`BQC|_x0005_`EQC|_x0005_`JDC|_x0005_`WQC|_x0005_`EDT|_x0005_`DET|"&amp;ROW(자재단가대비표!A10)&amp;"_x0005_`"</f>
        <v>_x0007_`COD|M00485_x0005_`QTY1|1_x0005_`BQC|_x0005_`EQC|_x0005_`JDC|_x0005_`WQC|_x0005_`EDT|_x0005_`DET|10_x0005_`</v>
      </c>
      <c r="H9" s="3" t="str">
        <f ca="1">HYPERLINK("#"&amp;자재단가대비표!R2&amp;"!A"&amp;ROW(자재단가대비표!A10),"자재6 →")</f>
        <v>자재6 →</v>
      </c>
    </row>
    <row r="10" spans="1:8" ht="17.45" customHeight="1" x14ac:dyDescent="0.3">
      <c r="A10" s="9" t="s">
        <v>402</v>
      </c>
      <c r="B10" s="10" t="s">
        <v>403</v>
      </c>
      <c r="C10" s="10" t="s">
        <v>390</v>
      </c>
      <c r="D10" s="9" t="s">
        <v>106</v>
      </c>
      <c r="E10" s="33">
        <f>자재단가대비표!O11</f>
        <v>138410</v>
      </c>
      <c r="F10" s="23" t="s">
        <v>402</v>
      </c>
      <c r="G10" s="17" t="str">
        <f>"_x0007_`COD|M06200_x0005_`QTY1|1_x0005_`BQC|_x0005_`EQC|_x0005_`JDC|_x0005_`WQC|_x0005_`EDT|_x0005_`DET|"&amp;ROW(자재단가대비표!A11)&amp;"_x0005_`"</f>
        <v>_x0007_`COD|M06200_x0005_`QTY1|1_x0005_`BQC|_x0005_`EQC|_x0005_`JDC|_x0005_`WQC|_x0005_`EDT|_x0005_`DET|11_x0005_`</v>
      </c>
      <c r="H10" s="3" t="str">
        <f ca="1">HYPERLINK("#"&amp;자재단가대비표!R2&amp;"!A"&amp;ROW(자재단가대비표!A11),"자재7 →")</f>
        <v>자재7 →</v>
      </c>
    </row>
    <row r="11" spans="1:8" ht="17.45" customHeight="1" x14ac:dyDescent="0.3">
      <c r="A11" s="9" t="s">
        <v>405</v>
      </c>
      <c r="B11" s="10" t="s">
        <v>406</v>
      </c>
      <c r="C11" s="10" t="s">
        <v>407</v>
      </c>
      <c r="D11" s="9" t="s">
        <v>115</v>
      </c>
      <c r="E11" s="33">
        <f>자재단가대비표!O12</f>
        <v>581559</v>
      </c>
      <c r="F11" s="23" t="s">
        <v>405</v>
      </c>
      <c r="G11" s="17" t="str">
        <f>"_x0007_`COD|M05530_x0005_`QTY1|1_x0005_`BQC|건축분야_x0005_`EQC|_x0005_`JDC|3010369820141038_x0005_`WQC|_x0005_`EDT|_x0005_`DET|"&amp;ROW(자재단가대비표!A12)&amp;"_x0005_`"</f>
        <v>_x0007_`COD|M05530_x0005_`QTY1|1_x0005_`BQC|건축분야_x0005_`EQC|_x0005_`JDC|3010369820141038_x0005_`WQC|_x0005_`EDT|_x0005_`DET|12_x0005_`</v>
      </c>
      <c r="H11" s="3" t="str">
        <f ca="1">HYPERLINK("#"&amp;자재단가대비표!R2&amp;"!A"&amp;ROW(자재단가대비표!A12),"자재8 →")</f>
        <v>자재8 →</v>
      </c>
    </row>
    <row r="12" spans="1:8" ht="17.45" customHeight="1" x14ac:dyDescent="0.3">
      <c r="A12" s="9" t="s">
        <v>409</v>
      </c>
      <c r="B12" s="10" t="s">
        <v>410</v>
      </c>
      <c r="C12" s="10" t="s">
        <v>411</v>
      </c>
      <c r="D12" s="9" t="s">
        <v>412</v>
      </c>
      <c r="E12" s="33">
        <f>자재단가대비표!O13</f>
        <v>26885</v>
      </c>
      <c r="F12" s="23" t="s">
        <v>409</v>
      </c>
      <c r="G12" s="17" t="str">
        <f>"_x0007_`COD|M05558_x0005_`QTY1|1_x0005_`BQC|건축분야_x0005_`EQC|_x0005_`JDC|3019999420140323_x0005_`WQC|_x0005_`EDT|_x0005_`DET|"&amp;ROW(자재단가대비표!A13)&amp;"_x0005_`"</f>
        <v>_x0007_`COD|M05558_x0005_`QTY1|1_x0005_`BQC|건축분야_x0005_`EQC|_x0005_`JDC|3019999420140323_x0005_`WQC|_x0005_`EDT|_x0005_`DET|13_x0005_`</v>
      </c>
      <c r="H12" s="3" t="str">
        <f ca="1">HYPERLINK("#"&amp;자재단가대비표!R2&amp;"!A"&amp;ROW(자재단가대비표!A13),"자재9 →")</f>
        <v>자재9 →</v>
      </c>
    </row>
    <row r="13" spans="1:8" ht="17.45" customHeight="1" x14ac:dyDescent="0.3">
      <c r="A13" s="9" t="s">
        <v>414</v>
      </c>
      <c r="B13" s="10" t="s">
        <v>415</v>
      </c>
      <c r="C13" s="10" t="s">
        <v>416</v>
      </c>
      <c r="D13" s="9" t="s">
        <v>417</v>
      </c>
      <c r="E13" s="33">
        <f>자재단가대비표!O14</f>
        <v>1799</v>
      </c>
      <c r="F13" s="23" t="s">
        <v>414</v>
      </c>
      <c r="G13" s="17" t="str">
        <f>"_x0007_`COD|M00258_x0005_`QTY1|1_x0005_`BQC|_x0005_`EQC|_x0005_`JDC|1510150520282163_x0005_`WQC|_x0005_`EDT|2026.01.06_x0005_`DET|"&amp;ROW(자재단가대비표!A14)&amp;"_x0005_`"</f>
        <v>_x0007_`COD|M00258_x0005_`QTY1|1_x0005_`BQC|_x0005_`EQC|_x0005_`JDC|1510150520282163_x0005_`WQC|_x0005_`EDT|2026.01.06_x0005_`DET|14_x0005_`</v>
      </c>
      <c r="H13" s="3" t="str">
        <f ca="1">HYPERLINK("#"&amp;자재단가대비표!R2&amp;"!A"&amp;ROW(자재단가대비표!A14),"자재10 →")</f>
        <v>자재10 →</v>
      </c>
    </row>
    <row r="14" spans="1:8" ht="17.45" customHeight="1" x14ac:dyDescent="0.3">
      <c r="A14" s="9" t="s">
        <v>419</v>
      </c>
      <c r="B14" s="10" t="s">
        <v>420</v>
      </c>
      <c r="C14" s="10" t="s">
        <v>421</v>
      </c>
      <c r="D14" s="9" t="s">
        <v>422</v>
      </c>
      <c r="E14" s="33">
        <f>자재단가대비표!O15</f>
        <v>-360</v>
      </c>
      <c r="F14" s="23" t="s">
        <v>419</v>
      </c>
      <c r="G14" s="17" t="str">
        <f>"_x0007_`COD|M03282_x0005_`QTY1|1_x0005_`BQC|_x0005_`EQC|_x0005_`JDC|_x0005_`WQC|_x0005_`EDT|_x0005_`DET|"&amp;ROW(자재단가대비표!A15)&amp;"_x0005_`"</f>
        <v>_x0007_`COD|M03282_x0005_`QTY1|1_x0005_`BQC|_x0005_`EQC|_x0005_`JDC|_x0005_`WQC|_x0005_`EDT|_x0005_`DET|15_x0005_`</v>
      </c>
      <c r="H14" s="3" t="str">
        <f ca="1">HYPERLINK("#"&amp;자재단가대비표!R2&amp;"!A"&amp;ROW(자재단가대비표!A15),"자재11 →")</f>
        <v>자재11 →</v>
      </c>
    </row>
    <row r="15" spans="1:8" ht="17.45" customHeight="1" x14ac:dyDescent="0.3">
      <c r="A15" s="9" t="s">
        <v>424</v>
      </c>
      <c r="B15" s="10" t="s">
        <v>425</v>
      </c>
      <c r="C15" s="10" t="s">
        <v>426</v>
      </c>
      <c r="D15" s="9" t="s">
        <v>106</v>
      </c>
      <c r="E15" s="33">
        <f>자재단가대비표!O16</f>
        <v>58800</v>
      </c>
      <c r="F15" s="23" t="s">
        <v>424</v>
      </c>
      <c r="G15" s="17" t="str">
        <f>"_x0007_`COD|M07747_x0005_`QTY1|1_x0005_`BQC|_x0005_`EQC|_x0005_`JDC|_x0005_`WQC|_x0005_`EDT|_x0005_`DET|"&amp;ROW(자재단가대비표!A16)&amp;"_x0005_`"</f>
        <v>_x0007_`COD|M07747_x0005_`QTY1|1_x0005_`BQC|_x0005_`EQC|_x0005_`JDC|_x0005_`WQC|_x0005_`EDT|_x0005_`DET|16_x0005_`</v>
      </c>
      <c r="H15" s="3" t="str">
        <f ca="1">HYPERLINK("#"&amp;자재단가대비표!R2&amp;"!A"&amp;ROW(자재단가대비표!A16),"자재12 →")</f>
        <v>자재12 →</v>
      </c>
    </row>
    <row r="16" spans="1:8" ht="17.45" customHeight="1" x14ac:dyDescent="0.3">
      <c r="A16" s="9" t="s">
        <v>428</v>
      </c>
      <c r="B16" s="10" t="s">
        <v>425</v>
      </c>
      <c r="C16" s="10" t="s">
        <v>429</v>
      </c>
      <c r="D16" s="9" t="s">
        <v>106</v>
      </c>
      <c r="E16" s="33">
        <f>자재단가대비표!O17</f>
        <v>127700</v>
      </c>
      <c r="F16" s="23" t="s">
        <v>428</v>
      </c>
      <c r="G16" s="17" t="str">
        <f>"_x0007_`COD|M05418_x0005_`QTY1|1_x0005_`BQC|_x0005_`EQC|_x0005_`JDC|_x0005_`WQC|_x0005_`EDT|_x0005_`DET|"&amp;ROW(자재단가대비표!A17)&amp;"_x0005_`"</f>
        <v>_x0007_`COD|M05418_x0005_`QTY1|1_x0005_`BQC|_x0005_`EQC|_x0005_`JDC|_x0005_`WQC|_x0005_`EDT|_x0005_`DET|17_x0005_`</v>
      </c>
      <c r="H16" s="3" t="str">
        <f ca="1">HYPERLINK("#"&amp;자재단가대비표!R2&amp;"!A"&amp;ROW(자재단가대비표!A17),"자재13 →")</f>
        <v>자재13 →</v>
      </c>
    </row>
    <row r="17" spans="1:8" ht="17.45" customHeight="1" x14ac:dyDescent="0.3">
      <c r="A17" s="9" t="s">
        <v>431</v>
      </c>
      <c r="B17" s="10" t="s">
        <v>432</v>
      </c>
      <c r="C17" s="10" t="s">
        <v>433</v>
      </c>
      <c r="D17" s="9" t="s">
        <v>106</v>
      </c>
      <c r="E17" s="33">
        <f>자재단가대비표!O18</f>
        <v>310909</v>
      </c>
      <c r="F17" s="23" t="s">
        <v>431</v>
      </c>
      <c r="G17" s="17" t="str">
        <f>"_x0007_`COD|M06157_x0005_`QTY1|1_x0005_`BQC|_x0005_`EQC|_x0005_`JDC|_x0005_`WQC|_x0005_`EDT|_x0005_`DET|"&amp;ROW(자재단가대비표!A18)&amp;"_x0005_`"</f>
        <v>_x0007_`COD|M06157_x0005_`QTY1|1_x0005_`BQC|_x0005_`EQC|_x0005_`JDC|_x0005_`WQC|_x0005_`EDT|_x0005_`DET|18_x0005_`</v>
      </c>
      <c r="H17" s="3" t="str">
        <f ca="1">HYPERLINK("#"&amp;자재단가대비표!R2&amp;"!A"&amp;ROW(자재단가대비표!A18),"자재14 →")</f>
        <v>자재14 →</v>
      </c>
    </row>
    <row r="18" spans="1:8" ht="17.45" customHeight="1" x14ac:dyDescent="0.3">
      <c r="A18" s="9" t="s">
        <v>435</v>
      </c>
      <c r="B18" s="10" t="s">
        <v>436</v>
      </c>
      <c r="C18" s="10" t="s">
        <v>437</v>
      </c>
      <c r="D18" s="9" t="s">
        <v>19</v>
      </c>
      <c r="E18" s="33">
        <f>자재단가대비표!O19</f>
        <v>149</v>
      </c>
      <c r="F18" s="23" t="s">
        <v>435</v>
      </c>
      <c r="G18" s="17" t="str">
        <f>"_x0007_`COD|M06326_x0005_`QTY1|1_x0005_`BQC|_x0005_`EQC|_x0005_`JDC|_x0005_`WQC|_x0005_`EDT|_x0005_`DET|"&amp;ROW(자재단가대비표!A19)&amp;"_x0005_`"</f>
        <v>_x0007_`COD|M06326_x0005_`QTY1|1_x0005_`BQC|_x0005_`EQC|_x0005_`JDC|_x0005_`WQC|_x0005_`EDT|_x0005_`DET|19_x0005_`</v>
      </c>
      <c r="H18" s="3" t="str">
        <f ca="1">HYPERLINK("#"&amp;자재단가대비표!R2&amp;"!A"&amp;ROW(자재단가대비표!A19),"자재15 →")</f>
        <v>자재15 →</v>
      </c>
    </row>
    <row r="19" spans="1:8" ht="17.45" customHeight="1" x14ac:dyDescent="0.3">
      <c r="A19" s="9" t="s">
        <v>439</v>
      </c>
      <c r="B19" s="10" t="s">
        <v>440</v>
      </c>
      <c r="C19" s="10" t="s">
        <v>441</v>
      </c>
      <c r="D19" s="9" t="s">
        <v>33</v>
      </c>
      <c r="E19" s="33">
        <f>자재단가대비표!O20</f>
        <v>581110</v>
      </c>
      <c r="F19" s="23" t="s">
        <v>439</v>
      </c>
      <c r="G19" s="17" t="str">
        <f>"_x0007_`COD|M00840_x0005_`QTY1|1_x0005_`BQC|  22839938_x0005_`EQC|_x0005_`JDC|_x0005_`WQC|_x0005_`EDT|_x0005_`DET|"&amp;ROW(자재단가대비표!A20)&amp;"_x0005_`"</f>
        <v>_x0007_`COD|M00840_x0005_`QTY1|1_x0005_`BQC|  22839938_x0005_`EQC|_x0005_`JDC|_x0005_`WQC|_x0005_`EDT|_x0005_`DET|20_x0005_`</v>
      </c>
      <c r="H19" s="3" t="str">
        <f ca="1">HYPERLINK("#"&amp;자재단가대비표!R2&amp;"!A"&amp;ROW(자재단가대비표!A20),"자재16 →")</f>
        <v>자재16 →</v>
      </c>
    </row>
    <row r="20" spans="1:8" ht="17.45" customHeight="1" x14ac:dyDescent="0.3">
      <c r="A20" s="9" t="s">
        <v>443</v>
      </c>
      <c r="B20" s="10" t="s">
        <v>444</v>
      </c>
      <c r="C20" s="10"/>
      <c r="D20" s="9" t="s">
        <v>180</v>
      </c>
      <c r="E20" s="33">
        <f>자재단가대비표!O21</f>
        <v>-1</v>
      </c>
      <c r="F20" s="23" t="s">
        <v>443</v>
      </c>
      <c r="G20" s="17" t="str">
        <f>"_x0007_`COD|M04970_x0005_`QTY1|1_x0005_`BQC|_x0005_`EQC|_x0005_`JDC|_x0005_`WQC|_x0005_`EDT|_x0005_`DET|"&amp;ROW(자재단가대비표!A21)&amp;"_x0005_`"</f>
        <v>_x0007_`COD|M04970_x0005_`QTY1|1_x0005_`BQC|_x0005_`EQC|_x0005_`JDC|_x0005_`WQC|_x0005_`EDT|_x0005_`DET|21_x0005_`</v>
      </c>
      <c r="H20" s="3" t="str">
        <f ca="1">HYPERLINK("#"&amp;자재단가대비표!R2&amp;"!A"&amp;ROW(자재단가대비표!A21),"자재17 →")</f>
        <v>자재17 →</v>
      </c>
    </row>
    <row r="21" spans="1:8" ht="17.45" customHeight="1" x14ac:dyDescent="0.3">
      <c r="A21" s="9" t="s">
        <v>446</v>
      </c>
      <c r="B21" s="10" t="s">
        <v>447</v>
      </c>
      <c r="C21" s="10" t="s">
        <v>448</v>
      </c>
      <c r="D21" s="9" t="s">
        <v>106</v>
      </c>
      <c r="E21" s="33">
        <f>자재단가대비표!O22</f>
        <v>17890</v>
      </c>
      <c r="F21" s="23" t="s">
        <v>446</v>
      </c>
      <c r="G21" s="17" t="str">
        <f>"_x0007_`COD|M02742_x0005_`QTY1|1_x0005_`BQC|_x0005_`EQC|_x0005_`JDC|_x0005_`WQC|_x0005_`EDT|_x0005_`DET|"&amp;ROW(자재단가대비표!A22)&amp;"_x0005_`"</f>
        <v>_x0007_`COD|M02742_x0005_`QTY1|1_x0005_`BQC|_x0005_`EQC|_x0005_`JDC|_x0005_`WQC|_x0005_`EDT|_x0005_`DET|22_x0005_`</v>
      </c>
      <c r="H21" s="3" t="str">
        <f ca="1">HYPERLINK("#"&amp;자재단가대비표!R2&amp;"!A"&amp;ROW(자재단가대비표!A22),"자재18 →")</f>
        <v>자재18 →</v>
      </c>
    </row>
    <row r="22" spans="1:8" ht="17.45" customHeight="1" x14ac:dyDescent="0.3">
      <c r="A22" s="9" t="s">
        <v>450</v>
      </c>
      <c r="B22" s="10" t="s">
        <v>451</v>
      </c>
      <c r="C22" s="10" t="s">
        <v>452</v>
      </c>
      <c r="D22" s="9" t="s">
        <v>453</v>
      </c>
      <c r="E22" s="33">
        <f>자재단가대비표!O23</f>
        <v>3140</v>
      </c>
      <c r="F22" s="23" t="s">
        <v>450</v>
      </c>
      <c r="G22" s="17" t="str">
        <f>"_x0007_`COD|M05535_x0005_`QTY1|1_x0005_`BQC|_x0005_`EQC|도로_x0005_`JDC|_x0005_`WQC|_x0005_`EDT|_x0005_`DET|"&amp;ROW(자재단가대비표!A23)&amp;"_x0005_`"</f>
        <v>_x0007_`COD|M05535_x0005_`QTY1|1_x0005_`BQC|_x0005_`EQC|도로_x0005_`JDC|_x0005_`WQC|_x0005_`EDT|_x0005_`DET|23_x0005_`</v>
      </c>
      <c r="H22" s="3" t="str">
        <f ca="1">HYPERLINK("#"&amp;자재단가대비표!R2&amp;"!A"&amp;ROW(자재단가대비표!A23),"자재19 →")</f>
        <v>자재19 →</v>
      </c>
    </row>
    <row r="23" spans="1:8" ht="17.45" customHeight="1" x14ac:dyDescent="0.3">
      <c r="A23" s="9" t="s">
        <v>455</v>
      </c>
      <c r="B23" s="10" t="s">
        <v>456</v>
      </c>
      <c r="C23" s="10" t="s">
        <v>457</v>
      </c>
      <c r="D23" s="9" t="s">
        <v>115</v>
      </c>
      <c r="E23" s="33">
        <f>자재단가대비표!O24</f>
        <v>94240</v>
      </c>
      <c r="F23" s="23" t="s">
        <v>455</v>
      </c>
      <c r="G23" s="17" t="str">
        <f>"_x0007_`COD|M00188_x0005_`QTY1|1_x0005_`BQC|_x0005_`EQC|_x0005_`JDC|_x0005_`WQC|_x0005_`EDT|_x0005_`DET|"&amp;ROW(자재단가대비표!A24)&amp;"_x0005_`"</f>
        <v>_x0007_`COD|M00188_x0005_`QTY1|1_x0005_`BQC|_x0005_`EQC|_x0005_`JDC|_x0005_`WQC|_x0005_`EDT|_x0005_`DET|24_x0005_`</v>
      </c>
      <c r="H23" s="3" t="str">
        <f ca="1">HYPERLINK("#"&amp;자재단가대비표!R2&amp;"!A"&amp;ROW(자재단가대비표!A24),"자재20 →")</f>
        <v>자재20 →</v>
      </c>
    </row>
    <row r="24" spans="1:8" ht="17.45" customHeight="1" x14ac:dyDescent="0.3">
      <c r="A24" s="9" t="s">
        <v>459</v>
      </c>
      <c r="B24" s="10" t="s">
        <v>456</v>
      </c>
      <c r="C24" s="10" t="s">
        <v>460</v>
      </c>
      <c r="D24" s="9" t="s">
        <v>115</v>
      </c>
      <c r="E24" s="33">
        <f>자재단가대비표!O25</f>
        <v>0</v>
      </c>
      <c r="F24" s="23" t="s">
        <v>459</v>
      </c>
      <c r="G24" s="17" t="str">
        <f>"_x0007_`COD|M06177_x0005_`QTY1|1_x0005_`BQC|_x0005_`EQC|_x0005_`JDC|_x0005_`WQC|_x0005_`EDT|_x0005_`DET|"&amp;ROW(자재단가대비표!A25)&amp;"_x0005_`"</f>
        <v>_x0007_`COD|M06177_x0005_`QTY1|1_x0005_`BQC|_x0005_`EQC|_x0005_`JDC|_x0005_`WQC|_x0005_`EDT|_x0005_`DET|25_x0005_`</v>
      </c>
      <c r="H24" s="3" t="str">
        <f ca="1">HYPERLINK("#"&amp;자재단가대비표!R2&amp;"!A"&amp;ROW(자재단가대비표!A25),"자재21 →")</f>
        <v>자재21 →</v>
      </c>
    </row>
    <row r="25" spans="1:8" ht="17.45" customHeight="1" x14ac:dyDescent="0.3">
      <c r="A25" s="9" t="s">
        <v>462</v>
      </c>
      <c r="B25" s="10" t="s">
        <v>463</v>
      </c>
      <c r="C25" s="10" t="s">
        <v>464</v>
      </c>
      <c r="D25" s="9" t="s">
        <v>156</v>
      </c>
      <c r="E25" s="33">
        <f>자재단가대비표!O26</f>
        <v>555000</v>
      </c>
      <c r="F25" s="23" t="s">
        <v>462</v>
      </c>
      <c r="G25" s="17" t="str">
        <f>"_x0007_`COD|M04882_x0005_`QTY1|1_x0005_`BQC| 21774695_x0005_`EQC|상수도_x0005_`JDC|_x0005_`WQC|_x0005_`EDT|_x0005_`DET|"&amp;ROW(자재단가대비표!A26)&amp;"_x0005_`"</f>
        <v>_x0007_`COD|M04882_x0005_`QTY1|1_x0005_`BQC| 21774695_x0005_`EQC|상수도_x0005_`JDC|_x0005_`WQC|_x0005_`EDT|_x0005_`DET|26_x0005_`</v>
      </c>
      <c r="H25" s="3" t="str">
        <f ca="1">HYPERLINK("#"&amp;자재단가대비표!R2&amp;"!A"&amp;ROW(자재단가대비표!A26),"자재22 →")</f>
        <v>자재22 →</v>
      </c>
    </row>
    <row r="26" spans="1:8" ht="17.45" customHeight="1" x14ac:dyDescent="0.3">
      <c r="A26" s="9" t="s">
        <v>466</v>
      </c>
      <c r="B26" s="10" t="s">
        <v>467</v>
      </c>
      <c r="C26" s="10" t="s">
        <v>468</v>
      </c>
      <c r="D26" s="9" t="s">
        <v>115</v>
      </c>
      <c r="E26" s="33">
        <f>자재단가대비표!O27</f>
        <v>37000</v>
      </c>
      <c r="F26" s="23" t="s">
        <v>466</v>
      </c>
      <c r="G26" s="17" t="str">
        <f>"_x0007_`COD|M03781_x0005_`QTY1|1_x0005_`BQC|_x0005_`EQC|_x0005_`JDC|_x0005_`WQC|_x0005_`EDT|_x0005_`DET|"&amp;ROW(자재단가대비표!A27)&amp;"_x0005_`"</f>
        <v>_x0007_`COD|M03781_x0005_`QTY1|1_x0005_`BQC|_x0005_`EQC|_x0005_`JDC|_x0005_`WQC|_x0005_`EDT|_x0005_`DET|27_x0005_`</v>
      </c>
      <c r="H26" s="3" t="str">
        <f ca="1">HYPERLINK("#"&amp;자재단가대비표!R2&amp;"!A"&amp;ROW(자재단가대비표!A27),"자재23 →")</f>
        <v>자재23 →</v>
      </c>
    </row>
    <row r="27" spans="1:8" ht="17.45" customHeight="1" x14ac:dyDescent="0.3">
      <c r="A27" s="9" t="s">
        <v>470</v>
      </c>
      <c r="B27" s="10" t="s">
        <v>467</v>
      </c>
      <c r="C27" s="10" t="s">
        <v>471</v>
      </c>
      <c r="D27" s="9" t="s">
        <v>115</v>
      </c>
      <c r="E27" s="33">
        <f>자재단가대비표!O28</f>
        <v>0</v>
      </c>
      <c r="F27" s="23" t="s">
        <v>470</v>
      </c>
      <c r="G27" s="17" t="str">
        <f>"_x0007_`COD|M00434_x0005_`QTY1|1_x0005_`BQC|_x0005_`EQC|_x0005_`JDC|_x0005_`WQC|_x0005_`EDT|_x0005_`DET|"&amp;ROW(자재단가대비표!A28)&amp;"_x0005_`"</f>
        <v>_x0007_`COD|M00434_x0005_`QTY1|1_x0005_`BQC|_x0005_`EQC|_x0005_`JDC|_x0005_`WQC|_x0005_`EDT|_x0005_`DET|28_x0005_`</v>
      </c>
      <c r="H27" s="3" t="str">
        <f ca="1">HYPERLINK("#"&amp;자재단가대비표!R2&amp;"!A"&amp;ROW(자재단가대비표!A28),"자재24 →")</f>
        <v>자재24 →</v>
      </c>
    </row>
    <row r="28" spans="1:8" ht="17.45" customHeight="1" x14ac:dyDescent="0.3">
      <c r="A28" s="9" t="s">
        <v>473</v>
      </c>
      <c r="B28" s="10" t="s">
        <v>474</v>
      </c>
      <c r="C28" s="10" t="s">
        <v>475</v>
      </c>
      <c r="D28" s="9" t="s">
        <v>106</v>
      </c>
      <c r="E28" s="33">
        <f>자재단가대비표!O29</f>
        <v>16100</v>
      </c>
      <c r="F28" s="23" t="s">
        <v>473</v>
      </c>
      <c r="G28" s="17" t="str">
        <f>"_x0007_`COD|M07143_x0005_`QTY1|1_x0005_`BQC|_x0005_`EQC|_x0005_`JDC|_x0005_`WQC|_x0005_`EDT|_x0005_`DET|"&amp;ROW(자재단가대비표!A29)&amp;"_x0005_`"</f>
        <v>_x0007_`COD|M07143_x0005_`QTY1|1_x0005_`BQC|_x0005_`EQC|_x0005_`JDC|_x0005_`WQC|_x0005_`EDT|_x0005_`DET|29_x0005_`</v>
      </c>
      <c r="H28" s="3" t="str">
        <f ca="1">HYPERLINK("#"&amp;자재단가대비표!R2&amp;"!A"&amp;ROW(자재단가대비표!A29),"자재25 →")</f>
        <v>자재25 →</v>
      </c>
    </row>
    <row r="29" spans="1:8" ht="17.45" customHeight="1" x14ac:dyDescent="0.3">
      <c r="A29" s="9" t="s">
        <v>477</v>
      </c>
      <c r="B29" s="10" t="s">
        <v>474</v>
      </c>
      <c r="C29" s="10" t="s">
        <v>478</v>
      </c>
      <c r="D29" s="9" t="s">
        <v>106</v>
      </c>
      <c r="E29" s="33">
        <f>자재단가대비표!O30</f>
        <v>29300</v>
      </c>
      <c r="F29" s="23" t="s">
        <v>477</v>
      </c>
      <c r="G29" s="17" t="str">
        <f>"_x0007_`COD|M00361_x0005_`QTY1|1_x0005_`BQC|_x0005_`EQC|_x0005_`JDC|_x0005_`WQC|_x0005_`EDT|_x0005_`DET|"&amp;ROW(자재단가대비표!A30)&amp;"_x0005_`"</f>
        <v>_x0007_`COD|M00361_x0005_`QTY1|1_x0005_`BQC|_x0005_`EQC|_x0005_`JDC|_x0005_`WQC|_x0005_`EDT|_x0005_`DET|30_x0005_`</v>
      </c>
      <c r="H29" s="3" t="str">
        <f ca="1">HYPERLINK("#"&amp;자재단가대비표!R2&amp;"!A"&amp;ROW(자재단가대비표!A30),"자재26 →")</f>
        <v>자재26 →</v>
      </c>
    </row>
    <row r="30" spans="1:8" ht="17.45" customHeight="1" x14ac:dyDescent="0.3">
      <c r="A30" s="9" t="s">
        <v>480</v>
      </c>
      <c r="B30" s="10" t="s">
        <v>481</v>
      </c>
      <c r="C30" s="10" t="s">
        <v>482</v>
      </c>
      <c r="D30" s="9" t="s">
        <v>106</v>
      </c>
      <c r="E30" s="33">
        <f>자재단가대비표!O31</f>
        <v>7295000</v>
      </c>
      <c r="F30" s="23" t="s">
        <v>480</v>
      </c>
      <c r="G30" s="17" t="str">
        <f>"_x0007_`COD|M07928_x0005_`QTY1|1_x0005_`BQC|  24010799_x0005_`EQC|_x0005_`JDC|_x0005_`WQC|_x0005_`EDT|_x0005_`DET|"&amp;ROW(자재단가대비표!A31)&amp;"_x0005_`"</f>
        <v>_x0007_`COD|M07928_x0005_`QTY1|1_x0005_`BQC|  24010799_x0005_`EQC|_x0005_`JDC|_x0005_`WQC|_x0005_`EDT|_x0005_`DET|31_x0005_`</v>
      </c>
      <c r="H30" s="3" t="str">
        <f ca="1">HYPERLINK("#"&amp;자재단가대비표!R2&amp;"!A"&amp;ROW(자재단가대비표!A31),"자재27 →")</f>
        <v>자재27 →</v>
      </c>
    </row>
    <row r="31" spans="1:8" ht="17.45" customHeight="1" x14ac:dyDescent="0.3">
      <c r="A31" s="9" t="s">
        <v>484</v>
      </c>
      <c r="B31" s="10" t="s">
        <v>485</v>
      </c>
      <c r="C31" s="10" t="s">
        <v>486</v>
      </c>
      <c r="D31" s="9" t="s">
        <v>106</v>
      </c>
      <c r="E31" s="33">
        <f>자재단가대비표!O32</f>
        <v>2050700</v>
      </c>
      <c r="F31" s="23" t="s">
        <v>484</v>
      </c>
      <c r="G31" s="17" t="str">
        <f>"_x0007_`COD|M06368_x0005_`QTY1|1_x0005_`BQC|_x0005_`EQC|상수도_x0005_`JDC|_x0005_`WQC|_x0005_`EDT|_x0005_`DET|"&amp;ROW(자재단가대비표!A32)&amp;"_x0005_`"</f>
        <v>_x0007_`COD|M06368_x0005_`QTY1|1_x0005_`BQC|_x0005_`EQC|상수도_x0005_`JDC|_x0005_`WQC|_x0005_`EDT|_x0005_`DET|32_x0005_`</v>
      </c>
      <c r="H31" s="3" t="str">
        <f ca="1">HYPERLINK("#"&amp;자재단가대비표!R2&amp;"!A"&amp;ROW(자재단가대비표!A32),"자재28 →")</f>
        <v>자재28 →</v>
      </c>
    </row>
    <row r="32" spans="1:8" ht="17.45" customHeight="1" x14ac:dyDescent="0.3">
      <c r="A32" s="9" t="s">
        <v>488</v>
      </c>
      <c r="B32" s="10" t="s">
        <v>489</v>
      </c>
      <c r="C32" s="10" t="s">
        <v>490</v>
      </c>
      <c r="D32" s="9" t="s">
        <v>106</v>
      </c>
      <c r="E32" s="33">
        <f>자재단가대비표!O33</f>
        <v>160000</v>
      </c>
      <c r="F32" s="23" t="s">
        <v>488</v>
      </c>
      <c r="G32" s="17" t="str">
        <f>"_x0007_`COD|M00288_x0005_`QTY1|1_x0005_`BQC|_x0005_`EQC|_x0005_`JDC|_x0005_`WQC|_x0005_`EDT|_x0005_`DET|"&amp;ROW(자재단가대비표!A33)&amp;"_x0005_`"</f>
        <v>_x0007_`COD|M00288_x0005_`QTY1|1_x0005_`BQC|_x0005_`EQC|_x0005_`JDC|_x0005_`WQC|_x0005_`EDT|_x0005_`DET|33_x0005_`</v>
      </c>
      <c r="H32" s="3" t="str">
        <f ca="1">HYPERLINK("#"&amp;자재단가대비표!R2&amp;"!A"&amp;ROW(자재단가대비표!A33),"자재29 →")</f>
        <v>자재29 →</v>
      </c>
    </row>
    <row r="33" spans="1:8" ht="17.45" customHeight="1" x14ac:dyDescent="0.3">
      <c r="A33" s="9" t="s">
        <v>492</v>
      </c>
      <c r="B33" s="10" t="s">
        <v>493</v>
      </c>
      <c r="C33" s="10" t="s">
        <v>494</v>
      </c>
      <c r="D33" s="9" t="s">
        <v>106</v>
      </c>
      <c r="E33" s="33">
        <f>자재단가대비표!O34</f>
        <v>2370000</v>
      </c>
      <c r="F33" s="23" t="s">
        <v>492</v>
      </c>
      <c r="G33" s="17" t="str">
        <f>"_x0007_`COD|M05624_x0005_`QTY1|1_x0005_`BQC|_x0005_`EQC|_x0005_`JDC|_x0005_`WQC|_x0005_`EDT|_x0005_`DET|"&amp;ROW(자재단가대비표!A34)&amp;"_x0005_`"</f>
        <v>_x0007_`COD|M05624_x0005_`QTY1|1_x0005_`BQC|_x0005_`EQC|_x0005_`JDC|_x0005_`WQC|_x0005_`EDT|_x0005_`DET|34_x0005_`</v>
      </c>
      <c r="H33" s="3" t="str">
        <f ca="1">HYPERLINK("#"&amp;자재단가대비표!R2&amp;"!A"&amp;ROW(자재단가대비표!A34),"자재30 →")</f>
        <v>자재30 →</v>
      </c>
    </row>
    <row r="34" spans="1:8" ht="17.45" customHeight="1" x14ac:dyDescent="0.3">
      <c r="A34" s="9" t="s">
        <v>496</v>
      </c>
      <c r="B34" s="10" t="s">
        <v>497</v>
      </c>
      <c r="C34" s="10" t="s">
        <v>498</v>
      </c>
      <c r="D34" s="9" t="s">
        <v>499</v>
      </c>
      <c r="E34" s="33">
        <f>자재단가대비표!O35</f>
        <v>0</v>
      </c>
      <c r="F34" s="23" t="s">
        <v>496</v>
      </c>
      <c r="G34" s="17" t="str">
        <f>"_x0007_`COD|M03597_x0005_`QTY1|1_x0005_`BQC|_x0005_`EQC|_x0005_`JDC|_x0005_`WQC|_x0005_`EDT|_x0005_`DET|"&amp;ROW(자재단가대비표!A35)&amp;"_x0005_`"</f>
        <v>_x0007_`COD|M03597_x0005_`QTY1|1_x0005_`BQC|_x0005_`EQC|_x0005_`JDC|_x0005_`WQC|_x0005_`EDT|_x0005_`DET|35_x0005_`</v>
      </c>
      <c r="H34" s="3" t="str">
        <f ca="1">HYPERLINK("#"&amp;자재단가대비표!R2&amp;"!A"&amp;ROW(자재단가대비표!A35),"자재31 →")</f>
        <v>자재31 →</v>
      </c>
    </row>
    <row r="35" spans="1:8" ht="17.45" customHeight="1" x14ac:dyDescent="0.3">
      <c r="A35" s="9" t="s">
        <v>501</v>
      </c>
      <c r="B35" s="10" t="s">
        <v>497</v>
      </c>
      <c r="C35" s="10" t="s">
        <v>502</v>
      </c>
      <c r="D35" s="9" t="s">
        <v>503</v>
      </c>
      <c r="E35" s="33">
        <f>자재단가대비표!O36</f>
        <v>8300</v>
      </c>
      <c r="F35" s="23" t="s">
        <v>501</v>
      </c>
      <c r="G35" s="17" t="str">
        <f>"_x0007_`COD|M00636_x0005_`QTY1|1_x0005_`BQC|_x0005_`EQC|도로_x0005_`JDC|_x0005_`WQC|_x0005_`EDT|_x0005_`DET|"&amp;ROW(자재단가대비표!A36)&amp;"_x0005_`"</f>
        <v>_x0007_`COD|M00636_x0005_`QTY1|1_x0005_`BQC|_x0005_`EQC|도로_x0005_`JDC|_x0005_`WQC|_x0005_`EDT|_x0005_`DET|36_x0005_`</v>
      </c>
      <c r="H35" s="3" t="str">
        <f ca="1">HYPERLINK("#"&amp;자재단가대비표!R2&amp;"!A"&amp;ROW(자재단가대비표!A36),"자재32 →")</f>
        <v>자재32 →</v>
      </c>
    </row>
    <row r="36" spans="1:8" ht="17.45" customHeight="1" x14ac:dyDescent="0.3">
      <c r="A36" s="9" t="s">
        <v>505</v>
      </c>
      <c r="B36" s="10" t="s">
        <v>506</v>
      </c>
      <c r="C36" s="10" t="s">
        <v>507</v>
      </c>
      <c r="D36" s="9" t="s">
        <v>508</v>
      </c>
      <c r="E36" s="33">
        <f>자재단가대비표!O37</f>
        <v>93170</v>
      </c>
      <c r="F36" s="23" t="s">
        <v>505</v>
      </c>
      <c r="G36" s="17" t="str">
        <f>"_x0007_`COD|M00642_x0005_`QTY1|1_x0005_`BQC|_x0005_`EQC|도로_x0005_`JDC|_x0005_`WQC|_x0005_`EDT|_x0005_`DET|"&amp;ROW(자재단가대비표!A37)&amp;"_x0005_`"</f>
        <v>_x0007_`COD|M00642_x0005_`QTY1|1_x0005_`BQC|_x0005_`EQC|도로_x0005_`JDC|_x0005_`WQC|_x0005_`EDT|_x0005_`DET|37_x0005_`</v>
      </c>
      <c r="H36" s="3" t="str">
        <f ca="1">HYPERLINK("#"&amp;자재단가대비표!R2&amp;"!A"&amp;ROW(자재단가대비표!A37),"자재33 →")</f>
        <v>자재33 →</v>
      </c>
    </row>
    <row r="37" spans="1:8" ht="17.45" customHeight="1" x14ac:dyDescent="0.3">
      <c r="A37" s="9" t="s">
        <v>510</v>
      </c>
      <c r="B37" s="10" t="s">
        <v>506</v>
      </c>
      <c r="C37" s="10" t="s">
        <v>511</v>
      </c>
      <c r="D37" s="9" t="s">
        <v>221</v>
      </c>
      <c r="E37" s="33">
        <f>자재단가대비표!O38</f>
        <v>116160</v>
      </c>
      <c r="F37" s="23" t="s">
        <v>510</v>
      </c>
      <c r="G37" s="17" t="str">
        <f>"_x0007_`COD|M00641_x0005_`QTY1|1_x0005_`BQC|_x0005_`EQC|_x0005_`JDC|_x0005_`WQC|_x0005_`EDT|_x0005_`DET|"&amp;ROW(자재단가대비표!A38)&amp;"_x0005_`"</f>
        <v>_x0007_`COD|M00641_x0005_`QTY1|1_x0005_`BQC|_x0005_`EQC|_x0005_`JDC|_x0005_`WQC|_x0005_`EDT|_x0005_`DET|38_x0005_`</v>
      </c>
      <c r="H37" s="3" t="str">
        <f ca="1">HYPERLINK("#"&amp;자재단가대비표!R2&amp;"!A"&amp;ROW(자재단가대비표!A38),"자재34 →")</f>
        <v>자재34 →</v>
      </c>
    </row>
    <row r="38" spans="1:8" ht="17.45" customHeight="1" x14ac:dyDescent="0.3">
      <c r="A38" s="9" t="s">
        <v>513</v>
      </c>
      <c r="B38" s="10" t="s">
        <v>514</v>
      </c>
      <c r="C38" s="10" t="s">
        <v>515</v>
      </c>
      <c r="D38" s="9" t="s">
        <v>516</v>
      </c>
      <c r="E38" s="33">
        <f>자재단가대비표!O39</f>
        <v>154620</v>
      </c>
      <c r="F38" s="23" t="s">
        <v>513</v>
      </c>
      <c r="G38" s="17" t="str">
        <f>"_x0007_`COD|M04117_x0005_`QTY1|1_x0005_`BQC|_x0005_`EQC|_x0005_`JDC|_x0005_`WQC|_x0005_`EDT|_x0005_`DET|"&amp;ROW(자재단가대비표!A39)&amp;"_x0005_`"</f>
        <v>_x0007_`COD|M04117_x0005_`QTY1|1_x0005_`BQC|_x0005_`EQC|_x0005_`JDC|_x0005_`WQC|_x0005_`EDT|_x0005_`DET|39_x0005_`</v>
      </c>
      <c r="H38" s="3" t="str">
        <f ca="1">HYPERLINK("#"&amp;자재단가대비표!R2&amp;"!A"&amp;ROW(자재단가대비표!A39),"자재35 →")</f>
        <v>자재35 →</v>
      </c>
    </row>
    <row r="39" spans="1:8" ht="17.45" customHeight="1" x14ac:dyDescent="0.3">
      <c r="A39" s="9" t="s">
        <v>518</v>
      </c>
      <c r="B39" s="10" t="s">
        <v>514</v>
      </c>
      <c r="C39" s="10" t="s">
        <v>519</v>
      </c>
      <c r="D39" s="9" t="s">
        <v>516</v>
      </c>
      <c r="E39" s="33">
        <f>자재단가대비표!O40</f>
        <v>154620</v>
      </c>
      <c r="F39" s="23" t="s">
        <v>518</v>
      </c>
      <c r="G39" s="17" t="str">
        <f>"_x0007_`COD|M04118_x0005_`QTY1|1_x0005_`BQC|_x0005_`EQC|_x0005_`JDC|_x0005_`WQC|_x0005_`EDT|_x0005_`DET|"&amp;ROW(자재단가대비표!A40)&amp;"_x0005_`"</f>
        <v>_x0007_`COD|M04118_x0005_`QTY1|1_x0005_`BQC|_x0005_`EQC|_x0005_`JDC|_x0005_`WQC|_x0005_`EDT|_x0005_`DET|40_x0005_`</v>
      </c>
      <c r="H39" s="3" t="str">
        <f ca="1">HYPERLINK("#"&amp;자재단가대비표!R2&amp;"!A"&amp;ROW(자재단가대비표!A40),"자재36 →")</f>
        <v>자재36 →</v>
      </c>
    </row>
    <row r="40" spans="1:8" ht="17.45" customHeight="1" x14ac:dyDescent="0.3">
      <c r="A40" s="9" t="s">
        <v>521</v>
      </c>
      <c r="B40" s="10" t="s">
        <v>522</v>
      </c>
      <c r="C40" s="10" t="s">
        <v>523</v>
      </c>
      <c r="D40" s="9" t="s">
        <v>422</v>
      </c>
      <c r="E40" s="33">
        <f>자재단가대비표!O41</f>
        <v>2076</v>
      </c>
      <c r="F40" s="23" t="s">
        <v>521</v>
      </c>
      <c r="G40" s="17" t="str">
        <f>"_x0007_`COD|M03602_x0005_`QTY1|1_x0005_`BQC|_x0005_`EQC|_x0005_`JDC|_x0005_`WQC|_x0005_`EDT|_x0005_`DET|"&amp;ROW(자재단가대비표!A41)&amp;"_x0005_`"</f>
        <v>_x0007_`COD|M03602_x0005_`QTY1|1_x0005_`BQC|_x0005_`EQC|_x0005_`JDC|_x0005_`WQC|_x0005_`EDT|_x0005_`DET|41_x0005_`</v>
      </c>
      <c r="H40" s="3" t="str">
        <f ca="1">HYPERLINK("#"&amp;자재단가대비표!R2&amp;"!A"&amp;ROW(자재단가대비표!A41),"자재37 →")</f>
        <v>자재37 →</v>
      </c>
    </row>
    <row r="41" spans="1:8" ht="17.45" customHeight="1" x14ac:dyDescent="0.3">
      <c r="A41" s="9" t="s">
        <v>525</v>
      </c>
      <c r="B41" s="10" t="s">
        <v>526</v>
      </c>
      <c r="C41" s="10" t="s">
        <v>527</v>
      </c>
      <c r="D41" s="9" t="s">
        <v>453</v>
      </c>
      <c r="E41" s="33">
        <f>자재단가대비표!O42</f>
        <v>4500</v>
      </c>
      <c r="F41" s="23" t="s">
        <v>525</v>
      </c>
      <c r="G41" s="17" t="str">
        <f>"_x0007_`COD|M05567_x0005_`QTY1|1_x0005_`BQC|_x0005_`EQC|도로_x0005_`JDC|_x0005_`WQC|_x0005_`EDT|_x0005_`DET|"&amp;ROW(자재단가대비표!A42)&amp;"_x0005_`"</f>
        <v>_x0007_`COD|M05567_x0005_`QTY1|1_x0005_`BQC|_x0005_`EQC|도로_x0005_`JDC|_x0005_`WQC|_x0005_`EDT|_x0005_`DET|42_x0005_`</v>
      </c>
      <c r="H41" s="3" t="str">
        <f ca="1">HYPERLINK("#"&amp;자재단가대비표!R2&amp;"!A"&amp;ROW(자재단가대비표!A42),"자재38 →")</f>
        <v>자재38 →</v>
      </c>
    </row>
    <row r="42" spans="1:8" ht="17.45" customHeight="1" x14ac:dyDescent="0.3">
      <c r="A42" s="9" t="s">
        <v>529</v>
      </c>
      <c r="B42" s="10" t="s">
        <v>530</v>
      </c>
      <c r="C42" s="10"/>
      <c r="D42" s="9" t="s">
        <v>499</v>
      </c>
      <c r="E42" s="33">
        <f>자재단가대비표!O43</f>
        <v>4550</v>
      </c>
      <c r="F42" s="23" t="s">
        <v>529</v>
      </c>
      <c r="G42" s="17" t="str">
        <f>"_x0007_`COD|M05555_x0005_`QTY1|1_x0005_`BQC|_x0005_`EQC|도로_x0005_`JDC|_x0005_`WQC|_x0005_`EDT|_x0005_`DET|"&amp;ROW(자재단가대비표!A43)&amp;"_x0005_`"</f>
        <v>_x0007_`COD|M05555_x0005_`QTY1|1_x0005_`BQC|_x0005_`EQC|도로_x0005_`JDC|_x0005_`WQC|_x0005_`EDT|_x0005_`DET|43_x0005_`</v>
      </c>
      <c r="H42" s="3" t="str">
        <f ca="1">HYPERLINK("#"&amp;자재단가대비표!R2&amp;"!A"&amp;ROW(자재단가대비표!A43),"자재39 →")</f>
        <v>자재39 →</v>
      </c>
    </row>
    <row r="43" spans="1:8" ht="17.45" customHeight="1" x14ac:dyDescent="0.3">
      <c r="A43" s="9" t="s">
        <v>532</v>
      </c>
      <c r="B43" s="10" t="s">
        <v>533</v>
      </c>
      <c r="C43" s="10" t="s">
        <v>534</v>
      </c>
      <c r="D43" s="9" t="s">
        <v>106</v>
      </c>
      <c r="E43" s="33">
        <f>자재단가대비표!O44</f>
        <v>63400</v>
      </c>
      <c r="F43" s="23" t="s">
        <v>532</v>
      </c>
      <c r="G43" s="17" t="str">
        <f>"_x0007_`COD|M05398_x0005_`QTY1|1_x0005_`BQC| 21110948_x0005_`EQC|_x0005_`JDC|_x0005_`WQC|_x0005_`EDT|_x0005_`DET|"&amp;ROW(자재단가대비표!A44)&amp;"_x0005_`"</f>
        <v>_x0007_`COD|M05398_x0005_`QTY1|1_x0005_`BQC| 21110948_x0005_`EQC|_x0005_`JDC|_x0005_`WQC|_x0005_`EDT|_x0005_`DET|44_x0005_`</v>
      </c>
      <c r="H43" s="3" t="str">
        <f ca="1">HYPERLINK("#"&amp;자재단가대비표!R2&amp;"!A"&amp;ROW(자재단가대비표!A44),"자재40 →")</f>
        <v>자재40 →</v>
      </c>
    </row>
    <row r="44" spans="1:8" ht="17.45" customHeight="1" x14ac:dyDescent="0.3">
      <c r="A44" s="9" t="s">
        <v>536</v>
      </c>
      <c r="B44" s="10" t="s">
        <v>537</v>
      </c>
      <c r="C44" s="10" t="s">
        <v>538</v>
      </c>
      <c r="D44" s="9" t="s">
        <v>539</v>
      </c>
      <c r="E44" s="33">
        <f>자재단가대비표!O45</f>
        <v>0</v>
      </c>
      <c r="F44" s="23" t="s">
        <v>536</v>
      </c>
      <c r="G44" s="17" t="str">
        <f>"_x0007_`COD|M00468_x0005_`QTY1|1_x0005_`UNT|M%_x0005_`BQC|_x0005_`EQC|_x0005_`JDC|_x0005_`WQC|_x0005_`EDT|_x0005_`DET|"&amp;ROW(자재단가대비표!A45)&amp;"_x0005_`"</f>
        <v>_x0007_`COD|M00468_x0005_`QTY1|1_x0005_`UNT|M%_x0005_`BQC|_x0005_`EQC|_x0005_`JDC|_x0005_`WQC|_x0005_`EDT|_x0005_`DET|45_x0005_`</v>
      </c>
      <c r="H44" s="3" t="str">
        <f ca="1">HYPERLINK("#"&amp;자재단가대비표!R2&amp;"!A"&amp;ROW(자재단가대비표!A45),"자재41 →")</f>
        <v>자재41 →</v>
      </c>
    </row>
    <row r="45" spans="1:8" ht="17.45" customHeight="1" x14ac:dyDescent="0.3">
      <c r="A45" s="9" t="s">
        <v>541</v>
      </c>
      <c r="B45" s="10" t="s">
        <v>542</v>
      </c>
      <c r="C45" s="10" t="s">
        <v>543</v>
      </c>
      <c r="D45" s="9" t="s">
        <v>106</v>
      </c>
      <c r="E45" s="33">
        <f>자재단가대비표!O46</f>
        <v>4000</v>
      </c>
      <c r="F45" s="23" t="s">
        <v>541</v>
      </c>
      <c r="G45" s="17" t="str">
        <f>"_x0007_`COD|M07040_x0005_`QTY1|1_x0005_`BQC|_x0005_`EQC|_x0005_`JDC|_x0005_`WQC|_x0005_`EDT|_x0005_`DET|"&amp;ROW(자재단가대비표!A46)&amp;"_x0005_`"</f>
        <v>_x0007_`COD|M07040_x0005_`QTY1|1_x0005_`BQC|_x0005_`EQC|_x0005_`JDC|_x0005_`WQC|_x0005_`EDT|_x0005_`DET|46_x0005_`</v>
      </c>
      <c r="H45" s="3" t="str">
        <f ca="1">HYPERLINK("#"&amp;자재단가대비표!R2&amp;"!A"&amp;ROW(자재단가대비표!A46),"자재42 →")</f>
        <v>자재42 →</v>
      </c>
    </row>
    <row r="46" spans="1:8" ht="17.45" customHeight="1" x14ac:dyDescent="0.3">
      <c r="A46" s="9" t="s">
        <v>545</v>
      </c>
      <c r="B46" s="10" t="s">
        <v>546</v>
      </c>
      <c r="C46" s="10" t="s">
        <v>547</v>
      </c>
      <c r="D46" s="9" t="s">
        <v>106</v>
      </c>
      <c r="E46" s="33">
        <f>자재단가대비표!O47</f>
        <v>1889000</v>
      </c>
      <c r="F46" s="23" t="s">
        <v>545</v>
      </c>
      <c r="G46" s="17" t="str">
        <f>"_x0007_`COD|M00983_x0005_`QTY1|1_x0005_`BQC|  10062950_x0005_`EQC|_x0005_`JDC|_x0005_`WQC|_x0005_`EDT|_x0005_`DET|"&amp;ROW(자재단가대비표!A47)&amp;"_x0005_`"</f>
        <v>_x0007_`COD|M00983_x0005_`QTY1|1_x0005_`BQC|  10062950_x0005_`EQC|_x0005_`JDC|_x0005_`WQC|_x0005_`EDT|_x0005_`DET|47_x0005_`</v>
      </c>
      <c r="H46" s="3" t="str">
        <f ca="1">HYPERLINK("#"&amp;자재단가대비표!R2&amp;"!A"&amp;ROW(자재단가대비표!A47),"자재43 →")</f>
        <v>자재43 →</v>
      </c>
    </row>
    <row r="47" spans="1:8" ht="17.45" customHeight="1" x14ac:dyDescent="0.3">
      <c r="A47" s="9" t="s">
        <v>549</v>
      </c>
      <c r="B47" s="10" t="s">
        <v>550</v>
      </c>
      <c r="C47" s="10" t="s">
        <v>551</v>
      </c>
      <c r="D47" s="9" t="s">
        <v>106</v>
      </c>
      <c r="E47" s="33">
        <f>자재단가대비표!O48</f>
        <v>56000</v>
      </c>
      <c r="F47" s="23" t="s">
        <v>549</v>
      </c>
      <c r="G47" s="17" t="str">
        <f>"_x0007_`COD|M04240_x0005_`QTY1|1_x0005_`BQC|_x0005_`EQC|_x0005_`JDC|_x0005_`WQC|_x0005_`EDT|_x0005_`DET|"&amp;ROW(자재단가대비표!A48)&amp;"_x0005_`"</f>
        <v>_x0007_`COD|M04240_x0005_`QTY1|1_x0005_`BQC|_x0005_`EQC|_x0005_`JDC|_x0005_`WQC|_x0005_`EDT|_x0005_`DET|48_x0005_`</v>
      </c>
      <c r="H47" s="3" t="str">
        <f ca="1">HYPERLINK("#"&amp;자재단가대비표!R2&amp;"!A"&amp;ROW(자재단가대비표!A48),"자재44 →")</f>
        <v>자재44 →</v>
      </c>
    </row>
    <row r="48" spans="1:8" ht="17.45" customHeight="1" x14ac:dyDescent="0.3">
      <c r="A48" s="9" t="s">
        <v>553</v>
      </c>
      <c r="B48" s="10" t="s">
        <v>550</v>
      </c>
      <c r="C48" s="10" t="s">
        <v>551</v>
      </c>
      <c r="D48" s="9" t="s">
        <v>106</v>
      </c>
      <c r="E48" s="33">
        <f>자재단가대비표!O49</f>
        <v>56000</v>
      </c>
      <c r="F48" s="23" t="s">
        <v>553</v>
      </c>
      <c r="G48" s="17" t="str">
        <f>"_x0007_`COD|M01434_x0005_`QTY1|1_x0005_`BQC|_x0005_`EQC|_x0005_`JDC|_x0005_`WQC|_x0005_`EDT|_x0005_`DET|"&amp;ROW(자재단가대비표!A49)&amp;"_x0005_`"</f>
        <v>_x0007_`COD|M01434_x0005_`QTY1|1_x0005_`BQC|_x0005_`EQC|_x0005_`JDC|_x0005_`WQC|_x0005_`EDT|_x0005_`DET|49_x0005_`</v>
      </c>
      <c r="H48" s="3" t="str">
        <f ca="1">HYPERLINK("#"&amp;자재단가대비표!R2&amp;"!A"&amp;ROW(자재단가대비표!A49),"자재45 →")</f>
        <v>자재45 →</v>
      </c>
    </row>
    <row r="49" spans="1:8" ht="17.45" customHeight="1" x14ac:dyDescent="0.3">
      <c r="A49" s="9" t="s">
        <v>555</v>
      </c>
      <c r="B49" s="10" t="s">
        <v>550</v>
      </c>
      <c r="C49" s="10" t="s">
        <v>556</v>
      </c>
      <c r="D49" s="9" t="s">
        <v>106</v>
      </c>
      <c r="E49" s="33">
        <f>자재단가대비표!O50</f>
        <v>220000</v>
      </c>
      <c r="F49" s="23" t="s">
        <v>555</v>
      </c>
      <c r="G49" s="17" t="str">
        <f>"_x0007_`COD|M04878_x0005_`QTY1|1_x0005_`BQC|_x0005_`EQC|_x0005_`JDC|_x0005_`WQC|_x0005_`EDT|_x0005_`DET|"&amp;ROW(자재단가대비표!A50)&amp;"_x0005_`"</f>
        <v>_x0007_`COD|M04878_x0005_`QTY1|1_x0005_`BQC|_x0005_`EQC|_x0005_`JDC|_x0005_`WQC|_x0005_`EDT|_x0005_`DET|50_x0005_`</v>
      </c>
      <c r="H49" s="3" t="str">
        <f ca="1">HYPERLINK("#"&amp;자재단가대비표!R2&amp;"!A"&amp;ROW(자재단가대비표!A50),"자재46 →")</f>
        <v>자재46 →</v>
      </c>
    </row>
    <row r="50" spans="1:8" ht="17.45" customHeight="1" x14ac:dyDescent="0.3">
      <c r="A50" s="9" t="s">
        <v>558</v>
      </c>
      <c r="B50" s="10" t="s">
        <v>559</v>
      </c>
      <c r="C50" s="10" t="s">
        <v>560</v>
      </c>
      <c r="D50" s="9" t="s">
        <v>115</v>
      </c>
      <c r="E50" s="33">
        <f>자재단가대비표!O51</f>
        <v>245000</v>
      </c>
      <c r="F50" s="23" t="s">
        <v>558</v>
      </c>
      <c r="G50" s="17" t="str">
        <f>"_x0007_`COD|M07759_x0005_`QTY1|1_x0005_`BQC|_x0005_`EQC|_x0005_`JDC|_x0005_`WQC|_x0005_`EDT|_x0005_`DET|"&amp;ROW(자재단가대비표!A51)&amp;"_x0005_`"</f>
        <v>_x0007_`COD|M07759_x0005_`QTY1|1_x0005_`BQC|_x0005_`EQC|_x0005_`JDC|_x0005_`WQC|_x0005_`EDT|_x0005_`DET|51_x0005_`</v>
      </c>
      <c r="H50" s="3" t="str">
        <f ca="1">HYPERLINK("#"&amp;자재단가대비표!R2&amp;"!A"&amp;ROW(자재단가대비표!A51),"자재47 →")</f>
        <v>자재47 →</v>
      </c>
    </row>
    <row r="51" spans="1:8" ht="17.45" customHeight="1" x14ac:dyDescent="0.3">
      <c r="A51" s="9" t="s">
        <v>562</v>
      </c>
      <c r="B51" s="10" t="s">
        <v>563</v>
      </c>
      <c r="C51" s="10" t="s">
        <v>564</v>
      </c>
      <c r="D51" s="9" t="s">
        <v>106</v>
      </c>
      <c r="E51" s="33">
        <f>자재단가대비표!O52</f>
        <v>6000</v>
      </c>
      <c r="F51" s="23" t="s">
        <v>562</v>
      </c>
      <c r="G51" s="17" t="str">
        <f>"_x0007_`COD|M00262_x0005_`QTY1|1_x0005_`BQC|_x0005_`EQC|_x0005_`JDC|_x0005_`WQC|_x0005_`EDT|_x0005_`DET|"&amp;ROW(자재단가대비표!A52)&amp;"_x0005_`"</f>
        <v>_x0007_`COD|M00262_x0005_`QTY1|1_x0005_`BQC|_x0005_`EQC|_x0005_`JDC|_x0005_`WQC|_x0005_`EDT|_x0005_`DET|52_x0005_`</v>
      </c>
      <c r="H51" s="3" t="str">
        <f ca="1">HYPERLINK("#"&amp;자재단가대비표!R2&amp;"!A"&amp;ROW(자재단가대비표!A52),"자재48 →")</f>
        <v>자재48 →</v>
      </c>
    </row>
    <row r="52" spans="1:8" ht="17.45" customHeight="1" x14ac:dyDescent="0.3">
      <c r="A52" s="9" t="s">
        <v>566</v>
      </c>
      <c r="B52" s="10" t="s">
        <v>567</v>
      </c>
      <c r="C52" s="10" t="s">
        <v>390</v>
      </c>
      <c r="D52" s="9" t="s">
        <v>156</v>
      </c>
      <c r="E52" s="33">
        <f>자재단가대비표!O53</f>
        <v>25010</v>
      </c>
      <c r="F52" s="23" t="s">
        <v>566</v>
      </c>
      <c r="G52" s="17" t="str">
        <f>"_x0007_`COD|M00563_x0005_`QTY1|1_x0005_`BQC|_x0005_`EQC|상수도_x0005_`JDC|_x0005_`WQC|_x0005_`EDT|_x0005_`DET|"&amp;ROW(자재단가대비표!A53)&amp;"_x0005_`"</f>
        <v>_x0007_`COD|M00563_x0005_`QTY1|1_x0005_`BQC|_x0005_`EQC|상수도_x0005_`JDC|_x0005_`WQC|_x0005_`EDT|_x0005_`DET|53_x0005_`</v>
      </c>
      <c r="H52" s="3" t="str">
        <f ca="1">HYPERLINK("#"&amp;자재단가대비표!R2&amp;"!A"&amp;ROW(자재단가대비표!A53),"자재49 →")</f>
        <v>자재49 →</v>
      </c>
    </row>
    <row r="53" spans="1:8" ht="17.45" customHeight="1" x14ac:dyDescent="0.3">
      <c r="A53" s="9" t="s">
        <v>569</v>
      </c>
      <c r="B53" s="10" t="s">
        <v>570</v>
      </c>
      <c r="C53" s="10" t="s">
        <v>571</v>
      </c>
      <c r="D53" s="9" t="s">
        <v>106</v>
      </c>
      <c r="E53" s="33">
        <f>자재단가대비표!O54</f>
        <v>59000</v>
      </c>
      <c r="F53" s="23" t="s">
        <v>569</v>
      </c>
      <c r="G53" s="17" t="str">
        <f>"_x0007_`COD|M06158_x0005_`QTY1|1_x0005_`BQC|_x0005_`EQC|_x0005_`JDC|_x0005_`WQC|_x0005_`EDT|_x0005_`DET|"&amp;ROW(자재단가대비표!A54)&amp;"_x0005_`"</f>
        <v>_x0007_`COD|M06158_x0005_`QTY1|1_x0005_`BQC|_x0005_`EQC|_x0005_`JDC|_x0005_`WQC|_x0005_`EDT|_x0005_`DET|54_x0005_`</v>
      </c>
      <c r="H53" s="3" t="str">
        <f ca="1">HYPERLINK("#"&amp;자재단가대비표!R2&amp;"!A"&amp;ROW(자재단가대비표!A54),"자재50 →")</f>
        <v>자재50 →</v>
      </c>
    </row>
    <row r="54" spans="1:8" ht="17.45" customHeight="1" x14ac:dyDescent="0.3">
      <c r="A54" s="9" t="s">
        <v>573</v>
      </c>
      <c r="B54" s="10" t="s">
        <v>574</v>
      </c>
      <c r="C54" s="10" t="s">
        <v>575</v>
      </c>
      <c r="D54" s="9" t="s">
        <v>14</v>
      </c>
      <c r="E54" s="33">
        <f>자재단가대비표!O55</f>
        <v>14750</v>
      </c>
      <c r="F54" s="23" t="s">
        <v>573</v>
      </c>
      <c r="G54" s="17" t="str">
        <f>"_x0007_`COD|M05556_x0005_`QTY1|1_x0005_`BQC|건축분야_x0005_`EQC|_x0005_`JDC|1112200120142458_x0005_`WQC|_x0005_`EDT|_x0005_`DET|"&amp;ROW(자재단가대비표!A55)&amp;"_x0005_`"</f>
        <v>_x0007_`COD|M05556_x0005_`QTY1|1_x0005_`BQC|건축분야_x0005_`EQC|_x0005_`JDC|1112200120142458_x0005_`WQC|_x0005_`EDT|_x0005_`DET|55_x0005_`</v>
      </c>
      <c r="H54" s="3" t="str">
        <f ca="1">HYPERLINK("#"&amp;자재단가대비표!R2&amp;"!A"&amp;ROW(자재단가대비표!A55),"자재51 →")</f>
        <v>자재51 →</v>
      </c>
    </row>
    <row r="55" spans="1:8" ht="17.45" customHeight="1" x14ac:dyDescent="0.3">
      <c r="A55" s="9" t="s">
        <v>577</v>
      </c>
      <c r="B55" s="10" t="s">
        <v>578</v>
      </c>
      <c r="C55" s="10" t="s">
        <v>579</v>
      </c>
      <c r="D55" s="9" t="s">
        <v>115</v>
      </c>
      <c r="E55" s="33">
        <f>자재단가대비표!O56</f>
        <v>26000</v>
      </c>
      <c r="F55" s="23" t="s">
        <v>577</v>
      </c>
      <c r="G55" s="17" t="str">
        <f>"_x0007_`COD|M03931_x0005_`QTY1|1_x0005_`BQC|_x0005_`EQC|_x0005_`JDC|_x0005_`WQC|_x0005_`EDT|_x0005_`DET|"&amp;ROW(자재단가대비표!A56)&amp;"_x0005_`"</f>
        <v>_x0007_`COD|M03931_x0005_`QTY1|1_x0005_`BQC|_x0005_`EQC|_x0005_`JDC|_x0005_`WQC|_x0005_`EDT|_x0005_`DET|56_x0005_`</v>
      </c>
      <c r="H55" s="3" t="str">
        <f ca="1">HYPERLINK("#"&amp;자재단가대비표!R2&amp;"!A"&amp;ROW(자재단가대비표!A56),"자재52 →")</f>
        <v>자재52 →</v>
      </c>
    </row>
    <row r="56" spans="1:8" ht="17.45" customHeight="1" x14ac:dyDescent="0.3">
      <c r="A56" s="9" t="s">
        <v>581</v>
      </c>
      <c r="B56" s="10" t="s">
        <v>582</v>
      </c>
      <c r="C56" s="10" t="s">
        <v>583</v>
      </c>
      <c r="D56" s="9" t="s">
        <v>417</v>
      </c>
      <c r="E56" s="33">
        <f>자재단가대비표!O57</f>
        <v>1805</v>
      </c>
      <c r="F56" s="23" t="s">
        <v>581</v>
      </c>
      <c r="G56" s="17" t="str">
        <f>"_x0007_`COD|M05236_x0005_`QTY1|1_x0005_`BQC|_x0005_`EQC|_x0005_`JDC|1510150620282203_x0005_`WQC|_x0005_`EDT|2026.01.06_x0005_`DET|"&amp;ROW(자재단가대비표!A57)&amp;"_x0005_`"</f>
        <v>_x0007_`COD|M05236_x0005_`QTY1|1_x0005_`BQC|_x0005_`EQC|_x0005_`JDC|1510150620282203_x0005_`WQC|_x0005_`EDT|2026.01.06_x0005_`DET|57_x0005_`</v>
      </c>
      <c r="H56" s="3" t="str">
        <f ca="1">HYPERLINK("#"&amp;자재단가대비표!R2&amp;"!A"&amp;ROW(자재단가대비표!A57),"자재53 →")</f>
        <v>자재53 →</v>
      </c>
    </row>
  </sheetData>
  <mergeCells count="1">
    <mergeCell ref="A1:F1"/>
  </mergeCells>
  <phoneticPr fontId="25" type="noConversion"/>
  <hyperlinks>
    <hyperlink ref="H1" r:id="rId1" tooltip="설계예산시스템(STmate w26.05)으로 작성 하였으며,_x000a_엑셀 인쇄품질 600 dpi에 최적화 되어 있습니다._x000a_경영정보(주) http://www.stma.co.kr_x000a_Tel) 070-4350-0040_x000a_Fax) 0505-300-3948" xr:uid="{8221C8EC-9998-4F2C-BAAF-0EA332669228}"/>
    <hyperlink ref="G1" r:id="rId2" tooltip="설계예산시스템(STmate w26.05)으로 작성 하였으며,_x000a_엑셀 인쇄품질 600 dpi에 최적화 되어 있습니다._x000a_경영정보(주) http://www.stma.co.kr_x000a_Tel) 070-4350-0040_x000a_Fax) 0505-300-3948" xr:uid="{99AE367D-1F32-4C74-8BC2-6E531C797D23}"/>
  </hyperlinks>
  <printOptions horizontalCentered="1"/>
  <pageMargins left="0.39370078740157483" right="0.78740157480314954" top="0.78740157480314965" bottom="0.78740157480314965" header="0" footer="0.59055118110236227"/>
  <pageSetup paperSize="9" scale="94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0CA0C-1613-409D-9F9A-CED38BA33509}">
  <dimension ref="A1:H17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6" hidden="1" customWidth="1"/>
    <col min="8" max="8" width="9.125" style="18" customWidth="1"/>
    <col min="9" max="16384" width="9.125" style="6"/>
  </cols>
  <sheetData>
    <row r="1" spans="1:8" ht="24.95" customHeight="1" x14ac:dyDescent="0.3">
      <c r="A1" s="130" t="s">
        <v>585</v>
      </c>
      <c r="B1" s="126"/>
      <c r="C1" s="126"/>
      <c r="D1" s="126"/>
      <c r="E1" s="126"/>
      <c r="F1" s="126"/>
      <c r="G1" s="5" t="s">
        <v>124</v>
      </c>
      <c r="H1" s="19" t="s">
        <v>124</v>
      </c>
    </row>
    <row r="2" spans="1:8" ht="17.45" customHeight="1" x14ac:dyDescent="0.3">
      <c r="A2" s="1" t="s">
        <v>1</v>
      </c>
      <c r="G2" s="20" t="str">
        <f ca="1">MID(CELL("filename",$A$1),FIND("]",CELL("filename",$A$1))+1,LEN(CELL("filename",$A$1)))</f>
        <v>노무비목록표</v>
      </c>
    </row>
    <row r="3" spans="1:8" ht="17.45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379</v>
      </c>
      <c r="F3" s="14" t="s">
        <v>10</v>
      </c>
      <c r="H3" s="3" t="str">
        <f>HYPERLINK("#'〓 목 차 〓'!B2","목차 →")</f>
        <v>목차 →</v>
      </c>
    </row>
    <row r="4" spans="1:8" ht="17.45" customHeight="1" x14ac:dyDescent="0.3">
      <c r="A4" s="9" t="s">
        <v>380</v>
      </c>
      <c r="B4" s="10" t="s">
        <v>586</v>
      </c>
      <c r="C4" s="10"/>
      <c r="D4" s="9" t="s">
        <v>587</v>
      </c>
      <c r="E4" s="21">
        <v>283297</v>
      </c>
      <c r="F4" s="23" t="s">
        <v>380</v>
      </c>
      <c r="G4" s="17" t="s">
        <v>588</v>
      </c>
    </row>
    <row r="5" spans="1:8" ht="17.45" customHeight="1" x14ac:dyDescent="0.3">
      <c r="A5" s="9" t="s">
        <v>384</v>
      </c>
      <c r="B5" s="10" t="s">
        <v>589</v>
      </c>
      <c r="C5" s="10"/>
      <c r="D5" s="9" t="s">
        <v>587</v>
      </c>
      <c r="E5" s="21">
        <v>173784</v>
      </c>
      <c r="F5" s="23" t="s">
        <v>384</v>
      </c>
      <c r="G5" s="17" t="s">
        <v>590</v>
      </c>
    </row>
    <row r="6" spans="1:8" ht="17.45" customHeight="1" x14ac:dyDescent="0.3">
      <c r="A6" s="9" t="s">
        <v>388</v>
      </c>
      <c r="B6" s="10" t="s">
        <v>591</v>
      </c>
      <c r="C6" s="10"/>
      <c r="D6" s="9" t="s">
        <v>587</v>
      </c>
      <c r="E6" s="21">
        <v>247897</v>
      </c>
      <c r="F6" s="23" t="s">
        <v>388</v>
      </c>
      <c r="G6" s="17" t="s">
        <v>592</v>
      </c>
    </row>
    <row r="7" spans="1:8" ht="17.45" customHeight="1" x14ac:dyDescent="0.3">
      <c r="A7" s="9" t="s">
        <v>392</v>
      </c>
      <c r="B7" s="10" t="s">
        <v>593</v>
      </c>
      <c r="C7" s="10"/>
      <c r="D7" s="9" t="s">
        <v>587</v>
      </c>
      <c r="E7" s="21">
        <v>262580</v>
      </c>
      <c r="F7" s="23" t="s">
        <v>392</v>
      </c>
      <c r="G7" s="17" t="s">
        <v>594</v>
      </c>
    </row>
    <row r="8" spans="1:8" ht="17.45" customHeight="1" x14ac:dyDescent="0.3">
      <c r="A8" s="9" t="s">
        <v>396</v>
      </c>
      <c r="B8" s="10" t="s">
        <v>595</v>
      </c>
      <c r="C8" s="10"/>
      <c r="D8" s="9" t="s">
        <v>587</v>
      </c>
      <c r="E8" s="21">
        <v>172068</v>
      </c>
      <c r="F8" s="23" t="s">
        <v>396</v>
      </c>
      <c r="G8" s="17" t="s">
        <v>596</v>
      </c>
    </row>
    <row r="9" spans="1:8" ht="17.45" customHeight="1" x14ac:dyDescent="0.3">
      <c r="A9" s="9" t="s">
        <v>399</v>
      </c>
      <c r="B9" s="10" t="s">
        <v>597</v>
      </c>
      <c r="C9" s="10"/>
      <c r="D9" s="9" t="s">
        <v>587</v>
      </c>
      <c r="E9" s="21">
        <v>268908</v>
      </c>
      <c r="F9" s="23" t="s">
        <v>399</v>
      </c>
      <c r="G9" s="17" t="s">
        <v>598</v>
      </c>
    </row>
    <row r="10" spans="1:8" ht="17.45" customHeight="1" x14ac:dyDescent="0.3">
      <c r="A10" s="9" t="s">
        <v>402</v>
      </c>
      <c r="B10" s="10" t="s">
        <v>599</v>
      </c>
      <c r="C10" s="10"/>
      <c r="D10" s="9" t="s">
        <v>587</v>
      </c>
      <c r="E10" s="21">
        <v>173995</v>
      </c>
      <c r="F10" s="23" t="s">
        <v>402</v>
      </c>
      <c r="G10" s="17" t="s">
        <v>600</v>
      </c>
    </row>
    <row r="11" spans="1:8" ht="17.45" customHeight="1" x14ac:dyDescent="0.3">
      <c r="A11" s="9" t="s">
        <v>405</v>
      </c>
      <c r="B11" s="10" t="s">
        <v>601</v>
      </c>
      <c r="C11" s="10"/>
      <c r="D11" s="9" t="s">
        <v>587</v>
      </c>
      <c r="E11" s="21">
        <v>235204</v>
      </c>
      <c r="F11" s="23" t="s">
        <v>405</v>
      </c>
      <c r="G11" s="17" t="s">
        <v>602</v>
      </c>
    </row>
    <row r="12" spans="1:8" ht="17.45" customHeight="1" x14ac:dyDescent="0.3">
      <c r="A12" s="9" t="s">
        <v>409</v>
      </c>
      <c r="B12" s="10" t="s">
        <v>603</v>
      </c>
      <c r="C12" s="10"/>
      <c r="D12" s="9" t="s">
        <v>587</v>
      </c>
      <c r="E12" s="21">
        <v>273540</v>
      </c>
      <c r="F12" s="23" t="s">
        <v>409</v>
      </c>
      <c r="G12" s="17" t="s">
        <v>604</v>
      </c>
    </row>
    <row r="13" spans="1:8" ht="17.45" customHeight="1" x14ac:dyDescent="0.3">
      <c r="A13" s="9" t="s">
        <v>414</v>
      </c>
      <c r="B13" s="10" t="s">
        <v>605</v>
      </c>
      <c r="C13" s="10"/>
      <c r="D13" s="9" t="s">
        <v>587</v>
      </c>
      <c r="E13" s="21">
        <v>226122</v>
      </c>
      <c r="F13" s="23" t="s">
        <v>414</v>
      </c>
      <c r="G13" s="17" t="s">
        <v>606</v>
      </c>
    </row>
    <row r="14" spans="1:8" ht="17.45" customHeight="1" x14ac:dyDescent="0.3">
      <c r="A14" s="9" t="s">
        <v>419</v>
      </c>
      <c r="B14" s="10" t="s">
        <v>607</v>
      </c>
      <c r="C14" s="10"/>
      <c r="D14" s="9" t="s">
        <v>587</v>
      </c>
      <c r="E14" s="21">
        <v>221015</v>
      </c>
      <c r="F14" s="23" t="s">
        <v>419</v>
      </c>
      <c r="G14" s="17" t="s">
        <v>608</v>
      </c>
    </row>
    <row r="15" spans="1:8" ht="17.45" customHeight="1" x14ac:dyDescent="0.3">
      <c r="A15" s="9" t="s">
        <v>424</v>
      </c>
      <c r="B15" s="10" t="s">
        <v>609</v>
      </c>
      <c r="C15" s="10"/>
      <c r="D15" s="9" t="s">
        <v>587</v>
      </c>
      <c r="E15" s="21">
        <v>273308</v>
      </c>
      <c r="F15" s="23" t="s">
        <v>424</v>
      </c>
      <c r="G15" s="17" t="s">
        <v>610</v>
      </c>
    </row>
    <row r="16" spans="1:8" ht="17.45" customHeight="1" x14ac:dyDescent="0.3">
      <c r="A16" s="9" t="s">
        <v>428</v>
      </c>
      <c r="B16" s="10" t="s">
        <v>611</v>
      </c>
      <c r="C16" s="10"/>
      <c r="D16" s="9" t="s">
        <v>587</v>
      </c>
      <c r="E16" s="21">
        <v>275790</v>
      </c>
      <c r="F16" s="23" t="s">
        <v>428</v>
      </c>
      <c r="G16" s="17" t="s">
        <v>612</v>
      </c>
    </row>
    <row r="17" spans="1:7" ht="17.45" customHeight="1" x14ac:dyDescent="0.3">
      <c r="A17" s="9" t="s">
        <v>431</v>
      </c>
      <c r="B17" s="10" t="s">
        <v>613</v>
      </c>
      <c r="C17" s="10"/>
      <c r="D17" s="9" t="s">
        <v>587</v>
      </c>
      <c r="E17" s="21">
        <v>238936</v>
      </c>
      <c r="F17" s="23" t="s">
        <v>431</v>
      </c>
      <c r="G17" s="17" t="s">
        <v>614</v>
      </c>
    </row>
  </sheetData>
  <mergeCells count="1">
    <mergeCell ref="A1:F1"/>
  </mergeCells>
  <phoneticPr fontId="25" type="noConversion"/>
  <hyperlinks>
    <hyperlink ref="H1" r:id="rId1" tooltip="설계예산시스템(STmate w26.05)으로 작성 하였으며,_x000a_엑셀 인쇄품질 600 dpi에 최적화 되어 있습니다._x000a_경영정보(주) http://www.stma.co.kr_x000a_Tel) 070-4350-0040_x000a_Fax) 0505-300-3948" xr:uid="{667962E8-48B5-4408-AD3D-E2554FB9F2D7}"/>
    <hyperlink ref="G1" r:id="rId2" tooltip="설계예산시스템(STmate w26.05)으로 작성 하였으며,_x000a_엑셀 인쇄품질 600 dpi에 최적화 되어 있습니다._x000a_경영정보(주) http://www.stma.co.kr_x000a_Tel) 070-4350-0040_x000a_Fax) 0505-300-3948" xr:uid="{5F1E4FF7-DFFD-47F3-8335-301A5BB2D3CE}"/>
  </hyperlinks>
  <printOptions horizontalCentered="1"/>
  <pageMargins left="0.39370078740157483" right="0.78740157480314954" top="0.78740157480314965" bottom="0.78740157480314965" header="0" footer="0.59055118110236227"/>
  <pageSetup paperSize="9" scale="94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748F0-7B96-4C30-97C3-51C374BF8D37}">
  <dimension ref="A1:H42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6" hidden="1" customWidth="1"/>
    <col min="8" max="8" width="9.125" style="18" customWidth="1"/>
    <col min="9" max="16384" width="9.125" style="6"/>
  </cols>
  <sheetData>
    <row r="1" spans="1:8" ht="24.95" customHeight="1" x14ac:dyDescent="0.3">
      <c r="A1" s="130" t="s">
        <v>615</v>
      </c>
      <c r="B1" s="126"/>
      <c r="C1" s="126"/>
      <c r="D1" s="126"/>
      <c r="E1" s="126"/>
      <c r="F1" s="126"/>
      <c r="G1" s="5" t="s">
        <v>124</v>
      </c>
      <c r="H1" s="19" t="s">
        <v>124</v>
      </c>
    </row>
    <row r="2" spans="1:8" ht="17.45" customHeight="1" x14ac:dyDescent="0.3">
      <c r="A2" s="1" t="s">
        <v>1</v>
      </c>
      <c r="G2" s="20" t="str">
        <f ca="1">MID(CELL("filename",$A$1),FIND("]",CELL("filename",$A$1))+1,LEN(CELL("filename",$A$1)))</f>
        <v>경비목록표</v>
      </c>
    </row>
    <row r="3" spans="1:8" ht="17.45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379</v>
      </c>
      <c r="F3" s="14" t="s">
        <v>10</v>
      </c>
      <c r="H3" s="3" t="str">
        <f>HYPERLINK("#'〓 목 차 〓'!B2","목차 →")</f>
        <v>목차 →</v>
      </c>
    </row>
    <row r="4" spans="1:8" ht="17.45" customHeight="1" x14ac:dyDescent="0.3">
      <c r="A4" s="9" t="s">
        <v>380</v>
      </c>
      <c r="B4" s="10" t="s">
        <v>616</v>
      </c>
      <c r="C4" s="10" t="s">
        <v>617</v>
      </c>
      <c r="D4" s="9" t="s">
        <v>539</v>
      </c>
      <c r="E4" s="22">
        <v>0</v>
      </c>
      <c r="F4" s="23" t="s">
        <v>380</v>
      </c>
      <c r="G4" s="17" t="s">
        <v>618</v>
      </c>
    </row>
    <row r="5" spans="1:8" ht="17.45" customHeight="1" x14ac:dyDescent="0.3">
      <c r="A5" s="9" t="s">
        <v>384</v>
      </c>
      <c r="B5" s="10" t="s">
        <v>264</v>
      </c>
      <c r="C5" s="10" t="s">
        <v>265</v>
      </c>
      <c r="D5" s="9" t="s">
        <v>619</v>
      </c>
      <c r="E5" s="21">
        <v>66538</v>
      </c>
      <c r="F5" s="23" t="s">
        <v>384</v>
      </c>
      <c r="G5" s="17" t="s">
        <v>620</v>
      </c>
    </row>
    <row r="6" spans="1:8" ht="17.45" customHeight="1" x14ac:dyDescent="0.3">
      <c r="A6" s="9" t="s">
        <v>388</v>
      </c>
      <c r="B6" s="10" t="s">
        <v>264</v>
      </c>
      <c r="C6" s="10" t="s">
        <v>268</v>
      </c>
      <c r="D6" s="9" t="s">
        <v>619</v>
      </c>
      <c r="E6" s="21">
        <v>84000</v>
      </c>
      <c r="F6" s="23" t="s">
        <v>388</v>
      </c>
      <c r="G6" s="17" t="s">
        <v>621</v>
      </c>
    </row>
    <row r="7" spans="1:8" ht="17.45" customHeight="1" x14ac:dyDescent="0.3">
      <c r="A7" s="9" t="s">
        <v>392</v>
      </c>
      <c r="B7" s="10" t="s">
        <v>264</v>
      </c>
      <c r="C7" s="10" t="s">
        <v>277</v>
      </c>
      <c r="D7" s="9" t="s">
        <v>619</v>
      </c>
      <c r="E7" s="21">
        <v>112342</v>
      </c>
      <c r="F7" s="23" t="s">
        <v>392</v>
      </c>
      <c r="G7" s="17" t="s">
        <v>622</v>
      </c>
    </row>
    <row r="8" spans="1:8" ht="17.45" customHeight="1" x14ac:dyDescent="0.3">
      <c r="A8" s="9" t="s">
        <v>396</v>
      </c>
      <c r="B8" s="10" t="s">
        <v>280</v>
      </c>
      <c r="C8" s="10" t="s">
        <v>277</v>
      </c>
      <c r="D8" s="9" t="s">
        <v>619</v>
      </c>
      <c r="E8" s="21">
        <v>119000</v>
      </c>
      <c r="F8" s="23" t="s">
        <v>396</v>
      </c>
      <c r="G8" s="17" t="s">
        <v>623</v>
      </c>
    </row>
    <row r="9" spans="1:8" ht="17.45" customHeight="1" x14ac:dyDescent="0.3">
      <c r="A9" s="9" t="s">
        <v>399</v>
      </c>
      <c r="B9" s="10" t="s">
        <v>624</v>
      </c>
      <c r="C9" s="10" t="s">
        <v>625</v>
      </c>
      <c r="D9" s="9" t="s">
        <v>539</v>
      </c>
      <c r="E9" s="22">
        <v>0</v>
      </c>
      <c r="F9" s="23" t="s">
        <v>399</v>
      </c>
      <c r="G9" s="17" t="s">
        <v>626</v>
      </c>
    </row>
    <row r="10" spans="1:8" ht="17.45" customHeight="1" x14ac:dyDescent="0.3">
      <c r="A10" s="9" t="s">
        <v>402</v>
      </c>
      <c r="B10" s="10" t="s">
        <v>624</v>
      </c>
      <c r="C10" s="10" t="s">
        <v>617</v>
      </c>
      <c r="D10" s="9" t="s">
        <v>539</v>
      </c>
      <c r="E10" s="22">
        <v>0</v>
      </c>
      <c r="F10" s="23" t="s">
        <v>402</v>
      </c>
      <c r="G10" s="17" t="s">
        <v>627</v>
      </c>
    </row>
    <row r="11" spans="1:8" ht="17.45" customHeight="1" x14ac:dyDescent="0.3">
      <c r="A11" s="9" t="s">
        <v>405</v>
      </c>
      <c r="B11" s="10" t="s">
        <v>283</v>
      </c>
      <c r="C11" s="10" t="s">
        <v>284</v>
      </c>
      <c r="D11" s="9" t="s">
        <v>619</v>
      </c>
      <c r="E11" s="21">
        <v>438356</v>
      </c>
      <c r="F11" s="23" t="s">
        <v>405</v>
      </c>
      <c r="G11" s="17" t="s">
        <v>628</v>
      </c>
    </row>
    <row r="12" spans="1:8" ht="17.45" customHeight="1" x14ac:dyDescent="0.3">
      <c r="A12" s="9" t="s">
        <v>409</v>
      </c>
      <c r="B12" s="10" t="s">
        <v>444</v>
      </c>
      <c r="C12" s="10"/>
      <c r="D12" s="9" t="s">
        <v>629</v>
      </c>
      <c r="E12" s="21">
        <v>-1</v>
      </c>
      <c r="F12" s="23" t="s">
        <v>409</v>
      </c>
      <c r="G12" s="17" t="s">
        <v>630</v>
      </c>
    </row>
    <row r="13" spans="1:8" ht="17.45" customHeight="1" x14ac:dyDescent="0.3">
      <c r="A13" s="9" t="s">
        <v>414</v>
      </c>
      <c r="B13" s="10" t="s">
        <v>287</v>
      </c>
      <c r="C13" s="10" t="s">
        <v>268</v>
      </c>
      <c r="D13" s="9" t="s">
        <v>619</v>
      </c>
      <c r="E13" s="21">
        <v>8352</v>
      </c>
      <c r="F13" s="23" t="s">
        <v>414</v>
      </c>
      <c r="G13" s="17" t="s">
        <v>631</v>
      </c>
    </row>
    <row r="14" spans="1:8" ht="17.45" customHeight="1" x14ac:dyDescent="0.3">
      <c r="A14" s="9" t="s">
        <v>419</v>
      </c>
      <c r="B14" s="10" t="s">
        <v>287</v>
      </c>
      <c r="C14" s="10" t="s">
        <v>277</v>
      </c>
      <c r="D14" s="9" t="s">
        <v>619</v>
      </c>
      <c r="E14" s="21">
        <v>14174</v>
      </c>
      <c r="F14" s="23" t="s">
        <v>419</v>
      </c>
      <c r="G14" s="17" t="s">
        <v>632</v>
      </c>
    </row>
    <row r="15" spans="1:8" ht="17.45" customHeight="1" x14ac:dyDescent="0.3">
      <c r="A15" s="9" t="s">
        <v>424</v>
      </c>
      <c r="B15" s="10" t="s">
        <v>290</v>
      </c>
      <c r="C15" s="10" t="s">
        <v>291</v>
      </c>
      <c r="D15" s="9" t="s">
        <v>619</v>
      </c>
      <c r="E15" s="21">
        <v>90653</v>
      </c>
      <c r="F15" s="23" t="s">
        <v>424</v>
      </c>
      <c r="G15" s="17" t="s">
        <v>633</v>
      </c>
    </row>
    <row r="16" spans="1:8" ht="17.45" customHeight="1" x14ac:dyDescent="0.3">
      <c r="A16" s="9" t="s">
        <v>428</v>
      </c>
      <c r="B16" s="10" t="s">
        <v>290</v>
      </c>
      <c r="C16" s="10" t="s">
        <v>294</v>
      </c>
      <c r="D16" s="9" t="s">
        <v>619</v>
      </c>
      <c r="E16" s="21">
        <v>21982</v>
      </c>
      <c r="F16" s="23" t="s">
        <v>428</v>
      </c>
      <c r="G16" s="17" t="s">
        <v>634</v>
      </c>
    </row>
    <row r="17" spans="1:7" ht="17.45" customHeight="1" x14ac:dyDescent="0.3">
      <c r="A17" s="9" t="s">
        <v>431</v>
      </c>
      <c r="B17" s="10" t="s">
        <v>290</v>
      </c>
      <c r="C17" s="10" t="s">
        <v>297</v>
      </c>
      <c r="D17" s="9" t="s">
        <v>619</v>
      </c>
      <c r="E17" s="21">
        <v>25662</v>
      </c>
      <c r="F17" s="23" t="s">
        <v>431</v>
      </c>
      <c r="G17" s="17" t="s">
        <v>635</v>
      </c>
    </row>
    <row r="18" spans="1:7" ht="17.45" customHeight="1" x14ac:dyDescent="0.3">
      <c r="A18" s="9" t="s">
        <v>435</v>
      </c>
      <c r="B18" s="10" t="s">
        <v>300</v>
      </c>
      <c r="C18" s="10" t="s">
        <v>301</v>
      </c>
      <c r="D18" s="9" t="s">
        <v>619</v>
      </c>
      <c r="E18" s="21">
        <v>922</v>
      </c>
      <c r="F18" s="23" t="s">
        <v>435</v>
      </c>
      <c r="G18" s="17" t="s">
        <v>636</v>
      </c>
    </row>
    <row r="19" spans="1:7" ht="17.45" customHeight="1" x14ac:dyDescent="0.3">
      <c r="A19" s="9" t="s">
        <v>439</v>
      </c>
      <c r="B19" s="10" t="s">
        <v>304</v>
      </c>
      <c r="C19" s="10" t="s">
        <v>305</v>
      </c>
      <c r="D19" s="9" t="s">
        <v>619</v>
      </c>
      <c r="E19" s="21">
        <v>35999</v>
      </c>
      <c r="F19" s="23" t="s">
        <v>439</v>
      </c>
      <c r="G19" s="17" t="s">
        <v>637</v>
      </c>
    </row>
    <row r="20" spans="1:7" ht="17.45" customHeight="1" x14ac:dyDescent="0.3">
      <c r="A20" s="9" t="s">
        <v>443</v>
      </c>
      <c r="B20" s="10" t="s">
        <v>304</v>
      </c>
      <c r="C20" s="10" t="s">
        <v>309</v>
      </c>
      <c r="D20" s="9" t="s">
        <v>619</v>
      </c>
      <c r="E20" s="21">
        <v>46576</v>
      </c>
      <c r="F20" s="23" t="s">
        <v>443</v>
      </c>
      <c r="G20" s="17" t="s">
        <v>638</v>
      </c>
    </row>
    <row r="21" spans="1:7" ht="17.45" customHeight="1" x14ac:dyDescent="0.3">
      <c r="A21" s="9" t="s">
        <v>446</v>
      </c>
      <c r="B21" s="10" t="s">
        <v>312</v>
      </c>
      <c r="C21" s="10" t="s">
        <v>313</v>
      </c>
      <c r="D21" s="9" t="s">
        <v>619</v>
      </c>
      <c r="E21" s="21">
        <v>71351</v>
      </c>
      <c r="F21" s="23" t="s">
        <v>446</v>
      </c>
      <c r="G21" s="17" t="s">
        <v>639</v>
      </c>
    </row>
    <row r="22" spans="1:7" ht="17.45" customHeight="1" x14ac:dyDescent="0.3">
      <c r="A22" s="9" t="s">
        <v>450</v>
      </c>
      <c r="B22" s="10" t="s">
        <v>316</v>
      </c>
      <c r="C22" s="10" t="s">
        <v>317</v>
      </c>
      <c r="D22" s="9" t="s">
        <v>619</v>
      </c>
      <c r="E22" s="21">
        <v>90649</v>
      </c>
      <c r="F22" s="23" t="s">
        <v>450</v>
      </c>
      <c r="G22" s="17" t="s">
        <v>640</v>
      </c>
    </row>
    <row r="23" spans="1:7" ht="17.45" customHeight="1" x14ac:dyDescent="0.3">
      <c r="A23" s="9" t="s">
        <v>455</v>
      </c>
      <c r="B23" s="10" t="s">
        <v>316</v>
      </c>
      <c r="C23" s="10" t="s">
        <v>320</v>
      </c>
      <c r="D23" s="9" t="s">
        <v>619</v>
      </c>
      <c r="E23" s="21">
        <v>47263</v>
      </c>
      <c r="F23" s="23" t="s">
        <v>455</v>
      </c>
      <c r="G23" s="17" t="s">
        <v>641</v>
      </c>
    </row>
    <row r="24" spans="1:7" ht="17.45" customHeight="1" x14ac:dyDescent="0.3">
      <c r="A24" s="9" t="s">
        <v>459</v>
      </c>
      <c r="B24" s="10" t="s">
        <v>323</v>
      </c>
      <c r="C24" s="10" t="s">
        <v>324</v>
      </c>
      <c r="D24" s="9" t="s">
        <v>619</v>
      </c>
      <c r="E24" s="21">
        <v>198150</v>
      </c>
      <c r="F24" s="23" t="s">
        <v>459</v>
      </c>
      <c r="G24" s="17" t="s">
        <v>642</v>
      </c>
    </row>
    <row r="25" spans="1:7" ht="17.45" customHeight="1" x14ac:dyDescent="0.3">
      <c r="A25" s="9" t="s">
        <v>462</v>
      </c>
      <c r="B25" s="10" t="s">
        <v>327</v>
      </c>
      <c r="C25" s="10" t="s">
        <v>309</v>
      </c>
      <c r="D25" s="9" t="s">
        <v>619</v>
      </c>
      <c r="E25" s="21">
        <v>29250</v>
      </c>
      <c r="F25" s="23" t="s">
        <v>462</v>
      </c>
      <c r="G25" s="17" t="s">
        <v>643</v>
      </c>
    </row>
    <row r="26" spans="1:7" ht="17.45" customHeight="1" x14ac:dyDescent="0.3">
      <c r="A26" s="9" t="s">
        <v>466</v>
      </c>
      <c r="B26" s="10" t="s">
        <v>330</v>
      </c>
      <c r="C26" s="10" t="s">
        <v>331</v>
      </c>
      <c r="D26" s="9" t="s">
        <v>619</v>
      </c>
      <c r="E26" s="21">
        <v>64113</v>
      </c>
      <c r="F26" s="23" t="s">
        <v>466</v>
      </c>
      <c r="G26" s="17" t="s">
        <v>644</v>
      </c>
    </row>
    <row r="27" spans="1:7" ht="17.45" customHeight="1" x14ac:dyDescent="0.3">
      <c r="A27" s="9" t="s">
        <v>470</v>
      </c>
      <c r="B27" s="10" t="s">
        <v>334</v>
      </c>
      <c r="C27" s="10" t="s">
        <v>335</v>
      </c>
      <c r="D27" s="9" t="s">
        <v>619</v>
      </c>
      <c r="E27" s="21">
        <v>3158</v>
      </c>
      <c r="F27" s="23" t="s">
        <v>470</v>
      </c>
      <c r="G27" s="17" t="s">
        <v>645</v>
      </c>
    </row>
    <row r="28" spans="1:7" ht="17.45" customHeight="1" x14ac:dyDescent="0.3">
      <c r="A28" s="9" t="s">
        <v>473</v>
      </c>
      <c r="B28" s="10" t="s">
        <v>338</v>
      </c>
      <c r="C28" s="10" t="s">
        <v>339</v>
      </c>
      <c r="D28" s="9" t="s">
        <v>619</v>
      </c>
      <c r="E28" s="21">
        <v>250388</v>
      </c>
      <c r="F28" s="23" t="s">
        <v>473</v>
      </c>
      <c r="G28" s="17" t="s">
        <v>646</v>
      </c>
    </row>
    <row r="29" spans="1:7" ht="17.45" customHeight="1" x14ac:dyDescent="0.3">
      <c r="A29" s="9" t="s">
        <v>477</v>
      </c>
      <c r="B29" s="10" t="s">
        <v>342</v>
      </c>
      <c r="C29" s="10" t="s">
        <v>343</v>
      </c>
      <c r="D29" s="9" t="s">
        <v>619</v>
      </c>
      <c r="E29" s="21">
        <v>6966</v>
      </c>
      <c r="F29" s="23" t="s">
        <v>477</v>
      </c>
      <c r="G29" s="17" t="s">
        <v>647</v>
      </c>
    </row>
    <row r="30" spans="1:7" ht="17.45" customHeight="1" x14ac:dyDescent="0.3">
      <c r="A30" s="9" t="s">
        <v>480</v>
      </c>
      <c r="B30" s="10" t="s">
        <v>346</v>
      </c>
      <c r="C30" s="10" t="s">
        <v>347</v>
      </c>
      <c r="D30" s="9" t="s">
        <v>619</v>
      </c>
      <c r="E30" s="21">
        <v>3249</v>
      </c>
      <c r="F30" s="23" t="s">
        <v>480</v>
      </c>
      <c r="G30" s="17" t="s">
        <v>648</v>
      </c>
    </row>
    <row r="31" spans="1:7" ht="17.45" customHeight="1" x14ac:dyDescent="0.3">
      <c r="A31" s="9" t="s">
        <v>484</v>
      </c>
      <c r="B31" s="10" t="s">
        <v>350</v>
      </c>
      <c r="C31" s="10" t="s">
        <v>351</v>
      </c>
      <c r="D31" s="9" t="s">
        <v>619</v>
      </c>
      <c r="E31" s="21">
        <v>136400</v>
      </c>
      <c r="F31" s="23" t="s">
        <v>484</v>
      </c>
      <c r="G31" s="17" t="s">
        <v>649</v>
      </c>
    </row>
    <row r="32" spans="1:7" ht="17.45" customHeight="1" x14ac:dyDescent="0.3">
      <c r="A32" s="9" t="s">
        <v>488</v>
      </c>
      <c r="B32" s="10" t="s">
        <v>350</v>
      </c>
      <c r="C32" s="10" t="s">
        <v>354</v>
      </c>
      <c r="D32" s="9" t="s">
        <v>619</v>
      </c>
      <c r="E32" s="21">
        <v>233376</v>
      </c>
      <c r="F32" s="23" t="s">
        <v>488</v>
      </c>
      <c r="G32" s="17" t="s">
        <v>650</v>
      </c>
    </row>
    <row r="33" spans="1:7" ht="17.45" customHeight="1" x14ac:dyDescent="0.3">
      <c r="A33" s="9" t="s">
        <v>492</v>
      </c>
      <c r="B33" s="10" t="s">
        <v>357</v>
      </c>
      <c r="C33" s="10" t="s">
        <v>358</v>
      </c>
      <c r="D33" s="9" t="s">
        <v>619</v>
      </c>
      <c r="E33" s="21">
        <v>98388</v>
      </c>
      <c r="F33" s="23" t="s">
        <v>492</v>
      </c>
      <c r="G33" s="17" t="s">
        <v>651</v>
      </c>
    </row>
    <row r="34" spans="1:7" ht="17.45" customHeight="1" x14ac:dyDescent="0.3">
      <c r="A34" s="9" t="s">
        <v>496</v>
      </c>
      <c r="B34" s="10" t="s">
        <v>361</v>
      </c>
      <c r="C34" s="10" t="s">
        <v>362</v>
      </c>
      <c r="D34" s="9" t="s">
        <v>619</v>
      </c>
      <c r="E34" s="21">
        <v>48513</v>
      </c>
      <c r="F34" s="23" t="s">
        <v>496</v>
      </c>
      <c r="G34" s="17" t="s">
        <v>652</v>
      </c>
    </row>
    <row r="35" spans="1:7" ht="17.45" customHeight="1" x14ac:dyDescent="0.3">
      <c r="A35" s="9" t="s">
        <v>501</v>
      </c>
      <c r="B35" s="10" t="s">
        <v>365</v>
      </c>
      <c r="C35" s="10" t="s">
        <v>354</v>
      </c>
      <c r="D35" s="9" t="s">
        <v>619</v>
      </c>
      <c r="E35" s="21">
        <v>67216</v>
      </c>
      <c r="F35" s="23" t="s">
        <v>501</v>
      </c>
      <c r="G35" s="17" t="s">
        <v>653</v>
      </c>
    </row>
    <row r="36" spans="1:7" ht="17.45" customHeight="1" x14ac:dyDescent="0.3">
      <c r="A36" s="9" t="s">
        <v>505</v>
      </c>
      <c r="B36" s="10" t="s">
        <v>368</v>
      </c>
      <c r="C36" s="10" t="s">
        <v>351</v>
      </c>
      <c r="D36" s="9" t="s">
        <v>619</v>
      </c>
      <c r="E36" s="21">
        <v>91593</v>
      </c>
      <c r="F36" s="23" t="s">
        <v>505</v>
      </c>
      <c r="G36" s="17" t="s">
        <v>654</v>
      </c>
    </row>
    <row r="37" spans="1:7" ht="17.45" customHeight="1" x14ac:dyDescent="0.3">
      <c r="A37" s="9" t="s">
        <v>510</v>
      </c>
      <c r="B37" s="10" t="s">
        <v>368</v>
      </c>
      <c r="C37" s="10" t="s">
        <v>371</v>
      </c>
      <c r="D37" s="9" t="s">
        <v>619</v>
      </c>
      <c r="E37" s="21">
        <v>42791</v>
      </c>
      <c r="F37" s="23" t="s">
        <v>510</v>
      </c>
      <c r="G37" s="17" t="s">
        <v>655</v>
      </c>
    </row>
    <row r="38" spans="1:7" ht="17.45" customHeight="1" x14ac:dyDescent="0.3">
      <c r="A38" s="9" t="s">
        <v>513</v>
      </c>
      <c r="B38" s="10" t="s">
        <v>656</v>
      </c>
      <c r="C38" s="10" t="s">
        <v>657</v>
      </c>
      <c r="D38" s="9" t="s">
        <v>508</v>
      </c>
      <c r="E38" s="21">
        <v>16000</v>
      </c>
      <c r="F38" s="23" t="s">
        <v>513</v>
      </c>
      <c r="G38" s="17" t="s">
        <v>658</v>
      </c>
    </row>
    <row r="39" spans="1:7" ht="17.45" customHeight="1" x14ac:dyDescent="0.3">
      <c r="A39" s="9" t="s">
        <v>518</v>
      </c>
      <c r="B39" s="10" t="s">
        <v>656</v>
      </c>
      <c r="C39" s="10" t="s">
        <v>659</v>
      </c>
      <c r="D39" s="9" t="s">
        <v>115</v>
      </c>
      <c r="E39" s="21">
        <v>20000</v>
      </c>
      <c r="F39" s="23" t="s">
        <v>518</v>
      </c>
      <c r="G39" s="17" t="s">
        <v>660</v>
      </c>
    </row>
    <row r="40" spans="1:7" ht="17.45" customHeight="1" x14ac:dyDescent="0.3">
      <c r="A40" s="9" t="s">
        <v>521</v>
      </c>
      <c r="B40" s="10" t="s">
        <v>661</v>
      </c>
      <c r="C40" s="10" t="s">
        <v>657</v>
      </c>
      <c r="D40" s="9" t="s">
        <v>221</v>
      </c>
      <c r="E40" s="21">
        <v>22000</v>
      </c>
      <c r="F40" s="23" t="s">
        <v>521</v>
      </c>
      <c r="G40" s="17" t="s">
        <v>662</v>
      </c>
    </row>
    <row r="41" spans="1:7" ht="17.45" customHeight="1" x14ac:dyDescent="0.3">
      <c r="A41" s="9" t="s">
        <v>525</v>
      </c>
      <c r="B41" s="10" t="s">
        <v>661</v>
      </c>
      <c r="C41" s="10" t="s">
        <v>659</v>
      </c>
      <c r="D41" s="9" t="s">
        <v>221</v>
      </c>
      <c r="E41" s="21">
        <v>20000</v>
      </c>
      <c r="F41" s="23" t="s">
        <v>525</v>
      </c>
      <c r="G41" s="17" t="s">
        <v>663</v>
      </c>
    </row>
    <row r="42" spans="1:7" ht="17.45" customHeight="1" x14ac:dyDescent="0.3">
      <c r="A42" s="9" t="s">
        <v>529</v>
      </c>
      <c r="B42" s="10" t="s">
        <v>374</v>
      </c>
      <c r="C42" s="10" t="s">
        <v>375</v>
      </c>
      <c r="D42" s="9" t="s">
        <v>619</v>
      </c>
      <c r="E42" s="21">
        <v>1673</v>
      </c>
      <c r="F42" s="23" t="s">
        <v>529</v>
      </c>
      <c r="G42" s="17" t="s">
        <v>664</v>
      </c>
    </row>
  </sheetData>
  <mergeCells count="1">
    <mergeCell ref="A1:F1"/>
  </mergeCells>
  <phoneticPr fontId="25" type="noConversion"/>
  <hyperlinks>
    <hyperlink ref="H1" r:id="rId1" tooltip="설계예산시스템(STmate w26.05)으로 작성 하였으며,_x000a_엑셀 인쇄품질 600 dpi에 최적화 되어 있습니다._x000a_경영정보(주) http://www.stma.co.kr_x000a_Tel) 070-4350-0040_x000a_Fax) 0505-300-3948" xr:uid="{E33DF73F-CBE8-4F0C-BAA5-BAD163A41EE7}"/>
    <hyperlink ref="G1" r:id="rId2" tooltip="설계예산시스템(STmate w26.05)으로 작성 하였으며,_x000a_엑셀 인쇄품질 600 dpi에 최적화 되어 있습니다._x000a_경영정보(주) http://www.stma.co.kr_x000a_Tel) 070-4350-0040_x000a_Fax) 0505-300-3948" xr:uid="{32B3DA43-3E49-4D90-9F6C-DE238CEAAC09}"/>
  </hyperlinks>
  <printOptions horizontalCentered="1"/>
  <pageMargins left="0.39370078740157483" right="0.78740157480314954" top="0.78740157480314965" bottom="0.78740157480314965" header="0" footer="0.59055118110236227"/>
  <pageSetup paperSize="9" scale="94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49593-A3CF-4388-89CE-349A1E0029A5}">
  <dimension ref="A1:K6"/>
  <sheetViews>
    <sheetView workbookViewId="0">
      <pane ySplit="3" topLeftCell="A4" activePane="bottomLeft" state="frozenSplit"/>
      <selection pane="bottomLeft" activeCell="A4" sqref="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0" t="s">
        <v>665</v>
      </c>
      <c r="B1" s="126"/>
      <c r="C1" s="126"/>
      <c r="D1" s="126"/>
      <c r="E1" s="126"/>
      <c r="F1" s="126"/>
      <c r="G1" s="126"/>
      <c r="H1" s="126"/>
      <c r="I1" s="126"/>
      <c r="J1" s="5" t="s">
        <v>124</v>
      </c>
      <c r="K1" s="19" t="s">
        <v>124</v>
      </c>
    </row>
    <row r="2" spans="1:11" ht="23.1" customHeight="1" x14ac:dyDescent="0.3">
      <c r="A2" s="1" t="s">
        <v>1</v>
      </c>
      <c r="J2" s="20" t="str">
        <f ca="1">MID(CELL("filename",$A$1),FIND("]",CELL("filename",$A$1))+1,LEN(CELL("filename",$A$1)))</f>
        <v>일식견적목록표</v>
      </c>
    </row>
    <row r="3" spans="1:11" ht="23.1" customHeight="1" x14ac:dyDescent="0.3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14" t="s">
        <v>10</v>
      </c>
      <c r="K3" s="3" t="str">
        <f>HYPERLINK("#'〓 목 차 〓'!B2","목차 →")</f>
        <v>목차 →</v>
      </c>
    </row>
    <row r="4" spans="1:11" ht="23.1" customHeight="1" x14ac:dyDescent="0.3">
      <c r="A4" s="9" t="s">
        <v>380</v>
      </c>
      <c r="B4" s="10" t="s">
        <v>666</v>
      </c>
      <c r="C4" s="10" t="s">
        <v>667</v>
      </c>
      <c r="D4" s="9" t="s">
        <v>180</v>
      </c>
      <c r="E4" s="11">
        <f>G4+F4+H4</f>
        <v>40000</v>
      </c>
      <c r="F4" s="12">
        <v>0</v>
      </c>
      <c r="G4" s="13">
        <v>0</v>
      </c>
      <c r="H4" s="11">
        <v>40000</v>
      </c>
      <c r="I4" s="15" t="s">
        <v>380</v>
      </c>
      <c r="J4" s="17" t="s">
        <v>668</v>
      </c>
    </row>
    <row r="5" spans="1:11" ht="23.1" customHeight="1" x14ac:dyDescent="0.3">
      <c r="A5" s="9" t="s">
        <v>384</v>
      </c>
      <c r="B5" s="10" t="s">
        <v>669</v>
      </c>
      <c r="C5" s="10" t="s">
        <v>670</v>
      </c>
      <c r="D5" s="9" t="s">
        <v>180</v>
      </c>
      <c r="E5" s="11">
        <f>G5+F5+H5</f>
        <v>40000</v>
      </c>
      <c r="F5" s="12">
        <v>0</v>
      </c>
      <c r="G5" s="13">
        <v>0</v>
      </c>
      <c r="H5" s="11">
        <v>40000</v>
      </c>
      <c r="I5" s="15" t="s">
        <v>384</v>
      </c>
      <c r="J5" s="17" t="s">
        <v>671</v>
      </c>
    </row>
    <row r="6" spans="1:11" ht="23.1" customHeight="1" x14ac:dyDescent="0.3">
      <c r="A6" s="9" t="s">
        <v>388</v>
      </c>
      <c r="B6" s="10" t="s">
        <v>672</v>
      </c>
      <c r="C6" s="10" t="s">
        <v>673</v>
      </c>
      <c r="D6" s="9" t="s">
        <v>180</v>
      </c>
      <c r="E6" s="11">
        <f>G6+F6+H6</f>
        <v>171650</v>
      </c>
      <c r="F6" s="12">
        <v>0</v>
      </c>
      <c r="G6" s="13">
        <v>0</v>
      </c>
      <c r="H6" s="11">
        <v>171650</v>
      </c>
      <c r="I6" s="15" t="s">
        <v>388</v>
      </c>
      <c r="J6" s="17" t="s">
        <v>674</v>
      </c>
    </row>
  </sheetData>
  <mergeCells count="1">
    <mergeCell ref="A1:I1"/>
  </mergeCells>
  <phoneticPr fontId="25" type="noConversion"/>
  <hyperlinks>
    <hyperlink ref="K1" r:id="rId1" tooltip="설계예산시스템(STmate w26.05)으로 작성 하였으며,_x000a_엑셀 인쇄품질 600 dpi에 최적화 되어 있습니다._x000a_경영정보(주) http://www.stma.co.kr_x000a_Tel) 070-4350-0040_x000a_Fax) 0505-300-3948" xr:uid="{A9521C26-9FB5-49FB-9C51-B94CBE73B223}"/>
    <hyperlink ref="J1" r:id="rId2" tooltip="설계예산시스템(STmate w26.05)으로 작성 하였으며,_x000a_엑셀 인쇄품질 600 dpi에 최적화 되어 있습니다._x000a_경영정보(주) http://www.stma.co.kr_x000a_Tel) 070-4350-0040_x000a_Fax) 0505-300-3948" xr:uid="{5ABFD7E0-E81E-45D2-A95C-6D1532837660}"/>
  </hyperlinks>
  <printOptions horizontalCentered="1"/>
  <pageMargins left="0.39370078740157483" right="0.78740157480314954" top="0.78740157480314965" bottom="0.82677165354330706" header="0" footer="0.62992125984251968"/>
  <pageSetup paperSize="9" scale="72" fitToWidth="0" fitToHeight="0" orientation="portrait" r:id="rId3"/>
  <headerFooter alignWithMargins="0">
    <oddFooter xml:space="preserve">&amp;R&amp;"굴림체,"&amp;9 </oddFooter>
  </headerFooter>
  <legacyDrawing r:id="rId4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692BA-B071-44FC-AB46-E16AFA317FD0}">
  <dimension ref="A1:Y57"/>
  <sheetViews>
    <sheetView workbookViewId="0">
      <pane ySplit="4" topLeftCell="A5" activePane="bottomLeft" state="frozenSplit"/>
      <selection pane="bottomLeft" activeCell="A5" sqref="A5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17" width="10" style="6" customWidth="1"/>
    <col min="18" max="18" width="9.125" style="16" hidden="1" customWidth="1"/>
    <col min="19" max="19" width="9.125" style="18" customWidth="1"/>
    <col min="20" max="20" width="10" style="6" customWidth="1"/>
    <col min="21" max="21" width="2.5" style="6" customWidth="1"/>
    <col min="22" max="22" width="10" style="6" customWidth="1"/>
    <col min="23" max="23" width="8.5" style="6" customWidth="1"/>
    <col min="24" max="16384" width="9.125" style="6"/>
  </cols>
  <sheetData>
    <row r="1" spans="1:25" ht="24.95" customHeight="1" x14ac:dyDescent="0.3">
      <c r="A1" s="130" t="s">
        <v>697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5" t="s">
        <v>124</v>
      </c>
      <c r="S1" s="19" t="s">
        <v>124</v>
      </c>
    </row>
    <row r="2" spans="1:25" ht="34.700000000000003" customHeight="1" x14ac:dyDescent="0.3">
      <c r="A2" s="1" t="s">
        <v>1</v>
      </c>
      <c r="R2" s="20" t="str">
        <f ca="1">MID(CELL("filename",$A$1),FIND("]",CELL("filename",$A$1))+1,LEN(CELL("filename",$A$1)))</f>
        <v>자재단가대비표</v>
      </c>
    </row>
    <row r="3" spans="1:25" ht="34.700000000000003" customHeight="1" x14ac:dyDescent="0.3">
      <c r="A3" s="147" t="s">
        <v>2</v>
      </c>
      <c r="B3" s="147" t="s">
        <v>3</v>
      </c>
      <c r="C3" s="147" t="s">
        <v>4</v>
      </c>
      <c r="D3" s="147" t="s">
        <v>5</v>
      </c>
      <c r="E3" s="133" t="s">
        <v>698</v>
      </c>
      <c r="F3" s="148"/>
      <c r="G3" s="133" t="s">
        <v>700</v>
      </c>
      <c r="H3" s="148"/>
      <c r="I3" s="133" t="s">
        <v>701</v>
      </c>
      <c r="J3" s="148"/>
      <c r="K3" s="133" t="s">
        <v>702</v>
      </c>
      <c r="L3" s="148"/>
      <c r="M3" s="133" t="s">
        <v>703</v>
      </c>
      <c r="N3" s="148"/>
      <c r="O3" s="133" t="s">
        <v>704</v>
      </c>
      <c r="P3" s="148"/>
      <c r="Q3" s="133" t="s">
        <v>10</v>
      </c>
      <c r="U3" s="159" t="s">
        <v>706</v>
      </c>
      <c r="V3" s="126"/>
      <c r="W3" s="126"/>
    </row>
    <row r="4" spans="1:25" ht="34.700000000000003" customHeight="1" x14ac:dyDescent="0.3">
      <c r="A4" s="148"/>
      <c r="B4" s="148"/>
      <c r="C4" s="148"/>
      <c r="D4" s="148"/>
      <c r="E4" s="9" t="s">
        <v>379</v>
      </c>
      <c r="F4" s="9" t="s">
        <v>699</v>
      </c>
      <c r="G4" s="9" t="s">
        <v>379</v>
      </c>
      <c r="H4" s="9" t="s">
        <v>699</v>
      </c>
      <c r="I4" s="9" t="s">
        <v>379</v>
      </c>
      <c r="J4" s="9" t="s">
        <v>699</v>
      </c>
      <c r="K4" s="9" t="s">
        <v>379</v>
      </c>
      <c r="L4" s="9" t="s">
        <v>699</v>
      </c>
      <c r="M4" s="9" t="s">
        <v>379</v>
      </c>
      <c r="N4" s="9" t="s">
        <v>699</v>
      </c>
      <c r="O4" s="9" t="s">
        <v>379</v>
      </c>
      <c r="P4" s="9" t="s">
        <v>699</v>
      </c>
      <c r="Q4" s="134"/>
      <c r="S4" s="3" t="str">
        <f>HYPERLINK("#'〓 목 차 〓'!B2","목차 →")</f>
        <v>목차 →</v>
      </c>
      <c r="T4" s="35" t="s">
        <v>705</v>
      </c>
      <c r="U4" s="35" t="s">
        <v>707</v>
      </c>
      <c r="V4" s="35" t="s">
        <v>379</v>
      </c>
      <c r="W4" s="35" t="s">
        <v>699</v>
      </c>
      <c r="X4" s="35" t="s">
        <v>708</v>
      </c>
      <c r="Y4" s="35" t="s">
        <v>709</v>
      </c>
    </row>
    <row r="5" spans="1:25" ht="34.700000000000003" customHeight="1" x14ac:dyDescent="0.3">
      <c r="A5" s="9" t="s">
        <v>380</v>
      </c>
      <c r="B5" s="10" t="s">
        <v>381</v>
      </c>
      <c r="C5" s="10" t="s">
        <v>382</v>
      </c>
      <c r="D5" s="9" t="s">
        <v>106</v>
      </c>
      <c r="E5" s="22">
        <v>0</v>
      </c>
      <c r="F5" s="9"/>
      <c r="G5" s="22">
        <v>240800</v>
      </c>
      <c r="H5" s="9" t="s">
        <v>715</v>
      </c>
      <c r="I5" s="22">
        <v>240800</v>
      </c>
      <c r="J5" s="9" t="s">
        <v>716</v>
      </c>
      <c r="K5" s="22">
        <v>0</v>
      </c>
      <c r="L5" s="9"/>
      <c r="M5" s="22">
        <v>0</v>
      </c>
      <c r="N5" s="9"/>
      <c r="O5" s="22">
        <v>240800</v>
      </c>
      <c r="P5" s="23"/>
      <c r="Q5" s="15"/>
      <c r="R5" s="17" t="s">
        <v>383</v>
      </c>
      <c r="S5" s="3" t="str">
        <f ca="1">HYPERLINK("#"&amp;재료비목록표!G2&amp;"!A"&amp;ROW(재료비목록표!A4),"자재1 →")</f>
        <v>자재1 →</v>
      </c>
      <c r="T5" s="36">
        <v>240800</v>
      </c>
      <c r="U5" s="37">
        <f t="shared" ref="U5:U36" si="0">IF(OR(V5=0,ISERROR(MATCH(V5,E5:M5,0))),"",CHOOSE(TRUNC((MATCH(V5,E5:M5,0)/2+1)),1,2,3,4,5))</f>
        <v>2</v>
      </c>
      <c r="V5" s="38">
        <f t="shared" ref="V5:V36" si="1">IF(AND(E5=0,G5=0,I5=0,K5=0,M5=0),T5,MIN(IF(E5=0,MAX(E5:M5),E5),IF(G5=0,MAX(E5:M5),G5),IF(I5=0,MAX(E5:M5),I5),IF(K5=0,MAX(E5:M5),K5),IF(M5=0,MAX(E5:M5),M5)))</f>
        <v>240800</v>
      </c>
      <c r="W5" s="39" t="str">
        <f t="shared" ref="W5:W36" si="2">IF(OR(O5=0,U5=""),"",CHOOSE(U5,Y$5,Y$6,Y$7,Y$8,Y$9))</f>
        <v>물.자</v>
      </c>
      <c r="X5" s="35" t="s">
        <v>698</v>
      </c>
      <c r="Y5" s="35" t="s">
        <v>710</v>
      </c>
    </row>
    <row r="6" spans="1:25" ht="34.700000000000003" customHeight="1" x14ac:dyDescent="0.3">
      <c r="A6" s="9" t="s">
        <v>384</v>
      </c>
      <c r="B6" s="10" t="s">
        <v>385</v>
      </c>
      <c r="C6" s="10" t="s">
        <v>386</v>
      </c>
      <c r="D6" s="9" t="s">
        <v>156</v>
      </c>
      <c r="E6" s="22">
        <v>45520</v>
      </c>
      <c r="F6" s="9"/>
      <c r="G6" s="22">
        <v>0</v>
      </c>
      <c r="H6" s="9"/>
      <c r="I6" s="22">
        <v>0</v>
      </c>
      <c r="J6" s="9"/>
      <c r="K6" s="22">
        <v>0</v>
      </c>
      <c r="L6" s="9"/>
      <c r="M6" s="22">
        <v>0</v>
      </c>
      <c r="N6" s="9"/>
      <c r="O6" s="22">
        <v>45520</v>
      </c>
      <c r="P6" s="23"/>
      <c r="Q6" s="15" t="s">
        <v>717</v>
      </c>
      <c r="R6" s="17" t="s">
        <v>387</v>
      </c>
      <c r="S6" s="3" t="str">
        <f ca="1">HYPERLINK("#"&amp;재료비목록표!G2&amp;"!A"&amp;ROW(재료비목록표!A5),"자재2 →")</f>
        <v>자재2 →</v>
      </c>
      <c r="T6" s="36">
        <v>45520</v>
      </c>
      <c r="U6" s="37">
        <f t="shared" si="0"/>
        <v>1</v>
      </c>
      <c r="V6" s="38">
        <f t="shared" si="1"/>
        <v>45520</v>
      </c>
      <c r="W6" s="39" t="str">
        <f t="shared" si="2"/>
        <v>가.정</v>
      </c>
      <c r="X6" s="35" t="s">
        <v>700</v>
      </c>
      <c r="Y6" s="35" t="s">
        <v>711</v>
      </c>
    </row>
    <row r="7" spans="1:25" ht="34.700000000000003" customHeight="1" x14ac:dyDescent="0.3">
      <c r="A7" s="9" t="s">
        <v>388</v>
      </c>
      <c r="B7" s="10" t="s">
        <v>389</v>
      </c>
      <c r="C7" s="10" t="s">
        <v>390</v>
      </c>
      <c r="D7" s="9" t="s">
        <v>156</v>
      </c>
      <c r="E7" s="22">
        <v>0</v>
      </c>
      <c r="F7" s="9"/>
      <c r="G7" s="22">
        <v>81680</v>
      </c>
      <c r="H7" s="9" t="s">
        <v>715</v>
      </c>
      <c r="I7" s="22">
        <v>81680</v>
      </c>
      <c r="J7" s="9" t="s">
        <v>716</v>
      </c>
      <c r="K7" s="22">
        <v>0</v>
      </c>
      <c r="L7" s="9"/>
      <c r="M7" s="22">
        <v>81680</v>
      </c>
      <c r="N7" s="9" t="s">
        <v>718</v>
      </c>
      <c r="O7" s="22">
        <v>81680</v>
      </c>
      <c r="P7" s="23" t="s">
        <v>711</v>
      </c>
      <c r="Q7" s="15"/>
      <c r="R7" s="17" t="s">
        <v>391</v>
      </c>
      <c r="S7" s="3" t="str">
        <f ca="1">HYPERLINK("#"&amp;재료비목록표!G2&amp;"!A"&amp;ROW(재료비목록표!A6),"자재3 →")</f>
        <v>자재3 →</v>
      </c>
      <c r="T7" s="36">
        <v>81680</v>
      </c>
      <c r="U7" s="37">
        <f t="shared" si="0"/>
        <v>2</v>
      </c>
      <c r="V7" s="38">
        <f t="shared" si="1"/>
        <v>81680</v>
      </c>
      <c r="W7" s="39" t="str">
        <f t="shared" si="2"/>
        <v>물.자</v>
      </c>
      <c r="X7" s="35" t="s">
        <v>701</v>
      </c>
      <c r="Y7" s="35" t="s">
        <v>712</v>
      </c>
    </row>
    <row r="8" spans="1:25" ht="34.700000000000003" customHeight="1" x14ac:dyDescent="0.3">
      <c r="A8" s="9" t="s">
        <v>392</v>
      </c>
      <c r="B8" s="10" t="s">
        <v>393</v>
      </c>
      <c r="C8" s="10" t="s">
        <v>394</v>
      </c>
      <c r="D8" s="9" t="s">
        <v>106</v>
      </c>
      <c r="E8" s="22">
        <v>0</v>
      </c>
      <c r="F8" s="9"/>
      <c r="G8" s="22">
        <v>145220</v>
      </c>
      <c r="H8" s="9" t="s">
        <v>715</v>
      </c>
      <c r="I8" s="22">
        <v>145220</v>
      </c>
      <c r="J8" s="9" t="s">
        <v>719</v>
      </c>
      <c r="K8" s="22">
        <v>0</v>
      </c>
      <c r="L8" s="9"/>
      <c r="M8" s="22">
        <v>145220</v>
      </c>
      <c r="N8" s="9" t="s">
        <v>718</v>
      </c>
      <c r="O8" s="22">
        <v>145220</v>
      </c>
      <c r="P8" s="23" t="s">
        <v>711</v>
      </c>
      <c r="Q8" s="15"/>
      <c r="R8" s="17" t="s">
        <v>395</v>
      </c>
      <c r="S8" s="3" t="str">
        <f ca="1">HYPERLINK("#"&amp;재료비목록표!G2&amp;"!A"&amp;ROW(재료비목록표!A7),"자재4 →")</f>
        <v>자재4 →</v>
      </c>
      <c r="T8" s="36">
        <v>145220</v>
      </c>
      <c r="U8" s="37">
        <f t="shared" si="0"/>
        <v>2</v>
      </c>
      <c r="V8" s="38">
        <f t="shared" si="1"/>
        <v>145220</v>
      </c>
      <c r="W8" s="39" t="str">
        <f t="shared" si="2"/>
        <v>물.자</v>
      </c>
      <c r="X8" s="35" t="s">
        <v>702</v>
      </c>
      <c r="Y8" s="35" t="s">
        <v>713</v>
      </c>
    </row>
    <row r="9" spans="1:25" ht="34.700000000000003" customHeight="1" x14ac:dyDescent="0.3">
      <c r="A9" s="9" t="s">
        <v>396</v>
      </c>
      <c r="B9" s="10" t="s">
        <v>393</v>
      </c>
      <c r="C9" s="10" t="s">
        <v>397</v>
      </c>
      <c r="D9" s="9" t="s">
        <v>106</v>
      </c>
      <c r="E9" s="22">
        <v>0</v>
      </c>
      <c r="F9" s="9"/>
      <c r="G9" s="22">
        <v>181520</v>
      </c>
      <c r="H9" s="9" t="s">
        <v>720</v>
      </c>
      <c r="I9" s="22">
        <v>181520</v>
      </c>
      <c r="J9" s="9" t="s">
        <v>719</v>
      </c>
      <c r="K9" s="22">
        <v>0</v>
      </c>
      <c r="L9" s="9"/>
      <c r="M9" s="22">
        <v>181520</v>
      </c>
      <c r="N9" s="9" t="s">
        <v>718</v>
      </c>
      <c r="O9" s="22">
        <v>181520</v>
      </c>
      <c r="P9" s="23" t="s">
        <v>711</v>
      </c>
      <c r="Q9" s="15"/>
      <c r="R9" s="17" t="s">
        <v>398</v>
      </c>
      <c r="S9" s="3" t="str">
        <f ca="1">HYPERLINK("#"&amp;재료비목록표!G2&amp;"!A"&amp;ROW(재료비목록표!A8),"자재5 →")</f>
        <v>자재5 →</v>
      </c>
      <c r="T9" s="36">
        <v>181520</v>
      </c>
      <c r="U9" s="37">
        <f t="shared" si="0"/>
        <v>2</v>
      </c>
      <c r="V9" s="38">
        <f t="shared" si="1"/>
        <v>181520</v>
      </c>
      <c r="W9" s="39" t="str">
        <f t="shared" si="2"/>
        <v>물.자</v>
      </c>
      <c r="X9" s="35" t="s">
        <v>703</v>
      </c>
      <c r="Y9" s="35" t="s">
        <v>714</v>
      </c>
    </row>
    <row r="10" spans="1:25" ht="34.700000000000003" customHeight="1" x14ac:dyDescent="0.3">
      <c r="A10" s="9" t="s">
        <v>399</v>
      </c>
      <c r="B10" s="10" t="s">
        <v>400</v>
      </c>
      <c r="C10" s="10" t="s">
        <v>390</v>
      </c>
      <c r="D10" s="9" t="s">
        <v>106</v>
      </c>
      <c r="E10" s="22">
        <v>0</v>
      </c>
      <c r="F10" s="9"/>
      <c r="G10" s="22">
        <v>145220</v>
      </c>
      <c r="H10" s="9" t="s">
        <v>715</v>
      </c>
      <c r="I10" s="22">
        <v>145220</v>
      </c>
      <c r="J10" s="9" t="s">
        <v>719</v>
      </c>
      <c r="K10" s="22">
        <v>0</v>
      </c>
      <c r="L10" s="9"/>
      <c r="M10" s="22">
        <v>145220</v>
      </c>
      <c r="N10" s="9" t="s">
        <v>718</v>
      </c>
      <c r="O10" s="22">
        <v>145220</v>
      </c>
      <c r="P10" s="23" t="s">
        <v>711</v>
      </c>
      <c r="Q10" s="15"/>
      <c r="R10" s="17" t="s">
        <v>401</v>
      </c>
      <c r="S10" s="3" t="str">
        <f ca="1">HYPERLINK("#"&amp;재료비목록표!G2&amp;"!A"&amp;ROW(재료비목록표!A9),"자재6 →")</f>
        <v>자재6 →</v>
      </c>
      <c r="T10" s="36">
        <v>145220</v>
      </c>
      <c r="U10" s="37">
        <f t="shared" si="0"/>
        <v>2</v>
      </c>
      <c r="V10" s="38">
        <f t="shared" si="1"/>
        <v>145220</v>
      </c>
      <c r="W10" s="39" t="str">
        <f t="shared" si="2"/>
        <v>물.자</v>
      </c>
      <c r="X10" s="35" t="s">
        <v>704</v>
      </c>
      <c r="Y10" s="35"/>
    </row>
    <row r="11" spans="1:25" ht="34.700000000000003" customHeight="1" x14ac:dyDescent="0.3">
      <c r="A11" s="9" t="s">
        <v>402</v>
      </c>
      <c r="B11" s="10" t="s">
        <v>403</v>
      </c>
      <c r="C11" s="10" t="s">
        <v>390</v>
      </c>
      <c r="D11" s="9" t="s">
        <v>106</v>
      </c>
      <c r="E11" s="22">
        <v>0</v>
      </c>
      <c r="F11" s="9"/>
      <c r="G11" s="22">
        <v>138410</v>
      </c>
      <c r="H11" s="9" t="s">
        <v>715</v>
      </c>
      <c r="I11" s="22">
        <v>138410</v>
      </c>
      <c r="J11" s="9" t="s">
        <v>719</v>
      </c>
      <c r="K11" s="22">
        <v>0</v>
      </c>
      <c r="L11" s="9"/>
      <c r="M11" s="22">
        <v>138410</v>
      </c>
      <c r="N11" s="9" t="s">
        <v>718</v>
      </c>
      <c r="O11" s="22">
        <v>138410</v>
      </c>
      <c r="P11" s="23" t="s">
        <v>711</v>
      </c>
      <c r="Q11" s="15"/>
      <c r="R11" s="17" t="s">
        <v>404</v>
      </c>
      <c r="S11" s="3" t="str">
        <f ca="1">HYPERLINK("#"&amp;재료비목록표!G2&amp;"!A"&amp;ROW(재료비목록표!A10),"자재7 →")</f>
        <v>자재7 →</v>
      </c>
      <c r="T11" s="36">
        <v>138410</v>
      </c>
      <c r="U11" s="37">
        <f t="shared" si="0"/>
        <v>2</v>
      </c>
      <c r="V11" s="38">
        <f t="shared" si="1"/>
        <v>138410</v>
      </c>
      <c r="W11" s="39" t="str">
        <f t="shared" si="2"/>
        <v>물.자</v>
      </c>
    </row>
    <row r="12" spans="1:25" ht="34.700000000000003" customHeight="1" x14ac:dyDescent="0.3">
      <c r="A12" s="9" t="s">
        <v>405</v>
      </c>
      <c r="B12" s="10" t="s">
        <v>406</v>
      </c>
      <c r="C12" s="10" t="s">
        <v>407</v>
      </c>
      <c r="D12" s="9" t="s">
        <v>115</v>
      </c>
      <c r="E12" s="22">
        <v>581559</v>
      </c>
      <c r="F12" s="9" t="s">
        <v>722</v>
      </c>
      <c r="G12" s="22">
        <v>794120</v>
      </c>
      <c r="H12" s="9" t="s">
        <v>723</v>
      </c>
      <c r="I12" s="22">
        <v>641180</v>
      </c>
      <c r="J12" s="9" t="s">
        <v>724</v>
      </c>
      <c r="K12" s="22">
        <v>0</v>
      </c>
      <c r="L12" s="9"/>
      <c r="M12" s="22">
        <v>634730</v>
      </c>
      <c r="N12" s="9" t="s">
        <v>725</v>
      </c>
      <c r="O12" s="22">
        <v>581559</v>
      </c>
      <c r="P12" s="23" t="s">
        <v>710</v>
      </c>
      <c r="Q12" s="15" t="s">
        <v>721</v>
      </c>
      <c r="R12" s="17" t="s">
        <v>408</v>
      </c>
      <c r="S12" s="3" t="str">
        <f ca="1">HYPERLINK("#"&amp;재료비목록표!G2&amp;"!A"&amp;ROW(재료비목록표!A11),"자재8 →")</f>
        <v>자재8 →</v>
      </c>
      <c r="T12" s="36">
        <v>581559</v>
      </c>
      <c r="U12" s="37">
        <f t="shared" si="0"/>
        <v>1</v>
      </c>
      <c r="V12" s="38">
        <f t="shared" si="1"/>
        <v>581559</v>
      </c>
      <c r="W12" s="39" t="str">
        <f t="shared" si="2"/>
        <v>가.정</v>
      </c>
    </row>
    <row r="13" spans="1:25" ht="34.700000000000003" customHeight="1" x14ac:dyDescent="0.3">
      <c r="A13" s="9" t="s">
        <v>409</v>
      </c>
      <c r="B13" s="10" t="s">
        <v>410</v>
      </c>
      <c r="C13" s="10" t="s">
        <v>411</v>
      </c>
      <c r="D13" s="9" t="s">
        <v>412</v>
      </c>
      <c r="E13" s="22">
        <v>26885</v>
      </c>
      <c r="F13" s="9" t="s">
        <v>722</v>
      </c>
      <c r="G13" s="22">
        <v>27500</v>
      </c>
      <c r="H13" s="9" t="s">
        <v>726</v>
      </c>
      <c r="I13" s="22">
        <v>33000</v>
      </c>
      <c r="J13" s="9" t="s">
        <v>727</v>
      </c>
      <c r="K13" s="22">
        <v>0</v>
      </c>
      <c r="L13" s="9"/>
      <c r="M13" s="22">
        <v>29000</v>
      </c>
      <c r="N13" s="9" t="s">
        <v>728</v>
      </c>
      <c r="O13" s="22">
        <v>26885</v>
      </c>
      <c r="P13" s="23" t="s">
        <v>710</v>
      </c>
      <c r="Q13" s="15" t="s">
        <v>721</v>
      </c>
      <c r="R13" s="17" t="s">
        <v>413</v>
      </c>
      <c r="S13" s="3" t="str">
        <f ca="1">HYPERLINK("#"&amp;재료비목록표!G2&amp;"!A"&amp;ROW(재료비목록표!A12),"자재9 →")</f>
        <v>자재9 →</v>
      </c>
      <c r="T13" s="36">
        <v>26885</v>
      </c>
      <c r="U13" s="37">
        <f t="shared" si="0"/>
        <v>1</v>
      </c>
      <c r="V13" s="38">
        <f t="shared" si="1"/>
        <v>26885</v>
      </c>
      <c r="W13" s="39" t="str">
        <f t="shared" si="2"/>
        <v>가.정</v>
      </c>
    </row>
    <row r="14" spans="1:25" ht="34.700000000000003" customHeight="1" x14ac:dyDescent="0.3">
      <c r="A14" s="9" t="s">
        <v>414</v>
      </c>
      <c r="B14" s="10" t="s">
        <v>415</v>
      </c>
      <c r="C14" s="10" t="s">
        <v>416</v>
      </c>
      <c r="D14" s="9" t="s">
        <v>417</v>
      </c>
      <c r="E14" s="22">
        <v>1799</v>
      </c>
      <c r="F14" s="9" t="s">
        <v>722</v>
      </c>
      <c r="G14" s="22">
        <v>0</v>
      </c>
      <c r="H14" s="9"/>
      <c r="I14" s="22">
        <v>0</v>
      </c>
      <c r="J14" s="9"/>
      <c r="K14" s="22">
        <v>0</v>
      </c>
      <c r="L14" s="9"/>
      <c r="M14" s="22">
        <v>0</v>
      </c>
      <c r="N14" s="9"/>
      <c r="O14" s="22">
        <v>1799</v>
      </c>
      <c r="P14" s="23" t="s">
        <v>710</v>
      </c>
      <c r="Q14" s="15"/>
      <c r="R14" s="17" t="s">
        <v>418</v>
      </c>
      <c r="S14" s="3" t="str">
        <f ca="1">HYPERLINK("#"&amp;재료비목록표!G2&amp;"!A"&amp;ROW(재료비목록표!A13),"자재10 →")</f>
        <v>자재10 →</v>
      </c>
      <c r="T14" s="36">
        <v>1799</v>
      </c>
      <c r="U14" s="37">
        <f t="shared" si="0"/>
        <v>1</v>
      </c>
      <c r="V14" s="38">
        <f t="shared" si="1"/>
        <v>1799</v>
      </c>
      <c r="W14" s="39" t="str">
        <f t="shared" si="2"/>
        <v>가.정</v>
      </c>
    </row>
    <row r="15" spans="1:25" ht="34.700000000000003" customHeight="1" x14ac:dyDescent="0.3">
      <c r="A15" s="9" t="s">
        <v>419</v>
      </c>
      <c r="B15" s="10" t="s">
        <v>420</v>
      </c>
      <c r="C15" s="10" t="s">
        <v>421</v>
      </c>
      <c r="D15" s="9" t="s">
        <v>422</v>
      </c>
      <c r="E15" s="22">
        <v>0</v>
      </c>
      <c r="F15" s="9"/>
      <c r="G15" s="22">
        <v>-325</v>
      </c>
      <c r="H15" s="9" t="s">
        <v>729</v>
      </c>
      <c r="I15" s="22">
        <v>-280</v>
      </c>
      <c r="J15" s="9" t="s">
        <v>730</v>
      </c>
      <c r="K15" s="22">
        <v>0</v>
      </c>
      <c r="L15" s="9"/>
      <c r="M15" s="22">
        <v>-360</v>
      </c>
      <c r="N15" s="9" t="s">
        <v>731</v>
      </c>
      <c r="O15" s="22">
        <v>-360</v>
      </c>
      <c r="P15" s="23" t="s">
        <v>714</v>
      </c>
      <c r="Q15" s="15"/>
      <c r="R15" s="17" t="s">
        <v>423</v>
      </c>
      <c r="S15" s="3" t="str">
        <f ca="1">HYPERLINK("#"&amp;재료비목록표!G2&amp;"!A"&amp;ROW(재료비목록표!A14),"자재11 →")</f>
        <v>자재11 →</v>
      </c>
      <c r="T15" s="36">
        <v>-360</v>
      </c>
      <c r="U15" s="37">
        <f t="shared" si="0"/>
        <v>5</v>
      </c>
      <c r="V15" s="38">
        <f t="shared" si="1"/>
        <v>-360</v>
      </c>
      <c r="W15" s="39" t="str">
        <f t="shared" si="2"/>
        <v>거래</v>
      </c>
    </row>
    <row r="16" spans="1:25" ht="34.700000000000003" customHeight="1" x14ac:dyDescent="0.3">
      <c r="A16" s="9" t="s">
        <v>424</v>
      </c>
      <c r="B16" s="10" t="s">
        <v>425</v>
      </c>
      <c r="C16" s="10" t="s">
        <v>426</v>
      </c>
      <c r="D16" s="9" t="s">
        <v>106</v>
      </c>
      <c r="E16" s="22">
        <v>0</v>
      </c>
      <c r="F16" s="9"/>
      <c r="G16" s="22">
        <v>0</v>
      </c>
      <c r="H16" s="9"/>
      <c r="I16" s="22">
        <v>0</v>
      </c>
      <c r="J16" s="9"/>
      <c r="K16" s="22">
        <v>58800</v>
      </c>
      <c r="L16" s="9"/>
      <c r="M16" s="22">
        <v>0</v>
      </c>
      <c r="N16" s="9"/>
      <c r="O16" s="22">
        <v>58800</v>
      </c>
      <c r="P16" s="23" t="s">
        <v>713</v>
      </c>
      <c r="Q16" s="15"/>
      <c r="R16" s="17" t="s">
        <v>427</v>
      </c>
      <c r="S16" s="3" t="str">
        <f ca="1">HYPERLINK("#"&amp;재료비목록표!G2&amp;"!A"&amp;ROW(재료비목록표!A15),"자재12 →")</f>
        <v>자재12 →</v>
      </c>
      <c r="T16" s="36">
        <v>58800</v>
      </c>
      <c r="U16" s="37">
        <f t="shared" si="0"/>
        <v>4</v>
      </c>
      <c r="V16" s="38">
        <f t="shared" si="1"/>
        <v>58800</v>
      </c>
      <c r="W16" s="39" t="str">
        <f t="shared" si="2"/>
        <v>견적 1</v>
      </c>
    </row>
    <row r="17" spans="1:23" ht="34.700000000000003" customHeight="1" x14ac:dyDescent="0.3">
      <c r="A17" s="9" t="s">
        <v>428</v>
      </c>
      <c r="B17" s="10" t="s">
        <v>425</v>
      </c>
      <c r="C17" s="10" t="s">
        <v>429</v>
      </c>
      <c r="D17" s="9" t="s">
        <v>106</v>
      </c>
      <c r="E17" s="22">
        <v>0</v>
      </c>
      <c r="F17" s="9"/>
      <c r="G17" s="22">
        <v>0</v>
      </c>
      <c r="H17" s="9"/>
      <c r="I17" s="22">
        <v>0</v>
      </c>
      <c r="J17" s="9"/>
      <c r="K17" s="22">
        <v>127700</v>
      </c>
      <c r="L17" s="9"/>
      <c r="M17" s="22">
        <v>0</v>
      </c>
      <c r="N17" s="9"/>
      <c r="O17" s="22">
        <v>127700</v>
      </c>
      <c r="P17" s="23" t="s">
        <v>713</v>
      </c>
      <c r="Q17" s="15"/>
      <c r="R17" s="17" t="s">
        <v>430</v>
      </c>
      <c r="S17" s="3" t="str">
        <f ca="1">HYPERLINK("#"&amp;재료비목록표!G2&amp;"!A"&amp;ROW(재료비목록표!A16),"자재13 →")</f>
        <v>자재13 →</v>
      </c>
      <c r="T17" s="36">
        <v>127700</v>
      </c>
      <c r="U17" s="37">
        <f t="shared" si="0"/>
        <v>4</v>
      </c>
      <c r="V17" s="38">
        <f t="shared" si="1"/>
        <v>127700</v>
      </c>
      <c r="W17" s="39" t="str">
        <f t="shared" si="2"/>
        <v>견적 1</v>
      </c>
    </row>
    <row r="18" spans="1:23" ht="34.700000000000003" customHeight="1" x14ac:dyDescent="0.3">
      <c r="A18" s="9" t="s">
        <v>431</v>
      </c>
      <c r="B18" s="10" t="s">
        <v>432</v>
      </c>
      <c r="C18" s="10" t="s">
        <v>433</v>
      </c>
      <c r="D18" s="9" t="s">
        <v>106</v>
      </c>
      <c r="E18" s="22">
        <v>0</v>
      </c>
      <c r="F18" s="9"/>
      <c r="G18" s="22">
        <v>0</v>
      </c>
      <c r="H18" s="9"/>
      <c r="I18" s="22">
        <v>0</v>
      </c>
      <c r="J18" s="9"/>
      <c r="K18" s="22">
        <v>0</v>
      </c>
      <c r="L18" s="9"/>
      <c r="M18" s="22">
        <v>310909</v>
      </c>
      <c r="N18" s="9" t="s">
        <v>732</v>
      </c>
      <c r="O18" s="22">
        <v>310909</v>
      </c>
      <c r="P18" s="23" t="s">
        <v>714</v>
      </c>
      <c r="Q18" s="15"/>
      <c r="R18" s="17" t="s">
        <v>434</v>
      </c>
      <c r="S18" s="3" t="str">
        <f ca="1">HYPERLINK("#"&amp;재료비목록표!G2&amp;"!A"&amp;ROW(재료비목록표!A17),"자재14 →")</f>
        <v>자재14 →</v>
      </c>
      <c r="T18" s="36">
        <v>310909</v>
      </c>
      <c r="U18" s="37">
        <f t="shared" si="0"/>
        <v>5</v>
      </c>
      <c r="V18" s="38">
        <f t="shared" si="1"/>
        <v>310909</v>
      </c>
      <c r="W18" s="39" t="str">
        <f t="shared" si="2"/>
        <v>거래</v>
      </c>
    </row>
    <row r="19" spans="1:23" ht="34.700000000000003" customHeight="1" x14ac:dyDescent="0.3">
      <c r="A19" s="9" t="s">
        <v>435</v>
      </c>
      <c r="B19" s="10" t="s">
        <v>436</v>
      </c>
      <c r="C19" s="10" t="s">
        <v>437</v>
      </c>
      <c r="D19" s="9" t="s">
        <v>19</v>
      </c>
      <c r="E19" s="22">
        <v>0</v>
      </c>
      <c r="F19" s="9"/>
      <c r="G19" s="22">
        <v>160</v>
      </c>
      <c r="H19" s="9" t="s">
        <v>733</v>
      </c>
      <c r="I19" s="22">
        <v>149</v>
      </c>
      <c r="J19" s="9" t="s">
        <v>734</v>
      </c>
      <c r="K19" s="22">
        <v>0</v>
      </c>
      <c r="L19" s="9"/>
      <c r="M19" s="22">
        <v>0</v>
      </c>
      <c r="N19" s="9"/>
      <c r="O19" s="22">
        <v>149</v>
      </c>
      <c r="P19" s="23" t="s">
        <v>712</v>
      </c>
      <c r="Q19" s="15"/>
      <c r="R19" s="17" t="s">
        <v>438</v>
      </c>
      <c r="S19" s="3" t="str">
        <f ca="1">HYPERLINK("#"&amp;재료비목록표!G2&amp;"!A"&amp;ROW(재료비목록표!A18),"자재15 →")</f>
        <v>자재15 →</v>
      </c>
      <c r="T19" s="36">
        <v>149</v>
      </c>
      <c r="U19" s="37">
        <f t="shared" si="0"/>
        <v>3</v>
      </c>
      <c r="V19" s="38">
        <f t="shared" si="1"/>
        <v>149</v>
      </c>
      <c r="W19" s="39" t="str">
        <f t="shared" si="2"/>
        <v>물.정</v>
      </c>
    </row>
    <row r="20" spans="1:23" ht="34.700000000000003" customHeight="1" x14ac:dyDescent="0.3">
      <c r="A20" s="9" t="s">
        <v>439</v>
      </c>
      <c r="B20" s="10" t="s">
        <v>440</v>
      </c>
      <c r="C20" s="10" t="s">
        <v>441</v>
      </c>
      <c r="D20" s="9" t="s">
        <v>33</v>
      </c>
      <c r="E20" s="22">
        <v>581110</v>
      </c>
      <c r="F20" s="9"/>
      <c r="G20" s="22">
        <v>0</v>
      </c>
      <c r="H20" s="9"/>
      <c r="I20" s="22">
        <v>0</v>
      </c>
      <c r="J20" s="9"/>
      <c r="K20" s="22">
        <v>0</v>
      </c>
      <c r="L20" s="9"/>
      <c r="M20" s="22">
        <v>0</v>
      </c>
      <c r="N20" s="9"/>
      <c r="O20" s="22">
        <v>581110</v>
      </c>
      <c r="P20" s="23"/>
      <c r="Q20" s="15" t="s">
        <v>735</v>
      </c>
      <c r="R20" s="17" t="s">
        <v>442</v>
      </c>
      <c r="S20" s="3" t="str">
        <f ca="1">HYPERLINK("#"&amp;재료비목록표!G2&amp;"!A"&amp;ROW(재료비목록표!A19),"자재16 →")</f>
        <v>자재16 →</v>
      </c>
      <c r="T20" s="36">
        <v>581110</v>
      </c>
      <c r="U20" s="37">
        <f t="shared" si="0"/>
        <v>1</v>
      </c>
      <c r="V20" s="38">
        <f t="shared" si="1"/>
        <v>581110</v>
      </c>
      <c r="W20" s="39" t="str">
        <f t="shared" si="2"/>
        <v>가.정</v>
      </c>
    </row>
    <row r="21" spans="1:23" ht="34.700000000000003" customHeight="1" x14ac:dyDescent="0.3">
      <c r="A21" s="9" t="s">
        <v>443</v>
      </c>
      <c r="B21" s="10" t="s">
        <v>444</v>
      </c>
      <c r="C21" s="10"/>
      <c r="D21" s="9" t="s">
        <v>180</v>
      </c>
      <c r="E21" s="22">
        <v>0</v>
      </c>
      <c r="F21" s="9"/>
      <c r="G21" s="22">
        <v>0</v>
      </c>
      <c r="H21" s="9"/>
      <c r="I21" s="22">
        <v>0</v>
      </c>
      <c r="J21" s="9"/>
      <c r="K21" s="22">
        <v>0</v>
      </c>
      <c r="L21" s="9"/>
      <c r="M21" s="22">
        <v>0</v>
      </c>
      <c r="N21" s="9"/>
      <c r="O21" s="22">
        <v>-1</v>
      </c>
      <c r="P21" s="23"/>
      <c r="Q21" s="15"/>
      <c r="R21" s="17" t="s">
        <v>445</v>
      </c>
      <c r="S21" s="3" t="str">
        <f ca="1">HYPERLINK("#"&amp;재료비목록표!G2&amp;"!A"&amp;ROW(재료비목록표!A20),"자재17 →")</f>
        <v>자재17 →</v>
      </c>
      <c r="T21" s="36">
        <v>-1</v>
      </c>
      <c r="U21" s="37" t="str">
        <f t="shared" si="0"/>
        <v/>
      </c>
      <c r="V21" s="38">
        <f t="shared" si="1"/>
        <v>-1</v>
      </c>
      <c r="W21" s="39" t="str">
        <f t="shared" si="2"/>
        <v/>
      </c>
    </row>
    <row r="22" spans="1:23" ht="34.700000000000003" customHeight="1" x14ac:dyDescent="0.3">
      <c r="A22" s="9" t="s">
        <v>446</v>
      </c>
      <c r="B22" s="10" t="s">
        <v>447</v>
      </c>
      <c r="C22" s="10" t="s">
        <v>448</v>
      </c>
      <c r="D22" s="9" t="s">
        <v>106</v>
      </c>
      <c r="E22" s="22">
        <v>0</v>
      </c>
      <c r="F22" s="9"/>
      <c r="G22" s="22">
        <v>18876</v>
      </c>
      <c r="H22" s="9" t="s">
        <v>736</v>
      </c>
      <c r="I22" s="22">
        <v>17890</v>
      </c>
      <c r="J22" s="9" t="s">
        <v>737</v>
      </c>
      <c r="K22" s="22">
        <v>0</v>
      </c>
      <c r="L22" s="9"/>
      <c r="M22" s="22">
        <v>0</v>
      </c>
      <c r="N22" s="9"/>
      <c r="O22" s="22">
        <v>17890</v>
      </c>
      <c r="P22" s="23"/>
      <c r="Q22" s="15"/>
      <c r="R22" s="17" t="s">
        <v>449</v>
      </c>
      <c r="S22" s="3" t="str">
        <f ca="1">HYPERLINK("#"&amp;재료비목록표!G2&amp;"!A"&amp;ROW(재료비목록표!A21),"자재18 →")</f>
        <v>자재18 →</v>
      </c>
      <c r="T22" s="36">
        <v>17890</v>
      </c>
      <c r="U22" s="37">
        <f t="shared" si="0"/>
        <v>3</v>
      </c>
      <c r="V22" s="38">
        <f t="shared" si="1"/>
        <v>17890</v>
      </c>
      <c r="W22" s="39" t="str">
        <f t="shared" si="2"/>
        <v>물.정</v>
      </c>
    </row>
    <row r="23" spans="1:23" ht="34.700000000000003" customHeight="1" x14ac:dyDescent="0.3">
      <c r="A23" s="9" t="s">
        <v>450</v>
      </c>
      <c r="B23" s="10" t="s">
        <v>451</v>
      </c>
      <c r="C23" s="10" t="s">
        <v>452</v>
      </c>
      <c r="D23" s="9" t="s">
        <v>453</v>
      </c>
      <c r="E23" s="22">
        <v>0</v>
      </c>
      <c r="F23" s="9"/>
      <c r="G23" s="22">
        <v>3140</v>
      </c>
      <c r="H23" s="9" t="s">
        <v>738</v>
      </c>
      <c r="I23" s="22">
        <v>4550</v>
      </c>
      <c r="J23" s="9" t="s">
        <v>739</v>
      </c>
      <c r="K23" s="22">
        <v>0</v>
      </c>
      <c r="L23" s="9"/>
      <c r="M23" s="22">
        <v>3200</v>
      </c>
      <c r="N23" s="9" t="s">
        <v>740</v>
      </c>
      <c r="O23" s="22">
        <v>3140</v>
      </c>
      <c r="P23" s="23" t="s">
        <v>711</v>
      </c>
      <c r="Q23" s="15"/>
      <c r="R23" s="17" t="s">
        <v>454</v>
      </c>
      <c r="S23" s="3" t="str">
        <f ca="1">HYPERLINK("#"&amp;재료비목록표!G2&amp;"!A"&amp;ROW(재료비목록표!A22),"자재19 →")</f>
        <v>자재19 →</v>
      </c>
      <c r="T23" s="36">
        <v>3140</v>
      </c>
      <c r="U23" s="37">
        <f t="shared" si="0"/>
        <v>2</v>
      </c>
      <c r="V23" s="38">
        <f t="shared" si="1"/>
        <v>3140</v>
      </c>
      <c r="W23" s="39" t="str">
        <f t="shared" si="2"/>
        <v>물.자</v>
      </c>
    </row>
    <row r="24" spans="1:23" ht="34.700000000000003" customHeight="1" x14ac:dyDescent="0.3">
      <c r="A24" s="9" t="s">
        <v>455</v>
      </c>
      <c r="B24" s="10" t="s">
        <v>456</v>
      </c>
      <c r="C24" s="10" t="s">
        <v>457</v>
      </c>
      <c r="D24" s="9" t="s">
        <v>115</v>
      </c>
      <c r="E24" s="22">
        <v>0</v>
      </c>
      <c r="F24" s="9"/>
      <c r="G24" s="22">
        <v>95120</v>
      </c>
      <c r="H24" s="9" t="s">
        <v>741</v>
      </c>
      <c r="I24" s="22">
        <v>94240</v>
      </c>
      <c r="J24" s="9" t="s">
        <v>742</v>
      </c>
      <c r="K24" s="22">
        <v>0</v>
      </c>
      <c r="L24" s="9"/>
      <c r="M24" s="22">
        <v>100130</v>
      </c>
      <c r="N24" s="9" t="s">
        <v>743</v>
      </c>
      <c r="O24" s="22">
        <v>94240</v>
      </c>
      <c r="P24" s="23" t="s">
        <v>712</v>
      </c>
      <c r="Q24" s="15"/>
      <c r="R24" s="17" t="s">
        <v>458</v>
      </c>
      <c r="S24" s="3" t="str">
        <f ca="1">HYPERLINK("#"&amp;재료비목록표!G2&amp;"!A"&amp;ROW(재료비목록표!A23),"자재20 →")</f>
        <v>자재20 →</v>
      </c>
      <c r="T24" s="36">
        <v>94240</v>
      </c>
      <c r="U24" s="37">
        <f t="shared" si="0"/>
        <v>3</v>
      </c>
      <c r="V24" s="38">
        <f t="shared" si="1"/>
        <v>94240</v>
      </c>
      <c r="W24" s="39" t="str">
        <f t="shared" si="2"/>
        <v>물.정</v>
      </c>
    </row>
    <row r="25" spans="1:23" ht="34.700000000000003" customHeight="1" x14ac:dyDescent="0.3">
      <c r="A25" s="9" t="s">
        <v>459</v>
      </c>
      <c r="B25" s="10" t="s">
        <v>456</v>
      </c>
      <c r="C25" s="10" t="s">
        <v>460</v>
      </c>
      <c r="D25" s="9" t="s">
        <v>115</v>
      </c>
      <c r="E25" s="22">
        <v>0</v>
      </c>
      <c r="F25" s="9"/>
      <c r="G25" s="22">
        <v>0</v>
      </c>
      <c r="H25" s="9"/>
      <c r="I25" s="22">
        <v>0</v>
      </c>
      <c r="J25" s="9"/>
      <c r="K25" s="22">
        <v>0</v>
      </c>
      <c r="L25" s="9"/>
      <c r="M25" s="22">
        <v>0</v>
      </c>
      <c r="N25" s="9"/>
      <c r="O25" s="22">
        <v>0</v>
      </c>
      <c r="P25" s="23"/>
      <c r="Q25" s="15"/>
      <c r="R25" s="17" t="s">
        <v>461</v>
      </c>
      <c r="S25" s="3" t="str">
        <f ca="1">HYPERLINK("#"&amp;재료비목록표!G2&amp;"!A"&amp;ROW(재료비목록표!A24),"자재21 →")</f>
        <v>자재21 →</v>
      </c>
      <c r="T25" s="36">
        <v>0</v>
      </c>
      <c r="U25" s="37" t="str">
        <f t="shared" si="0"/>
        <v/>
      </c>
      <c r="V25" s="38">
        <f t="shared" si="1"/>
        <v>0</v>
      </c>
      <c r="W25" s="39" t="str">
        <f t="shared" si="2"/>
        <v/>
      </c>
    </row>
    <row r="26" spans="1:23" ht="34.700000000000003" customHeight="1" x14ac:dyDescent="0.3">
      <c r="A26" s="9" t="s">
        <v>462</v>
      </c>
      <c r="B26" s="10" t="s">
        <v>463</v>
      </c>
      <c r="C26" s="10" t="s">
        <v>464</v>
      </c>
      <c r="D26" s="9" t="s">
        <v>156</v>
      </c>
      <c r="E26" s="22">
        <v>555000</v>
      </c>
      <c r="F26" s="9" t="s">
        <v>722</v>
      </c>
      <c r="G26" s="22">
        <v>0</v>
      </c>
      <c r="H26" s="9"/>
      <c r="I26" s="22">
        <v>0</v>
      </c>
      <c r="J26" s="9"/>
      <c r="K26" s="22">
        <v>0</v>
      </c>
      <c r="L26" s="9"/>
      <c r="M26" s="22">
        <v>0</v>
      </c>
      <c r="N26" s="9"/>
      <c r="O26" s="22">
        <v>555000</v>
      </c>
      <c r="P26" s="23" t="s">
        <v>710</v>
      </c>
      <c r="Q26" s="15" t="s">
        <v>744</v>
      </c>
      <c r="R26" s="17" t="s">
        <v>465</v>
      </c>
      <c r="S26" s="3" t="str">
        <f ca="1">HYPERLINK("#"&amp;재료비목록표!G2&amp;"!A"&amp;ROW(재료비목록표!A25),"자재22 →")</f>
        <v>자재22 →</v>
      </c>
      <c r="T26" s="36">
        <v>555000</v>
      </c>
      <c r="U26" s="37">
        <f t="shared" si="0"/>
        <v>1</v>
      </c>
      <c r="V26" s="38">
        <f t="shared" si="1"/>
        <v>555000</v>
      </c>
      <c r="W26" s="39" t="str">
        <f t="shared" si="2"/>
        <v>가.정</v>
      </c>
    </row>
    <row r="27" spans="1:23" ht="34.700000000000003" customHeight="1" x14ac:dyDescent="0.3">
      <c r="A27" s="9" t="s">
        <v>466</v>
      </c>
      <c r="B27" s="10" t="s">
        <v>467</v>
      </c>
      <c r="C27" s="10" t="s">
        <v>468</v>
      </c>
      <c r="D27" s="9" t="s">
        <v>115</v>
      </c>
      <c r="E27" s="22">
        <v>0</v>
      </c>
      <c r="F27" s="9"/>
      <c r="G27" s="22">
        <v>40000</v>
      </c>
      <c r="H27" s="9" t="s">
        <v>745</v>
      </c>
      <c r="I27" s="22">
        <v>37000</v>
      </c>
      <c r="J27" s="9" t="s">
        <v>746</v>
      </c>
      <c r="K27" s="22">
        <v>0</v>
      </c>
      <c r="L27" s="9"/>
      <c r="M27" s="22">
        <v>37000</v>
      </c>
      <c r="N27" s="9" t="s">
        <v>747</v>
      </c>
      <c r="O27" s="22">
        <v>37000</v>
      </c>
      <c r="P27" s="23" t="s">
        <v>712</v>
      </c>
      <c r="Q27" s="15"/>
      <c r="R27" s="17" t="s">
        <v>469</v>
      </c>
      <c r="S27" s="3" t="str">
        <f ca="1">HYPERLINK("#"&amp;재료비목록표!G2&amp;"!A"&amp;ROW(재료비목록표!A26),"자재23 →")</f>
        <v>자재23 →</v>
      </c>
      <c r="T27" s="36">
        <v>37000</v>
      </c>
      <c r="U27" s="37">
        <f t="shared" si="0"/>
        <v>3</v>
      </c>
      <c r="V27" s="38">
        <f t="shared" si="1"/>
        <v>37000</v>
      </c>
      <c r="W27" s="39" t="str">
        <f t="shared" si="2"/>
        <v>물.정</v>
      </c>
    </row>
    <row r="28" spans="1:23" ht="34.700000000000003" customHeight="1" x14ac:dyDescent="0.3">
      <c r="A28" s="9" t="s">
        <v>470</v>
      </c>
      <c r="B28" s="10" t="s">
        <v>467</v>
      </c>
      <c r="C28" s="10" t="s">
        <v>471</v>
      </c>
      <c r="D28" s="9" t="s">
        <v>115</v>
      </c>
      <c r="E28" s="22">
        <v>0</v>
      </c>
      <c r="F28" s="9"/>
      <c r="G28" s="22">
        <v>0</v>
      </c>
      <c r="H28" s="9"/>
      <c r="I28" s="22">
        <v>0</v>
      </c>
      <c r="J28" s="9"/>
      <c r="K28" s="22">
        <v>0</v>
      </c>
      <c r="L28" s="9"/>
      <c r="M28" s="22">
        <v>0</v>
      </c>
      <c r="N28" s="9"/>
      <c r="O28" s="22">
        <v>0</v>
      </c>
      <c r="P28" s="23"/>
      <c r="Q28" s="15"/>
      <c r="R28" s="17" t="s">
        <v>472</v>
      </c>
      <c r="S28" s="3" t="str">
        <f ca="1">HYPERLINK("#"&amp;재료비목록표!G2&amp;"!A"&amp;ROW(재료비목록표!A27),"자재24 →")</f>
        <v>자재24 →</v>
      </c>
      <c r="T28" s="36">
        <v>0</v>
      </c>
      <c r="U28" s="37" t="str">
        <f t="shared" si="0"/>
        <v/>
      </c>
      <c r="V28" s="38">
        <f t="shared" si="1"/>
        <v>0</v>
      </c>
      <c r="W28" s="39" t="str">
        <f t="shared" si="2"/>
        <v/>
      </c>
    </row>
    <row r="29" spans="1:23" ht="34.700000000000003" customHeight="1" x14ac:dyDescent="0.3">
      <c r="A29" s="9" t="s">
        <v>473</v>
      </c>
      <c r="B29" s="10" t="s">
        <v>474</v>
      </c>
      <c r="C29" s="10" t="s">
        <v>475</v>
      </c>
      <c r="D29" s="9" t="s">
        <v>106</v>
      </c>
      <c r="E29" s="22">
        <v>0</v>
      </c>
      <c r="F29" s="9"/>
      <c r="G29" s="22">
        <v>16100</v>
      </c>
      <c r="H29" s="9" t="s">
        <v>748</v>
      </c>
      <c r="I29" s="22">
        <v>0</v>
      </c>
      <c r="J29" s="9"/>
      <c r="K29" s="22">
        <v>0</v>
      </c>
      <c r="L29" s="9"/>
      <c r="M29" s="22">
        <v>0</v>
      </c>
      <c r="N29" s="9"/>
      <c r="O29" s="22">
        <v>16100</v>
      </c>
      <c r="P29" s="23"/>
      <c r="Q29" s="15"/>
      <c r="R29" s="17" t="s">
        <v>476</v>
      </c>
      <c r="S29" s="3" t="str">
        <f ca="1">HYPERLINK("#"&amp;재료비목록표!G2&amp;"!A"&amp;ROW(재료비목록표!A28),"자재25 →")</f>
        <v>자재25 →</v>
      </c>
      <c r="T29" s="36">
        <v>16100</v>
      </c>
      <c r="U29" s="37">
        <f t="shared" si="0"/>
        <v>2</v>
      </c>
      <c r="V29" s="38">
        <f t="shared" si="1"/>
        <v>16100</v>
      </c>
      <c r="W29" s="39" t="str">
        <f t="shared" si="2"/>
        <v>물.자</v>
      </c>
    </row>
    <row r="30" spans="1:23" ht="34.700000000000003" customHeight="1" x14ac:dyDescent="0.3">
      <c r="A30" s="9" t="s">
        <v>477</v>
      </c>
      <c r="B30" s="10" t="s">
        <v>474</v>
      </c>
      <c r="C30" s="10" t="s">
        <v>478</v>
      </c>
      <c r="D30" s="9" t="s">
        <v>106</v>
      </c>
      <c r="E30" s="22">
        <v>0</v>
      </c>
      <c r="F30" s="9"/>
      <c r="G30" s="22">
        <v>38643</v>
      </c>
      <c r="H30" s="9" t="s">
        <v>736</v>
      </c>
      <c r="I30" s="22">
        <v>35430</v>
      </c>
      <c r="J30" s="9" t="s">
        <v>749</v>
      </c>
      <c r="K30" s="22">
        <v>0</v>
      </c>
      <c r="L30" s="9"/>
      <c r="M30" s="22">
        <v>29300</v>
      </c>
      <c r="N30" s="9" t="s">
        <v>750</v>
      </c>
      <c r="O30" s="22">
        <v>29300</v>
      </c>
      <c r="P30" s="23" t="s">
        <v>714</v>
      </c>
      <c r="Q30" s="15"/>
      <c r="R30" s="17" t="s">
        <v>479</v>
      </c>
      <c r="S30" s="3" t="str">
        <f ca="1">HYPERLINK("#"&amp;재료비목록표!G2&amp;"!A"&amp;ROW(재료비목록표!A29),"자재26 →")</f>
        <v>자재26 →</v>
      </c>
      <c r="T30" s="36">
        <v>29300</v>
      </c>
      <c r="U30" s="37">
        <f t="shared" si="0"/>
        <v>5</v>
      </c>
      <c r="V30" s="38">
        <f t="shared" si="1"/>
        <v>29300</v>
      </c>
      <c r="W30" s="39" t="str">
        <f t="shared" si="2"/>
        <v>거래</v>
      </c>
    </row>
    <row r="31" spans="1:23" ht="34.700000000000003" customHeight="1" x14ac:dyDescent="0.3">
      <c r="A31" s="9" t="s">
        <v>480</v>
      </c>
      <c r="B31" s="10" t="s">
        <v>481</v>
      </c>
      <c r="C31" s="10" t="s">
        <v>482</v>
      </c>
      <c r="D31" s="9" t="s">
        <v>106</v>
      </c>
      <c r="E31" s="22">
        <v>7295000</v>
      </c>
      <c r="F31" s="9" t="s">
        <v>722</v>
      </c>
      <c r="G31" s="22">
        <v>0</v>
      </c>
      <c r="H31" s="9"/>
      <c r="I31" s="22">
        <v>0</v>
      </c>
      <c r="J31" s="9"/>
      <c r="K31" s="22">
        <v>0</v>
      </c>
      <c r="L31" s="9"/>
      <c r="M31" s="22">
        <v>0</v>
      </c>
      <c r="N31" s="9"/>
      <c r="O31" s="22">
        <v>7295000</v>
      </c>
      <c r="P31" s="23"/>
      <c r="Q31" s="15" t="s">
        <v>751</v>
      </c>
      <c r="R31" s="17" t="s">
        <v>483</v>
      </c>
      <c r="S31" s="3" t="str">
        <f ca="1">HYPERLINK("#"&amp;재료비목록표!G2&amp;"!A"&amp;ROW(재료비목록표!A30),"자재27 →")</f>
        <v>자재27 →</v>
      </c>
      <c r="T31" s="36">
        <v>7295000</v>
      </c>
      <c r="U31" s="37">
        <f t="shared" si="0"/>
        <v>1</v>
      </c>
      <c r="V31" s="38">
        <f t="shared" si="1"/>
        <v>7295000</v>
      </c>
      <c r="W31" s="39" t="str">
        <f t="shared" si="2"/>
        <v>가.정</v>
      </c>
    </row>
    <row r="32" spans="1:23" ht="34.700000000000003" customHeight="1" x14ac:dyDescent="0.3">
      <c r="A32" s="9" t="s">
        <v>484</v>
      </c>
      <c r="B32" s="10" t="s">
        <v>485</v>
      </c>
      <c r="C32" s="10" t="s">
        <v>486</v>
      </c>
      <c r="D32" s="9" t="s">
        <v>106</v>
      </c>
      <c r="E32" s="22">
        <v>0</v>
      </c>
      <c r="F32" s="9"/>
      <c r="G32" s="22">
        <v>0</v>
      </c>
      <c r="H32" s="9"/>
      <c r="I32" s="22">
        <v>2050700</v>
      </c>
      <c r="J32" s="9" t="s">
        <v>752</v>
      </c>
      <c r="K32" s="22">
        <v>0</v>
      </c>
      <c r="L32" s="9"/>
      <c r="M32" s="22">
        <v>2050700</v>
      </c>
      <c r="N32" s="9" t="s">
        <v>753</v>
      </c>
      <c r="O32" s="22">
        <v>2050700</v>
      </c>
      <c r="P32" s="23" t="s">
        <v>712</v>
      </c>
      <c r="Q32" s="15"/>
      <c r="R32" s="17" t="s">
        <v>487</v>
      </c>
      <c r="S32" s="3" t="str">
        <f ca="1">HYPERLINK("#"&amp;재료비목록표!G2&amp;"!A"&amp;ROW(재료비목록표!A31),"자재28 →")</f>
        <v>자재28 →</v>
      </c>
      <c r="T32" s="36">
        <v>2050700</v>
      </c>
      <c r="U32" s="37">
        <f t="shared" si="0"/>
        <v>3</v>
      </c>
      <c r="V32" s="38">
        <f t="shared" si="1"/>
        <v>2050700</v>
      </c>
      <c r="W32" s="39" t="str">
        <f t="shared" si="2"/>
        <v>물.정</v>
      </c>
    </row>
    <row r="33" spans="1:23" ht="34.700000000000003" customHeight="1" x14ac:dyDescent="0.3">
      <c r="A33" s="9" t="s">
        <v>488</v>
      </c>
      <c r="B33" s="10" t="s">
        <v>489</v>
      </c>
      <c r="C33" s="10" t="s">
        <v>490</v>
      </c>
      <c r="D33" s="9" t="s">
        <v>106</v>
      </c>
      <c r="E33" s="22">
        <v>0</v>
      </c>
      <c r="F33" s="9"/>
      <c r="G33" s="22">
        <v>160000</v>
      </c>
      <c r="H33" s="9" t="s">
        <v>754</v>
      </c>
      <c r="I33" s="22">
        <v>187600</v>
      </c>
      <c r="J33" s="9" t="s">
        <v>755</v>
      </c>
      <c r="K33" s="22">
        <v>0</v>
      </c>
      <c r="L33" s="9"/>
      <c r="M33" s="22">
        <v>210000</v>
      </c>
      <c r="N33" s="9" t="s">
        <v>756</v>
      </c>
      <c r="O33" s="22">
        <v>160000</v>
      </c>
      <c r="P33" s="23" t="s">
        <v>711</v>
      </c>
      <c r="Q33" s="15"/>
      <c r="R33" s="17" t="s">
        <v>491</v>
      </c>
      <c r="S33" s="3" t="str">
        <f ca="1">HYPERLINK("#"&amp;재료비목록표!G2&amp;"!A"&amp;ROW(재료비목록표!A32),"자재29 →")</f>
        <v>자재29 →</v>
      </c>
      <c r="T33" s="36">
        <v>160000</v>
      </c>
      <c r="U33" s="37">
        <f t="shared" si="0"/>
        <v>2</v>
      </c>
      <c r="V33" s="38">
        <f t="shared" si="1"/>
        <v>160000</v>
      </c>
      <c r="W33" s="39" t="str">
        <f t="shared" si="2"/>
        <v>물.자</v>
      </c>
    </row>
    <row r="34" spans="1:23" ht="34.700000000000003" customHeight="1" x14ac:dyDescent="0.3">
      <c r="A34" s="9" t="s">
        <v>492</v>
      </c>
      <c r="B34" s="10" t="s">
        <v>493</v>
      </c>
      <c r="C34" s="10" t="s">
        <v>494</v>
      </c>
      <c r="D34" s="9" t="s">
        <v>106</v>
      </c>
      <c r="E34" s="22">
        <v>0</v>
      </c>
      <c r="F34" s="9"/>
      <c r="G34" s="22">
        <v>0</v>
      </c>
      <c r="H34" s="9"/>
      <c r="I34" s="22">
        <v>0</v>
      </c>
      <c r="J34" s="9"/>
      <c r="K34" s="22">
        <v>2370000</v>
      </c>
      <c r="L34" s="9"/>
      <c r="M34" s="22">
        <v>0</v>
      </c>
      <c r="N34" s="9"/>
      <c r="O34" s="22">
        <v>2370000</v>
      </c>
      <c r="P34" s="23" t="s">
        <v>713</v>
      </c>
      <c r="Q34" s="15"/>
      <c r="R34" s="17" t="s">
        <v>495</v>
      </c>
      <c r="S34" s="3" t="str">
        <f ca="1">HYPERLINK("#"&amp;재료비목록표!G2&amp;"!A"&amp;ROW(재료비목록표!A33),"자재30 →")</f>
        <v>자재30 →</v>
      </c>
      <c r="T34" s="36">
        <v>2370000</v>
      </c>
      <c r="U34" s="37">
        <f t="shared" si="0"/>
        <v>4</v>
      </c>
      <c r="V34" s="38">
        <f t="shared" si="1"/>
        <v>2370000</v>
      </c>
      <c r="W34" s="39" t="str">
        <f t="shared" si="2"/>
        <v>견적 1</v>
      </c>
    </row>
    <row r="35" spans="1:23" ht="34.700000000000003" customHeight="1" x14ac:dyDescent="0.3">
      <c r="A35" s="9" t="s">
        <v>496</v>
      </c>
      <c r="B35" s="10" t="s">
        <v>497</v>
      </c>
      <c r="C35" s="10" t="s">
        <v>498</v>
      </c>
      <c r="D35" s="9" t="s">
        <v>499</v>
      </c>
      <c r="E35" s="22">
        <v>0</v>
      </c>
      <c r="F35" s="9"/>
      <c r="G35" s="22">
        <v>0</v>
      </c>
      <c r="H35" s="9"/>
      <c r="I35" s="22">
        <v>0</v>
      </c>
      <c r="J35" s="9"/>
      <c r="K35" s="22">
        <v>0</v>
      </c>
      <c r="L35" s="9"/>
      <c r="M35" s="22">
        <v>0</v>
      </c>
      <c r="N35" s="9"/>
      <c r="O35" s="22">
        <v>0</v>
      </c>
      <c r="P35" s="23"/>
      <c r="Q35" s="15"/>
      <c r="R35" s="17" t="s">
        <v>500</v>
      </c>
      <c r="S35" s="3" t="str">
        <f ca="1">HYPERLINK("#"&amp;재료비목록표!G2&amp;"!A"&amp;ROW(재료비목록표!A34),"자재31 →")</f>
        <v>자재31 →</v>
      </c>
      <c r="T35" s="36">
        <v>0</v>
      </c>
      <c r="U35" s="37" t="str">
        <f t="shared" si="0"/>
        <v/>
      </c>
      <c r="V35" s="38">
        <f t="shared" si="1"/>
        <v>0</v>
      </c>
      <c r="W35" s="39" t="str">
        <f t="shared" si="2"/>
        <v/>
      </c>
    </row>
    <row r="36" spans="1:23" ht="34.700000000000003" customHeight="1" x14ac:dyDescent="0.3">
      <c r="A36" s="9" t="s">
        <v>501</v>
      </c>
      <c r="B36" s="10" t="s">
        <v>497</v>
      </c>
      <c r="C36" s="10" t="s">
        <v>502</v>
      </c>
      <c r="D36" s="9" t="s">
        <v>503</v>
      </c>
      <c r="E36" s="22">
        <v>0</v>
      </c>
      <c r="F36" s="9"/>
      <c r="G36" s="22">
        <v>8400</v>
      </c>
      <c r="H36" s="9" t="s">
        <v>757</v>
      </c>
      <c r="I36" s="22">
        <v>8300</v>
      </c>
      <c r="J36" s="9" t="s">
        <v>758</v>
      </c>
      <c r="K36" s="22">
        <v>0</v>
      </c>
      <c r="L36" s="9"/>
      <c r="M36" s="22">
        <v>8300</v>
      </c>
      <c r="N36" s="9" t="s">
        <v>759</v>
      </c>
      <c r="O36" s="22">
        <v>8300</v>
      </c>
      <c r="P36" s="23" t="s">
        <v>712</v>
      </c>
      <c r="Q36" s="15"/>
      <c r="R36" s="17" t="s">
        <v>504</v>
      </c>
      <c r="S36" s="3" t="str">
        <f ca="1">HYPERLINK("#"&amp;재료비목록표!G2&amp;"!A"&amp;ROW(재료비목록표!A35),"자재32 →")</f>
        <v>자재32 →</v>
      </c>
      <c r="T36" s="36">
        <v>8300</v>
      </c>
      <c r="U36" s="37">
        <f t="shared" si="0"/>
        <v>3</v>
      </c>
      <c r="V36" s="38">
        <f t="shared" si="1"/>
        <v>8300</v>
      </c>
      <c r="W36" s="39" t="str">
        <f t="shared" si="2"/>
        <v>물.정</v>
      </c>
    </row>
    <row r="37" spans="1:23" ht="34.700000000000003" customHeight="1" x14ac:dyDescent="0.3">
      <c r="A37" s="9" t="s">
        <v>505</v>
      </c>
      <c r="B37" s="10" t="s">
        <v>506</v>
      </c>
      <c r="C37" s="10" t="s">
        <v>507</v>
      </c>
      <c r="D37" s="9" t="s">
        <v>508</v>
      </c>
      <c r="E37" s="22">
        <v>0</v>
      </c>
      <c r="F37" s="9"/>
      <c r="G37" s="22">
        <v>93170</v>
      </c>
      <c r="H37" s="9" t="s">
        <v>760</v>
      </c>
      <c r="I37" s="22">
        <v>116090</v>
      </c>
      <c r="J37" s="9" t="s">
        <v>761</v>
      </c>
      <c r="K37" s="22">
        <v>0</v>
      </c>
      <c r="L37" s="9"/>
      <c r="M37" s="22">
        <v>104550</v>
      </c>
      <c r="N37" s="9" t="s">
        <v>762</v>
      </c>
      <c r="O37" s="22">
        <v>93170</v>
      </c>
      <c r="P37" s="23" t="s">
        <v>711</v>
      </c>
      <c r="Q37" s="15"/>
      <c r="R37" s="17" t="s">
        <v>509</v>
      </c>
      <c r="S37" s="3" t="str">
        <f ca="1">HYPERLINK("#"&amp;재료비목록표!G2&amp;"!A"&amp;ROW(재료비목록표!A36),"자재33 →")</f>
        <v>자재33 →</v>
      </c>
      <c r="T37" s="36">
        <v>93170</v>
      </c>
      <c r="U37" s="37">
        <f t="shared" ref="U37:U57" si="3">IF(OR(V37=0,ISERROR(MATCH(V37,E37:M37,0))),"",CHOOSE(TRUNC((MATCH(V37,E37:M37,0)/2+1)),1,2,3,4,5))</f>
        <v>2</v>
      </c>
      <c r="V37" s="38">
        <f t="shared" ref="V37:V57" si="4">IF(AND(E37=0,G37=0,I37=0,K37=0,M37=0),T37,MIN(IF(E37=0,MAX(E37:M37),E37),IF(G37=0,MAX(E37:M37),G37),IF(I37=0,MAX(E37:M37),I37),IF(K37=0,MAX(E37:M37),K37),IF(M37=0,MAX(E37:M37),M37)))</f>
        <v>93170</v>
      </c>
      <c r="W37" s="39" t="str">
        <f t="shared" ref="W37:W57" si="5">IF(OR(O37=0,U37=""),"",CHOOSE(U37,Y$5,Y$6,Y$7,Y$8,Y$9))</f>
        <v>물.자</v>
      </c>
    </row>
    <row r="38" spans="1:23" ht="34.700000000000003" customHeight="1" x14ac:dyDescent="0.3">
      <c r="A38" s="9" t="s">
        <v>510</v>
      </c>
      <c r="B38" s="10" t="s">
        <v>506</v>
      </c>
      <c r="C38" s="10" t="s">
        <v>511</v>
      </c>
      <c r="D38" s="9" t="s">
        <v>221</v>
      </c>
      <c r="E38" s="22">
        <v>0</v>
      </c>
      <c r="F38" s="9"/>
      <c r="G38" s="22">
        <v>116160</v>
      </c>
      <c r="H38" s="9" t="s">
        <v>760</v>
      </c>
      <c r="I38" s="22">
        <v>147080</v>
      </c>
      <c r="J38" s="9" t="s">
        <v>761</v>
      </c>
      <c r="K38" s="22">
        <v>0</v>
      </c>
      <c r="L38" s="9"/>
      <c r="M38" s="22">
        <v>130610</v>
      </c>
      <c r="N38" s="9" t="s">
        <v>763</v>
      </c>
      <c r="O38" s="22">
        <v>116160</v>
      </c>
      <c r="P38" s="23"/>
      <c r="Q38" s="15"/>
      <c r="R38" s="17" t="s">
        <v>512</v>
      </c>
      <c r="S38" s="3" t="str">
        <f ca="1">HYPERLINK("#"&amp;재료비목록표!G2&amp;"!A"&amp;ROW(재료비목록표!A37),"자재34 →")</f>
        <v>자재34 →</v>
      </c>
      <c r="T38" s="36">
        <v>116160</v>
      </c>
      <c r="U38" s="37">
        <f t="shared" si="3"/>
        <v>2</v>
      </c>
      <c r="V38" s="38">
        <f t="shared" si="4"/>
        <v>116160</v>
      </c>
      <c r="W38" s="39" t="str">
        <f t="shared" si="5"/>
        <v>물.자</v>
      </c>
    </row>
    <row r="39" spans="1:23" ht="34.700000000000003" customHeight="1" x14ac:dyDescent="0.3">
      <c r="A39" s="9" t="s">
        <v>513</v>
      </c>
      <c r="B39" s="10" t="s">
        <v>514</v>
      </c>
      <c r="C39" s="10" t="s">
        <v>515</v>
      </c>
      <c r="D39" s="9" t="s">
        <v>516</v>
      </c>
      <c r="E39" s="22">
        <v>154620</v>
      </c>
      <c r="F39" s="9" t="s">
        <v>722</v>
      </c>
      <c r="G39" s="22">
        <v>280000</v>
      </c>
      <c r="H39" s="9" t="s">
        <v>760</v>
      </c>
      <c r="I39" s="22">
        <v>270000</v>
      </c>
      <c r="J39" s="9" t="s">
        <v>761</v>
      </c>
      <c r="K39" s="22">
        <v>0</v>
      </c>
      <c r="L39" s="9"/>
      <c r="M39" s="22">
        <v>280000</v>
      </c>
      <c r="N39" s="9" t="s">
        <v>762</v>
      </c>
      <c r="O39" s="22">
        <v>154620</v>
      </c>
      <c r="P39" s="23" t="s">
        <v>710</v>
      </c>
      <c r="Q39" s="15"/>
      <c r="R39" s="17" t="s">
        <v>517</v>
      </c>
      <c r="S39" s="3" t="str">
        <f ca="1">HYPERLINK("#"&amp;재료비목록표!G2&amp;"!A"&amp;ROW(재료비목록표!A38),"자재35 →")</f>
        <v>자재35 →</v>
      </c>
      <c r="T39" s="36">
        <v>154620</v>
      </c>
      <c r="U39" s="37">
        <f t="shared" si="3"/>
        <v>1</v>
      </c>
      <c r="V39" s="38">
        <f t="shared" si="4"/>
        <v>154620</v>
      </c>
      <c r="W39" s="39" t="str">
        <f t="shared" si="5"/>
        <v>가.정</v>
      </c>
    </row>
    <row r="40" spans="1:23" ht="34.700000000000003" customHeight="1" x14ac:dyDescent="0.3">
      <c r="A40" s="9" t="s">
        <v>518</v>
      </c>
      <c r="B40" s="10" t="s">
        <v>514</v>
      </c>
      <c r="C40" s="10" t="s">
        <v>519</v>
      </c>
      <c r="D40" s="9" t="s">
        <v>516</v>
      </c>
      <c r="E40" s="22">
        <v>154620</v>
      </c>
      <c r="F40" s="9" t="s">
        <v>722</v>
      </c>
      <c r="G40" s="22">
        <v>280000</v>
      </c>
      <c r="H40" s="9" t="s">
        <v>760</v>
      </c>
      <c r="I40" s="22">
        <v>270000</v>
      </c>
      <c r="J40" s="9" t="s">
        <v>761</v>
      </c>
      <c r="K40" s="22">
        <v>0</v>
      </c>
      <c r="L40" s="9"/>
      <c r="M40" s="22">
        <v>280000</v>
      </c>
      <c r="N40" s="9" t="s">
        <v>764</v>
      </c>
      <c r="O40" s="22">
        <v>154620</v>
      </c>
      <c r="P40" s="23" t="s">
        <v>710</v>
      </c>
      <c r="Q40" s="15"/>
      <c r="R40" s="17" t="s">
        <v>520</v>
      </c>
      <c r="S40" s="3" t="str">
        <f ca="1">HYPERLINK("#"&amp;재료비목록표!G2&amp;"!A"&amp;ROW(재료비목록표!A39),"자재36 →")</f>
        <v>자재36 →</v>
      </c>
      <c r="T40" s="36">
        <v>154620</v>
      </c>
      <c r="U40" s="37">
        <f t="shared" si="3"/>
        <v>1</v>
      </c>
      <c r="V40" s="38">
        <f t="shared" si="4"/>
        <v>154620</v>
      </c>
      <c r="W40" s="39" t="str">
        <f t="shared" si="5"/>
        <v>가.정</v>
      </c>
    </row>
    <row r="41" spans="1:23" ht="34.700000000000003" customHeight="1" x14ac:dyDescent="0.3">
      <c r="A41" s="9" t="s">
        <v>521</v>
      </c>
      <c r="B41" s="10" t="s">
        <v>522</v>
      </c>
      <c r="C41" s="10" t="s">
        <v>523</v>
      </c>
      <c r="D41" s="9" t="s">
        <v>422</v>
      </c>
      <c r="E41" s="22">
        <v>2076</v>
      </c>
      <c r="F41" s="9" t="s">
        <v>722</v>
      </c>
      <c r="G41" s="34">
        <v>3099.37</v>
      </c>
      <c r="H41" s="9" t="s">
        <v>765</v>
      </c>
      <c r="I41" s="34">
        <v>2772.94</v>
      </c>
      <c r="J41" s="9" t="s">
        <v>766</v>
      </c>
      <c r="K41" s="22">
        <v>0</v>
      </c>
      <c r="L41" s="9"/>
      <c r="M41" s="34">
        <v>2293.17</v>
      </c>
      <c r="N41" s="9" t="s">
        <v>767</v>
      </c>
      <c r="O41" s="22">
        <v>2076</v>
      </c>
      <c r="P41" s="23" t="s">
        <v>710</v>
      </c>
      <c r="Q41" s="15"/>
      <c r="R41" s="17" t="s">
        <v>524</v>
      </c>
      <c r="S41" s="3" t="str">
        <f ca="1">HYPERLINK("#"&amp;재료비목록표!G2&amp;"!A"&amp;ROW(재료비목록표!A40),"자재37 →")</f>
        <v>자재37 →</v>
      </c>
      <c r="T41" s="36">
        <v>2076</v>
      </c>
      <c r="U41" s="37">
        <f t="shared" si="3"/>
        <v>1</v>
      </c>
      <c r="V41" s="38">
        <f t="shared" si="4"/>
        <v>2076</v>
      </c>
      <c r="W41" s="39" t="str">
        <f t="shared" si="5"/>
        <v>가.정</v>
      </c>
    </row>
    <row r="42" spans="1:23" ht="34.700000000000003" customHeight="1" x14ac:dyDescent="0.3">
      <c r="A42" s="9" t="s">
        <v>525</v>
      </c>
      <c r="B42" s="10" t="s">
        <v>526</v>
      </c>
      <c r="C42" s="10" t="s">
        <v>527</v>
      </c>
      <c r="D42" s="9" t="s">
        <v>453</v>
      </c>
      <c r="E42" s="22">
        <v>4500</v>
      </c>
      <c r="F42" s="9" t="s">
        <v>722</v>
      </c>
      <c r="G42" s="22">
        <v>6000</v>
      </c>
      <c r="H42" s="9" t="s">
        <v>738</v>
      </c>
      <c r="I42" s="22">
        <v>5000</v>
      </c>
      <c r="J42" s="9" t="s">
        <v>768</v>
      </c>
      <c r="K42" s="22">
        <v>0</v>
      </c>
      <c r="L42" s="9"/>
      <c r="M42" s="22">
        <v>5000</v>
      </c>
      <c r="N42" s="9" t="s">
        <v>740</v>
      </c>
      <c r="O42" s="22">
        <v>4500</v>
      </c>
      <c r="P42" s="23" t="s">
        <v>710</v>
      </c>
      <c r="Q42" s="15"/>
      <c r="R42" s="17" t="s">
        <v>528</v>
      </c>
      <c r="S42" s="3" t="str">
        <f ca="1">HYPERLINK("#"&amp;재료비목록표!G2&amp;"!A"&amp;ROW(재료비목록표!A41),"자재38 →")</f>
        <v>자재38 →</v>
      </c>
      <c r="T42" s="36">
        <v>4500</v>
      </c>
      <c r="U42" s="37">
        <f t="shared" si="3"/>
        <v>1</v>
      </c>
      <c r="V42" s="38">
        <f t="shared" si="4"/>
        <v>4500</v>
      </c>
      <c r="W42" s="39" t="str">
        <f t="shared" si="5"/>
        <v>가.정</v>
      </c>
    </row>
    <row r="43" spans="1:23" ht="34.700000000000003" customHeight="1" x14ac:dyDescent="0.3">
      <c r="A43" s="9" t="s">
        <v>529</v>
      </c>
      <c r="B43" s="10" t="s">
        <v>530</v>
      </c>
      <c r="C43" s="10"/>
      <c r="D43" s="9" t="s">
        <v>499</v>
      </c>
      <c r="E43" s="22">
        <v>0</v>
      </c>
      <c r="F43" s="9"/>
      <c r="G43" s="22">
        <v>5850</v>
      </c>
      <c r="H43" s="9" t="s">
        <v>738</v>
      </c>
      <c r="I43" s="22">
        <v>4550</v>
      </c>
      <c r="J43" s="9" t="s">
        <v>769</v>
      </c>
      <c r="K43" s="22">
        <v>0</v>
      </c>
      <c r="L43" s="9"/>
      <c r="M43" s="22">
        <v>4550</v>
      </c>
      <c r="N43" s="9" t="s">
        <v>740</v>
      </c>
      <c r="O43" s="22">
        <v>4550</v>
      </c>
      <c r="P43" s="23" t="s">
        <v>712</v>
      </c>
      <c r="Q43" s="15"/>
      <c r="R43" s="17" t="s">
        <v>531</v>
      </c>
      <c r="S43" s="3" t="str">
        <f ca="1">HYPERLINK("#"&amp;재료비목록표!G2&amp;"!A"&amp;ROW(재료비목록표!A42),"자재39 →")</f>
        <v>자재39 →</v>
      </c>
      <c r="T43" s="36">
        <v>4550</v>
      </c>
      <c r="U43" s="37">
        <f t="shared" si="3"/>
        <v>3</v>
      </c>
      <c r="V43" s="38">
        <f t="shared" si="4"/>
        <v>4550</v>
      </c>
      <c r="W43" s="39" t="str">
        <f t="shared" si="5"/>
        <v>물.정</v>
      </c>
    </row>
    <row r="44" spans="1:23" ht="34.700000000000003" customHeight="1" x14ac:dyDescent="0.3">
      <c r="A44" s="9" t="s">
        <v>532</v>
      </c>
      <c r="B44" s="10" t="s">
        <v>533</v>
      </c>
      <c r="C44" s="10" t="s">
        <v>534</v>
      </c>
      <c r="D44" s="9" t="s">
        <v>106</v>
      </c>
      <c r="E44" s="22">
        <v>63400</v>
      </c>
      <c r="F44" s="9"/>
      <c r="G44" s="22">
        <v>0</v>
      </c>
      <c r="H44" s="9"/>
      <c r="I44" s="22">
        <v>0</v>
      </c>
      <c r="J44" s="9"/>
      <c r="K44" s="22">
        <v>0</v>
      </c>
      <c r="L44" s="9"/>
      <c r="M44" s="22">
        <v>0</v>
      </c>
      <c r="N44" s="9"/>
      <c r="O44" s="22">
        <v>63400</v>
      </c>
      <c r="P44" s="23"/>
      <c r="Q44" s="15" t="s">
        <v>770</v>
      </c>
      <c r="R44" s="17" t="s">
        <v>535</v>
      </c>
      <c r="S44" s="3" t="str">
        <f ca="1">HYPERLINK("#"&amp;재료비목록표!G2&amp;"!A"&amp;ROW(재료비목록표!A43),"자재40 →")</f>
        <v>자재40 →</v>
      </c>
      <c r="T44" s="36">
        <v>63400</v>
      </c>
      <c r="U44" s="37">
        <f t="shared" si="3"/>
        <v>1</v>
      </c>
      <c r="V44" s="38">
        <f t="shared" si="4"/>
        <v>63400</v>
      </c>
      <c r="W44" s="39" t="str">
        <f t="shared" si="5"/>
        <v>가.정</v>
      </c>
    </row>
    <row r="45" spans="1:23" ht="34.700000000000003" customHeight="1" x14ac:dyDescent="0.3">
      <c r="A45" s="9" t="s">
        <v>536</v>
      </c>
      <c r="B45" s="10" t="s">
        <v>537</v>
      </c>
      <c r="C45" s="10" t="s">
        <v>538</v>
      </c>
      <c r="D45" s="9" t="s">
        <v>539</v>
      </c>
      <c r="E45" s="22">
        <v>0</v>
      </c>
      <c r="F45" s="9"/>
      <c r="G45" s="22">
        <v>0</v>
      </c>
      <c r="H45" s="9"/>
      <c r="I45" s="22">
        <v>0</v>
      </c>
      <c r="J45" s="9"/>
      <c r="K45" s="22">
        <v>0</v>
      </c>
      <c r="L45" s="9"/>
      <c r="M45" s="22">
        <v>0</v>
      </c>
      <c r="N45" s="9"/>
      <c r="O45" s="22">
        <v>0</v>
      </c>
      <c r="P45" s="23"/>
      <c r="Q45" s="15"/>
      <c r="R45" s="17" t="s">
        <v>540</v>
      </c>
      <c r="S45" s="3" t="str">
        <f ca="1">HYPERLINK("#"&amp;재료비목록표!G2&amp;"!A"&amp;ROW(재료비목록표!A44),"자재41 →")</f>
        <v>자재41 →</v>
      </c>
      <c r="T45" s="36">
        <v>0</v>
      </c>
      <c r="U45" s="37" t="str">
        <f t="shared" si="3"/>
        <v/>
      </c>
      <c r="V45" s="38">
        <f t="shared" si="4"/>
        <v>0</v>
      </c>
      <c r="W45" s="39" t="str">
        <f t="shared" si="5"/>
        <v/>
      </c>
    </row>
    <row r="46" spans="1:23" ht="34.700000000000003" customHeight="1" x14ac:dyDescent="0.3">
      <c r="A46" s="9" t="s">
        <v>541</v>
      </c>
      <c r="B46" s="10" t="s">
        <v>542</v>
      </c>
      <c r="C46" s="10" t="s">
        <v>543</v>
      </c>
      <c r="D46" s="9" t="s">
        <v>106</v>
      </c>
      <c r="E46" s="22">
        <v>0</v>
      </c>
      <c r="F46" s="9"/>
      <c r="G46" s="22">
        <v>7000</v>
      </c>
      <c r="H46" s="9" t="s">
        <v>771</v>
      </c>
      <c r="I46" s="22">
        <v>4000</v>
      </c>
      <c r="J46" s="9" t="s">
        <v>772</v>
      </c>
      <c r="K46" s="22">
        <v>0</v>
      </c>
      <c r="L46" s="9"/>
      <c r="M46" s="22">
        <v>0</v>
      </c>
      <c r="N46" s="9"/>
      <c r="O46" s="22">
        <v>4000</v>
      </c>
      <c r="P46" s="23"/>
      <c r="Q46" s="15"/>
      <c r="R46" s="17" t="s">
        <v>544</v>
      </c>
      <c r="S46" s="3" t="str">
        <f ca="1">HYPERLINK("#"&amp;재료비목록표!G2&amp;"!A"&amp;ROW(재료비목록표!A45),"자재42 →")</f>
        <v>자재42 →</v>
      </c>
      <c r="T46" s="36">
        <v>4000</v>
      </c>
      <c r="U46" s="37">
        <f t="shared" si="3"/>
        <v>3</v>
      </c>
      <c r="V46" s="38">
        <f t="shared" si="4"/>
        <v>4000</v>
      </c>
      <c r="W46" s="39" t="str">
        <f t="shared" si="5"/>
        <v>물.정</v>
      </c>
    </row>
    <row r="47" spans="1:23" ht="34.700000000000003" customHeight="1" x14ac:dyDescent="0.3">
      <c r="A47" s="9" t="s">
        <v>545</v>
      </c>
      <c r="B47" s="10" t="s">
        <v>546</v>
      </c>
      <c r="C47" s="10" t="s">
        <v>547</v>
      </c>
      <c r="D47" s="9" t="s">
        <v>106</v>
      </c>
      <c r="E47" s="22">
        <v>1889000</v>
      </c>
      <c r="F47" s="9" t="s">
        <v>774</v>
      </c>
      <c r="G47" s="22">
        <v>0</v>
      </c>
      <c r="H47" s="9"/>
      <c r="I47" s="22">
        <v>0</v>
      </c>
      <c r="J47" s="9"/>
      <c r="K47" s="22">
        <v>0</v>
      </c>
      <c r="L47" s="9"/>
      <c r="M47" s="22">
        <v>0</v>
      </c>
      <c r="N47" s="9"/>
      <c r="O47" s="22">
        <v>1889000</v>
      </c>
      <c r="P47" s="23"/>
      <c r="Q47" s="15" t="s">
        <v>773</v>
      </c>
      <c r="R47" s="17" t="s">
        <v>548</v>
      </c>
      <c r="S47" s="3" t="str">
        <f ca="1">HYPERLINK("#"&amp;재료비목록표!G2&amp;"!A"&amp;ROW(재료비목록표!A46),"자재43 →")</f>
        <v>자재43 →</v>
      </c>
      <c r="T47" s="36">
        <v>1889000</v>
      </c>
      <c r="U47" s="37">
        <f t="shared" si="3"/>
        <v>1</v>
      </c>
      <c r="V47" s="38">
        <f t="shared" si="4"/>
        <v>1889000</v>
      </c>
      <c r="W47" s="39" t="str">
        <f t="shared" si="5"/>
        <v>가.정</v>
      </c>
    </row>
    <row r="48" spans="1:23" ht="34.700000000000003" customHeight="1" x14ac:dyDescent="0.3">
      <c r="A48" s="9" t="s">
        <v>549</v>
      </c>
      <c r="B48" s="10" t="s">
        <v>550</v>
      </c>
      <c r="C48" s="10" t="s">
        <v>551</v>
      </c>
      <c r="D48" s="9" t="s">
        <v>106</v>
      </c>
      <c r="E48" s="22">
        <v>0</v>
      </c>
      <c r="F48" s="9"/>
      <c r="G48" s="22">
        <v>0</v>
      </c>
      <c r="H48" s="9"/>
      <c r="I48" s="22">
        <v>83000</v>
      </c>
      <c r="J48" s="9" t="s">
        <v>775</v>
      </c>
      <c r="K48" s="22">
        <v>56000</v>
      </c>
      <c r="L48" s="9" t="s">
        <v>776</v>
      </c>
      <c r="M48" s="22">
        <v>0</v>
      </c>
      <c r="N48" s="9"/>
      <c r="O48" s="22">
        <v>56000</v>
      </c>
      <c r="P48" s="23" t="s">
        <v>713</v>
      </c>
      <c r="Q48" s="15"/>
      <c r="R48" s="17" t="s">
        <v>552</v>
      </c>
      <c r="S48" s="3" t="str">
        <f ca="1">HYPERLINK("#"&amp;재료비목록표!G2&amp;"!A"&amp;ROW(재료비목록표!A47),"자재44 →")</f>
        <v>자재44 →</v>
      </c>
      <c r="T48" s="36">
        <v>56000</v>
      </c>
      <c r="U48" s="37">
        <f t="shared" si="3"/>
        <v>4</v>
      </c>
      <c r="V48" s="38">
        <f t="shared" si="4"/>
        <v>56000</v>
      </c>
      <c r="W48" s="39" t="str">
        <f t="shared" si="5"/>
        <v>견적 1</v>
      </c>
    </row>
    <row r="49" spans="1:23" ht="34.700000000000003" customHeight="1" x14ac:dyDescent="0.3">
      <c r="A49" s="9" t="s">
        <v>553</v>
      </c>
      <c r="B49" s="10" t="s">
        <v>550</v>
      </c>
      <c r="C49" s="10" t="s">
        <v>551</v>
      </c>
      <c r="D49" s="9" t="s">
        <v>106</v>
      </c>
      <c r="E49" s="22">
        <v>0</v>
      </c>
      <c r="F49" s="9"/>
      <c r="G49" s="22">
        <v>0</v>
      </c>
      <c r="H49" s="9"/>
      <c r="I49" s="22">
        <v>83000</v>
      </c>
      <c r="J49" s="9" t="s">
        <v>777</v>
      </c>
      <c r="K49" s="22">
        <v>56000</v>
      </c>
      <c r="L49" s="9" t="s">
        <v>776</v>
      </c>
      <c r="M49" s="22">
        <v>0</v>
      </c>
      <c r="N49" s="9"/>
      <c r="O49" s="22">
        <v>56000</v>
      </c>
      <c r="P49" s="23" t="s">
        <v>713</v>
      </c>
      <c r="Q49" s="15"/>
      <c r="R49" s="17" t="s">
        <v>554</v>
      </c>
      <c r="S49" s="3" t="str">
        <f ca="1">HYPERLINK("#"&amp;재료비목록표!G2&amp;"!A"&amp;ROW(재료비목록표!A48),"자재45 →")</f>
        <v>자재45 →</v>
      </c>
      <c r="T49" s="36">
        <v>56000</v>
      </c>
      <c r="U49" s="37">
        <f t="shared" si="3"/>
        <v>4</v>
      </c>
      <c r="V49" s="38">
        <f t="shared" si="4"/>
        <v>56000</v>
      </c>
      <c r="W49" s="39" t="str">
        <f t="shared" si="5"/>
        <v>견적 1</v>
      </c>
    </row>
    <row r="50" spans="1:23" ht="34.700000000000003" customHeight="1" x14ac:dyDescent="0.3">
      <c r="A50" s="9" t="s">
        <v>555</v>
      </c>
      <c r="B50" s="10" t="s">
        <v>550</v>
      </c>
      <c r="C50" s="10" t="s">
        <v>556</v>
      </c>
      <c r="D50" s="9" t="s">
        <v>106</v>
      </c>
      <c r="E50" s="22">
        <v>0</v>
      </c>
      <c r="F50" s="9"/>
      <c r="G50" s="22">
        <v>0</v>
      </c>
      <c r="H50" s="9"/>
      <c r="I50" s="22">
        <v>220000</v>
      </c>
      <c r="J50" s="9" t="s">
        <v>778</v>
      </c>
      <c r="K50" s="22">
        <v>0</v>
      </c>
      <c r="L50" s="9"/>
      <c r="M50" s="22">
        <v>0</v>
      </c>
      <c r="N50" s="9"/>
      <c r="O50" s="22">
        <v>220000</v>
      </c>
      <c r="P50" s="23" t="s">
        <v>712</v>
      </c>
      <c r="Q50" s="15"/>
      <c r="R50" s="17" t="s">
        <v>557</v>
      </c>
      <c r="S50" s="3" t="str">
        <f ca="1">HYPERLINK("#"&amp;재료비목록표!G2&amp;"!A"&amp;ROW(재료비목록표!A49),"자재46 →")</f>
        <v>자재46 →</v>
      </c>
      <c r="T50" s="36">
        <v>220000</v>
      </c>
      <c r="U50" s="37">
        <f t="shared" si="3"/>
        <v>3</v>
      </c>
      <c r="V50" s="38">
        <f t="shared" si="4"/>
        <v>220000</v>
      </c>
      <c r="W50" s="39" t="str">
        <f t="shared" si="5"/>
        <v>물.정</v>
      </c>
    </row>
    <row r="51" spans="1:23" ht="34.700000000000003" customHeight="1" x14ac:dyDescent="0.3">
      <c r="A51" s="9" t="s">
        <v>558</v>
      </c>
      <c r="B51" s="10" t="s">
        <v>559</v>
      </c>
      <c r="C51" s="10" t="s">
        <v>560</v>
      </c>
      <c r="D51" s="9" t="s">
        <v>115</v>
      </c>
      <c r="E51" s="22">
        <v>0</v>
      </c>
      <c r="F51" s="9"/>
      <c r="G51" s="22">
        <v>245000</v>
      </c>
      <c r="H51" s="9" t="s">
        <v>779</v>
      </c>
      <c r="I51" s="22">
        <v>245000</v>
      </c>
      <c r="J51" s="9" t="s">
        <v>780</v>
      </c>
      <c r="K51" s="22">
        <v>0</v>
      </c>
      <c r="L51" s="9"/>
      <c r="M51" s="22">
        <v>0</v>
      </c>
      <c r="N51" s="9"/>
      <c r="O51" s="22">
        <v>245000</v>
      </c>
      <c r="P51" s="23"/>
      <c r="Q51" s="15"/>
      <c r="R51" s="17" t="s">
        <v>561</v>
      </c>
      <c r="S51" s="3" t="str">
        <f ca="1">HYPERLINK("#"&amp;재료비목록표!G2&amp;"!A"&amp;ROW(재료비목록표!A50),"자재47 →")</f>
        <v>자재47 →</v>
      </c>
      <c r="T51" s="36">
        <v>245000</v>
      </c>
      <c r="U51" s="37">
        <f t="shared" si="3"/>
        <v>2</v>
      </c>
      <c r="V51" s="38">
        <f t="shared" si="4"/>
        <v>245000</v>
      </c>
      <c r="W51" s="39" t="str">
        <f t="shared" si="5"/>
        <v>물.자</v>
      </c>
    </row>
    <row r="52" spans="1:23" ht="34.700000000000003" customHeight="1" x14ac:dyDescent="0.3">
      <c r="A52" s="9" t="s">
        <v>562</v>
      </c>
      <c r="B52" s="10" t="s">
        <v>563</v>
      </c>
      <c r="C52" s="10" t="s">
        <v>564</v>
      </c>
      <c r="D52" s="9" t="s">
        <v>106</v>
      </c>
      <c r="E52" s="22">
        <v>0</v>
      </c>
      <c r="F52" s="9"/>
      <c r="G52" s="22">
        <v>0</v>
      </c>
      <c r="H52" s="9"/>
      <c r="I52" s="22">
        <v>6000</v>
      </c>
      <c r="J52" s="9" t="s">
        <v>775</v>
      </c>
      <c r="K52" s="22">
        <v>0</v>
      </c>
      <c r="L52" s="9"/>
      <c r="M52" s="22">
        <v>0</v>
      </c>
      <c r="N52" s="9"/>
      <c r="O52" s="22">
        <v>6000</v>
      </c>
      <c r="P52" s="23" t="s">
        <v>712</v>
      </c>
      <c r="Q52" s="15"/>
      <c r="R52" s="17" t="s">
        <v>565</v>
      </c>
      <c r="S52" s="3" t="str">
        <f ca="1">HYPERLINK("#"&amp;재료비목록표!G2&amp;"!A"&amp;ROW(재료비목록표!A51),"자재48 →")</f>
        <v>자재48 →</v>
      </c>
      <c r="T52" s="36">
        <v>6000</v>
      </c>
      <c r="U52" s="37">
        <f t="shared" si="3"/>
        <v>3</v>
      </c>
      <c r="V52" s="38">
        <f t="shared" si="4"/>
        <v>6000</v>
      </c>
      <c r="W52" s="39" t="str">
        <f t="shared" si="5"/>
        <v>물.정</v>
      </c>
    </row>
    <row r="53" spans="1:23" ht="34.700000000000003" customHeight="1" x14ac:dyDescent="0.3">
      <c r="A53" s="9" t="s">
        <v>566</v>
      </c>
      <c r="B53" s="10" t="s">
        <v>567</v>
      </c>
      <c r="C53" s="10" t="s">
        <v>390</v>
      </c>
      <c r="D53" s="9" t="s">
        <v>156</v>
      </c>
      <c r="E53" s="22">
        <v>0</v>
      </c>
      <c r="F53" s="9"/>
      <c r="G53" s="22">
        <v>25010</v>
      </c>
      <c r="H53" s="9" t="s">
        <v>781</v>
      </c>
      <c r="I53" s="22">
        <v>25010</v>
      </c>
      <c r="J53" s="9" t="s">
        <v>782</v>
      </c>
      <c r="K53" s="22">
        <v>0</v>
      </c>
      <c r="L53" s="9"/>
      <c r="M53" s="22">
        <v>25010</v>
      </c>
      <c r="N53" s="9" t="s">
        <v>783</v>
      </c>
      <c r="O53" s="22">
        <v>25010</v>
      </c>
      <c r="P53" s="23" t="s">
        <v>711</v>
      </c>
      <c r="Q53" s="15"/>
      <c r="R53" s="17" t="s">
        <v>568</v>
      </c>
      <c r="S53" s="3" t="str">
        <f ca="1">HYPERLINK("#"&amp;재료비목록표!G2&amp;"!A"&amp;ROW(재료비목록표!A52),"자재49 →")</f>
        <v>자재49 →</v>
      </c>
      <c r="T53" s="36">
        <v>25010</v>
      </c>
      <c r="U53" s="37">
        <f t="shared" si="3"/>
        <v>2</v>
      </c>
      <c r="V53" s="38">
        <f t="shared" si="4"/>
        <v>25010</v>
      </c>
      <c r="W53" s="39" t="str">
        <f t="shared" si="5"/>
        <v>물.자</v>
      </c>
    </row>
    <row r="54" spans="1:23" ht="34.700000000000003" customHeight="1" x14ac:dyDescent="0.3">
      <c r="A54" s="9" t="s">
        <v>569</v>
      </c>
      <c r="B54" s="10" t="s">
        <v>570</v>
      </c>
      <c r="C54" s="10" t="s">
        <v>571</v>
      </c>
      <c r="D54" s="9" t="s">
        <v>106</v>
      </c>
      <c r="E54" s="22">
        <v>0</v>
      </c>
      <c r="F54" s="9"/>
      <c r="G54" s="22">
        <v>0</v>
      </c>
      <c r="H54" s="9"/>
      <c r="I54" s="22">
        <v>0</v>
      </c>
      <c r="J54" s="9"/>
      <c r="K54" s="22">
        <v>59000</v>
      </c>
      <c r="L54" s="9"/>
      <c r="M54" s="22">
        <v>0</v>
      </c>
      <c r="N54" s="9"/>
      <c r="O54" s="22">
        <v>59000</v>
      </c>
      <c r="P54" s="23" t="s">
        <v>713</v>
      </c>
      <c r="Q54" s="15"/>
      <c r="R54" s="17" t="s">
        <v>572</v>
      </c>
      <c r="S54" s="3" t="str">
        <f ca="1">HYPERLINK("#"&amp;재료비목록표!G2&amp;"!A"&amp;ROW(재료비목록표!A53),"자재50 →")</f>
        <v>자재50 →</v>
      </c>
      <c r="T54" s="36">
        <v>59000</v>
      </c>
      <c r="U54" s="37">
        <f t="shared" si="3"/>
        <v>4</v>
      </c>
      <c r="V54" s="38">
        <f t="shared" si="4"/>
        <v>59000</v>
      </c>
      <c r="W54" s="39" t="str">
        <f t="shared" si="5"/>
        <v>견적 1</v>
      </c>
    </row>
    <row r="55" spans="1:23" ht="34.700000000000003" customHeight="1" x14ac:dyDescent="0.3">
      <c r="A55" s="9" t="s">
        <v>573</v>
      </c>
      <c r="B55" s="10" t="s">
        <v>574</v>
      </c>
      <c r="C55" s="10" t="s">
        <v>575</v>
      </c>
      <c r="D55" s="9" t="s">
        <v>14</v>
      </c>
      <c r="E55" s="22">
        <v>15283</v>
      </c>
      <c r="F55" s="9" t="s">
        <v>722</v>
      </c>
      <c r="G55" s="22">
        <v>14750</v>
      </c>
      <c r="H55" s="9" t="s">
        <v>784</v>
      </c>
      <c r="I55" s="22">
        <v>0</v>
      </c>
      <c r="J55" s="9"/>
      <c r="K55" s="22">
        <v>0</v>
      </c>
      <c r="L55" s="9"/>
      <c r="M55" s="22">
        <v>15184</v>
      </c>
      <c r="N55" s="9" t="s">
        <v>785</v>
      </c>
      <c r="O55" s="22">
        <v>14750</v>
      </c>
      <c r="P55" s="23" t="s">
        <v>711</v>
      </c>
      <c r="Q55" s="15" t="s">
        <v>721</v>
      </c>
      <c r="R55" s="17" t="s">
        <v>576</v>
      </c>
      <c r="S55" s="3" t="str">
        <f ca="1">HYPERLINK("#"&amp;재료비목록표!G2&amp;"!A"&amp;ROW(재료비목록표!A54),"자재51 →")</f>
        <v>자재51 →</v>
      </c>
      <c r="T55" s="36">
        <v>14750</v>
      </c>
      <c r="U55" s="37">
        <f t="shared" si="3"/>
        <v>2</v>
      </c>
      <c r="V55" s="38">
        <f t="shared" si="4"/>
        <v>14750</v>
      </c>
      <c r="W55" s="39" t="str">
        <f t="shared" si="5"/>
        <v>물.자</v>
      </c>
    </row>
    <row r="56" spans="1:23" ht="34.700000000000003" customHeight="1" x14ac:dyDescent="0.3">
      <c r="A56" s="9" t="s">
        <v>577</v>
      </c>
      <c r="B56" s="10" t="s">
        <v>578</v>
      </c>
      <c r="C56" s="10" t="s">
        <v>579</v>
      </c>
      <c r="D56" s="9" t="s">
        <v>115</v>
      </c>
      <c r="E56" s="22">
        <v>0</v>
      </c>
      <c r="F56" s="9"/>
      <c r="G56" s="22">
        <v>26000</v>
      </c>
      <c r="H56" s="9" t="s">
        <v>745</v>
      </c>
      <c r="I56" s="22">
        <v>30000</v>
      </c>
      <c r="J56" s="9" t="s">
        <v>746</v>
      </c>
      <c r="K56" s="22">
        <v>0</v>
      </c>
      <c r="L56" s="9"/>
      <c r="M56" s="22">
        <v>27000</v>
      </c>
      <c r="N56" s="9" t="s">
        <v>786</v>
      </c>
      <c r="O56" s="22">
        <v>26000</v>
      </c>
      <c r="P56" s="23" t="s">
        <v>711</v>
      </c>
      <c r="Q56" s="15"/>
      <c r="R56" s="17" t="s">
        <v>580</v>
      </c>
      <c r="S56" s="3" t="str">
        <f ca="1">HYPERLINK("#"&amp;재료비목록표!G2&amp;"!A"&amp;ROW(재료비목록표!A55),"자재52 →")</f>
        <v>자재52 →</v>
      </c>
      <c r="T56" s="36">
        <v>26000</v>
      </c>
      <c r="U56" s="37">
        <f t="shared" si="3"/>
        <v>2</v>
      </c>
      <c r="V56" s="38">
        <f t="shared" si="4"/>
        <v>26000</v>
      </c>
      <c r="W56" s="39" t="str">
        <f t="shared" si="5"/>
        <v>물.자</v>
      </c>
    </row>
    <row r="57" spans="1:23" ht="34.700000000000003" customHeight="1" x14ac:dyDescent="0.3">
      <c r="A57" s="9" t="s">
        <v>581</v>
      </c>
      <c r="B57" s="10" t="s">
        <v>582</v>
      </c>
      <c r="C57" s="10" t="s">
        <v>583</v>
      </c>
      <c r="D57" s="9" t="s">
        <v>417</v>
      </c>
      <c r="E57" s="22">
        <v>1805</v>
      </c>
      <c r="F57" s="9" t="s">
        <v>722</v>
      </c>
      <c r="G57" s="22">
        <v>2020</v>
      </c>
      <c r="H57" s="9" t="s">
        <v>765</v>
      </c>
      <c r="I57" s="34">
        <v>2078.9899999999998</v>
      </c>
      <c r="J57" s="9" t="s">
        <v>766</v>
      </c>
      <c r="K57" s="22">
        <v>0</v>
      </c>
      <c r="L57" s="9"/>
      <c r="M57" s="22">
        <v>2029</v>
      </c>
      <c r="N57" s="9" t="s">
        <v>767</v>
      </c>
      <c r="O57" s="22">
        <v>1805</v>
      </c>
      <c r="P57" s="23" t="s">
        <v>710</v>
      </c>
      <c r="Q57" s="15"/>
      <c r="R57" s="17" t="s">
        <v>584</v>
      </c>
      <c r="S57" s="3" t="str">
        <f ca="1">HYPERLINK("#"&amp;재료비목록표!G2&amp;"!A"&amp;ROW(재료비목록표!A56),"자재53 →")</f>
        <v>자재53 →</v>
      </c>
      <c r="T57" s="36">
        <v>1805</v>
      </c>
      <c r="U57" s="37">
        <f t="shared" si="3"/>
        <v>1</v>
      </c>
      <c r="V57" s="38">
        <f t="shared" si="4"/>
        <v>1805</v>
      </c>
      <c r="W57" s="39" t="str">
        <f t="shared" si="5"/>
        <v>가.정</v>
      </c>
    </row>
  </sheetData>
  <mergeCells count="13">
    <mergeCell ref="O3:P3"/>
    <mergeCell ref="Q3:Q4"/>
    <mergeCell ref="U3:W3"/>
    <mergeCell ref="A1:Q1"/>
    <mergeCell ref="A3:A4"/>
    <mergeCell ref="B3:B4"/>
    <mergeCell ref="C3:C4"/>
    <mergeCell ref="D3:D4"/>
    <mergeCell ref="E3:F3"/>
    <mergeCell ref="G3:H3"/>
    <mergeCell ref="I3:J3"/>
    <mergeCell ref="K3:L3"/>
    <mergeCell ref="M3:N3"/>
  </mergeCells>
  <phoneticPr fontId="25" type="noConversion"/>
  <conditionalFormatting sqref="V5:V57">
    <cfRule type="expression" dxfId="0" priority="1" stopIfTrue="1">
      <formula>$O5&lt;&gt;$V5</formula>
    </cfRule>
  </conditionalFormatting>
  <hyperlinks>
    <hyperlink ref="S1" r:id="rId1" tooltip="설계예산시스템(STmate w26.05)으로 작성 하였으며,_x000a_엑셀 인쇄품질 600 dpi에 최적화 되어 있습니다._x000a_경영정보(주) http://www.stma.co.kr_x000a_Tel) 070-4350-0040_x000a_Fax) 0505-300-3948" xr:uid="{13C56844-B393-48CD-A8F4-002ECD87B02C}"/>
    <hyperlink ref="R1" r:id="rId2" tooltip="설계예산시스템(STmate w26.05)으로 작성 하였으며,_x000a_엑셀 인쇄품질 600 dpi에 최적화 되어 있습니다._x000a_경영정보(주) http://www.stma.co.kr_x000a_Tel) 070-4350-0040_x000a_Fax) 0505-300-3948" xr:uid="{43B7D994-C559-4109-A4AA-7F9D6CF66FE6}"/>
  </hyperlinks>
  <printOptions horizontalCentered="1"/>
  <pageMargins left="0.78740157480314965" right="0.78740157480314965" top="0.59055118110236215" bottom="0.55118110236220474" header="0" footer="0.35433070866141736"/>
  <pageSetup paperSize="9" scale="61" fitToWidth="0" fitToHeight="0" orientation="landscape" r:id="rId3"/>
  <headerFooter alignWithMargins="0">
    <oddFooter xml:space="preserve">&amp;R&amp;"굴림체,"&amp;9 </oddFooter>
  </headerFooter>
  <legacyDrawing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4FCC-B4E8-4F9D-BB76-E502691F9F19}">
  <sheetPr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112" customWidth="1"/>
    <col min="2" max="2" width="16.75" style="112" customWidth="1"/>
    <col min="3" max="3" width="15.25" style="112" customWidth="1"/>
    <col min="4" max="24" width="2.5" style="112" customWidth="1"/>
    <col min="25" max="16384" width="9.125" style="112"/>
  </cols>
  <sheetData>
    <row r="2" spans="2:24" ht="19.5" x14ac:dyDescent="0.3">
      <c r="B2" s="160" t="s">
        <v>2527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</row>
    <row r="4" spans="2:24" hidden="1" x14ac:dyDescent="0.3">
      <c r="B4" s="113" t="s">
        <v>2528</v>
      </c>
      <c r="C4" s="116" t="b">
        <f ca="1">ISERROR(SUM(C6:X15,C18:X23))</f>
        <v>0</v>
      </c>
      <c r="D4" s="119">
        <f>ROW(C24)</f>
        <v>24</v>
      </c>
    </row>
    <row r="5" spans="2:24" hidden="1" x14ac:dyDescent="0.3">
      <c r="B5" s="114" t="s">
        <v>2529</v>
      </c>
      <c r="C5" s="114" t="s">
        <v>2530</v>
      </c>
      <c r="D5" s="114" t="s">
        <v>2531</v>
      </c>
      <c r="E5" s="114" t="s">
        <v>2532</v>
      </c>
      <c r="F5" s="114" t="s">
        <v>2533</v>
      </c>
      <c r="G5" s="114" t="s">
        <v>2534</v>
      </c>
      <c r="H5" s="114" t="s">
        <v>1400</v>
      </c>
      <c r="I5" s="114" t="s">
        <v>2535</v>
      </c>
      <c r="J5" s="114" t="s">
        <v>2536</v>
      </c>
      <c r="K5" s="114" t="s">
        <v>2537</v>
      </c>
      <c r="L5" s="114" t="s">
        <v>2538</v>
      </c>
      <c r="M5" s="114" t="s">
        <v>2539</v>
      </c>
      <c r="N5" s="114" t="s">
        <v>2540</v>
      </c>
      <c r="O5" s="114" t="s">
        <v>2541</v>
      </c>
      <c r="P5" s="114" t="s">
        <v>2542</v>
      </c>
      <c r="Q5" s="114" t="s">
        <v>2543</v>
      </c>
      <c r="R5" s="114" t="s">
        <v>2544</v>
      </c>
      <c r="S5" s="114" t="s">
        <v>2545</v>
      </c>
      <c r="T5" s="114" t="s">
        <v>2546</v>
      </c>
      <c r="U5" s="114" t="s">
        <v>2547</v>
      </c>
      <c r="V5" s="114" t="s">
        <v>2548</v>
      </c>
      <c r="W5" s="114" t="s">
        <v>2549</v>
      </c>
      <c r="X5" s="114" t="s">
        <v>2550</v>
      </c>
    </row>
    <row r="6" spans="2:24" hidden="1" x14ac:dyDescent="0.3">
      <c r="B6" s="115" t="s">
        <v>2551</v>
      </c>
      <c r="C6" s="117" t="str">
        <f ca="1">IF(D6="","재료비목록표",MID(D6,FIND("]",D6)+1,LEN(D6)))</f>
        <v>재료비목록표</v>
      </c>
      <c r="D6" s="117" t="str">
        <f ca="1">CELL("filename",재료비목록표!A1)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이설공사).xlsx]재료비목록표</v>
      </c>
      <c r="E6" s="120"/>
      <c r="F6" s="121">
        <f ca="1">HYPERLINK("#"&amp;C6&amp;"!"&amp;ADDRESS(3,COLUMN(재료비목록표!B1),1),COLUMN(재료비목록표!B1))</f>
        <v>2</v>
      </c>
      <c r="G6" s="121">
        <f ca="1">HYPERLINK("#"&amp;C6&amp;"!"&amp;ADDRESS(3,COLUMN(재료비목록표!C1),1),COLUMN(재료비목록표!C1))</f>
        <v>3</v>
      </c>
      <c r="H6" s="120"/>
      <c r="I6" s="121">
        <f ca="1">HYPERLINK("#"&amp;C6&amp;"!"&amp;ADDRESS(3,COLUMN(재료비목록표!D1),1),COLUMN(재료비목록표!D1))</f>
        <v>4</v>
      </c>
      <c r="J6" s="121">
        <f ca="1">HYPERLINK("#"&amp;C6&amp;"!A"&amp;ROW(재료비목록표!A4),ROW(재료비목록표!A4))</f>
        <v>4</v>
      </c>
      <c r="K6" s="121">
        <f ca="1">HYPERLINK("#"&amp;C6&amp;"!A"&amp;ROW(재료비목록표!A56),ROW(재료비목록표!A56))</f>
        <v>56</v>
      </c>
      <c r="L6" s="121">
        <f ca="1">HYPERLINK("#"&amp;C6&amp;"!"&amp;ADDRESS(3,COLUMN(재료비목록표!E1),1),COLUMN(재료비목록표!E1))</f>
        <v>5</v>
      </c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1">
        <f ca="1">HYPERLINK("#"&amp;C6&amp;"!"&amp;ADDRESS(3,COLUMN(재료비목록표!G1),1),COLUMN(재료비목록표!G1))</f>
        <v>7</v>
      </c>
    </row>
    <row r="7" spans="2:24" hidden="1" x14ac:dyDescent="0.3">
      <c r="B7" s="115" t="s">
        <v>2552</v>
      </c>
      <c r="C7" s="117" t="str">
        <f ca="1">IF(D7="","노무비목록표",MID(D7,FIND("]",D7)+1,LEN(D7)))</f>
        <v>노무비목록표</v>
      </c>
      <c r="D7" s="117" t="str">
        <f ca="1">CELL("filename",노무비목록표!A1)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이설공사).xlsx]노무비목록표</v>
      </c>
      <c r="E7" s="120"/>
      <c r="F7" s="121">
        <f ca="1">HYPERLINK("#"&amp;C7&amp;"!"&amp;ADDRESS(3,COLUMN(노무비목록표!B1),1),COLUMN(노무비목록표!B1))</f>
        <v>2</v>
      </c>
      <c r="G7" s="121">
        <f ca="1">HYPERLINK("#"&amp;C7&amp;"!"&amp;ADDRESS(3,COLUMN(노무비목록표!C1),1),COLUMN(노무비목록표!C1))</f>
        <v>3</v>
      </c>
      <c r="H7" s="120"/>
      <c r="I7" s="121">
        <f ca="1">HYPERLINK("#"&amp;C7&amp;"!"&amp;ADDRESS(3,COLUMN(노무비목록표!D1),1),COLUMN(노무비목록표!D1))</f>
        <v>4</v>
      </c>
      <c r="J7" s="121">
        <f ca="1">HYPERLINK("#"&amp;C7&amp;"!A"&amp;ROW(노무비목록표!A4),ROW(노무비목록표!A4))</f>
        <v>4</v>
      </c>
      <c r="K7" s="121">
        <f ca="1">HYPERLINK("#"&amp;C7&amp;"!A"&amp;ROW(노무비목록표!A17),ROW(노무비목록표!A17))</f>
        <v>17</v>
      </c>
      <c r="L7" s="121">
        <f ca="1">HYPERLINK("#"&amp;C7&amp;"!"&amp;ADDRESS(3,COLUMN(노무비목록표!E1),1),COLUMN(노무비목록표!E1))</f>
        <v>5</v>
      </c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1">
        <f ca="1">HYPERLINK("#"&amp;C7&amp;"!"&amp;ADDRESS(3,COLUMN(노무비목록표!G1),1),COLUMN(노무비목록표!G1))</f>
        <v>7</v>
      </c>
    </row>
    <row r="8" spans="2:24" hidden="1" x14ac:dyDescent="0.3">
      <c r="B8" s="115" t="s">
        <v>2553</v>
      </c>
      <c r="C8" s="117" t="str">
        <f ca="1">IF(D8="","경비목록표",MID(D8,FIND("]",D8)+1,LEN(D8)))</f>
        <v>경비목록표</v>
      </c>
      <c r="D8" s="117" t="str">
        <f ca="1">CELL("filename",경비목록표!A1)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이설공사).xlsx]경비목록표</v>
      </c>
      <c r="E8" s="120"/>
      <c r="F8" s="121">
        <f ca="1">HYPERLINK("#"&amp;C8&amp;"!"&amp;ADDRESS(3,COLUMN(경비목록표!B1),1),COLUMN(경비목록표!B1))</f>
        <v>2</v>
      </c>
      <c r="G8" s="121">
        <f ca="1">HYPERLINK("#"&amp;C8&amp;"!"&amp;ADDRESS(3,COLUMN(경비목록표!C1),1),COLUMN(경비목록표!C1))</f>
        <v>3</v>
      </c>
      <c r="H8" s="120"/>
      <c r="I8" s="121">
        <f ca="1">HYPERLINK("#"&amp;C8&amp;"!"&amp;ADDRESS(3,COLUMN(경비목록표!D1),1),COLUMN(경비목록표!D1))</f>
        <v>4</v>
      </c>
      <c r="J8" s="121">
        <f ca="1">HYPERLINK("#"&amp;C8&amp;"!A"&amp;ROW(경비목록표!A4),ROW(경비목록표!A4))</f>
        <v>4</v>
      </c>
      <c r="K8" s="121">
        <f ca="1">HYPERLINK("#"&amp;C8&amp;"!A"&amp;ROW(경비목록표!A42),ROW(경비목록표!A42))</f>
        <v>42</v>
      </c>
      <c r="L8" s="121">
        <f ca="1">HYPERLINK("#"&amp;C8&amp;"!"&amp;ADDRESS(3,COLUMN(경비목록표!E1),1),COLUMN(경비목록표!E1))</f>
        <v>5</v>
      </c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1">
        <f ca="1">HYPERLINK("#"&amp;C8&amp;"!"&amp;ADDRESS(3,COLUMN(경비목록표!G1),1),COLUMN(경비목록표!G1))</f>
        <v>7</v>
      </c>
    </row>
    <row r="9" spans="2:24" hidden="1" x14ac:dyDescent="0.3">
      <c r="B9" s="115" t="s">
        <v>2554</v>
      </c>
      <c r="C9" s="117" t="str">
        <f ca="1">IF(D9="","일식견적목록표",MID(D9,FIND("]",D9)+1,LEN(D9)))</f>
        <v>일식견적목록표</v>
      </c>
      <c r="D9" s="117" t="str">
        <f ca="1">CELL("filename",일식견적목록표!A1)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이설공사).xlsx]일식견적목록표</v>
      </c>
      <c r="E9" s="120"/>
      <c r="F9" s="121">
        <f ca="1">HYPERLINK("#"&amp;C9&amp;"!"&amp;ADDRESS(3,COLUMN(일식견적목록표!B1),1),COLUMN(일식견적목록표!B1))</f>
        <v>2</v>
      </c>
      <c r="G9" s="121">
        <f ca="1">HYPERLINK("#"&amp;C9&amp;"!"&amp;ADDRESS(3,COLUMN(일식견적목록표!C1),1),COLUMN(일식견적목록표!C1))</f>
        <v>3</v>
      </c>
      <c r="H9" s="120"/>
      <c r="I9" s="121">
        <f ca="1">HYPERLINK("#"&amp;C9&amp;"!"&amp;ADDRESS(3,COLUMN(일식견적목록표!D1),1),COLUMN(일식견적목록표!D1))</f>
        <v>4</v>
      </c>
      <c r="J9" s="121">
        <f ca="1">HYPERLINK("#"&amp;C9&amp;"!A"&amp;ROW(일식견적목록표!A4),ROW(일식견적목록표!A4))</f>
        <v>4</v>
      </c>
      <c r="K9" s="121">
        <f ca="1">HYPERLINK("#"&amp;C9&amp;"!A"&amp;ROW(일식견적목록표!A6),ROW(일식견적목록표!A6))</f>
        <v>6</v>
      </c>
      <c r="L9" s="121">
        <f ca="1">HYPERLINK("#"&amp;C9&amp;"!"&amp;ADDRESS(3,COLUMN(일식견적목록표!E1),1),COLUMN(일식견적목록표!E1))</f>
        <v>5</v>
      </c>
      <c r="M9" s="120"/>
      <c r="N9" s="121">
        <f ca="1">HYPERLINK("#"&amp;C9&amp;"!"&amp;ADDRESS(3,COLUMN(일식견적목록표!G1),1),COLUMN(일식견적목록표!G1))</f>
        <v>7</v>
      </c>
      <c r="O9" s="120"/>
      <c r="P9" s="121">
        <f ca="1">HYPERLINK("#"&amp;C9&amp;"!"&amp;ADDRESS(3,COLUMN(일식견적목록표!F1),1),COLUMN(일식견적목록표!F1))</f>
        <v>6</v>
      </c>
      <c r="Q9" s="120"/>
      <c r="R9" s="121">
        <f ca="1">HYPERLINK("#"&amp;C9&amp;"!"&amp;ADDRESS(3,COLUMN(일식견적목록표!H1),1),COLUMN(일식견적목록표!H1))</f>
        <v>8</v>
      </c>
      <c r="S9" s="120"/>
      <c r="T9" s="120"/>
      <c r="U9" s="120"/>
      <c r="V9" s="120"/>
      <c r="W9" s="120"/>
      <c r="X9" s="121">
        <f ca="1">HYPERLINK("#"&amp;C9&amp;"!"&amp;ADDRESS(3,COLUMN(일식견적목록표!J1),1),COLUMN(일식견적목록표!J1))</f>
        <v>10</v>
      </c>
    </row>
    <row r="10" spans="2:24" hidden="1" x14ac:dyDescent="0.3">
      <c r="B10" s="115" t="s">
        <v>2555</v>
      </c>
      <c r="C10" s="117" t="str">
        <f ca="1">IF(D10="","환율및기초자료",MID(D10,FIND("]",D10)+1,LEN(D10)))</f>
        <v>환율및기초자료</v>
      </c>
      <c r="D10" s="117" t="str">
        <f ca="1">CELL("filename",환율및기초자료!A1)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이설공사).xlsx]환율및기초자료</v>
      </c>
      <c r="E10" s="121">
        <f ca="1">HYPERLINK("#"&amp;C10&amp;"!"&amp;ADDRESS(5,COLUMN(환율및기초자료!B1),1),COLUMN(환율및기초자료!B1))</f>
        <v>2</v>
      </c>
      <c r="F10" s="121">
        <f ca="1">HYPERLINK("#"&amp;C10&amp;"!"&amp;ADDRESS(5,COLUMN(환율및기초자료!C1),1),COLUMN(환율및기초자료!C1))</f>
        <v>3</v>
      </c>
      <c r="G10" s="121">
        <f ca="1">HYPERLINK("#"&amp;C10&amp;"!"&amp;ADDRESS(5,COLUMN(환율및기초자료!D1),1),COLUMN(환율및기초자료!D1))</f>
        <v>4</v>
      </c>
      <c r="H10" s="120"/>
      <c r="I10" s="121">
        <f ca="1">HYPERLINK("#"&amp;C10&amp;"!"&amp;ADDRESS(5,COLUMN(환율및기초자료!E1),1),COLUMN(환율및기초자료!E1))</f>
        <v>5</v>
      </c>
      <c r="J10" s="121">
        <f ca="1">HYPERLINK("#"&amp;C10&amp;"!A"&amp;ROW(환율및기초자료!A6),ROW(환율및기초자료!A6))</f>
        <v>6</v>
      </c>
      <c r="K10" s="121">
        <f ca="1">HYPERLINK("#"&amp;C10&amp;"!A"&amp;ROW(환율및기초자료!A16),ROW(환율및기초자료!A16))</f>
        <v>16</v>
      </c>
      <c r="L10" s="121">
        <f ca="1">HYPERLINK("#"&amp;C10&amp;"!"&amp;ADDRESS(5,COLUMN(환율및기초자료!F1),1),COLUMN(환율및기초자료!F1))</f>
        <v>6</v>
      </c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1">
        <f ca="1">HYPERLINK("#"&amp;C10&amp;"!"&amp;ADDRESS(5,COLUMN(환율및기초자료!I1),1),COLUMN(환율및기초자료!I1))</f>
        <v>9</v>
      </c>
    </row>
    <row r="11" spans="2:24" hidden="1" x14ac:dyDescent="0.3">
      <c r="B11" s="115" t="s">
        <v>2556</v>
      </c>
      <c r="C11" s="117" t="str">
        <f ca="1">IF(D11="","중기목록표",MID(D11,FIND("]",D11)+1,LEN(D11)))</f>
        <v>중기목록표</v>
      </c>
      <c r="D11" s="117" t="str">
        <f ca="1">CELL("filename",중기목록표!A1)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이설공사).xlsx]중기목록표</v>
      </c>
      <c r="E11" s="120"/>
      <c r="F11" s="121">
        <f ca="1">HYPERLINK("#"&amp;C11&amp;"!"&amp;ADDRESS(3,COLUMN(중기목록표!B1),1),COLUMN(중기목록표!B1))</f>
        <v>2</v>
      </c>
      <c r="G11" s="121">
        <f ca="1">HYPERLINK("#"&amp;C11&amp;"!"&amp;ADDRESS(3,COLUMN(중기목록표!C1),1),COLUMN(중기목록표!C1))</f>
        <v>3</v>
      </c>
      <c r="H11" s="120"/>
      <c r="I11" s="121">
        <f ca="1">HYPERLINK("#"&amp;C11&amp;"!"&amp;ADDRESS(3,COLUMN(중기목록표!D1),1),COLUMN(중기목록표!D1))</f>
        <v>4</v>
      </c>
      <c r="J11" s="121">
        <f ca="1">HYPERLINK("#"&amp;C11&amp;"!A"&amp;ROW(중기목록표!A4),ROW(중기목록표!A4))</f>
        <v>4</v>
      </c>
      <c r="K11" s="121">
        <f ca="1">HYPERLINK("#"&amp;C11&amp;"!A"&amp;ROW(중기목록표!A36),ROW(중기목록표!A36))</f>
        <v>36</v>
      </c>
      <c r="L11" s="121">
        <f ca="1">HYPERLINK("#"&amp;C11&amp;"!"&amp;ADDRESS(3,COLUMN(중기목록표!E1),1),COLUMN(중기목록표!E1))</f>
        <v>5</v>
      </c>
      <c r="M11" s="120"/>
      <c r="N11" s="121">
        <f ca="1">HYPERLINK("#"&amp;C11&amp;"!"&amp;ADDRESS(3,COLUMN(중기목록표!G1),1),COLUMN(중기목록표!G1))</f>
        <v>7</v>
      </c>
      <c r="O11" s="120"/>
      <c r="P11" s="121">
        <f ca="1">HYPERLINK("#"&amp;C11&amp;"!"&amp;ADDRESS(3,COLUMN(중기목록표!F1),1),COLUMN(중기목록표!F1))</f>
        <v>6</v>
      </c>
      <c r="Q11" s="120"/>
      <c r="R11" s="121">
        <f ca="1">HYPERLINK("#"&amp;C11&amp;"!"&amp;ADDRESS(3,COLUMN(중기목록표!H1),1),COLUMN(중기목록표!H1))</f>
        <v>8</v>
      </c>
      <c r="S11" s="120"/>
      <c r="T11" s="120"/>
      <c r="U11" s="120"/>
      <c r="V11" s="120"/>
      <c r="W11" s="120"/>
      <c r="X11" s="121">
        <f ca="1">HYPERLINK("#"&amp;C11&amp;"!"&amp;ADDRESS(3,COLUMN(중기목록표!J1),1),COLUMN(중기목록표!J1))</f>
        <v>10</v>
      </c>
    </row>
    <row r="12" spans="2:24" hidden="1" x14ac:dyDescent="0.3">
      <c r="B12" s="115" t="s">
        <v>2557</v>
      </c>
      <c r="C12" s="115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</row>
    <row r="13" spans="2:24" hidden="1" x14ac:dyDescent="0.3">
      <c r="B13" s="115" t="s">
        <v>2558</v>
      </c>
      <c r="C13" s="117" t="str">
        <f ca="1">IF(D13="","일위대가목록표",MID(D13,FIND("]",D13)+1,LEN(D13)))</f>
        <v>일위대가목록표</v>
      </c>
      <c r="D13" s="117" t="str">
        <f ca="1">CELL("filename",일위대가목록표!A1)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이설공사).xlsx]일위대가목록표</v>
      </c>
      <c r="E13" s="120"/>
      <c r="F13" s="121">
        <f ca="1">HYPERLINK("#"&amp;C13&amp;"!"&amp;ADDRESS(3,COLUMN(일위대가목록표!B1),1),COLUMN(일위대가목록표!B1))</f>
        <v>2</v>
      </c>
      <c r="G13" s="121">
        <f ca="1">HYPERLINK("#"&amp;C13&amp;"!"&amp;ADDRESS(3,COLUMN(일위대가목록표!C1),1),COLUMN(일위대가목록표!C1))</f>
        <v>3</v>
      </c>
      <c r="H13" s="120"/>
      <c r="I13" s="121">
        <f ca="1">HYPERLINK("#"&amp;C13&amp;"!"&amp;ADDRESS(3,COLUMN(일위대가목록표!D1),1),COLUMN(일위대가목록표!D1))</f>
        <v>4</v>
      </c>
      <c r="J13" s="121">
        <f ca="1">HYPERLINK("#"&amp;C13&amp;"!A"&amp;ROW(일위대가목록표!A4),ROW(일위대가목록표!A4))</f>
        <v>4</v>
      </c>
      <c r="K13" s="121">
        <f ca="1">HYPERLINK("#"&amp;C13&amp;"!A"&amp;ROW(일위대가목록표!A30),ROW(일위대가목록표!A30))</f>
        <v>30</v>
      </c>
      <c r="L13" s="121">
        <f ca="1">HYPERLINK("#"&amp;C13&amp;"!"&amp;ADDRESS(3,COLUMN(일위대가목록표!E1),1),COLUMN(일위대가목록표!E1))</f>
        <v>5</v>
      </c>
      <c r="M13" s="120"/>
      <c r="N13" s="121">
        <f ca="1">HYPERLINK("#"&amp;C13&amp;"!"&amp;ADDRESS(3,COLUMN(일위대가목록표!G1),1),COLUMN(일위대가목록표!G1))</f>
        <v>7</v>
      </c>
      <c r="O13" s="120"/>
      <c r="P13" s="121">
        <f ca="1">HYPERLINK("#"&amp;C13&amp;"!"&amp;ADDRESS(3,COLUMN(일위대가목록표!F1),1),COLUMN(일위대가목록표!F1))</f>
        <v>6</v>
      </c>
      <c r="Q13" s="120"/>
      <c r="R13" s="121">
        <f ca="1">HYPERLINK("#"&amp;C13&amp;"!"&amp;ADDRESS(3,COLUMN(일위대가목록표!H1),1),COLUMN(일위대가목록표!H1))</f>
        <v>8</v>
      </c>
      <c r="S13" s="120"/>
      <c r="T13" s="120"/>
      <c r="U13" s="120"/>
      <c r="V13" s="120"/>
      <c r="W13" s="120"/>
      <c r="X13" s="121">
        <f ca="1">HYPERLINK("#"&amp;C13&amp;"!"&amp;ADDRESS(3,COLUMN(일위대가목록표!J1),1),COLUMN(일위대가목록표!J1))</f>
        <v>10</v>
      </c>
    </row>
    <row r="14" spans="2:24" hidden="1" x14ac:dyDescent="0.3">
      <c r="B14" s="115" t="s">
        <v>2559</v>
      </c>
      <c r="C14" s="117" t="str">
        <f ca="1">IF(D14="","단가산출근거목록표",MID(D14,FIND("]",D14)+1,LEN(D14)))</f>
        <v>단가산출근거목록표</v>
      </c>
      <c r="D14" s="117" t="str">
        <f ca="1">CELL("filename",단가산출근거목록표!A1)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이설공사).xlsx]단가산출근거목록표</v>
      </c>
      <c r="E14" s="120"/>
      <c r="F14" s="121">
        <f ca="1">HYPERLINK("#"&amp;C14&amp;"!"&amp;ADDRESS(3,COLUMN(단가산출근거목록표!B1),1),COLUMN(단가산출근거목록표!B1))</f>
        <v>2</v>
      </c>
      <c r="G14" s="121">
        <f ca="1">HYPERLINK("#"&amp;C14&amp;"!"&amp;ADDRESS(3,COLUMN(단가산출근거목록표!C1),1),COLUMN(단가산출근거목록표!C1))</f>
        <v>3</v>
      </c>
      <c r="H14" s="120"/>
      <c r="I14" s="121">
        <f ca="1">HYPERLINK("#"&amp;C14&amp;"!"&amp;ADDRESS(3,COLUMN(단가산출근거목록표!D1),1),COLUMN(단가산출근거목록표!D1))</f>
        <v>4</v>
      </c>
      <c r="J14" s="121">
        <f ca="1">HYPERLINK("#"&amp;C14&amp;"!A"&amp;ROW(단가산출근거목록표!A4),ROW(단가산출근거목록표!A4))</f>
        <v>4</v>
      </c>
      <c r="K14" s="121">
        <f ca="1">HYPERLINK("#"&amp;C14&amp;"!A"&amp;ROW(단가산출근거목록표!A45),ROW(단가산출근거목록표!A45))</f>
        <v>45</v>
      </c>
      <c r="L14" s="121">
        <f ca="1">HYPERLINK("#"&amp;C14&amp;"!"&amp;ADDRESS(3,COLUMN(단가산출근거목록표!E1),1),COLUMN(단가산출근거목록표!E1))</f>
        <v>5</v>
      </c>
      <c r="M14" s="120"/>
      <c r="N14" s="121">
        <f ca="1">HYPERLINK("#"&amp;C14&amp;"!"&amp;ADDRESS(3,COLUMN(단가산출근거목록표!G1),1),COLUMN(단가산출근거목록표!G1))</f>
        <v>7</v>
      </c>
      <c r="O14" s="120"/>
      <c r="P14" s="121">
        <f ca="1">HYPERLINK("#"&amp;C14&amp;"!"&amp;ADDRESS(3,COLUMN(단가산출근거목록표!F1),1),COLUMN(단가산출근거목록표!F1))</f>
        <v>6</v>
      </c>
      <c r="Q14" s="120"/>
      <c r="R14" s="121">
        <f ca="1">HYPERLINK("#"&amp;C14&amp;"!"&amp;ADDRESS(3,COLUMN(단가산출근거목록표!H1),1),COLUMN(단가산출근거목록표!H1))</f>
        <v>8</v>
      </c>
      <c r="S14" s="120"/>
      <c r="T14" s="120"/>
      <c r="U14" s="120"/>
      <c r="V14" s="120"/>
      <c r="W14" s="120"/>
      <c r="X14" s="121">
        <f ca="1">HYPERLINK("#"&amp;C14&amp;"!"&amp;ADDRESS(3,COLUMN(단가산출근거목록표!J1),1),COLUMN(단가산출근거목록표!J1))</f>
        <v>10</v>
      </c>
    </row>
    <row r="15" spans="2:24" hidden="1" x14ac:dyDescent="0.3">
      <c r="B15" s="115" t="s">
        <v>2560</v>
      </c>
      <c r="C15" s="117" t="str">
        <f ca="1">IF(D15="","자재단가대비표",MID(D15,FIND("]",D15)+1,LEN(D15)))</f>
        <v>자재단가대비표</v>
      </c>
      <c r="D15" s="117" t="str">
        <f ca="1">CELL("filename",자재단가대비표!A1)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이설공사).xlsx]자재단가대비표</v>
      </c>
      <c r="E15" s="120"/>
      <c r="F15" s="121">
        <f ca="1">HYPERLINK("#"&amp;C15&amp;"!"&amp;ADDRESS(4,COLUMN(자재단가대비표!B1),1),COLUMN(자재단가대비표!B1))</f>
        <v>2</v>
      </c>
      <c r="G15" s="121">
        <f ca="1">HYPERLINK("#"&amp;C15&amp;"!"&amp;ADDRESS(4,COLUMN(자재단가대비표!C1),1),COLUMN(자재단가대비표!C1))</f>
        <v>3</v>
      </c>
      <c r="H15" s="120"/>
      <c r="I15" s="121">
        <f ca="1">HYPERLINK("#"&amp;C15&amp;"!"&amp;ADDRESS(4,COLUMN(자재단가대비표!D1),1),COLUMN(자재단가대비표!D1))</f>
        <v>4</v>
      </c>
      <c r="J15" s="121">
        <f ca="1">HYPERLINK("#"&amp;C15&amp;"!A"&amp;ROW(자재단가대비표!A5),ROW(자재단가대비표!A5))</f>
        <v>5</v>
      </c>
      <c r="K15" s="121">
        <f ca="1">HYPERLINK("#"&amp;C15&amp;"!A"&amp;ROW(자재단가대비표!A57),ROW(자재단가대비표!A57))</f>
        <v>57</v>
      </c>
      <c r="L15" s="121">
        <f ca="1">HYPERLINK("#"&amp;C15&amp;"!"&amp;ADDRESS(4,COLUMN(자재단가대비표!E1),1),COLUMN(자재단가대비표!E1))</f>
        <v>5</v>
      </c>
      <c r="M15" s="121">
        <f ca="1">HYPERLINK("#"&amp;C15&amp;"!"&amp;ADDRESS(4,COLUMN(자재단가대비표!F1),1),COLUMN(자재단가대비표!F1))</f>
        <v>6</v>
      </c>
      <c r="N15" s="121">
        <f ca="1">HYPERLINK("#"&amp;C15&amp;"!"&amp;ADDRESS(4,COLUMN(자재단가대비표!G1),1),COLUMN(자재단가대비표!G1))</f>
        <v>7</v>
      </c>
      <c r="O15" s="121">
        <f ca="1">HYPERLINK("#"&amp;C15&amp;"!"&amp;ADDRESS(4,COLUMN(자재단가대비표!H1),1),COLUMN(자재단가대비표!H1))</f>
        <v>8</v>
      </c>
      <c r="P15" s="121">
        <f ca="1">HYPERLINK("#"&amp;C15&amp;"!"&amp;ADDRESS(4,COLUMN(자재단가대비표!I1),1),COLUMN(자재단가대비표!I1))</f>
        <v>9</v>
      </c>
      <c r="Q15" s="121">
        <f ca="1">HYPERLINK("#"&amp;C15&amp;"!"&amp;ADDRESS(4,COLUMN(자재단가대비표!J1),1),COLUMN(자재단가대비표!J1))</f>
        <v>10</v>
      </c>
      <c r="R15" s="121">
        <f ca="1">HYPERLINK("#"&amp;C15&amp;"!"&amp;ADDRESS(4,COLUMN(자재단가대비표!K1),1),COLUMN(자재단가대비표!K1))</f>
        <v>11</v>
      </c>
      <c r="S15" s="121">
        <f ca="1">HYPERLINK("#"&amp;C15&amp;"!"&amp;ADDRESS(4,COLUMN(자재단가대비표!L1),1),COLUMN(자재단가대비표!L1))</f>
        <v>12</v>
      </c>
      <c r="T15" s="121">
        <f ca="1">HYPERLINK("#"&amp;C15&amp;"!"&amp;ADDRESS(4,COLUMN(자재단가대비표!M1),1),COLUMN(자재단가대비표!M1))</f>
        <v>13</v>
      </c>
      <c r="U15" s="121">
        <f ca="1">HYPERLINK("#"&amp;C15&amp;"!"&amp;ADDRESS(4,COLUMN(자재단가대비표!N1),1),COLUMN(자재단가대비표!N1))</f>
        <v>14</v>
      </c>
      <c r="V15" s="121">
        <f ca="1">HYPERLINK("#"&amp;C15&amp;"!"&amp;ADDRESS(4,COLUMN(자재단가대비표!O1),1),COLUMN(자재단가대비표!O1))</f>
        <v>15</v>
      </c>
      <c r="W15" s="121">
        <f ca="1">HYPERLINK("#"&amp;C15&amp;"!"&amp;ADDRESS(4,COLUMN(자재단가대비표!P1),1),COLUMN(자재단가대비표!P1))</f>
        <v>16</v>
      </c>
      <c r="X15" s="121">
        <f ca="1">HYPERLINK("#"&amp;C15&amp;"!"&amp;ADDRESS(4,COLUMN(자재단가대비표!R1),1),COLUMN(자재단가대비표!R1))</f>
        <v>18</v>
      </c>
    </row>
    <row r="16" spans="2:24" hidden="1" x14ac:dyDescent="0.3">
      <c r="B16" s="115" t="s">
        <v>2561</v>
      </c>
      <c r="C16" s="117" t="str">
        <f ca="1">IF(D16="","설계내역서",MID(D16,FIND("]",D16)+1,LEN(D16)))</f>
        <v>설계내역서</v>
      </c>
      <c r="D16" s="117" t="str">
        <f ca="1">CELL("filename",설계내역서!A1)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이설공사).xlsx]설계내역서</v>
      </c>
      <c r="E16" s="121">
        <f ca="1">HYPERLINK("#"&amp;C16&amp;"!"&amp;ADDRESS(4,COLUMN(설계내역서!A1),1),COLUMN(설계내역서!A1))</f>
        <v>1</v>
      </c>
      <c r="F16" s="121">
        <f ca="1">HYPERLINK("#"&amp;C16&amp;"!"&amp;ADDRESS(4,COLUMN(설계내역서!B1),1),COLUMN(설계내역서!B1))</f>
        <v>2</v>
      </c>
      <c r="G16" s="121">
        <f ca="1">HYPERLINK("#"&amp;C16&amp;"!"&amp;ADDRESS(4,COLUMN(설계내역서!C1),1),COLUMN(설계내역서!C1))</f>
        <v>3</v>
      </c>
      <c r="H16" s="121">
        <f ca="1">HYPERLINK("#"&amp;C16&amp;"!"&amp;ADDRESS(4,COLUMN(설계내역서!D1),1),COLUMN(설계내역서!D1))</f>
        <v>4</v>
      </c>
      <c r="I16" s="121">
        <f ca="1">HYPERLINK("#"&amp;C16&amp;"!"&amp;ADDRESS(4,COLUMN(설계내역서!E1),1),COLUMN(설계내역서!E1))</f>
        <v>5</v>
      </c>
      <c r="J16" s="121">
        <f ca="1">HYPERLINK("#"&amp;C16&amp;"!A"&amp;ROW(설계내역서!A5),ROW(설계내역서!A5))</f>
        <v>5</v>
      </c>
      <c r="K16" s="121">
        <f ca="1">HYPERLINK("#"&amp;C16&amp;"!A"&amp;ROW(설계내역서!A205),ROW(설계내역서!A205))</f>
        <v>205</v>
      </c>
      <c r="L16" s="121">
        <f ca="1">HYPERLINK("#"&amp;C16&amp;"!"&amp;ADDRESS(4,COLUMN(설계내역서!F1),1),COLUMN(설계내역서!F1))</f>
        <v>6</v>
      </c>
      <c r="M16" s="121">
        <f ca="1">HYPERLINK("#"&amp;C16&amp;"!"&amp;ADDRESS(4,COLUMN(설계내역서!G1),1),COLUMN(설계내역서!G1))</f>
        <v>7</v>
      </c>
      <c r="N16" s="121">
        <f ca="1">HYPERLINK("#"&amp;C16&amp;"!"&amp;ADDRESS(4,COLUMN(설계내역서!J1),1),COLUMN(설계내역서!J1))</f>
        <v>10</v>
      </c>
      <c r="O16" s="121">
        <f ca="1">HYPERLINK("#"&amp;C16&amp;"!"&amp;ADDRESS(4,COLUMN(설계내역서!K1),1),COLUMN(설계내역서!K1))</f>
        <v>11</v>
      </c>
      <c r="P16" s="121">
        <f ca="1">HYPERLINK("#"&amp;C16&amp;"!"&amp;ADDRESS(4,COLUMN(설계내역서!H1),1),COLUMN(설계내역서!H1))</f>
        <v>8</v>
      </c>
      <c r="Q16" s="121">
        <f ca="1">HYPERLINK("#"&amp;C16&amp;"!"&amp;ADDRESS(4,COLUMN(설계내역서!I1),1),COLUMN(설계내역서!I1))</f>
        <v>9</v>
      </c>
      <c r="R16" s="121">
        <f ca="1">HYPERLINK("#"&amp;C16&amp;"!"&amp;ADDRESS(4,COLUMN(설계내역서!L1),1),COLUMN(설계내역서!L1))</f>
        <v>12</v>
      </c>
      <c r="S16" s="121">
        <f ca="1">HYPERLINK("#"&amp;C16&amp;"!"&amp;ADDRESS(4,COLUMN(설계내역서!M1),1),COLUMN(설계내역서!M1))</f>
        <v>13</v>
      </c>
      <c r="T16" s="120"/>
      <c r="U16" s="120"/>
      <c r="V16" s="120"/>
      <c r="W16" s="120"/>
      <c r="X16" s="121">
        <f ca="1">HYPERLINK("#"&amp;C16&amp;"!"&amp;ADDRESS(4,COLUMN(설계내역서!O1),1),COLUMN(설계내역서!O1))</f>
        <v>15</v>
      </c>
    </row>
    <row r="17" spans="2:24" hidden="1" x14ac:dyDescent="0.3">
      <c r="B17" s="115" t="s">
        <v>2562</v>
      </c>
      <c r="C17" s="117" t="str">
        <f ca="1">IF(D17="","총괄내역서",MID(D17,FIND("]",D17)+1,LEN(D17)))</f>
        <v>총괄내역서</v>
      </c>
      <c r="D17" s="117" t="str">
        <f ca="1">CELL("filename",총괄내역서!A1)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이설공사).xlsx]총괄내역서</v>
      </c>
      <c r="E17" s="121">
        <f ca="1">HYPERLINK("#"&amp;C17&amp;"!"&amp;ADDRESS(3,COLUMN(총괄내역서!A1),1),COLUMN(총괄내역서!A1))</f>
        <v>1</v>
      </c>
      <c r="F17" s="121">
        <f ca="1">HYPERLINK("#"&amp;C17&amp;"!"&amp;ADDRESS(3,COLUMN(총괄내역서!B1),1),COLUMN(총괄내역서!B1))</f>
        <v>2</v>
      </c>
      <c r="G17" s="121">
        <f ca="1">HYPERLINK("#"&amp;C17&amp;"!"&amp;ADDRESS(3,COLUMN(총괄내역서!C1),1),COLUMN(총괄내역서!C1))</f>
        <v>3</v>
      </c>
      <c r="H17" s="120"/>
      <c r="I17" s="121">
        <f ca="1">HYPERLINK("#"&amp;C17&amp;"!"&amp;ADDRESS(3,COLUMN(총괄내역서!E1),1),COLUMN(총괄내역서!E1))</f>
        <v>5</v>
      </c>
      <c r="J17" s="121">
        <f ca="1">HYPERLINK("#"&amp;C17&amp;"!A"&amp;ROW(총괄내역서!A4),ROW(총괄내역서!A4))</f>
        <v>4</v>
      </c>
      <c r="K17" s="121">
        <f ca="1">HYPERLINK("#"&amp;C17&amp;"!A"&amp;ROW(총괄내역서!A26),ROW(총괄내역서!A26))</f>
        <v>26</v>
      </c>
      <c r="L17" s="121">
        <f ca="1">HYPERLINK("#"&amp;C17&amp;"!"&amp;ADDRESS(3,COLUMN(총괄내역서!D1),1),COLUMN(총괄내역서!D1))</f>
        <v>4</v>
      </c>
      <c r="M17" s="121">
        <f ca="1">HYPERLINK("#"&amp;C17&amp;"!"&amp;ADDRESS(3,COLUMN(총괄내역서!I1),1),COLUMN(총괄내역서!I1))</f>
        <v>9</v>
      </c>
      <c r="N17" s="121">
        <f ca="1">HYPERLINK("#"&amp;C17&amp;"!"&amp;ADDRESS(3,COLUMN(총괄내역서!M1),1),COLUMN(총괄내역서!M1))</f>
        <v>13</v>
      </c>
      <c r="O17" s="121">
        <f ca="1">HYPERLINK("#"&amp;C17&amp;"!"&amp;ADDRESS(3,COLUMN(총괄내역서!N1),1),COLUMN(총괄내역서!N1))</f>
        <v>14</v>
      </c>
      <c r="P17" s="121">
        <f ca="1">HYPERLINK("#"&amp;C17&amp;"!"&amp;ADDRESS(3,COLUMN(총괄내역서!O1),1),COLUMN(총괄내역서!O1))</f>
        <v>15</v>
      </c>
      <c r="Q17" s="121">
        <f ca="1">HYPERLINK("#"&amp;C17&amp;"!"&amp;ADDRESS(3,COLUMN(총괄내역서!P1),1),COLUMN(총괄내역서!P1))</f>
        <v>16</v>
      </c>
      <c r="R17" s="120"/>
      <c r="S17" s="120"/>
      <c r="T17" s="120"/>
      <c r="U17" s="120"/>
      <c r="V17" s="120"/>
      <c r="W17" s="120"/>
      <c r="X17" s="121">
        <f ca="1">HYPERLINK("#"&amp;C17&amp;"!"&amp;ADDRESS(3,COLUMN(총괄내역서!H1),1),COLUMN(총괄내역서!H1))</f>
        <v>8</v>
      </c>
    </row>
    <row r="18" spans="2:24" hidden="1" x14ac:dyDescent="0.3">
      <c r="B18" s="115" t="s">
        <v>2563</v>
      </c>
      <c r="C18" s="117" t="str">
        <f ca="1">IF(D18="","중기사용료",MID(D18,FIND("]",D18)+1,LEN(D18)))</f>
        <v>중기사용료</v>
      </c>
      <c r="D18" s="117" t="str">
        <f ca="1">CELL("filename",중기사용료!A1)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이설공사).xlsx]중기사용료</v>
      </c>
      <c r="E18" s="120"/>
      <c r="F18" s="121">
        <f ca="1">HYPERLINK("#"&amp;C18&amp;"!"&amp;ADDRESS(4,COLUMN(중기사용료!A1),1),COLUMN(중기사용료!A1))</f>
        <v>1</v>
      </c>
      <c r="G18" s="121">
        <f ca="1">HYPERLINK("#"&amp;C18&amp;"!"&amp;ADDRESS(4,COLUMN(중기사용료!B1),1),COLUMN(중기사용료!B1))</f>
        <v>2</v>
      </c>
      <c r="H18" s="121">
        <f ca="1">HYPERLINK("#"&amp;C18&amp;"!"&amp;ADDRESS(4,COLUMN(중기사용료!C1),1),COLUMN(중기사용료!C1))</f>
        <v>3</v>
      </c>
      <c r="I18" s="121">
        <f ca="1">HYPERLINK("#"&amp;C18&amp;"!"&amp;ADDRESS(4,COLUMN(중기사용료!D1),1),COLUMN(중기사용료!D1))</f>
        <v>4</v>
      </c>
      <c r="J18" s="121">
        <f ca="1">HYPERLINK("#"&amp;C18&amp;"!A"&amp;ROW(중기사용료!A5),ROW(중기사용료!A5))</f>
        <v>5</v>
      </c>
      <c r="K18" s="121">
        <f ca="1">HYPERLINK("#"&amp;C18&amp;"!A"&amp;ROW(중기사용료!A232),ROW(중기사용료!A232))</f>
        <v>232</v>
      </c>
      <c r="L18" s="121">
        <f ca="1">HYPERLINK("#"&amp;C18&amp;"!"&amp;ADDRESS(4,COLUMN(중기사용료!E1),1),COLUMN(중기사용료!E1))</f>
        <v>5</v>
      </c>
      <c r="M18" s="121">
        <f ca="1">HYPERLINK("#"&amp;C18&amp;"!"&amp;ADDRESS(4,COLUMN(중기사용료!F1),1),COLUMN(중기사용료!F1))</f>
        <v>6</v>
      </c>
      <c r="N18" s="121">
        <f ca="1">HYPERLINK("#"&amp;C18&amp;"!"&amp;ADDRESS(4,COLUMN(중기사용료!I1),1),COLUMN(중기사용료!I1))</f>
        <v>9</v>
      </c>
      <c r="O18" s="121">
        <f ca="1">HYPERLINK("#"&amp;C18&amp;"!"&amp;ADDRESS(4,COLUMN(중기사용료!J1),1),COLUMN(중기사용료!J1))</f>
        <v>10</v>
      </c>
      <c r="P18" s="121">
        <f ca="1">HYPERLINK("#"&amp;C18&amp;"!"&amp;ADDRESS(4,COLUMN(중기사용료!G1),1),COLUMN(중기사용료!G1))</f>
        <v>7</v>
      </c>
      <c r="Q18" s="121">
        <f ca="1">HYPERLINK("#"&amp;C18&amp;"!"&amp;ADDRESS(4,COLUMN(중기사용료!H1),1),COLUMN(중기사용료!H1))</f>
        <v>8</v>
      </c>
      <c r="R18" s="121">
        <f ca="1">HYPERLINK("#"&amp;C18&amp;"!"&amp;ADDRESS(4,COLUMN(중기사용료!K1),1),COLUMN(중기사용료!K1))</f>
        <v>11</v>
      </c>
      <c r="S18" s="121">
        <f ca="1">HYPERLINK("#"&amp;C18&amp;"!"&amp;ADDRESS(4,COLUMN(중기사용료!L1),1),COLUMN(중기사용료!L1))</f>
        <v>12</v>
      </c>
      <c r="T18" s="120"/>
      <c r="U18" s="120"/>
      <c r="V18" s="120"/>
      <c r="W18" s="120"/>
      <c r="X18" s="121">
        <f ca="1">HYPERLINK("#"&amp;C18&amp;"!"&amp;ADDRESS(4,COLUMN(중기사용료!N1),1),COLUMN(중기사용료!N1))</f>
        <v>14</v>
      </c>
    </row>
    <row r="19" spans="2:24" hidden="1" x14ac:dyDescent="0.3">
      <c r="B19" s="115" t="s">
        <v>2564</v>
      </c>
      <c r="C19" s="117" t="str">
        <f ca="1">IF(D19="","일위대가표",MID(D19,FIND("]",D19)+1,LEN(D19)))</f>
        <v>일위대가표</v>
      </c>
      <c r="D19" s="117" t="str">
        <f ca="1">CELL("filename",일위대가표!A1)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이설공사).xlsx]일위대가표</v>
      </c>
      <c r="E19" s="120"/>
      <c r="F19" s="121">
        <f ca="1">HYPERLINK("#"&amp;C19&amp;"!"&amp;ADDRESS(4,COLUMN(일위대가표!A1),1),COLUMN(일위대가표!A1))</f>
        <v>1</v>
      </c>
      <c r="G19" s="121">
        <f ca="1">HYPERLINK("#"&amp;C19&amp;"!"&amp;ADDRESS(4,COLUMN(일위대가표!B1),1),COLUMN(일위대가표!B1))</f>
        <v>2</v>
      </c>
      <c r="H19" s="121">
        <f ca="1">HYPERLINK("#"&amp;C19&amp;"!"&amp;ADDRESS(4,COLUMN(일위대가표!C1),1),COLUMN(일위대가표!C1))</f>
        <v>3</v>
      </c>
      <c r="I19" s="121">
        <f ca="1">HYPERLINK("#"&amp;C19&amp;"!"&amp;ADDRESS(4,COLUMN(일위대가표!D1),1),COLUMN(일위대가표!D1))</f>
        <v>4</v>
      </c>
      <c r="J19" s="121">
        <f ca="1">HYPERLINK("#"&amp;C19&amp;"!A"&amp;ROW(일위대가표!A5),ROW(일위대가표!A5))</f>
        <v>5</v>
      </c>
      <c r="K19" s="121">
        <f ca="1">HYPERLINK("#"&amp;C19&amp;"!A"&amp;ROW(일위대가표!A172),ROW(일위대가표!A172))</f>
        <v>172</v>
      </c>
      <c r="L19" s="121">
        <f ca="1">HYPERLINK("#"&amp;C19&amp;"!"&amp;ADDRESS(4,COLUMN(일위대가표!E1),1),COLUMN(일위대가표!E1))</f>
        <v>5</v>
      </c>
      <c r="M19" s="121">
        <f ca="1">HYPERLINK("#"&amp;C19&amp;"!"&amp;ADDRESS(4,COLUMN(일위대가표!F1),1),COLUMN(일위대가표!F1))</f>
        <v>6</v>
      </c>
      <c r="N19" s="121">
        <f ca="1">HYPERLINK("#"&amp;C19&amp;"!"&amp;ADDRESS(4,COLUMN(일위대가표!I1),1),COLUMN(일위대가표!I1))</f>
        <v>9</v>
      </c>
      <c r="O19" s="121">
        <f ca="1">HYPERLINK("#"&amp;C19&amp;"!"&amp;ADDRESS(4,COLUMN(일위대가표!J1),1),COLUMN(일위대가표!J1))</f>
        <v>10</v>
      </c>
      <c r="P19" s="121">
        <f ca="1">HYPERLINK("#"&amp;C19&amp;"!"&amp;ADDRESS(4,COLUMN(일위대가표!G1),1),COLUMN(일위대가표!G1))</f>
        <v>7</v>
      </c>
      <c r="Q19" s="121">
        <f ca="1">HYPERLINK("#"&amp;C19&amp;"!"&amp;ADDRESS(4,COLUMN(일위대가표!H1),1),COLUMN(일위대가표!H1))</f>
        <v>8</v>
      </c>
      <c r="R19" s="121">
        <f ca="1">HYPERLINK("#"&amp;C19&amp;"!"&amp;ADDRESS(4,COLUMN(일위대가표!K1),1),COLUMN(일위대가표!K1))</f>
        <v>11</v>
      </c>
      <c r="S19" s="121">
        <f ca="1">HYPERLINK("#"&amp;C19&amp;"!"&amp;ADDRESS(4,COLUMN(일위대가표!L1),1),COLUMN(일위대가표!L1))</f>
        <v>12</v>
      </c>
      <c r="T19" s="120"/>
      <c r="U19" s="120"/>
      <c r="V19" s="120"/>
      <c r="W19" s="120"/>
      <c r="X19" s="121">
        <f ca="1">HYPERLINK("#"&amp;C19&amp;"!"&amp;ADDRESS(4,COLUMN(일위대가표!N1),1),COLUMN(일위대가표!N1))</f>
        <v>14</v>
      </c>
    </row>
    <row r="20" spans="2:24" hidden="1" x14ac:dyDescent="0.3">
      <c r="B20" s="115" t="s">
        <v>2565</v>
      </c>
      <c r="C20" s="117" t="str">
        <f ca="1">IF(D20="","단가산출근거",MID(D20,FIND("]",D20)+1,LEN(D20)))</f>
        <v>단가산출근거</v>
      </c>
      <c r="D20" s="117" t="str">
        <f ca="1">CELL("filename",단가산출근거!A1)</f>
        <v>C:\Users\Administrator\Desktop\2026년\7. 상수도 이설 공사\1. 왕산리 799-37번지 배수관로 이설공사\1. 실시설계용역\3. 준공성과품\001.설계내역서\내역서(관로공)\[설계내역서(왕산리 799-37번지 배수관로 이설공사).xlsx]단가산출근거</v>
      </c>
      <c r="E20" s="121">
        <f ca="1">HYPERLINK("#"&amp;C20&amp;"!"&amp;ADDRESS(4,COLUMN(단가산출근거!A1),1),COLUMN(단가산출근거!A1))</f>
        <v>1</v>
      </c>
      <c r="F20" s="121">
        <f ca="1">HYPERLINK("#"&amp;C20&amp;"!"&amp;ADDRESS(4,COLUMN(단가산출근거!B1),1),COLUMN(단가산출근거!B1))</f>
        <v>2</v>
      </c>
      <c r="G20" s="120"/>
      <c r="H20" s="120"/>
      <c r="I20" s="120"/>
      <c r="J20" s="121">
        <f ca="1">HYPERLINK("#"&amp;C20&amp;"!A"&amp;ROW(단가산출근거!A5),ROW(단가산출근거!A5))</f>
        <v>5</v>
      </c>
      <c r="K20" s="121">
        <f ca="1">HYPERLINK("#"&amp;C20&amp;"!A"&amp;ROW(단가산출근거!A2604),ROW(단가산출근거!A2604))</f>
        <v>2604</v>
      </c>
      <c r="L20" s="121">
        <f ca="1">HYPERLINK("#"&amp;C20&amp;"!"&amp;ADDRESS(4,COLUMN(단가산출근거!C1),1),COLUMN(단가산출근거!C1))</f>
        <v>3</v>
      </c>
      <c r="M20" s="120"/>
      <c r="N20" s="121">
        <f ca="1">HYPERLINK("#"&amp;C20&amp;"!"&amp;ADDRESS(4,COLUMN(단가산출근거!E1),1),COLUMN(단가산출근거!E1))</f>
        <v>5</v>
      </c>
      <c r="O20" s="120"/>
      <c r="P20" s="121">
        <f ca="1">HYPERLINK("#"&amp;C20&amp;"!"&amp;ADDRESS(4,COLUMN(단가산출근거!D1),1),COLUMN(단가산출근거!D1))</f>
        <v>4</v>
      </c>
      <c r="Q20" s="120"/>
      <c r="R20" s="121">
        <f ca="1">HYPERLINK("#"&amp;C20&amp;"!"&amp;ADDRESS(4,COLUMN(단가산출근거!F1),1),COLUMN(단가산출근거!F1))</f>
        <v>6</v>
      </c>
      <c r="S20" s="120"/>
      <c r="T20" s="120"/>
      <c r="U20" s="120"/>
      <c r="V20" s="120"/>
      <c r="W20" s="120"/>
      <c r="X20" s="121">
        <f ca="1">HYPERLINK("#"&amp;C20&amp;"!"&amp;ADDRESS(4,COLUMN(단가산출근거!G1),1),COLUMN(단가산출근거!G1))</f>
        <v>7</v>
      </c>
    </row>
    <row r="21" spans="2:24" hidden="1" x14ac:dyDescent="0.3">
      <c r="B21" s="115" t="s">
        <v>2566</v>
      </c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</row>
    <row r="22" spans="2:24" hidden="1" x14ac:dyDescent="0.3">
      <c r="B22" s="115" t="s">
        <v>2567</v>
      </c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</row>
    <row r="23" spans="2:24" hidden="1" x14ac:dyDescent="0.3">
      <c r="B23" s="115" t="s">
        <v>2568</v>
      </c>
      <c r="C23" s="115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</row>
    <row r="24" spans="2:24" hidden="1" x14ac:dyDescent="0.3">
      <c r="B24" s="113" t="s">
        <v>2569</v>
      </c>
      <c r="D24" s="119">
        <f>ROW(C33)</f>
        <v>33</v>
      </c>
    </row>
    <row r="25" spans="2:24" hidden="1" x14ac:dyDescent="0.3">
      <c r="B25" s="115" t="s">
        <v>2570</v>
      </c>
      <c r="C25" s="115" t="s">
        <v>2571</v>
      </c>
    </row>
    <row r="26" spans="2:24" hidden="1" x14ac:dyDescent="0.3">
      <c r="B26" s="115" t="s">
        <v>2572</v>
      </c>
      <c r="C26" s="115" t="s">
        <v>2573</v>
      </c>
    </row>
    <row r="27" spans="2:24" hidden="1" x14ac:dyDescent="0.3">
      <c r="B27" s="115" t="s">
        <v>2574</v>
      </c>
      <c r="C27" s="115" t="s">
        <v>2575</v>
      </c>
    </row>
    <row r="28" spans="2:24" hidden="1" x14ac:dyDescent="0.3">
      <c r="B28" s="115" t="s">
        <v>2576</v>
      </c>
      <c r="C28" s="115" t="s">
        <v>2575</v>
      </c>
    </row>
    <row r="29" spans="2:24" hidden="1" x14ac:dyDescent="0.3">
      <c r="B29" s="115" t="s">
        <v>2577</v>
      </c>
      <c r="C29" s="115" t="s">
        <v>2575</v>
      </c>
    </row>
    <row r="30" spans="2:24" hidden="1" x14ac:dyDescent="0.3">
      <c r="B30" s="115" t="s">
        <v>2578</v>
      </c>
      <c r="C30" s="117" t="s">
        <v>2579</v>
      </c>
    </row>
    <row r="31" spans="2:24" hidden="1" x14ac:dyDescent="0.3">
      <c r="B31" s="115" t="s">
        <v>2580</v>
      </c>
      <c r="C31" s="115" t="s">
        <v>690</v>
      </c>
    </row>
    <row r="32" spans="2:24" hidden="1" x14ac:dyDescent="0.3">
      <c r="B32" s="115" t="s">
        <v>2581</v>
      </c>
      <c r="C32" s="115" t="s">
        <v>691</v>
      </c>
    </row>
    <row r="33" spans="2:10" hidden="1" x14ac:dyDescent="0.3">
      <c r="B33" s="113" t="s">
        <v>2582</v>
      </c>
      <c r="D33" s="119">
        <f>ROW(C52)</f>
        <v>52</v>
      </c>
    </row>
    <row r="34" spans="2:10" hidden="1" x14ac:dyDescent="0.3">
      <c r="B34" s="115" t="s">
        <v>2583</v>
      </c>
      <c r="C34" s="115" t="s">
        <v>690</v>
      </c>
      <c r="D34" s="115" t="s">
        <v>690</v>
      </c>
      <c r="E34" s="115" t="s">
        <v>2575</v>
      </c>
      <c r="F34" s="115" t="s">
        <v>2575</v>
      </c>
      <c r="G34" s="115" t="s">
        <v>2575</v>
      </c>
      <c r="H34" s="115" t="s">
        <v>2575</v>
      </c>
    </row>
    <row r="35" spans="2:10" hidden="1" x14ac:dyDescent="0.3">
      <c r="B35" s="115" t="s">
        <v>2584</v>
      </c>
      <c r="C35" s="118">
        <f>환율및기초자료!C3</f>
        <v>1507</v>
      </c>
      <c r="D35" s="118">
        <f>환율및기초자료!D3</f>
        <v>1507</v>
      </c>
      <c r="E35" s="118">
        <f>환율및기초자료!C3</f>
        <v>1507</v>
      </c>
      <c r="F35" s="118">
        <f>환율및기초자료!D3</f>
        <v>1507</v>
      </c>
      <c r="G35" s="118">
        <f>환율및기초자료!E3</f>
        <v>1717.96</v>
      </c>
      <c r="H35" s="118">
        <f>환율및기초자료!E3</f>
        <v>1717.96</v>
      </c>
      <c r="I35" s="118">
        <f>환율및기초자료!G3</f>
        <v>952</v>
      </c>
      <c r="J35" s="118">
        <f>환율및기초자료!G3</f>
        <v>952</v>
      </c>
    </row>
    <row r="36" spans="2:10" hidden="1" x14ac:dyDescent="0.3">
      <c r="B36" s="115" t="s">
        <v>2586</v>
      </c>
      <c r="C36" s="117" t="s">
        <v>2579</v>
      </c>
    </row>
    <row r="37" spans="2:10" hidden="1" x14ac:dyDescent="0.3">
      <c r="B37" s="115" t="s">
        <v>2585</v>
      </c>
      <c r="C37" s="115" t="s">
        <v>2587</v>
      </c>
      <c r="D37" s="115"/>
      <c r="E37" s="115"/>
      <c r="F37" s="115" t="s">
        <v>2588</v>
      </c>
      <c r="G37" s="115"/>
      <c r="H37" s="115"/>
    </row>
    <row r="38" spans="2:10" hidden="1" x14ac:dyDescent="0.3">
      <c r="B38" s="115" t="s">
        <v>2589</v>
      </c>
      <c r="C38" s="115" t="s">
        <v>2590</v>
      </c>
      <c r="D38" s="115"/>
      <c r="E38" s="115"/>
      <c r="F38" s="115"/>
      <c r="G38" s="115"/>
      <c r="H38" s="115"/>
    </row>
    <row r="39" spans="2:10" hidden="1" x14ac:dyDescent="0.3">
      <c r="B39" s="115" t="s">
        <v>2591</v>
      </c>
      <c r="C39" s="115" t="s">
        <v>690</v>
      </c>
    </row>
    <row r="40" spans="2:10" hidden="1" x14ac:dyDescent="0.3">
      <c r="B40" s="115" t="s">
        <v>2592</v>
      </c>
      <c r="C40" s="115" t="s">
        <v>690</v>
      </c>
    </row>
    <row r="41" spans="2:10" hidden="1" x14ac:dyDescent="0.3">
      <c r="B41" s="115" t="s">
        <v>2593</v>
      </c>
      <c r="C41" s="115" t="s">
        <v>2575</v>
      </c>
    </row>
    <row r="42" spans="2:10" hidden="1" x14ac:dyDescent="0.3">
      <c r="B42" s="115" t="s">
        <v>2594</v>
      </c>
      <c r="C42" s="115" t="s">
        <v>690</v>
      </c>
    </row>
    <row r="43" spans="2:10" hidden="1" x14ac:dyDescent="0.3">
      <c r="B43" s="115" t="s">
        <v>2595</v>
      </c>
      <c r="C43" s="115" t="s">
        <v>690</v>
      </c>
    </row>
    <row r="44" spans="2:10" hidden="1" x14ac:dyDescent="0.3">
      <c r="B44" s="115" t="s">
        <v>2596</v>
      </c>
      <c r="C44" s="115" t="s">
        <v>692</v>
      </c>
    </row>
    <row r="45" spans="2:10" hidden="1" x14ac:dyDescent="0.3">
      <c r="B45" s="115" t="s">
        <v>2597</v>
      </c>
      <c r="C45" s="117" t="s">
        <v>2579</v>
      </c>
    </row>
    <row r="46" spans="2:10" hidden="1" x14ac:dyDescent="0.3">
      <c r="B46" s="115" t="s">
        <v>2598</v>
      </c>
      <c r="C46" s="117" t="s">
        <v>2579</v>
      </c>
    </row>
    <row r="47" spans="2:10" hidden="1" x14ac:dyDescent="0.3">
      <c r="B47" s="115" t="s">
        <v>2599</v>
      </c>
      <c r="C47" s="117" t="s">
        <v>2579</v>
      </c>
    </row>
    <row r="48" spans="2:10" hidden="1" x14ac:dyDescent="0.3">
      <c r="B48" s="115" t="s">
        <v>2600</v>
      </c>
      <c r="C48" s="117" t="s">
        <v>2601</v>
      </c>
    </row>
    <row r="49" spans="2:6" hidden="1" x14ac:dyDescent="0.3">
      <c r="B49" s="115" t="s">
        <v>2602</v>
      </c>
      <c r="C49" s="115" t="s">
        <v>2603</v>
      </c>
    </row>
    <row r="50" spans="2:6" hidden="1" x14ac:dyDescent="0.3">
      <c r="B50" s="115" t="s">
        <v>2604</v>
      </c>
      <c r="C50" s="117" t="s">
        <v>2601</v>
      </c>
    </row>
    <row r="51" spans="2:6" hidden="1" x14ac:dyDescent="0.3">
      <c r="B51" s="115" t="s">
        <v>2605</v>
      </c>
      <c r="C51" s="115"/>
    </row>
    <row r="52" spans="2:6" hidden="1" x14ac:dyDescent="0.3">
      <c r="B52" s="113" t="s">
        <v>2606</v>
      </c>
      <c r="D52" s="119">
        <f>ROW(C75)</f>
        <v>75</v>
      </c>
    </row>
    <row r="53" spans="2:6" hidden="1" x14ac:dyDescent="0.3">
      <c r="B53" s="115" t="s">
        <v>2607</v>
      </c>
      <c r="C53" s="115" t="s">
        <v>8</v>
      </c>
      <c r="D53" s="115" t="s">
        <v>7</v>
      </c>
      <c r="E53" s="115" t="s">
        <v>9</v>
      </c>
      <c r="F53" s="115" t="s">
        <v>6</v>
      </c>
    </row>
    <row r="54" spans="2:6" hidden="1" x14ac:dyDescent="0.3">
      <c r="B54" s="115" t="s">
        <v>2608</v>
      </c>
      <c r="C54" s="115" t="s">
        <v>2609</v>
      </c>
    </row>
    <row r="55" spans="2:6" hidden="1" x14ac:dyDescent="0.3">
      <c r="B55" s="115" t="s">
        <v>2610</v>
      </c>
      <c r="C55" s="115" t="s">
        <v>2611</v>
      </c>
    </row>
    <row r="56" spans="2:6" hidden="1" x14ac:dyDescent="0.3">
      <c r="B56" s="115" t="s">
        <v>2612</v>
      </c>
      <c r="C56" s="115" t="s">
        <v>698</v>
      </c>
      <c r="D56" s="115" t="s">
        <v>710</v>
      </c>
    </row>
    <row r="57" spans="2:6" hidden="1" x14ac:dyDescent="0.3">
      <c r="B57" s="115" t="s">
        <v>2613</v>
      </c>
      <c r="C57" s="115" t="s">
        <v>700</v>
      </c>
      <c r="D57" s="115" t="s">
        <v>711</v>
      </c>
    </row>
    <row r="58" spans="2:6" hidden="1" x14ac:dyDescent="0.3">
      <c r="B58" s="115" t="s">
        <v>2614</v>
      </c>
      <c r="C58" s="115" t="s">
        <v>701</v>
      </c>
      <c r="D58" s="115" t="s">
        <v>712</v>
      </c>
    </row>
    <row r="59" spans="2:6" hidden="1" x14ac:dyDescent="0.3">
      <c r="B59" s="115" t="s">
        <v>2615</v>
      </c>
      <c r="C59" s="115" t="s">
        <v>702</v>
      </c>
      <c r="D59" s="115" t="s">
        <v>713</v>
      </c>
    </row>
    <row r="60" spans="2:6" hidden="1" x14ac:dyDescent="0.3">
      <c r="B60" s="115" t="s">
        <v>2616</v>
      </c>
      <c r="C60" s="115" t="s">
        <v>703</v>
      </c>
      <c r="D60" s="115" t="s">
        <v>714</v>
      </c>
    </row>
    <row r="61" spans="2:6" hidden="1" x14ac:dyDescent="0.3">
      <c r="B61" s="115" t="s">
        <v>2617</v>
      </c>
      <c r="C61" s="115" t="s">
        <v>704</v>
      </c>
    </row>
    <row r="62" spans="2:6" hidden="1" x14ac:dyDescent="0.3">
      <c r="B62" s="115" t="s">
        <v>2618</v>
      </c>
      <c r="C62" s="115" t="s">
        <v>2619</v>
      </c>
    </row>
    <row r="63" spans="2:6" hidden="1" x14ac:dyDescent="0.3">
      <c r="B63" s="115" t="s">
        <v>2620</v>
      </c>
      <c r="C63" s="115" t="s">
        <v>2</v>
      </c>
    </row>
    <row r="64" spans="2:6" hidden="1" x14ac:dyDescent="0.3">
      <c r="B64" s="115" t="s">
        <v>2621</v>
      </c>
      <c r="C64" s="115" t="s">
        <v>2622</v>
      </c>
    </row>
    <row r="65" spans="2:4" hidden="1" x14ac:dyDescent="0.3">
      <c r="B65" s="115" t="s">
        <v>2623</v>
      </c>
      <c r="C65" s="115" t="s">
        <v>2624</v>
      </c>
    </row>
    <row r="66" spans="2:4" hidden="1" x14ac:dyDescent="0.3">
      <c r="B66" s="115" t="s">
        <v>2625</v>
      </c>
      <c r="C66" s="115" t="s">
        <v>788</v>
      </c>
    </row>
    <row r="67" spans="2:4" hidden="1" x14ac:dyDescent="0.3">
      <c r="B67" s="115" t="s">
        <v>2626</v>
      </c>
      <c r="C67" s="115" t="s">
        <v>3</v>
      </c>
    </row>
    <row r="68" spans="2:4" hidden="1" x14ac:dyDescent="0.3">
      <c r="B68" s="115" t="s">
        <v>2627</v>
      </c>
      <c r="C68" s="115" t="s">
        <v>4</v>
      </c>
    </row>
    <row r="69" spans="2:4" hidden="1" x14ac:dyDescent="0.3">
      <c r="B69" s="115" t="s">
        <v>2628</v>
      </c>
      <c r="C69" s="115" t="s">
        <v>789</v>
      </c>
    </row>
    <row r="70" spans="2:4" hidden="1" x14ac:dyDescent="0.3">
      <c r="B70" s="115" t="s">
        <v>2629</v>
      </c>
      <c r="C70" s="115" t="s">
        <v>5</v>
      </c>
    </row>
    <row r="71" spans="2:4" hidden="1" x14ac:dyDescent="0.3">
      <c r="B71" s="115" t="s">
        <v>2630</v>
      </c>
      <c r="C71" s="115" t="s">
        <v>379</v>
      </c>
    </row>
    <row r="72" spans="2:4" hidden="1" x14ac:dyDescent="0.3">
      <c r="B72" s="115" t="s">
        <v>2631</v>
      </c>
      <c r="C72" s="115" t="s">
        <v>699</v>
      </c>
    </row>
    <row r="73" spans="2:4" hidden="1" x14ac:dyDescent="0.3">
      <c r="B73" s="115" t="s">
        <v>2632</v>
      </c>
      <c r="C73" s="115" t="s">
        <v>790</v>
      </c>
    </row>
    <row r="74" spans="2:4" hidden="1" x14ac:dyDescent="0.3">
      <c r="B74" s="115" t="s">
        <v>2633</v>
      </c>
      <c r="C74" s="115" t="s">
        <v>10</v>
      </c>
    </row>
    <row r="75" spans="2:4" hidden="1" x14ac:dyDescent="0.3">
      <c r="B75" s="113" t="s">
        <v>2634</v>
      </c>
      <c r="D75" s="119">
        <f>ROW(C79)</f>
        <v>79</v>
      </c>
    </row>
    <row r="76" spans="2:4" hidden="1" x14ac:dyDescent="0.3">
      <c r="B76" s="115" t="s">
        <v>2635</v>
      </c>
      <c r="C76" s="115" t="s">
        <v>2636</v>
      </c>
    </row>
    <row r="77" spans="2:4" hidden="1" x14ac:dyDescent="0.3">
      <c r="B77" s="115" t="s">
        <v>2637</v>
      </c>
      <c r="C77" s="115" t="s">
        <v>2638</v>
      </c>
    </row>
    <row r="78" spans="2:4" hidden="1" x14ac:dyDescent="0.3">
      <c r="B78" s="115" t="s">
        <v>2639</v>
      </c>
      <c r="C78" s="115" t="s">
        <v>2640</v>
      </c>
    </row>
    <row r="79" spans="2:4" hidden="1" x14ac:dyDescent="0.3">
      <c r="B79" s="113" t="s">
        <v>2641</v>
      </c>
    </row>
    <row r="80" spans="2:4" hidden="1" x14ac:dyDescent="0.3"/>
  </sheetData>
  <sheetProtection algorithmName="SHA-512" hashValue="mUMVfsKpZ5G7FRUTeiBIeGzyzXfxa/OkREOHBnbnp47rInuTRsUwTSPnqmHePxcm1QWeyWJLM1jCKtxLlQonGQ==" saltValue="Wb87NARJ9+SP4Sq+Fh9+2Q==" spinCount="100000" sheet="1" objects="1" scenarios="1" selectLockedCells="1"/>
  <mergeCells count="1">
    <mergeCell ref="B2:X2"/>
  </mergeCells>
  <phoneticPr fontId="25" type="noConversion"/>
  <pageMargins left="0.39370078740157483" right="0.78740157480314954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30</vt:i4>
      </vt:variant>
    </vt:vector>
  </HeadingPairs>
  <TitlesOfParts>
    <vt:vector size="47" baseType="lpstr">
      <vt:lpstr>〓 목 차 〓</vt:lpstr>
      <vt:lpstr>※※안내※※</vt:lpstr>
      <vt:lpstr>공사원가계산서</vt:lpstr>
      <vt:lpstr>총괄내역서</vt:lpstr>
      <vt:lpstr>설계내역서</vt:lpstr>
      <vt:lpstr>일위대가목록표</vt:lpstr>
      <vt:lpstr>일위대가표</vt:lpstr>
      <vt:lpstr>단가산출근거목록표</vt:lpstr>
      <vt:lpstr>단가산출근거</vt:lpstr>
      <vt:lpstr>환율및기초자료</vt:lpstr>
      <vt:lpstr>중기목록표</vt:lpstr>
      <vt:lpstr>중기사용료</vt:lpstr>
      <vt:lpstr>재료비목록표</vt:lpstr>
      <vt:lpstr>노무비목록표</vt:lpstr>
      <vt:lpstr>경비목록표</vt:lpstr>
      <vt:lpstr>일식견적목록표</vt:lpstr>
      <vt:lpstr>자재단가대비표</vt:lpstr>
      <vt:lpstr>'〓 목 차 〓'!Print_Area</vt:lpstr>
      <vt:lpstr>경비목록표!Print_Area</vt:lpstr>
      <vt:lpstr>공사원가계산서!Print_Area</vt:lpstr>
      <vt:lpstr>노무비목록표!Print_Area</vt:lpstr>
      <vt:lpstr>단가산출근거!Print_Area</vt:lpstr>
      <vt:lpstr>단가산출근거목록표!Print_Area</vt:lpstr>
      <vt:lpstr>설계내역서!Print_Area</vt:lpstr>
      <vt:lpstr>일식견적목록표!Print_Area</vt:lpstr>
      <vt:lpstr>일위대가목록표!Print_Area</vt:lpstr>
      <vt:lpstr>일위대가표!Print_Area</vt:lpstr>
      <vt:lpstr>자재단가대비표!Print_Area</vt:lpstr>
      <vt:lpstr>재료비목록표!Print_Area</vt:lpstr>
      <vt:lpstr>중기목록표!Print_Area</vt:lpstr>
      <vt:lpstr>중기사용료!Print_Area</vt:lpstr>
      <vt:lpstr>총괄내역서!Print_Area</vt:lpstr>
      <vt:lpstr>환율및기초자료!Print_Area</vt:lpstr>
      <vt:lpstr>경비목록표!Print_Titles</vt:lpstr>
      <vt:lpstr>공사원가계산서!Print_Titles</vt:lpstr>
      <vt:lpstr>노무비목록표!Print_Titles</vt:lpstr>
      <vt:lpstr>단가산출근거!Print_Titles</vt:lpstr>
      <vt:lpstr>단가산출근거목록표!Print_Titles</vt:lpstr>
      <vt:lpstr>설계내역서!Print_Titles</vt:lpstr>
      <vt:lpstr>일식견적목록표!Print_Titles</vt:lpstr>
      <vt:lpstr>일위대가목록표!Print_Titles</vt:lpstr>
      <vt:lpstr>일위대가표!Print_Titles</vt:lpstr>
      <vt:lpstr>자재단가대비표!Print_Titles</vt:lpstr>
      <vt:lpstr>재료비목록표!Print_Titles</vt:lpstr>
      <vt:lpstr>중기목록표!Print_Titles</vt:lpstr>
      <vt:lpstr>중기사용료!Print_Titles</vt:lpstr>
      <vt:lpstr>총괄내역서!Print_Titles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모현읍 왕산리 799-37번지 배수관로 이설공사</dc:title>
  <dc:creator/>
  <dc:description>STmate w26.05로 작성</dc:description>
  <cp:lastModifiedBy>Administrator</cp:lastModifiedBy>
  <dcterms:created xsi:type="dcterms:W3CDTF">2026-06-23T23:36:53Z</dcterms:created>
  <dcterms:modified xsi:type="dcterms:W3CDTF">2026-07-14T10:24:25Z</dcterms:modified>
</cp:coreProperties>
</file>