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_각종계약\업체정보\2026_휴게시설_환경개선\자미건설(주)(668_86_01323)휴게시설개선\설계서- 휴게시설 환경개선공사\"/>
    </mc:Choice>
  </mc:AlternateContent>
  <xr:revisionPtr revIDLastSave="0" documentId="13_ncr:1_{05A8A279-8C8E-4EDC-8513-5C4A054DA040}" xr6:coauthVersionLast="47" xr6:coauthVersionMax="47" xr10:uidLastSave="{00000000-0000-0000-0000-000000000000}"/>
  <bookViews>
    <workbookView xWindow="-28920" yWindow="-1485" windowWidth="29040" windowHeight="15720" xr2:uid="{B41B5C3F-3DE1-499B-87AE-66D2084AECBC}"/>
  </bookViews>
  <sheets>
    <sheet name="원가계산서" sheetId="7" r:id="rId1"/>
    <sheet name="집계표" sheetId="6" r:id="rId2"/>
    <sheet name="내역서" sheetId="5" r:id="rId3"/>
    <sheet name="Sheet1" sheetId="1" r:id="rId4"/>
  </sheets>
  <externalReferences>
    <externalReference r:id="rId5"/>
  </externalReferences>
  <definedNames>
    <definedName name="_xlnm.Print_Area" localSheetId="2">내역서!$A$1:$M$35</definedName>
    <definedName name="_xlnm.Print_Area" localSheetId="0">원가계산서!$A$1:$F$42</definedName>
    <definedName name="_xlnm.Print_Area" localSheetId="1">집계표!$A$1:$L$20</definedName>
    <definedName name="_xlnm.Print_Titles" localSheetId="2">내역서!$1:$4</definedName>
    <definedName name="_xlnm.Print_Titles" localSheetId="0">원가계산서!$1:$4</definedName>
    <definedName name="_xlnm.Print_Titles" localSheetId="1">집계표!$1:$4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6" l="1"/>
  <c r="A2" i="5" s="1"/>
  <c r="I23" i="5" l="1"/>
  <c r="J23" i="5" s="1"/>
  <c r="H23" i="5"/>
  <c r="F23" i="5"/>
  <c r="K23" i="5" l="1"/>
  <c r="L23" i="5"/>
  <c r="D36" i="7" l="1"/>
  <c r="D32" i="7"/>
  <c r="D31" i="7"/>
  <c r="D28" i="7"/>
  <c r="D27" i="7"/>
  <c r="D24" i="7"/>
  <c r="D23" i="7"/>
  <c r="D22" i="7"/>
  <c r="D21" i="7"/>
  <c r="D20" i="7"/>
  <c r="D19" i="7"/>
  <c r="D14" i="7"/>
  <c r="D13" i="7"/>
  <c r="D10" i="7"/>
  <c r="AV20" i="6"/>
  <c r="AW20" i="6"/>
  <c r="AX20" i="6"/>
  <c r="AV35" i="5"/>
  <c r="AU6" i="6" s="1"/>
  <c r="AW35" i="5"/>
  <c r="AX35" i="5"/>
  <c r="AY35" i="5"/>
  <c r="O30" i="5"/>
  <c r="R30" i="5"/>
  <c r="S30" i="5"/>
  <c r="T30" i="5"/>
  <c r="U30" i="5"/>
  <c r="V30" i="5"/>
  <c r="W30" i="5"/>
  <c r="X30" i="5"/>
  <c r="Y30" i="5"/>
  <c r="Z30" i="5"/>
  <c r="AA30" i="5"/>
  <c r="AB30" i="5"/>
  <c r="AC30" i="5"/>
  <c r="AD30" i="5"/>
  <c r="AE30" i="5"/>
  <c r="AF30" i="5"/>
  <c r="AG30" i="5"/>
  <c r="AH30" i="5"/>
  <c r="AI30" i="5"/>
  <c r="AJ30" i="5"/>
  <c r="AK30" i="5"/>
  <c r="AL30" i="5"/>
  <c r="AM30" i="5"/>
  <c r="AN30" i="5"/>
  <c r="AO30" i="5"/>
  <c r="AP30" i="5"/>
  <c r="AQ30" i="5"/>
  <c r="AR30" i="5"/>
  <c r="AS30" i="5"/>
  <c r="AT30" i="5"/>
  <c r="AU30" i="5"/>
  <c r="H29" i="5"/>
  <c r="J29" i="5"/>
  <c r="O29" i="5"/>
  <c r="R29" i="5"/>
  <c r="S29" i="5"/>
  <c r="T29" i="5"/>
  <c r="U29" i="5"/>
  <c r="V29" i="5"/>
  <c r="W29" i="5"/>
  <c r="X29" i="5"/>
  <c r="Y29" i="5"/>
  <c r="Z29" i="5"/>
  <c r="AA29" i="5"/>
  <c r="AB29" i="5"/>
  <c r="AC29" i="5"/>
  <c r="AD29" i="5"/>
  <c r="AE29" i="5"/>
  <c r="AF29" i="5"/>
  <c r="AG29" i="5"/>
  <c r="AH29" i="5"/>
  <c r="AI29" i="5"/>
  <c r="AJ29" i="5"/>
  <c r="AK29" i="5"/>
  <c r="AL29" i="5"/>
  <c r="AM29" i="5"/>
  <c r="AN29" i="5"/>
  <c r="AO29" i="5"/>
  <c r="AP29" i="5"/>
  <c r="AQ29" i="5"/>
  <c r="AR29" i="5"/>
  <c r="AS29" i="5"/>
  <c r="AT29" i="5"/>
  <c r="AU29" i="5"/>
  <c r="O28" i="5"/>
  <c r="R28" i="5"/>
  <c r="S28" i="5"/>
  <c r="T28" i="5"/>
  <c r="U28" i="5"/>
  <c r="V28" i="5"/>
  <c r="W28" i="5"/>
  <c r="X28" i="5"/>
  <c r="Y28" i="5"/>
  <c r="Z28" i="5"/>
  <c r="AA28" i="5"/>
  <c r="AB28" i="5"/>
  <c r="AC28" i="5"/>
  <c r="AD28" i="5"/>
  <c r="AE28" i="5"/>
  <c r="AF28" i="5"/>
  <c r="AG28" i="5"/>
  <c r="AH28" i="5"/>
  <c r="AI28" i="5"/>
  <c r="AJ28" i="5"/>
  <c r="AK28" i="5"/>
  <c r="AL28" i="5"/>
  <c r="AM28" i="5"/>
  <c r="AN28" i="5"/>
  <c r="AO28" i="5"/>
  <c r="AP28" i="5"/>
  <c r="AQ28" i="5"/>
  <c r="AR28" i="5"/>
  <c r="AS28" i="5"/>
  <c r="AT28" i="5"/>
  <c r="AU28" i="5"/>
  <c r="O27" i="5"/>
  <c r="R27" i="5"/>
  <c r="S27" i="5"/>
  <c r="T27" i="5"/>
  <c r="U27" i="5"/>
  <c r="V27" i="5"/>
  <c r="W27" i="5"/>
  <c r="X27" i="5"/>
  <c r="Y27" i="5"/>
  <c r="Z27" i="5"/>
  <c r="AA27" i="5"/>
  <c r="AB27" i="5"/>
  <c r="AC27" i="5"/>
  <c r="AD27" i="5"/>
  <c r="AE27" i="5"/>
  <c r="AF27" i="5"/>
  <c r="AG27" i="5"/>
  <c r="AH27" i="5"/>
  <c r="AI27" i="5"/>
  <c r="AJ27" i="5"/>
  <c r="AK27" i="5"/>
  <c r="AL27" i="5"/>
  <c r="AM27" i="5"/>
  <c r="AN27" i="5"/>
  <c r="AO27" i="5"/>
  <c r="AP27" i="5"/>
  <c r="AQ27" i="5"/>
  <c r="AR27" i="5"/>
  <c r="AS27" i="5"/>
  <c r="AT27" i="5"/>
  <c r="AU27" i="5"/>
  <c r="O26" i="5"/>
  <c r="R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AH26" i="5"/>
  <c r="AI26" i="5"/>
  <c r="AJ26" i="5"/>
  <c r="AK26" i="5"/>
  <c r="AL26" i="5"/>
  <c r="AM26" i="5"/>
  <c r="AN26" i="5"/>
  <c r="AO26" i="5"/>
  <c r="AP26" i="5"/>
  <c r="AQ26" i="5"/>
  <c r="AR26" i="5"/>
  <c r="AS26" i="5"/>
  <c r="AT26" i="5"/>
  <c r="AU26" i="5"/>
  <c r="O25" i="5"/>
  <c r="R25" i="5"/>
  <c r="S25" i="5"/>
  <c r="T25" i="5"/>
  <c r="U25" i="5"/>
  <c r="V25" i="5"/>
  <c r="W25" i="5"/>
  <c r="X25" i="5"/>
  <c r="Y25" i="5"/>
  <c r="Z25" i="5"/>
  <c r="AA25" i="5"/>
  <c r="AB25" i="5"/>
  <c r="AC25" i="5"/>
  <c r="AD25" i="5"/>
  <c r="AE25" i="5"/>
  <c r="AF25" i="5"/>
  <c r="AG25" i="5"/>
  <c r="AH25" i="5"/>
  <c r="AI25" i="5"/>
  <c r="AJ25" i="5"/>
  <c r="AK25" i="5"/>
  <c r="AL25" i="5"/>
  <c r="AM25" i="5"/>
  <c r="AN25" i="5"/>
  <c r="AO25" i="5"/>
  <c r="AP25" i="5"/>
  <c r="AQ25" i="5"/>
  <c r="AR25" i="5"/>
  <c r="AS25" i="5"/>
  <c r="AT25" i="5"/>
  <c r="AU25" i="5"/>
  <c r="H24" i="5"/>
  <c r="J24" i="5"/>
  <c r="O24" i="5"/>
  <c r="R24" i="5"/>
  <c r="S24" i="5"/>
  <c r="T24" i="5"/>
  <c r="U24" i="5"/>
  <c r="V24" i="5"/>
  <c r="W24" i="5"/>
  <c r="X24" i="5"/>
  <c r="Y24" i="5"/>
  <c r="Z24" i="5"/>
  <c r="AA24" i="5"/>
  <c r="AB24" i="5"/>
  <c r="AC24" i="5"/>
  <c r="AD24" i="5"/>
  <c r="AE24" i="5"/>
  <c r="AF24" i="5"/>
  <c r="AG24" i="5"/>
  <c r="AH24" i="5"/>
  <c r="AI24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O22" i="5"/>
  <c r="R22" i="5"/>
  <c r="S22" i="5"/>
  <c r="T22" i="5"/>
  <c r="U22" i="5"/>
  <c r="V22" i="5"/>
  <c r="W22" i="5"/>
  <c r="X22" i="5"/>
  <c r="Y22" i="5"/>
  <c r="Z22" i="5"/>
  <c r="AA22" i="5"/>
  <c r="AB22" i="5"/>
  <c r="AC22" i="5"/>
  <c r="AD22" i="5"/>
  <c r="AE22" i="5"/>
  <c r="AF22" i="5"/>
  <c r="AG22" i="5"/>
  <c r="AH22" i="5"/>
  <c r="AI22" i="5"/>
  <c r="AJ22" i="5"/>
  <c r="AK22" i="5"/>
  <c r="AL22" i="5"/>
  <c r="AM22" i="5"/>
  <c r="AN22" i="5"/>
  <c r="AO22" i="5"/>
  <c r="AP22" i="5"/>
  <c r="AQ22" i="5"/>
  <c r="AR22" i="5"/>
  <c r="AS22" i="5"/>
  <c r="AT22" i="5"/>
  <c r="AU22" i="5"/>
  <c r="AV20" i="5"/>
  <c r="AU5" i="6" s="1"/>
  <c r="AW20" i="5"/>
  <c r="AX20" i="5"/>
  <c r="AY20" i="5"/>
  <c r="O6" i="5"/>
  <c r="S6" i="5"/>
  <c r="S20" i="5" s="1"/>
  <c r="R5" i="6" s="1"/>
  <c r="T6" i="5"/>
  <c r="T20" i="5" s="1"/>
  <c r="S5" i="6" s="1"/>
  <c r="U6" i="5"/>
  <c r="U20" i="5" s="1"/>
  <c r="T5" i="6" s="1"/>
  <c r="V6" i="5"/>
  <c r="V20" i="5" s="1"/>
  <c r="U5" i="6" s="1"/>
  <c r="W6" i="5"/>
  <c r="W20" i="5" s="1"/>
  <c r="V5" i="6" s="1"/>
  <c r="X6" i="5"/>
  <c r="X20" i="5" s="1"/>
  <c r="W5" i="6" s="1"/>
  <c r="Y6" i="5"/>
  <c r="Y20" i="5" s="1"/>
  <c r="X5" i="6" s="1"/>
  <c r="Z6" i="5"/>
  <c r="Z20" i="5" s="1"/>
  <c r="Y5" i="6" s="1"/>
  <c r="AA6" i="5"/>
  <c r="AA20" i="5" s="1"/>
  <c r="Z5" i="6" s="1"/>
  <c r="AB6" i="5"/>
  <c r="AB20" i="5" s="1"/>
  <c r="AA5" i="6" s="1"/>
  <c r="AC6" i="5"/>
  <c r="AC20" i="5" s="1"/>
  <c r="AB5" i="6" s="1"/>
  <c r="AD6" i="5"/>
  <c r="AD20" i="5" s="1"/>
  <c r="AC5" i="6" s="1"/>
  <c r="AE6" i="5"/>
  <c r="AE20" i="5" s="1"/>
  <c r="AD5" i="6" s="1"/>
  <c r="AF6" i="5"/>
  <c r="AF20" i="5" s="1"/>
  <c r="AE5" i="6" s="1"/>
  <c r="AG6" i="5"/>
  <c r="AG20" i="5" s="1"/>
  <c r="AF5" i="6" s="1"/>
  <c r="AH6" i="5"/>
  <c r="AH20" i="5" s="1"/>
  <c r="AG5" i="6" s="1"/>
  <c r="AI6" i="5"/>
  <c r="AI20" i="5" s="1"/>
  <c r="AH5" i="6" s="1"/>
  <c r="AJ6" i="5"/>
  <c r="AJ20" i="5" s="1"/>
  <c r="AI5" i="6" s="1"/>
  <c r="AK6" i="5"/>
  <c r="AK20" i="5" s="1"/>
  <c r="AJ5" i="6" s="1"/>
  <c r="AL6" i="5"/>
  <c r="AL20" i="5" s="1"/>
  <c r="AK5" i="6" s="1"/>
  <c r="AM6" i="5"/>
  <c r="AM20" i="5" s="1"/>
  <c r="AL5" i="6" s="1"/>
  <c r="AN6" i="5"/>
  <c r="AN20" i="5" s="1"/>
  <c r="AM5" i="6" s="1"/>
  <c r="AO6" i="5"/>
  <c r="AO20" i="5" s="1"/>
  <c r="AN5" i="6" s="1"/>
  <c r="AP6" i="5"/>
  <c r="AP20" i="5" s="1"/>
  <c r="AO5" i="6" s="1"/>
  <c r="AQ6" i="5"/>
  <c r="AQ20" i="5" s="1"/>
  <c r="AP5" i="6" s="1"/>
  <c r="AR6" i="5"/>
  <c r="AR20" i="5" s="1"/>
  <c r="AQ5" i="6" s="1"/>
  <c r="AS6" i="5"/>
  <c r="AS20" i="5" s="1"/>
  <c r="AR5" i="6" s="1"/>
  <c r="AT6" i="5"/>
  <c r="AT20" i="5" s="1"/>
  <c r="AS5" i="6" s="1"/>
  <c r="AU6" i="5"/>
  <c r="AU20" i="5" s="1"/>
  <c r="AT5" i="6" s="1"/>
  <c r="J6" i="5"/>
  <c r="AU20" i="6" l="1"/>
  <c r="J26" i="5"/>
  <c r="F24" i="5"/>
  <c r="L24" i="5" s="1"/>
  <c r="K24" i="5"/>
  <c r="R6" i="5"/>
  <c r="R20" i="5" s="1"/>
  <c r="Q5" i="6" s="1"/>
  <c r="J20" i="5"/>
  <c r="H5" i="6" s="1"/>
  <c r="I5" i="6" s="1"/>
  <c r="X35" i="5"/>
  <c r="W6" i="6" s="1"/>
  <c r="W20" i="6" s="1"/>
  <c r="E41" i="7" s="1"/>
  <c r="I41" i="7" s="1"/>
  <c r="W35" i="5"/>
  <c r="V6" i="6" s="1"/>
  <c r="V20" i="6" s="1"/>
  <c r="AU35" i="5"/>
  <c r="AT6" i="6" s="1"/>
  <c r="AT20" i="6" s="1"/>
  <c r="AR35" i="5"/>
  <c r="AQ6" i="6" s="1"/>
  <c r="AQ20" i="6" s="1"/>
  <c r="AJ35" i="5"/>
  <c r="AI6" i="6" s="1"/>
  <c r="AI20" i="6" s="1"/>
  <c r="AB35" i="5"/>
  <c r="AA6" i="6" s="1"/>
  <c r="AA20" i="6" s="1"/>
  <c r="E38" i="7" s="1"/>
  <c r="I38" i="7" s="1"/>
  <c r="T35" i="5"/>
  <c r="S6" i="6" s="1"/>
  <c r="S20" i="6" s="1"/>
  <c r="E7" i="7" s="1"/>
  <c r="I7" i="7" s="1"/>
  <c r="AI35" i="5"/>
  <c r="AH6" i="6" s="1"/>
  <c r="AH20" i="6" s="1"/>
  <c r="S35" i="5"/>
  <c r="R6" i="6" s="1"/>
  <c r="R20" i="6" s="1"/>
  <c r="AG35" i="5"/>
  <c r="AF6" i="6" s="1"/>
  <c r="AF20" i="6" s="1"/>
  <c r="E33" i="7" s="1"/>
  <c r="I33" i="7" s="1"/>
  <c r="Y35" i="5"/>
  <c r="X6" i="6" s="1"/>
  <c r="X20" i="6" s="1"/>
  <c r="AM35" i="5"/>
  <c r="AL6" i="6" s="1"/>
  <c r="AL20" i="6" s="1"/>
  <c r="AE35" i="5"/>
  <c r="AD6" i="6" s="1"/>
  <c r="AD20" i="6" s="1"/>
  <c r="E25" i="7" s="1"/>
  <c r="I25" i="7" s="1"/>
  <c r="AQ35" i="5"/>
  <c r="AP6" i="6" s="1"/>
  <c r="AP20" i="6" s="1"/>
  <c r="AA35" i="5"/>
  <c r="Z6" i="6" s="1"/>
  <c r="Z20" i="6" s="1"/>
  <c r="E39" i="7" s="1"/>
  <c r="I39" i="7" s="1"/>
  <c r="AO35" i="5"/>
  <c r="AN6" i="6" s="1"/>
  <c r="AN20" i="6" s="1"/>
  <c r="AN35" i="5"/>
  <c r="AM6" i="6" s="1"/>
  <c r="AM20" i="6" s="1"/>
  <c r="AF35" i="5"/>
  <c r="AE6" i="6" s="1"/>
  <c r="AE20" i="6" s="1"/>
  <c r="E26" i="7" s="1"/>
  <c r="I26" i="7" s="1"/>
  <c r="AP35" i="5"/>
  <c r="AO6" i="6" s="1"/>
  <c r="AO20" i="6" s="1"/>
  <c r="Z35" i="5"/>
  <c r="Y6" i="6" s="1"/>
  <c r="Y20" i="6" s="1"/>
  <c r="R35" i="5"/>
  <c r="Q6" i="6" s="1"/>
  <c r="AH35" i="5"/>
  <c r="AG6" i="6" s="1"/>
  <c r="AG20" i="6" s="1"/>
  <c r="E40" i="7" s="1"/>
  <c r="I40" i="7" s="1"/>
  <c r="AT35" i="5"/>
  <c r="AS6" i="6" s="1"/>
  <c r="AS20" i="6" s="1"/>
  <c r="AL35" i="5"/>
  <c r="AK6" i="6" s="1"/>
  <c r="AK20" i="6" s="1"/>
  <c r="AD35" i="5"/>
  <c r="AC6" i="6" s="1"/>
  <c r="AC20" i="6" s="1"/>
  <c r="V35" i="5"/>
  <c r="U6" i="6" s="1"/>
  <c r="U20" i="6" s="1"/>
  <c r="AS35" i="5"/>
  <c r="AR6" i="6" s="1"/>
  <c r="AR20" i="6" s="1"/>
  <c r="AK35" i="5"/>
  <c r="AJ6" i="6" s="1"/>
  <c r="AJ20" i="6" s="1"/>
  <c r="AC35" i="5"/>
  <c r="AB6" i="6" s="1"/>
  <c r="AB20" i="6" s="1"/>
  <c r="U35" i="5"/>
  <c r="T6" i="6" s="1"/>
  <c r="T20" i="6" s="1"/>
  <c r="F29" i="5"/>
  <c r="L29" i="5" s="1"/>
  <c r="K29" i="5"/>
  <c r="H27" i="5" l="1"/>
  <c r="Q20" i="6"/>
  <c r="H30" i="5"/>
  <c r="H26" i="5"/>
  <c r="H25" i="5"/>
  <c r="H22" i="5" l="1"/>
  <c r="H28" i="5"/>
  <c r="F6" i="5"/>
  <c r="H35" i="5" l="1"/>
  <c r="F6" i="6" s="1"/>
  <c r="G6" i="6" s="1"/>
  <c r="J30" i="5"/>
  <c r="F20" i="5"/>
  <c r="D5" i="6" l="1"/>
  <c r="J28" i="5"/>
  <c r="H6" i="5" l="1"/>
  <c r="K6" i="5"/>
  <c r="F25" i="5"/>
  <c r="E5" i="6"/>
  <c r="F27" i="5" l="1"/>
  <c r="H20" i="5"/>
  <c r="L6" i="5"/>
  <c r="F5" i="6" l="1"/>
  <c r="L20" i="5"/>
  <c r="F30" i="5"/>
  <c r="L30" i="5" s="1"/>
  <c r="K30" i="5"/>
  <c r="J25" i="5"/>
  <c r="L25" i="5" s="1"/>
  <c r="K25" i="5"/>
  <c r="F26" i="5"/>
  <c r="L26" i="5" s="1"/>
  <c r="K26" i="5"/>
  <c r="I24" i="7"/>
  <c r="I23" i="7"/>
  <c r="I22" i="7"/>
  <c r="G5" i="6" l="1"/>
  <c r="J5" i="6"/>
  <c r="I19" i="7"/>
  <c r="F22" i="5" l="1"/>
  <c r="G20" i="6"/>
  <c r="K5" i="6"/>
  <c r="I9" i="7" l="1"/>
  <c r="E18" i="7"/>
  <c r="I18" i="7" s="1"/>
  <c r="E10" i="7"/>
  <c r="I10" i="7" s="1"/>
  <c r="E16" i="7"/>
  <c r="I16" i="7" s="1"/>
  <c r="E15" i="7"/>
  <c r="E11" i="7" l="1"/>
  <c r="E13" i="7" s="1"/>
  <c r="I13" i="7" s="1"/>
  <c r="E17" i="7"/>
  <c r="I17" i="7" s="1"/>
  <c r="I15" i="7"/>
  <c r="J27" i="5"/>
  <c r="L27" i="5" s="1"/>
  <c r="K27" i="5"/>
  <c r="E27" i="7" l="1"/>
  <c r="I27" i="7" s="1"/>
  <c r="I11" i="7"/>
  <c r="E28" i="7"/>
  <c r="I28" i="7" s="1"/>
  <c r="E14" i="7"/>
  <c r="I14" i="7" s="1"/>
  <c r="J22" i="5"/>
  <c r="J35" i="5" s="1"/>
  <c r="K22" i="5"/>
  <c r="F28" i="5"/>
  <c r="F35" i="5" s="1"/>
  <c r="K28" i="5"/>
  <c r="L28" i="5" l="1"/>
  <c r="H6" i="6"/>
  <c r="I6" i="6" s="1"/>
  <c r="I20" i="6" s="1"/>
  <c r="L22" i="5"/>
  <c r="L35" i="5" l="1"/>
  <c r="I12" i="7"/>
  <c r="D6" i="6"/>
  <c r="E6" i="6" l="1"/>
  <c r="J6" i="6"/>
  <c r="K6" i="6" l="1"/>
  <c r="E20" i="6"/>
  <c r="K20" i="6" l="1"/>
  <c r="I5" i="7" l="1"/>
  <c r="E6" i="7"/>
  <c r="I6" i="7" s="1"/>
  <c r="E8" i="7" l="1"/>
  <c r="I8" i="7" l="1"/>
  <c r="E21" i="7"/>
  <c r="I21" i="7" s="1"/>
  <c r="E20" i="7"/>
  <c r="I20" i="7" l="1"/>
  <c r="E29" i="7"/>
  <c r="I29" i="7" l="1"/>
  <c r="E31" i="7"/>
  <c r="I31" i="7" s="1"/>
  <c r="E30" i="7"/>
  <c r="I32" i="7" l="1"/>
  <c r="I30" i="7"/>
  <c r="E34" i="7"/>
  <c r="I34" i="7" s="1"/>
  <c r="I35" i="7" l="1"/>
  <c r="I36" i="7" s="1"/>
  <c r="I37" i="7" s="1"/>
  <c r="E37" i="7" s="1"/>
  <c r="I42" i="7" l="1"/>
  <c r="E42" i="7"/>
  <c r="E36" i="7"/>
  <c r="E35" i="7" s="1"/>
  <c r="E32" i="7" s="1"/>
</calcChain>
</file>

<file path=xl/sharedStrings.xml><?xml version="1.0" encoding="utf-8"?>
<sst xmlns="http://schemas.openxmlformats.org/spreadsheetml/2006/main" count="299" uniqueCount="163">
  <si>
    <t>단위</t>
  </si>
  <si>
    <t>구분</t>
  </si>
  <si>
    <t>L</t>
  </si>
  <si>
    <t>준불연스티로폼단열재</t>
  </si>
  <si>
    <t>세이프폼, 900×1800×50</t>
  </si>
  <si>
    <t>장</t>
  </si>
  <si>
    <t>난방필름 T:0.3시공도(강화마루용)</t>
  </si>
  <si>
    <t>M2</t>
  </si>
  <si>
    <t>수  량</t>
  </si>
  <si>
    <t>재  료  비</t>
  </si>
  <si>
    <t>노  무  비</t>
  </si>
  <si>
    <t>경      비</t>
  </si>
  <si>
    <t>합      계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</si>
  <si>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</si>
  <si>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</si>
  <si>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</si>
  <si>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</si>
  <si>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</si>
  <si>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</si>
  <si>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</si>
  <si>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</si>
  <si>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>기계경비</t>
  </si>
  <si>
    <t>합  계</t>
  </si>
  <si>
    <t>식</t>
  </si>
  <si>
    <t>재료비</t>
  </si>
  <si>
    <t/>
  </si>
  <si>
    <t>수량</t>
  </si>
  <si>
    <t>금    액</t>
  </si>
  <si>
    <t>건축물현장정리</t>
  </si>
  <si>
    <t>개보수</t>
  </si>
  <si>
    <t>벽,띠장설치(미송)</t>
  </si>
  <si>
    <t>30*30,@450*600</t>
  </si>
  <si>
    <t>실내건축</t>
  </si>
  <si>
    <t>마루틀설치</t>
  </si>
  <si>
    <t>30*30,@300</t>
  </si>
  <si>
    <t>수장합판 설치</t>
  </si>
  <si>
    <t>접착붙임(합판 별도)</t>
  </si>
  <si>
    <t>AOC41200010S</t>
  </si>
  <si>
    <t>강화마루 깔기</t>
  </si>
  <si>
    <t>8.0×191×1200mm</t>
  </si>
  <si>
    <t>수성페인트 롤러칠(바탕만들기 포함)</t>
  </si>
  <si>
    <t>내벽 2회 1급(GB면 줄퍼티)</t>
  </si>
  <si>
    <t>공 사 내 역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</si>
  <si>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</si>
  <si>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</si>
  <si>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</si>
  <si>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</si>
  <si>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</si>
  <si>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</si>
  <si>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</si>
  <si>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</si>
  <si>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</si>
  <si>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</si>
  <si>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</si>
  <si>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</si>
  <si>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</si>
  <si>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</si>
  <si>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</si>
  <si>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</si>
  <si>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</si>
  <si>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작업부산물(철거해체)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</si>
  <si>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</si>
  <si>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</si>
  <si>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</si>
  <si>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</si>
  <si>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</si>
  <si>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</si>
  <si>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</si>
  <si>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</si>
  <si>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</si>
  <si>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</si>
  <si>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</si>
  <si>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</si>
  <si>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</si>
  <si>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</si>
  <si>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</si>
  <si>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01. 가설공사</t>
  </si>
  <si>
    <t>02. 수장공사</t>
  </si>
  <si>
    <t>난방필름</t>
  </si>
  <si>
    <t>공 사 집 계 표</t>
  </si>
  <si>
    <t>공 사 원 가 계 산 서</t>
  </si>
  <si>
    <t xml:space="preserve">                     구  분
  비   목</t>
  </si>
  <si>
    <t>구    성   비</t>
  </si>
  <si>
    <t>금      액</t>
  </si>
  <si>
    <t>비    고</t>
  </si>
  <si>
    <t>직   접   재  료  비</t>
  </si>
  <si>
    <t>A1</t>
  </si>
  <si>
    <t>간   접   재  료  비</t>
  </si>
  <si>
    <t>A2</t>
  </si>
  <si>
    <t>작업설.부산물 등(△)</t>
  </si>
  <si>
    <t>A3</t>
  </si>
  <si>
    <t>소                계</t>
  </si>
  <si>
    <t>A</t>
  </si>
  <si>
    <t>직   접   노  무  비</t>
  </si>
  <si>
    <t>B1</t>
  </si>
  <si>
    <t>간   접   노  무  비</t>
  </si>
  <si>
    <t>B2</t>
  </si>
  <si>
    <t>B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</si>
  <si>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</si>
  <si>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</si>
  <si>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</si>
  <si>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</si>
  <si>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</si>
  <si>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</si>
  <si>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</si>
  <si>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</si>
  <si>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</si>
  <si>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</si>
  <si>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</si>
  <si>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</si>
  <si>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퇴 직 공 제 부 금 비</t>
  </si>
  <si>
    <t>C15</t>
  </si>
  <si>
    <t>산업 안전 보건관리비</t>
  </si>
  <si>
    <t>3,559 &lt; 4,271</t>
  </si>
  <si>
    <t>C16</t>
  </si>
  <si>
    <t>기    타    경    비</t>
  </si>
  <si>
    <t>C20</t>
  </si>
  <si>
    <t>환  경  보   전   비</t>
  </si>
  <si>
    <t>C25</t>
  </si>
  <si>
    <t>건설하도급보증수수료</t>
  </si>
  <si>
    <t>C30</t>
  </si>
  <si>
    <t>공사 이행 보증수수료</t>
  </si>
  <si>
    <t>C31</t>
  </si>
  <si>
    <t>건설기계대여보증수수료</t>
  </si>
  <si>
    <t>C32</t>
  </si>
  <si>
    <t>안  전  관   리   비</t>
  </si>
  <si>
    <t>C17</t>
  </si>
  <si>
    <t>품  질  관   리   비</t>
  </si>
  <si>
    <t>C18</t>
  </si>
  <si>
    <t>석  면  분   담   금</t>
  </si>
  <si>
    <t>C21</t>
  </si>
  <si>
    <t>임금  채권  부담금</t>
  </si>
  <si>
    <t>C22</t>
  </si>
  <si>
    <t>C</t>
  </si>
  <si>
    <t xml:space="preserve">         계</t>
  </si>
  <si>
    <t>X</t>
  </si>
  <si>
    <t>일  반   관   리  비</t>
  </si>
  <si>
    <t>D</t>
  </si>
  <si>
    <t>이                윤</t>
  </si>
  <si>
    <t>E</t>
  </si>
  <si>
    <t>손해배상보험료</t>
  </si>
  <si>
    <t>L1</t>
  </si>
  <si>
    <t>총       원       가</t>
  </si>
  <si>
    <t>F</t>
  </si>
  <si>
    <t>부   가   가  치  세</t>
  </si>
  <si>
    <t>H</t>
  </si>
  <si>
    <t>도    급    금    액</t>
  </si>
  <si>
    <t>Y</t>
  </si>
  <si>
    <t>관   급  자   재  대</t>
  </si>
  <si>
    <t>J</t>
  </si>
  <si>
    <t>사   급   자  재  대</t>
  </si>
  <si>
    <t>K</t>
  </si>
  <si>
    <t>재해예방기술지도비</t>
  </si>
  <si>
    <t>M3</t>
  </si>
  <si>
    <t>폐  기  물  처 리 비</t>
  </si>
  <si>
    <t>총   공   사  금  액</t>
  </si>
  <si>
    <t>노무비</t>
  </si>
  <si>
    <t>경  비</t>
  </si>
  <si>
    <t>순  공  사  원  가</t>
  </si>
  <si>
    <t>벽,석고판 설치(나사고정)</t>
  </si>
  <si>
    <t>바탕용,일반석고,9.5T×2PLY</t>
  </si>
  <si>
    <t>도배바름</t>
    <phoneticPr fontId="1" type="noConversion"/>
  </si>
  <si>
    <t>공사명 : 도개초등학교 휴게시설(2실) 환경개선공사                                                      금액: 일천이백칠십칠만원(￦12,770,000)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</si>
</sst>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sz val="8"/>
      <color rgb="FF00008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b/>
      <u/>
      <sz val="9"/>
      <name val="굴림체"/>
      <family val="3"/>
      <charset val="129"/>
    </font>
    <font>
      <b/>
      <u/>
      <sz val="9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quotePrefix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shrinkToFit="1"/>
    </xf>
    <xf numFmtId="0" fontId="4" fillId="0" borderId="1" xfId="0" quotePrefix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right" vertical="center" shrinkToFit="1"/>
    </xf>
    <xf numFmtId="0" fontId="4" fillId="0" borderId="1" xfId="0" applyFont="1" applyBorder="1" applyAlignment="1">
      <alignment horizontal="left" vertical="center" shrinkToFit="1"/>
    </xf>
    <xf numFmtId="0" fontId="5" fillId="2" borderId="1" xfId="0" quotePrefix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right" vertical="center" shrinkToFit="1"/>
    </xf>
    <xf numFmtId="0" fontId="5" fillId="0" borderId="11" xfId="0" quotePrefix="1" applyFont="1" applyBorder="1" applyAlignment="1">
      <alignment horizontal="left" vertical="center" shrinkToFit="1"/>
    </xf>
    <xf numFmtId="0" fontId="5" fillId="0" borderId="11" xfId="0" applyFont="1" applyBorder="1" applyAlignment="1">
      <alignment horizontal="right" vertical="center" shrinkToFit="1"/>
    </xf>
    <xf numFmtId="0" fontId="5" fillId="0" borderId="12" xfId="0" quotePrefix="1" applyFont="1" applyBorder="1" applyAlignment="1">
      <alignment horizontal="left" vertical="center" shrinkToFit="1"/>
    </xf>
    <xf numFmtId="0" fontId="5" fillId="0" borderId="12" xfId="0" applyFont="1" applyBorder="1" applyAlignment="1">
      <alignment horizontal="right" vertical="center" shrinkToFit="1"/>
    </xf>
    <xf numFmtId="0" fontId="5" fillId="0" borderId="13" xfId="0" quotePrefix="1" applyFont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 shrinkToFit="1"/>
    </xf>
    <xf numFmtId="0" fontId="5" fillId="2" borderId="1" xfId="0" quotePrefix="1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 shrinkToFit="1"/>
    </xf>
    <xf numFmtId="0" fontId="5" fillId="0" borderId="12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right" vertical="center" shrinkToFit="1"/>
    </xf>
    <xf numFmtId="0" fontId="5" fillId="0" borderId="1" xfId="0" quotePrefix="1" applyFont="1" applyBorder="1" applyAlignment="1">
      <alignment horizontal="left" vertical="center" shrinkToFit="1"/>
    </xf>
    <xf numFmtId="0" fontId="4" fillId="0" borderId="11" xfId="0" quotePrefix="1" applyFont="1" applyBorder="1" applyAlignment="1">
      <alignment horizontal="center" vertical="center" textRotation="255" shrinkToFit="1"/>
    </xf>
    <xf numFmtId="0" fontId="4" fillId="0" borderId="12" xfId="0" applyFont="1" applyBorder="1" applyAlignment="1">
      <alignment horizontal="center" vertical="center" textRotation="255" shrinkToFit="1"/>
    </xf>
    <xf numFmtId="0" fontId="4" fillId="0" borderId="13" xfId="0" applyFont="1" applyBorder="1" applyAlignment="1">
      <alignment horizontal="center" vertical="center" textRotation="255" shrinkToFit="1"/>
    </xf>
    <xf numFmtId="0" fontId="4" fillId="0" borderId="1" xfId="0" applyFont="1" applyBorder="1" applyAlignment="1">
      <alignment horizontal="center" vertical="center" textRotation="255" shrinkToFit="1"/>
    </xf>
    <xf numFmtId="0" fontId="4" fillId="0" borderId="11" xfId="0" applyFont="1" applyBorder="1" applyAlignment="1">
      <alignment horizontal="center" vertical="center" textRotation="255" shrinkToFit="1"/>
    </xf>
    <xf numFmtId="0" fontId="5" fillId="2" borderId="1" xfId="0" quotePrefix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3" borderId="10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6" fillId="4" borderId="3" xfId="0" quotePrefix="1" applyFont="1" applyFill="1" applyBorder="1" applyAlignment="1">
      <alignment horizontal="left" vertical="center" shrinkToFit="1"/>
    </xf>
    <xf numFmtId="0" fontId="6" fillId="4" borderId="4" xfId="0" quotePrefix="1" applyFont="1" applyFill="1" applyBorder="1" applyAlignment="1">
      <alignment horizontal="left" vertical="center" shrinkToFit="1"/>
    </xf>
    <xf numFmtId="0" fontId="6" fillId="4" borderId="5" xfId="0" quotePrefix="1" applyFont="1" applyFill="1" applyBorder="1" applyAlignment="1">
      <alignment horizontal="left" vertical="center" shrinkToFit="1"/>
    </xf>
    <xf numFmtId="0" fontId="6" fillId="4" borderId="1" xfId="0" quotePrefix="1" applyFont="1" applyFill="1" applyBorder="1" applyAlignment="1">
      <alignment horizontal="left" vertical="center" shrinkToFit="1"/>
    </xf>
    <xf numFmtId="0" fontId="6" fillId="4" borderId="1" xfId="0" applyFont="1" applyFill="1" applyBorder="1" applyAlignment="1">
      <alignment horizontal="left" vertical="center" shrinkToFit="1"/>
    </xf>
    <xf numFmtId="0" fontId="7" fillId="0" borderId="0" xfId="0" quotePrefix="1" applyFont="1">
      <alignment vertical="center"/>
    </xf>
    <xf numFmtId="0" fontId="8" fillId="0" borderId="0" xfId="0" applyFont="1">
      <alignment vertical="center"/>
    </xf>
  </cellXfs>
  <cellStyles count="1">
    <cellStyle name="표준" xfId="0" builtinId="0"/>
  </cellStyles>
  <dxfs count="6"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44277;&#50976;&#54260;&#45908;\1.%20&#44277;&#49324;&#44288;&#47532;\1.%20&#49884;&#44277;&#51473;&#44277;&#49324;\5.%20&#51312;&#47560;&#52488;&#46321;&#54617;&#44368;\1.%20%20&#49444;&#44228;&#49436;(&#51228;&#51060;&#50896;&#44148;&#52629;)\1.%20&#49444;&#44228;&#49436;(&#51228;&#51060;&#50896;&#44148;&#52629;)-&#51312;&#47560;&#52488;&#46321;&#54617;&#44368;%20&#46028;&#48388;&#44368;&#49892;%20&#48143;%20&#45720;&#48388;&#51648;&#50896;&#49892;%20&#47532;&#47784;&#45944;&#47553;&#44277;&#49324;(&#52572;&#5133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 지"/>
      <sheetName val="원가계산"/>
      <sheetName val="집계표"/>
      <sheetName val="내역서"/>
      <sheetName val="일위대가목록"/>
      <sheetName val="일위대가표"/>
      <sheetName val="중기경비목록"/>
      <sheetName val="중기경비"/>
      <sheetName val="단가대비표"/>
    </sheetNames>
    <sheetDataSet>
      <sheetData sheetId="0"/>
      <sheetData sheetId="1"/>
      <sheetData sheetId="2"/>
      <sheetData sheetId="3"/>
      <sheetData sheetId="4">
        <row r="7">
          <cell r="K7">
            <v>0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A6378-35A7-4A8D-901A-9154F169843E}">
  <sheetPr>
    <tabColor rgb="FFF19D86"/>
  </sheetPr>
  <dimension ref="A1:I42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F1"/>
    </sheetView>
  </sheetViews>
  <sheetFormatPr defaultRowHeight="16.5" x14ac:dyDescent="0.3"/>
  <cols>
    <col min="1" max="2" width="3.625" customWidth="1"/>
    <col min="3" max="3" width="15.625" style="1" customWidth="1"/>
    <col min="4" max="4" width="55.625" style="1" customWidth="1"/>
    <col min="5" max="5" width="25.625" style="3" customWidth="1"/>
    <col min="6" max="6" width="19.625" style="1" customWidth="1"/>
    <col min="7" max="11" width="0" hidden="1" customWidth="1"/>
  </cols>
  <sheetData>
    <row r="1" spans="1:9" ht="30" customHeight="1" x14ac:dyDescent="0.3">
      <c r="A1" s="35" t="s">
        <v>80</v>
      </c>
      <c r="B1" s="35"/>
      <c r="C1" s="35"/>
      <c r="D1" s="35"/>
      <c r="E1" s="35"/>
      <c r="F1" s="35"/>
    </row>
    <row r="2" spans="1:9" ht="15.95" customHeight="1" x14ac:dyDescent="0.3">
      <c r="A2" s="50" t="s">
        <v>162</v>
      </c>
      <c r="B2" s="51"/>
      <c r="C2" s="51"/>
      <c r="D2" s="51"/>
      <c r="E2" s="51"/>
      <c r="F2" s="51"/>
    </row>
    <row r="3" spans="1:9" ht="12" customHeight="1" x14ac:dyDescent="0.3">
      <c r="A3" s="36" t="s">
        <v>81</v>
      </c>
      <c r="B3" s="37"/>
      <c r="C3" s="38"/>
      <c r="D3" s="42" t="s">
        <v>82</v>
      </c>
      <c r="E3" s="42" t="s">
        <v>83</v>
      </c>
      <c r="F3" s="42" t="s">
        <v>84</v>
      </c>
    </row>
    <row r="4" spans="1:9" ht="12" customHeight="1" x14ac:dyDescent="0.3">
      <c r="A4" s="39"/>
      <c r="B4" s="40"/>
      <c r="C4" s="41"/>
      <c r="D4" s="42"/>
      <c r="E4" s="42"/>
      <c r="F4" s="42"/>
    </row>
    <row r="5" spans="1:9" ht="15.95" customHeight="1" x14ac:dyDescent="0.3">
      <c r="A5" s="28" t="s">
        <v>158</v>
      </c>
      <c r="B5" s="28" t="s">
        <v>24</v>
      </c>
      <c r="C5" s="16" t="s">
        <v>85</v>
      </c>
      <c r="D5" s="16" t="s">
        <v>25</v>
      </c>
      <c r="E5" s="17"/>
      <c r="F5" s="16" t="s">
        <v>25</v>
      </c>
      <c r="G5" s="4" t="s">
        <v>86</v>
      </c>
      <c r="H5">
        <v>0</v>
      </c>
      <c r="I5">
        <f t="shared" ref="I5:I31" si="0">E5</f>
        <v>0</v>
      </c>
    </row>
    <row r="6" spans="1:9" ht="15.95" customHeight="1" x14ac:dyDescent="0.3">
      <c r="A6" s="29"/>
      <c r="B6" s="29"/>
      <c r="C6" s="18" t="s">
        <v>87</v>
      </c>
      <c r="D6" s="18" t="s">
        <v>25</v>
      </c>
      <c r="E6" s="19">
        <f>ROUNDDOWN(E5*H6, 0)</f>
        <v>0</v>
      </c>
      <c r="F6" s="18" t="s">
        <v>25</v>
      </c>
      <c r="G6" s="4" t="s">
        <v>88</v>
      </c>
      <c r="H6">
        <v>0</v>
      </c>
      <c r="I6">
        <f t="shared" si="0"/>
        <v>0</v>
      </c>
    </row>
    <row r="7" spans="1:9" ht="15.95" customHeight="1" x14ac:dyDescent="0.3">
      <c r="A7" s="30"/>
      <c r="B7" s="30"/>
      <c r="C7" s="20" t="s">
        <v>89</v>
      </c>
      <c r="D7" s="20" t="s">
        <v>25</v>
      </c>
      <c r="E7" s="21">
        <f>집계표!S20</f>
        <v>0</v>
      </c>
      <c r="F7" s="20" t="s">
        <v>25</v>
      </c>
      <c r="G7" s="4" t="s">
        <v>90</v>
      </c>
      <c r="H7">
        <v>0</v>
      </c>
      <c r="I7">
        <f t="shared" si="0"/>
        <v>0</v>
      </c>
    </row>
    <row r="8" spans="1:9" ht="15.95" customHeight="1" x14ac:dyDescent="0.3">
      <c r="A8" s="31"/>
      <c r="B8" s="31"/>
      <c r="C8" s="22" t="s">
        <v>91</v>
      </c>
      <c r="D8" s="22" t="s">
        <v>25</v>
      </c>
      <c r="E8" s="13">
        <f>SUM(E5:E6)-ABS(E7)</f>
        <v>0</v>
      </c>
      <c r="F8" s="22" t="s">
        <v>25</v>
      </c>
      <c r="G8" s="4" t="s">
        <v>92</v>
      </c>
      <c r="H8">
        <v>0</v>
      </c>
      <c r="I8">
        <f t="shared" si="0"/>
        <v>0</v>
      </c>
    </row>
    <row r="9" spans="1:9" ht="15.95" customHeight="1" x14ac:dyDescent="0.3">
      <c r="A9" s="32"/>
      <c r="B9" s="28" t="s">
        <v>156</v>
      </c>
      <c r="C9" s="16" t="s">
        <v>93</v>
      </c>
      <c r="D9" s="16" t="s">
        <v>25</v>
      </c>
      <c r="E9" s="17"/>
      <c r="F9" s="16" t="s">
        <v>25</v>
      </c>
      <c r="G9" s="4" t="s">
        <v>94</v>
      </c>
      <c r="H9">
        <v>0</v>
      </c>
      <c r="I9">
        <f t="shared" si="0"/>
        <v>0</v>
      </c>
    </row>
    <row r="10" spans="1:9" ht="15.95" customHeight="1" x14ac:dyDescent="0.3">
      <c r="A10" s="30"/>
      <c r="B10" s="30"/>
      <c r="C10" s="20" t="s">
        <v>95</v>
      </c>
      <c r="D10" s="23" t="str">
        <f>"직.노*"&amp;H10*100&amp;"%"</f>
        <v>직.노*17.5%</v>
      </c>
      <c r="E10" s="21">
        <f>ROUNDDOWN(E9*H10, 0)</f>
        <v>0</v>
      </c>
      <c r="F10" s="20" t="s">
        <v>25</v>
      </c>
      <c r="G10" s="4" t="s">
        <v>96</v>
      </c>
      <c r="H10">
        <v>0.17499999999999999</v>
      </c>
      <c r="I10">
        <f t="shared" si="0"/>
        <v>0</v>
      </c>
    </row>
    <row r="11" spans="1:9" ht="15.95" customHeight="1" x14ac:dyDescent="0.3">
      <c r="A11" s="31"/>
      <c r="B11" s="31"/>
      <c r="C11" s="22" t="s">
        <v>91</v>
      </c>
      <c r="D11" s="22" t="s">
        <v>25</v>
      </c>
      <c r="E11" s="13">
        <f>SUM(E9:E10)</f>
        <v>0</v>
      </c>
      <c r="F11" s="22" t="s">
        <v>25</v>
      </c>
      <c r="G11" s="4" t="s">
        <v>97</v>
      </c>
      <c r="H11">
        <v>0</v>
      </c>
      <c r="I11">
        <f t="shared" si="0"/>
        <v>0</v>
      </c>
    </row>
    <row r="12" spans="1:9" ht="15.95" customHeight="1" x14ac:dyDescent="0.3">
      <c r="A12" s="32"/>
      <c r="B12" s="28" t="s">
        <v>157</v>
      </c>
      <c r="C12" s="16" t="s">
        <v>98</v>
      </c>
      <c r="D12" s="16" t="s">
        <v>25</v>
      </c>
      <c r="E12" s="17"/>
      <c r="F12" s="16" t="s">
        <v>25</v>
      </c>
      <c r="G12" s="4" t="s">
        <v>99</v>
      </c>
      <c r="H12">
        <v>0</v>
      </c>
      <c r="I12">
        <f t="shared" si="0"/>
        <v>0</v>
      </c>
    </row>
    <row r="13" spans="1:9" ht="15.95" customHeight="1" x14ac:dyDescent="0.3">
      <c r="A13" s="29"/>
      <c r="B13" s="29"/>
      <c r="C13" s="18" t="s">
        <v>100</v>
      </c>
      <c r="D13" s="24" t="str">
        <f>"(노)*"&amp;H13*100&amp;"%"</f>
        <v>(노)*3.56%</v>
      </c>
      <c r="E13" s="19">
        <f>ROUNDDOWN((E11)*H13, 0)</f>
        <v>0</v>
      </c>
      <c r="F13" s="18" t="s">
        <v>25</v>
      </c>
      <c r="G13" s="4" t="s">
        <v>101</v>
      </c>
      <c r="H13">
        <v>3.56E-2</v>
      </c>
      <c r="I13">
        <f t="shared" si="0"/>
        <v>0</v>
      </c>
    </row>
    <row r="14" spans="1:9" ht="15.95" customHeight="1" x14ac:dyDescent="0.3">
      <c r="A14" s="29"/>
      <c r="B14" s="29"/>
      <c r="C14" s="18" t="s">
        <v>102</v>
      </c>
      <c r="D14" s="24" t="str">
        <f>"(노)*"&amp;H14*100&amp;"%"</f>
        <v>(노)*1.01%</v>
      </c>
      <c r="E14" s="19">
        <f>ROUNDDOWN((E11)*H14, 0)</f>
        <v>0</v>
      </c>
      <c r="F14" s="18" t="s">
        <v>25</v>
      </c>
      <c r="G14" s="4" t="s">
        <v>103</v>
      </c>
      <c r="H14">
        <v>1.01E-2</v>
      </c>
      <c r="I14">
        <f t="shared" si="0"/>
        <v>0</v>
      </c>
    </row>
    <row r="15" spans="1:9" ht="15.95" customHeight="1" x14ac:dyDescent="0.3">
      <c r="A15" s="29"/>
      <c r="B15" s="29"/>
      <c r="C15" s="18" t="s">
        <v>104</v>
      </c>
      <c r="D15" s="18" t="s">
        <v>25</v>
      </c>
      <c r="E15" s="19">
        <f>ROUNDDOWN((E9)*H15, 0)</f>
        <v>0</v>
      </c>
      <c r="F15" s="18" t="s">
        <v>25</v>
      </c>
      <c r="G15" s="4" t="s">
        <v>105</v>
      </c>
      <c r="H15">
        <v>0</v>
      </c>
      <c r="I15">
        <f t="shared" si="0"/>
        <v>0</v>
      </c>
    </row>
    <row r="16" spans="1:9" ht="15.95" customHeight="1" x14ac:dyDescent="0.3">
      <c r="A16" s="29"/>
      <c r="B16" s="29"/>
      <c r="C16" s="18" t="s">
        <v>106</v>
      </c>
      <c r="D16" s="18" t="s">
        <v>25</v>
      </c>
      <c r="E16" s="19">
        <f>ROUNDDOWN((E9)*H16, 0)</f>
        <v>0</v>
      </c>
      <c r="F16" s="18" t="s">
        <v>25</v>
      </c>
      <c r="G16" s="4" t="s">
        <v>107</v>
      </c>
      <c r="H16">
        <v>0</v>
      </c>
      <c r="I16">
        <f t="shared" si="0"/>
        <v>0</v>
      </c>
    </row>
    <row r="17" spans="1:9" ht="15.95" customHeight="1" x14ac:dyDescent="0.3">
      <c r="A17" s="29"/>
      <c r="B17" s="29"/>
      <c r="C17" s="18" t="s">
        <v>108</v>
      </c>
      <c r="D17" s="18" t="s">
        <v>25</v>
      </c>
      <c r="E17" s="19">
        <f>ROUNDDOWN((E15)*H17, 0)</f>
        <v>0</v>
      </c>
      <c r="F17" s="18" t="s">
        <v>25</v>
      </c>
      <c r="G17" s="4" t="s">
        <v>109</v>
      </c>
      <c r="H17">
        <v>0</v>
      </c>
      <c r="I17">
        <f t="shared" si="0"/>
        <v>0</v>
      </c>
    </row>
    <row r="18" spans="1:9" ht="15.95" customHeight="1" x14ac:dyDescent="0.3">
      <c r="A18" s="29"/>
      <c r="B18" s="29"/>
      <c r="C18" s="18" t="s">
        <v>110</v>
      </c>
      <c r="D18" s="18" t="s">
        <v>25</v>
      </c>
      <c r="E18" s="19">
        <f>ROUNDDOWN((E9)*H18, 0)</f>
        <v>0</v>
      </c>
      <c r="F18" s="18" t="s">
        <v>25</v>
      </c>
      <c r="G18" s="4" t="s">
        <v>111</v>
      </c>
      <c r="H18">
        <v>0</v>
      </c>
      <c r="I18">
        <f t="shared" si="0"/>
        <v>0</v>
      </c>
    </row>
    <row r="19" spans="1:9" ht="15.95" customHeight="1" x14ac:dyDescent="0.3">
      <c r="A19" s="29"/>
      <c r="B19" s="29"/>
      <c r="C19" s="18" t="s">
        <v>112</v>
      </c>
      <c r="D19" s="24" t="str">
        <f>"(재+직.노+(관급-0)/1.1)*"&amp;H19*100&amp;"%"&amp;" &lt; (재+직.노)*3.11%*1.2"</f>
        <v>(재+직.노+(관급-0)/1.1)*3.11% &lt; (재+직.노)*3.11%*1.2</v>
      </c>
      <c r="E19" s="19"/>
      <c r="F19" s="18" t="s">
        <v>113</v>
      </c>
      <c r="G19" s="4" t="s">
        <v>114</v>
      </c>
      <c r="H19">
        <v>3.1099999999999999E-2</v>
      </c>
      <c r="I19">
        <f t="shared" si="0"/>
        <v>0</v>
      </c>
    </row>
    <row r="20" spans="1:9" ht="15.95" customHeight="1" x14ac:dyDescent="0.3">
      <c r="A20" s="29"/>
      <c r="B20" s="29"/>
      <c r="C20" s="18" t="s">
        <v>115</v>
      </c>
      <c r="D20" s="24" t="str">
        <f>"(재+노)*"&amp;H20*100&amp;"%"</f>
        <v>(재+노)*5%</v>
      </c>
      <c r="E20" s="19">
        <f>ROUNDDOWN((E8+E11)*H20, 0)</f>
        <v>0</v>
      </c>
      <c r="F20" s="18" t="s">
        <v>25</v>
      </c>
      <c r="G20" s="4" t="s">
        <v>116</v>
      </c>
      <c r="H20">
        <v>0.05</v>
      </c>
      <c r="I20">
        <f t="shared" si="0"/>
        <v>0</v>
      </c>
    </row>
    <row r="21" spans="1:9" ht="15.95" customHeight="1" x14ac:dyDescent="0.3">
      <c r="A21" s="29"/>
      <c r="B21" s="29"/>
      <c r="C21" s="18" t="s">
        <v>117</v>
      </c>
      <c r="D21" s="24" t="str">
        <f>"(재+직.노+기.경)*"&amp;H21*100&amp;"%"</f>
        <v>(재+직.노+기.경)*0.5%</v>
      </c>
      <c r="E21" s="19">
        <f>ROUNDDOWN((E8+E9+E12)*H21, 0)</f>
        <v>0</v>
      </c>
      <c r="F21" s="18" t="s">
        <v>25</v>
      </c>
      <c r="G21" s="4" t="s">
        <v>118</v>
      </c>
      <c r="H21">
        <v>5.0000000000000001E-3</v>
      </c>
      <c r="I21">
        <f t="shared" si="0"/>
        <v>0</v>
      </c>
    </row>
    <row r="22" spans="1:9" ht="15.95" customHeight="1" x14ac:dyDescent="0.3">
      <c r="A22" s="29"/>
      <c r="B22" s="29"/>
      <c r="C22" s="18" t="s">
        <v>119</v>
      </c>
      <c r="D22" s="24" t="str">
        <f>"(재+직.노+기.경)*"&amp;H22*100&amp;"%"</f>
        <v>(재+직.노+기.경)*0.081%</v>
      </c>
      <c r="E22" s="19"/>
      <c r="F22" s="18" t="s">
        <v>25</v>
      </c>
      <c r="G22" s="4" t="s">
        <v>120</v>
      </c>
      <c r="H22">
        <v>8.1000000000000006E-4</v>
      </c>
      <c r="I22">
        <f t="shared" si="0"/>
        <v>0</v>
      </c>
    </row>
    <row r="23" spans="1:9" ht="15.95" customHeight="1" x14ac:dyDescent="0.3">
      <c r="A23" s="29"/>
      <c r="B23" s="29"/>
      <c r="C23" s="18" t="s">
        <v>121</v>
      </c>
      <c r="D23" s="24" t="str">
        <f>"(재+직.노+기.경)*"&amp;H23*100&amp;"%"&amp;"*(1/12)"</f>
        <v>(재+직.노+기.경)*0.0108%*(1/12)</v>
      </c>
      <c r="E23" s="19"/>
      <c r="F23" s="18" t="s">
        <v>25</v>
      </c>
      <c r="G23" s="4" t="s">
        <v>122</v>
      </c>
      <c r="H23">
        <v>1.0800000000000001E-4</v>
      </c>
      <c r="I23">
        <f t="shared" si="0"/>
        <v>0</v>
      </c>
    </row>
    <row r="24" spans="1:9" ht="15.95" customHeight="1" x14ac:dyDescent="0.3">
      <c r="A24" s="29"/>
      <c r="B24" s="29"/>
      <c r="C24" s="18" t="s">
        <v>123</v>
      </c>
      <c r="D24" s="24" t="str">
        <f>"(재+직.노+기.경)*"&amp;H24*100&amp;"%"</f>
        <v>(재+직.노+기.경)*0.07%</v>
      </c>
      <c r="E24" s="19"/>
      <c r="F24" s="18" t="s">
        <v>25</v>
      </c>
      <c r="G24" s="4" t="s">
        <v>124</v>
      </c>
      <c r="H24">
        <v>7.000000000000001E-4</v>
      </c>
      <c r="I24">
        <f t="shared" si="0"/>
        <v>0</v>
      </c>
    </row>
    <row r="25" spans="1:9" ht="15.95" customHeight="1" x14ac:dyDescent="0.3">
      <c r="A25" s="29"/>
      <c r="B25" s="29"/>
      <c r="C25" s="18" t="s">
        <v>125</v>
      </c>
      <c r="D25" s="18" t="s">
        <v>25</v>
      </c>
      <c r="E25" s="19">
        <f>집계표!AD20</f>
        <v>0</v>
      </c>
      <c r="F25" s="18" t="s">
        <v>25</v>
      </c>
      <c r="G25" s="4" t="s">
        <v>126</v>
      </c>
      <c r="H25">
        <v>0</v>
      </c>
      <c r="I25">
        <f t="shared" si="0"/>
        <v>0</v>
      </c>
    </row>
    <row r="26" spans="1:9" ht="15.95" customHeight="1" x14ac:dyDescent="0.3">
      <c r="A26" s="29"/>
      <c r="B26" s="29"/>
      <c r="C26" s="18" t="s">
        <v>127</v>
      </c>
      <c r="D26" s="18" t="s">
        <v>25</v>
      </c>
      <c r="E26" s="19">
        <f>집계표!AE20</f>
        <v>0</v>
      </c>
      <c r="F26" s="18" t="s">
        <v>25</v>
      </c>
      <c r="G26" s="4" t="s">
        <v>128</v>
      </c>
      <c r="H26">
        <v>0</v>
      </c>
      <c r="I26">
        <f t="shared" si="0"/>
        <v>0</v>
      </c>
    </row>
    <row r="27" spans="1:9" ht="15.95" customHeight="1" x14ac:dyDescent="0.3">
      <c r="A27" s="29"/>
      <c r="B27" s="29"/>
      <c r="C27" s="18" t="s">
        <v>129</v>
      </c>
      <c r="D27" s="24" t="str">
        <f>"노*"&amp;H27*100&amp;"%"</f>
        <v>노*0.006%</v>
      </c>
      <c r="E27" s="19">
        <f>ROUNDDOWN(E11*H27, 0)</f>
        <v>0</v>
      </c>
      <c r="F27" s="18" t="s">
        <v>25</v>
      </c>
      <c r="G27" s="4" t="s">
        <v>130</v>
      </c>
      <c r="H27">
        <v>6.0000000000000002E-5</v>
      </c>
      <c r="I27">
        <f t="shared" si="0"/>
        <v>0</v>
      </c>
    </row>
    <row r="28" spans="1:9" ht="15.95" customHeight="1" x14ac:dyDescent="0.3">
      <c r="A28" s="30"/>
      <c r="B28" s="30"/>
      <c r="C28" s="20" t="s">
        <v>131</v>
      </c>
      <c r="D28" s="23" t="str">
        <f>"노*"&amp;H28*100&amp;"%"</f>
        <v>노*0.09%</v>
      </c>
      <c r="E28" s="21">
        <f>ROUNDDOWN(E11*H28, 0)</f>
        <v>0</v>
      </c>
      <c r="F28" s="20" t="s">
        <v>25</v>
      </c>
      <c r="G28" s="4" t="s">
        <v>132</v>
      </c>
      <c r="H28">
        <v>8.9999999999999998E-4</v>
      </c>
      <c r="I28">
        <f t="shared" si="0"/>
        <v>0</v>
      </c>
    </row>
    <row r="29" spans="1:9" ht="15.95" customHeight="1" x14ac:dyDescent="0.3">
      <c r="A29" s="31"/>
      <c r="B29" s="31"/>
      <c r="C29" s="22" t="s">
        <v>91</v>
      </c>
      <c r="D29" s="22" t="s">
        <v>25</v>
      </c>
      <c r="E29" s="13">
        <f>SUM(E12:E28)</f>
        <v>0</v>
      </c>
      <c r="F29" s="22" t="s">
        <v>25</v>
      </c>
      <c r="G29" s="4" t="s">
        <v>133</v>
      </c>
      <c r="H29">
        <v>0</v>
      </c>
      <c r="I29">
        <f t="shared" si="0"/>
        <v>0</v>
      </c>
    </row>
    <row r="30" spans="1:9" ht="15.95" customHeight="1" x14ac:dyDescent="0.3">
      <c r="A30" s="31"/>
      <c r="B30" s="33" t="s">
        <v>134</v>
      </c>
      <c r="C30" s="34"/>
      <c r="D30" s="22" t="s">
        <v>25</v>
      </c>
      <c r="E30" s="13">
        <f>E8+E11+E29</f>
        <v>0</v>
      </c>
      <c r="F30" s="22" t="s">
        <v>25</v>
      </c>
      <c r="G30" s="4" t="s">
        <v>135</v>
      </c>
      <c r="H30">
        <v>0</v>
      </c>
      <c r="I30">
        <f t="shared" si="0"/>
        <v>0</v>
      </c>
    </row>
    <row r="31" spans="1:9" ht="15.95" customHeight="1" x14ac:dyDescent="0.3">
      <c r="A31" s="43" t="s">
        <v>136</v>
      </c>
      <c r="B31" s="44"/>
      <c r="C31" s="44"/>
      <c r="D31" s="25" t="str">
        <f>"(재+노+경)*"&amp;H31*100&amp;"%"</f>
        <v>(재+노+경)*8%</v>
      </c>
      <c r="E31" s="26">
        <f>ROUNDDOWN((E8+E11+E29)*H31, 0)</f>
        <v>0</v>
      </c>
      <c r="F31" s="27" t="s">
        <v>25</v>
      </c>
      <c r="G31" s="4" t="s">
        <v>137</v>
      </c>
      <c r="H31">
        <v>0.08</v>
      </c>
      <c r="I31">
        <f t="shared" si="0"/>
        <v>0</v>
      </c>
    </row>
    <row r="32" spans="1:9" ht="15.95" customHeight="1" x14ac:dyDescent="0.3">
      <c r="A32" s="43" t="s">
        <v>138</v>
      </c>
      <c r="B32" s="44"/>
      <c r="C32" s="44"/>
      <c r="D32" s="25" t="str">
        <f>"(노+경+일)*"&amp;H32*100&amp;"%"</f>
        <v>(노+경+일)*14.801122%</v>
      </c>
      <c r="E32" s="26">
        <f>E35-E34-E33-E31-E30</f>
        <v>0</v>
      </c>
      <c r="F32" s="27" t="s">
        <v>25</v>
      </c>
      <c r="G32" s="4" t="s">
        <v>139</v>
      </c>
      <c r="H32">
        <v>0.14801122</v>
      </c>
      <c r="I32">
        <f>(I11+I29+I31)*H32+909</f>
        <v>909</v>
      </c>
    </row>
    <row r="33" spans="1:9" ht="15.95" customHeight="1" x14ac:dyDescent="0.3">
      <c r="A33" s="43" t="s">
        <v>89</v>
      </c>
      <c r="B33" s="44"/>
      <c r="C33" s="44"/>
      <c r="D33" s="27" t="s">
        <v>25</v>
      </c>
      <c r="E33" s="26">
        <f>집계표!AF20</f>
        <v>0</v>
      </c>
      <c r="F33" s="27" t="s">
        <v>25</v>
      </c>
      <c r="G33" s="4" t="s">
        <v>7</v>
      </c>
      <c r="H33">
        <v>0</v>
      </c>
      <c r="I33">
        <f>E33</f>
        <v>0</v>
      </c>
    </row>
    <row r="34" spans="1:9" ht="15.95" customHeight="1" x14ac:dyDescent="0.3">
      <c r="A34" s="43" t="s">
        <v>140</v>
      </c>
      <c r="B34" s="44"/>
      <c r="C34" s="44"/>
      <c r="D34" s="27" t="s">
        <v>25</v>
      </c>
      <c r="E34" s="26">
        <f>ROUNDDOWN((E30+E31+((E11+E29+E31)*0.15)+E33+E38)*H34, 0)</f>
        <v>0</v>
      </c>
      <c r="F34" s="27" t="s">
        <v>25</v>
      </c>
      <c r="G34" s="4" t="s">
        <v>141</v>
      </c>
      <c r="H34">
        <v>0</v>
      </c>
      <c r="I34">
        <f>E34</f>
        <v>0</v>
      </c>
    </row>
    <row r="35" spans="1:9" ht="15.95" customHeight="1" x14ac:dyDescent="0.3">
      <c r="A35" s="43" t="s">
        <v>142</v>
      </c>
      <c r="B35" s="44"/>
      <c r="C35" s="44"/>
      <c r="D35" s="27" t="s">
        <v>25</v>
      </c>
      <c r="E35" s="26">
        <f>ROUNDDOWN(E37-E36, 0)</f>
        <v>0</v>
      </c>
      <c r="F35" s="27" t="s">
        <v>25</v>
      </c>
      <c r="G35" s="4" t="s">
        <v>143</v>
      </c>
      <c r="H35">
        <v>0</v>
      </c>
      <c r="I35">
        <f>SUM(I30:I34)</f>
        <v>909</v>
      </c>
    </row>
    <row r="36" spans="1:9" ht="15.95" customHeight="1" x14ac:dyDescent="0.3">
      <c r="A36" s="43" t="s">
        <v>144</v>
      </c>
      <c r="B36" s="44"/>
      <c r="C36" s="44"/>
      <c r="D36" s="25" t="str">
        <f>"(총원가)*"&amp;H36*100&amp;"%"</f>
        <v>(총원가)*10%</v>
      </c>
      <c r="E36" s="26">
        <f>ROUNDDOWN(((E37)/110)*10, 0)</f>
        <v>0</v>
      </c>
      <c r="F36" s="27" t="s">
        <v>25</v>
      </c>
      <c r="G36" s="4" t="s">
        <v>145</v>
      </c>
      <c r="H36">
        <v>0.1</v>
      </c>
      <c r="I36">
        <f>ROUNDDOWN((I35)*H36, 0)</f>
        <v>90</v>
      </c>
    </row>
    <row r="37" spans="1:9" ht="15.95" customHeight="1" x14ac:dyDescent="0.3">
      <c r="A37" s="33" t="s">
        <v>146</v>
      </c>
      <c r="B37" s="34"/>
      <c r="C37" s="34"/>
      <c r="D37" s="22" t="s">
        <v>25</v>
      </c>
      <c r="E37" s="13">
        <f>INT(I37/1000)*1000</f>
        <v>0</v>
      </c>
      <c r="F37" s="22" t="s">
        <v>25</v>
      </c>
      <c r="G37" s="4" t="s">
        <v>147</v>
      </c>
      <c r="H37">
        <v>0</v>
      </c>
      <c r="I37">
        <f>I35+I36</f>
        <v>999</v>
      </c>
    </row>
    <row r="38" spans="1:9" ht="15.95" customHeight="1" x14ac:dyDescent="0.3">
      <c r="A38" s="43" t="s">
        <v>148</v>
      </c>
      <c r="B38" s="44"/>
      <c r="C38" s="44"/>
      <c r="D38" s="27" t="s">
        <v>25</v>
      </c>
      <c r="E38" s="26">
        <f>집계표!AA20</f>
        <v>0</v>
      </c>
      <c r="F38" s="27" t="s">
        <v>25</v>
      </c>
      <c r="G38" s="4" t="s">
        <v>149</v>
      </c>
      <c r="H38">
        <v>0</v>
      </c>
      <c r="I38">
        <f>E38</f>
        <v>0</v>
      </c>
    </row>
    <row r="39" spans="1:9" ht="15.95" customHeight="1" x14ac:dyDescent="0.3">
      <c r="A39" s="43" t="s">
        <v>150</v>
      </c>
      <c r="B39" s="44"/>
      <c r="C39" s="44"/>
      <c r="D39" s="27" t="s">
        <v>25</v>
      </c>
      <c r="E39" s="26">
        <f>집계표!Z20</f>
        <v>0</v>
      </c>
      <c r="F39" s="27" t="s">
        <v>25</v>
      </c>
      <c r="G39" s="4" t="s">
        <v>151</v>
      </c>
      <c r="H39">
        <v>0</v>
      </c>
      <c r="I39">
        <f>E39</f>
        <v>0</v>
      </c>
    </row>
    <row r="40" spans="1:9" ht="15.95" customHeight="1" x14ac:dyDescent="0.3">
      <c r="A40" s="43" t="s">
        <v>152</v>
      </c>
      <c r="B40" s="44"/>
      <c r="C40" s="44"/>
      <c r="D40" s="27" t="s">
        <v>25</v>
      </c>
      <c r="E40" s="26">
        <f>집계표!AG20</f>
        <v>0</v>
      </c>
      <c r="F40" s="27" t="s">
        <v>25</v>
      </c>
      <c r="G40" s="4" t="s">
        <v>153</v>
      </c>
      <c r="H40">
        <v>0</v>
      </c>
      <c r="I40">
        <f>E40</f>
        <v>0</v>
      </c>
    </row>
    <row r="41" spans="1:9" ht="15.95" customHeight="1" x14ac:dyDescent="0.3">
      <c r="A41" s="43" t="s">
        <v>154</v>
      </c>
      <c r="B41" s="44"/>
      <c r="C41" s="44"/>
      <c r="D41" s="27" t="s">
        <v>25</v>
      </c>
      <c r="E41" s="26">
        <f>집계표!W20</f>
        <v>0</v>
      </c>
      <c r="F41" s="27" t="s">
        <v>25</v>
      </c>
      <c r="G41" s="4" t="s">
        <v>2</v>
      </c>
      <c r="H41">
        <v>0</v>
      </c>
      <c r="I41">
        <f>E41</f>
        <v>0</v>
      </c>
    </row>
    <row r="42" spans="1:9" ht="15.95" customHeight="1" x14ac:dyDescent="0.3">
      <c r="A42" s="33" t="s">
        <v>155</v>
      </c>
      <c r="B42" s="34"/>
      <c r="C42" s="34"/>
      <c r="D42" s="22" t="s">
        <v>25</v>
      </c>
      <c r="E42" s="13">
        <f>ROUNDDOWN(E37+E38+E39+E40+E41, 0)</f>
        <v>0</v>
      </c>
      <c r="F42" s="22" t="s">
        <v>25</v>
      </c>
      <c r="H42">
        <v>0</v>
      </c>
      <c r="I42">
        <f>I37+I38+I39+I40+I41</f>
        <v>999</v>
      </c>
    </row>
  </sheetData>
  <mergeCells count="23">
    <mergeCell ref="A41:C41"/>
    <mergeCell ref="B30:C30"/>
    <mergeCell ref="A31:C31"/>
    <mergeCell ref="A32:C32"/>
    <mergeCell ref="A33:C33"/>
    <mergeCell ref="A34:C34"/>
    <mergeCell ref="A35:C35"/>
    <mergeCell ref="B12:B29"/>
    <mergeCell ref="A5:A30"/>
    <mergeCell ref="A42:C42"/>
    <mergeCell ref="A1:F1"/>
    <mergeCell ref="A2:F2"/>
    <mergeCell ref="A3:C4"/>
    <mergeCell ref="D3:D4"/>
    <mergeCell ref="E3:E4"/>
    <mergeCell ref="F3:F4"/>
    <mergeCell ref="B5:B8"/>
    <mergeCell ref="B9:B11"/>
    <mergeCell ref="A36:C36"/>
    <mergeCell ref="A37:C37"/>
    <mergeCell ref="A38:C38"/>
    <mergeCell ref="A39:C39"/>
    <mergeCell ref="A40:C40"/>
  </mergeCells>
  <phoneticPr fontId="1" type="noConversion"/>
  <conditionalFormatting sqref="A5:F42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ageMargins left="0.59055118110236215" right="0" top="0.39370078740157477" bottom="0.1388888888888889" header="0.3" footer="0.138888888888888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0C196-342A-42E0-BE06-6AB58B1DAE8F}">
  <sheetPr>
    <tabColor rgb="FFF19D86"/>
  </sheetPr>
  <dimension ref="A1:AX2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5" sqref="A5"/>
    </sheetView>
  </sheetViews>
  <sheetFormatPr defaultRowHeight="16.5" x14ac:dyDescent="0.3"/>
  <cols>
    <col min="1" max="1" width="41.625" style="1" customWidth="1"/>
    <col min="2" max="3" width="4.625" style="2" customWidth="1"/>
    <col min="4" max="4" width="7.625" style="3" customWidth="1"/>
    <col min="5" max="5" width="9.625" style="3" customWidth="1"/>
    <col min="6" max="6" width="7.625" style="3" customWidth="1"/>
    <col min="7" max="7" width="9.625" style="3" customWidth="1"/>
    <col min="8" max="8" width="7.625" style="3" customWidth="1"/>
    <col min="9" max="9" width="9.625" style="3" customWidth="1"/>
    <col min="10" max="10" width="7.625" style="3" customWidth="1"/>
    <col min="11" max="11" width="9.625" style="3" customWidth="1"/>
    <col min="12" max="12" width="6.625" style="1" customWidth="1"/>
    <col min="13" max="50" width="0" hidden="1" customWidth="1"/>
  </cols>
  <sheetData>
    <row r="1" spans="1:50" ht="30" customHeight="1" x14ac:dyDescent="0.3">
      <c r="A1" s="35" t="s">
        <v>79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50" ht="23.1" customHeight="1" x14ac:dyDescent="0.3">
      <c r="A2" s="50" t="str">
        <f>원가계산서!A2</f>
        <v>공사명 : 도개초등학교 휴게시설(2실) 환경개선공사                                                      금액: 일천이백칠십칠만원(￦12,770,000)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50" ht="23.1" customHeight="1" x14ac:dyDescent="0.3">
      <c r="A3" s="42" t="s">
        <v>43</v>
      </c>
      <c r="B3" s="42" t="s">
        <v>0</v>
      </c>
      <c r="C3" s="42" t="s">
        <v>26</v>
      </c>
      <c r="D3" s="42" t="s">
        <v>9</v>
      </c>
      <c r="E3" s="42"/>
      <c r="F3" s="42" t="s">
        <v>10</v>
      </c>
      <c r="G3" s="42"/>
      <c r="H3" s="42" t="s">
        <v>11</v>
      </c>
      <c r="I3" s="42"/>
      <c r="J3" s="42" t="s">
        <v>12</v>
      </c>
      <c r="K3" s="42"/>
      <c r="L3" s="42" t="s">
        <v>45</v>
      </c>
    </row>
    <row r="4" spans="1:50" ht="23.1" customHeight="1" x14ac:dyDescent="0.3">
      <c r="A4" s="42"/>
      <c r="B4" s="42"/>
      <c r="C4" s="42"/>
      <c r="D4" s="5" t="s">
        <v>13</v>
      </c>
      <c r="E4" s="5" t="s">
        <v>27</v>
      </c>
      <c r="F4" s="5" t="s">
        <v>13</v>
      </c>
      <c r="G4" s="5" t="s">
        <v>27</v>
      </c>
      <c r="H4" s="5" t="s">
        <v>13</v>
      </c>
      <c r="I4" s="5" t="s">
        <v>27</v>
      </c>
      <c r="J4" s="5" t="s">
        <v>13</v>
      </c>
      <c r="K4" s="5" t="s">
        <v>27</v>
      </c>
      <c r="L4" s="42"/>
      <c r="M4" t="s">
        <v>15</v>
      </c>
      <c r="N4" t="s">
        <v>16</v>
      </c>
      <c r="O4" t="s">
        <v>17</v>
      </c>
      <c r="P4" t="s">
        <v>18</v>
      </c>
      <c r="Q4" t="s">
        <v>21</v>
      </c>
      <c r="R4" t="s">
        <v>46</v>
      </c>
      <c r="S4" t="s">
        <v>47</v>
      </c>
      <c r="T4" t="s">
        <v>48</v>
      </c>
      <c r="U4" t="s">
        <v>49</v>
      </c>
      <c r="V4" t="s">
        <v>50</v>
      </c>
      <c r="W4" t="s">
        <v>51</v>
      </c>
      <c r="X4" t="s">
        <v>52</v>
      </c>
      <c r="Y4" t="s">
        <v>53</v>
      </c>
      <c r="Z4" t="s">
        <v>54</v>
      </c>
      <c r="AA4" t="s">
        <v>55</v>
      </c>
      <c r="AB4" t="s">
        <v>56</v>
      </c>
      <c r="AC4" t="s">
        <v>57</v>
      </c>
      <c r="AD4" t="s">
        <v>58</v>
      </c>
      <c r="AE4" t="s">
        <v>59</v>
      </c>
      <c r="AF4" t="s">
        <v>60</v>
      </c>
      <c r="AG4" t="s">
        <v>61</v>
      </c>
      <c r="AH4" t="s">
        <v>62</v>
      </c>
      <c r="AI4" t="s">
        <v>63</v>
      </c>
      <c r="AJ4" t="s">
        <v>64</v>
      </c>
      <c r="AK4" t="s">
        <v>65</v>
      </c>
      <c r="AL4" t="s">
        <v>66</v>
      </c>
      <c r="AM4" t="s">
        <v>67</v>
      </c>
      <c r="AN4" t="s">
        <v>68</v>
      </c>
      <c r="AO4" t="s">
        <v>69</v>
      </c>
      <c r="AP4" t="s">
        <v>70</v>
      </c>
      <c r="AQ4" t="s">
        <v>71</v>
      </c>
      <c r="AR4" t="s">
        <v>72</v>
      </c>
      <c r="AS4" t="s">
        <v>73</v>
      </c>
      <c r="AT4" t="s">
        <v>74</v>
      </c>
      <c r="AU4" t="s">
        <v>75</v>
      </c>
      <c r="AV4" t="s">
        <v>19</v>
      </c>
      <c r="AW4" t="s">
        <v>20</v>
      </c>
      <c r="AX4" t="s">
        <v>1</v>
      </c>
    </row>
    <row r="5" spans="1:50" ht="23.1" customHeight="1" x14ac:dyDescent="0.3">
      <c r="A5" s="6" t="s">
        <v>76</v>
      </c>
      <c r="B5" s="7" t="s">
        <v>23</v>
      </c>
      <c r="C5" s="14">
        <v>1</v>
      </c>
      <c r="D5" s="8">
        <f>내역서!F20</f>
        <v>0</v>
      </c>
      <c r="E5" s="8">
        <f>C5*D5</f>
        <v>0</v>
      </c>
      <c r="F5" s="8">
        <f>내역서!H20</f>
        <v>0</v>
      </c>
      <c r="G5" s="8">
        <f>C5*F5</f>
        <v>0</v>
      </c>
      <c r="H5" s="8">
        <f>내역서!J20</f>
        <v>0</v>
      </c>
      <c r="I5" s="8">
        <f>C5*H5</f>
        <v>0</v>
      </c>
      <c r="J5" s="8">
        <f>D5+F5+H5</f>
        <v>0</v>
      </c>
      <c r="K5" s="8">
        <f>E5+G5+I5</f>
        <v>0</v>
      </c>
      <c r="L5" s="9"/>
      <c r="P5">
        <v>1</v>
      </c>
      <c r="Q5">
        <f>C5*내역서!R20</f>
        <v>0</v>
      </c>
      <c r="R5">
        <f>C5*내역서!S20</f>
        <v>0</v>
      </c>
      <c r="S5">
        <f>C5*내역서!T20</f>
        <v>0</v>
      </c>
      <c r="T5">
        <f>C5*내역서!U20</f>
        <v>0</v>
      </c>
      <c r="U5">
        <f>C5*내역서!V20</f>
        <v>0</v>
      </c>
      <c r="V5">
        <f>C5*내역서!W20</f>
        <v>0</v>
      </c>
      <c r="W5">
        <f>C5*내역서!X20</f>
        <v>0</v>
      </c>
      <c r="X5">
        <f>C5*내역서!Y20</f>
        <v>0</v>
      </c>
      <c r="Y5">
        <f>C5*내역서!Z20</f>
        <v>0</v>
      </c>
      <c r="Z5">
        <f>C5*내역서!AA20</f>
        <v>0</v>
      </c>
      <c r="AA5">
        <f>C5*내역서!AB20</f>
        <v>0</v>
      </c>
      <c r="AB5">
        <f>C5*내역서!AC20</f>
        <v>0</v>
      </c>
      <c r="AC5">
        <f>C5*내역서!AD20</f>
        <v>0</v>
      </c>
      <c r="AD5">
        <f>C5*내역서!AE20</f>
        <v>0</v>
      </c>
      <c r="AE5">
        <f>C5*내역서!AF20</f>
        <v>0</v>
      </c>
      <c r="AF5">
        <f>C5*내역서!AG20</f>
        <v>0</v>
      </c>
      <c r="AG5">
        <f>C5*내역서!AH20</f>
        <v>0</v>
      </c>
      <c r="AH5">
        <f>C5*내역서!AI20</f>
        <v>0</v>
      </c>
      <c r="AI5">
        <f>C5*내역서!AJ20</f>
        <v>0</v>
      </c>
      <c r="AJ5">
        <f>C5*내역서!AK20</f>
        <v>0</v>
      </c>
      <c r="AK5">
        <f>C5*내역서!AL20</f>
        <v>0</v>
      </c>
      <c r="AL5">
        <f>C5*내역서!AM20</f>
        <v>0</v>
      </c>
      <c r="AM5">
        <f>C5*내역서!AN20</f>
        <v>0</v>
      </c>
      <c r="AN5">
        <f>C5*내역서!AO20</f>
        <v>0</v>
      </c>
      <c r="AO5">
        <f>C5*내역서!AP20</f>
        <v>0</v>
      </c>
      <c r="AP5">
        <f>C5*내역서!AQ20</f>
        <v>0</v>
      </c>
      <c r="AQ5">
        <f>C5*내역서!AR20</f>
        <v>0</v>
      </c>
      <c r="AR5">
        <f>C5*내역서!AS20</f>
        <v>0</v>
      </c>
      <c r="AS5">
        <f>C5*내역서!AT20</f>
        <v>0</v>
      </c>
      <c r="AT5">
        <f>C5*내역서!AU20</f>
        <v>0</v>
      </c>
      <c r="AU5">
        <f>C5*내역서!AV20</f>
        <v>0</v>
      </c>
    </row>
    <row r="6" spans="1:50" ht="23.1" customHeight="1" x14ac:dyDescent="0.3">
      <c r="A6" s="6" t="s">
        <v>77</v>
      </c>
      <c r="B6" s="7" t="s">
        <v>23</v>
      </c>
      <c r="C6" s="14">
        <v>1</v>
      </c>
      <c r="D6" s="8">
        <f>내역서!F35</f>
        <v>0</v>
      </c>
      <c r="E6" s="8">
        <f>C6*D6</f>
        <v>0</v>
      </c>
      <c r="F6" s="8">
        <f>내역서!H35</f>
        <v>0</v>
      </c>
      <c r="G6" s="8">
        <f>C6*F6</f>
        <v>0</v>
      </c>
      <c r="H6" s="8">
        <f>내역서!J35</f>
        <v>0</v>
      </c>
      <c r="I6" s="8">
        <f>C6*H6</f>
        <v>0</v>
      </c>
      <c r="J6" s="8">
        <f>D6+F6+H6</f>
        <v>0</v>
      </c>
      <c r="K6" s="8">
        <f>E6+G6+I6</f>
        <v>0</v>
      </c>
      <c r="L6" s="9"/>
      <c r="P6">
        <v>1</v>
      </c>
      <c r="Q6">
        <f>C6*내역서!R35</f>
        <v>0</v>
      </c>
      <c r="R6">
        <f>C6*내역서!S35</f>
        <v>0</v>
      </c>
      <c r="S6">
        <f>C6*내역서!T35</f>
        <v>0</v>
      </c>
      <c r="T6">
        <f>C6*내역서!U35</f>
        <v>0</v>
      </c>
      <c r="U6">
        <f>C6*내역서!V35</f>
        <v>0</v>
      </c>
      <c r="V6">
        <f>C6*내역서!W35</f>
        <v>0</v>
      </c>
      <c r="W6">
        <f>C6*내역서!X35</f>
        <v>0</v>
      </c>
      <c r="X6">
        <f>C6*내역서!Y35</f>
        <v>0</v>
      </c>
      <c r="Y6">
        <f>C6*내역서!Z35</f>
        <v>0</v>
      </c>
      <c r="Z6">
        <f>C6*내역서!AA35</f>
        <v>0</v>
      </c>
      <c r="AA6">
        <f>C6*내역서!AB35</f>
        <v>0</v>
      </c>
      <c r="AB6">
        <f>C6*내역서!AC35</f>
        <v>0</v>
      </c>
      <c r="AC6">
        <f>C6*내역서!AD35</f>
        <v>0</v>
      </c>
      <c r="AD6">
        <f>C6*내역서!AE35</f>
        <v>0</v>
      </c>
      <c r="AE6">
        <f>C6*내역서!AF35</f>
        <v>0</v>
      </c>
      <c r="AF6">
        <f>C6*내역서!AG35</f>
        <v>0</v>
      </c>
      <c r="AG6">
        <f>C6*내역서!AH35</f>
        <v>0</v>
      </c>
      <c r="AH6">
        <f>C6*내역서!AI35</f>
        <v>0</v>
      </c>
      <c r="AI6">
        <f>C6*내역서!AJ35</f>
        <v>0</v>
      </c>
      <c r="AJ6">
        <f>C6*내역서!AK35</f>
        <v>0</v>
      </c>
      <c r="AK6">
        <f>C6*내역서!AL35</f>
        <v>0</v>
      </c>
      <c r="AL6">
        <f>C6*내역서!AM35</f>
        <v>0</v>
      </c>
      <c r="AM6">
        <f>C6*내역서!AN35</f>
        <v>0</v>
      </c>
      <c r="AN6">
        <f>C6*내역서!AO35</f>
        <v>0</v>
      </c>
      <c r="AO6">
        <f>C6*내역서!AP35</f>
        <v>0</v>
      </c>
      <c r="AP6">
        <f>C6*내역서!AQ35</f>
        <v>0</v>
      </c>
      <c r="AQ6">
        <f>C6*내역서!AR35</f>
        <v>0</v>
      </c>
      <c r="AR6">
        <f>C6*내역서!AS35</f>
        <v>0</v>
      </c>
      <c r="AS6">
        <f>C6*내역서!AT35</f>
        <v>0</v>
      </c>
      <c r="AT6">
        <f>C6*내역서!AU35</f>
        <v>0</v>
      </c>
      <c r="AU6">
        <f>C6*내역서!AV35</f>
        <v>0</v>
      </c>
    </row>
    <row r="7" spans="1:50" ht="23.1" customHeight="1" x14ac:dyDescent="0.3">
      <c r="A7" s="9"/>
      <c r="B7" s="14"/>
      <c r="C7" s="14"/>
      <c r="D7" s="8"/>
      <c r="E7" s="8"/>
      <c r="F7" s="8"/>
      <c r="G7" s="8"/>
      <c r="H7" s="8"/>
      <c r="I7" s="8"/>
      <c r="J7" s="8"/>
      <c r="K7" s="8"/>
      <c r="L7" s="9"/>
    </row>
    <row r="8" spans="1:50" ht="23.1" customHeight="1" x14ac:dyDescent="0.3">
      <c r="A8" s="9"/>
      <c r="B8" s="14"/>
      <c r="C8" s="14"/>
      <c r="D8" s="8"/>
      <c r="E8" s="8"/>
      <c r="F8" s="8"/>
      <c r="G8" s="8"/>
      <c r="H8" s="8"/>
      <c r="I8" s="8"/>
      <c r="J8" s="8"/>
      <c r="K8" s="8"/>
      <c r="L8" s="9"/>
    </row>
    <row r="9" spans="1:50" ht="23.1" customHeight="1" x14ac:dyDescent="0.3">
      <c r="A9" s="9"/>
      <c r="B9" s="14"/>
      <c r="C9" s="14"/>
      <c r="D9" s="8"/>
      <c r="E9" s="8"/>
      <c r="F9" s="8"/>
      <c r="G9" s="8"/>
      <c r="H9" s="8"/>
      <c r="I9" s="8"/>
      <c r="J9" s="8"/>
      <c r="K9" s="8"/>
      <c r="L9" s="9"/>
    </row>
    <row r="10" spans="1:50" ht="23.1" customHeight="1" x14ac:dyDescent="0.3">
      <c r="A10" s="9"/>
      <c r="B10" s="14"/>
      <c r="C10" s="14"/>
      <c r="D10" s="8"/>
      <c r="E10" s="8"/>
      <c r="F10" s="8"/>
      <c r="G10" s="8"/>
      <c r="H10" s="8"/>
      <c r="I10" s="8"/>
      <c r="J10" s="8"/>
      <c r="K10" s="8"/>
      <c r="L10" s="9"/>
    </row>
    <row r="11" spans="1:50" ht="23.1" customHeight="1" x14ac:dyDescent="0.3">
      <c r="A11" s="9"/>
      <c r="B11" s="14"/>
      <c r="C11" s="14"/>
      <c r="D11" s="8"/>
      <c r="E11" s="8"/>
      <c r="F11" s="8"/>
      <c r="G11" s="8"/>
      <c r="H11" s="8"/>
      <c r="I11" s="8"/>
      <c r="J11" s="8"/>
      <c r="K11" s="8"/>
      <c r="L11" s="9"/>
    </row>
    <row r="12" spans="1:50" ht="23.1" customHeight="1" x14ac:dyDescent="0.3">
      <c r="A12" s="9"/>
      <c r="B12" s="14"/>
      <c r="C12" s="14"/>
      <c r="D12" s="8"/>
      <c r="E12" s="8"/>
      <c r="F12" s="8"/>
      <c r="G12" s="8"/>
      <c r="H12" s="8"/>
      <c r="I12" s="8"/>
      <c r="J12" s="8"/>
      <c r="K12" s="8"/>
      <c r="L12" s="9"/>
    </row>
    <row r="13" spans="1:50" ht="23.1" customHeight="1" x14ac:dyDescent="0.3">
      <c r="A13" s="9"/>
      <c r="B13" s="14"/>
      <c r="C13" s="14"/>
      <c r="D13" s="8"/>
      <c r="E13" s="8"/>
      <c r="F13" s="8"/>
      <c r="G13" s="8"/>
      <c r="H13" s="8"/>
      <c r="I13" s="8"/>
      <c r="J13" s="8"/>
      <c r="K13" s="8"/>
      <c r="L13" s="9"/>
    </row>
    <row r="14" spans="1:50" ht="23.1" customHeight="1" x14ac:dyDescent="0.3">
      <c r="A14" s="9"/>
      <c r="B14" s="14"/>
      <c r="C14" s="14"/>
      <c r="D14" s="8"/>
      <c r="E14" s="8"/>
      <c r="F14" s="8"/>
      <c r="G14" s="8"/>
      <c r="H14" s="8"/>
      <c r="I14" s="8"/>
      <c r="J14" s="8"/>
      <c r="K14" s="8"/>
      <c r="L14" s="9"/>
    </row>
    <row r="15" spans="1:50" ht="23.1" customHeight="1" x14ac:dyDescent="0.3">
      <c r="A15" s="9"/>
      <c r="B15" s="14"/>
      <c r="C15" s="14"/>
      <c r="D15" s="8"/>
      <c r="E15" s="8"/>
      <c r="F15" s="8"/>
      <c r="G15" s="8"/>
      <c r="H15" s="8"/>
      <c r="I15" s="8"/>
      <c r="J15" s="8"/>
      <c r="K15" s="8"/>
      <c r="L15" s="9"/>
    </row>
    <row r="16" spans="1:50" ht="23.1" customHeight="1" x14ac:dyDescent="0.3">
      <c r="A16" s="9"/>
      <c r="B16" s="14"/>
      <c r="C16" s="14"/>
      <c r="D16" s="8"/>
      <c r="E16" s="8"/>
      <c r="F16" s="8"/>
      <c r="G16" s="8"/>
      <c r="H16" s="8"/>
      <c r="I16" s="8"/>
      <c r="J16" s="8"/>
      <c r="K16" s="8"/>
      <c r="L16" s="9"/>
    </row>
    <row r="17" spans="1:50" ht="23.1" customHeight="1" x14ac:dyDescent="0.3">
      <c r="A17" s="9"/>
      <c r="B17" s="14"/>
      <c r="C17" s="14"/>
      <c r="D17" s="8"/>
      <c r="E17" s="8"/>
      <c r="F17" s="8"/>
      <c r="G17" s="8"/>
      <c r="H17" s="8"/>
      <c r="I17" s="8"/>
      <c r="J17" s="8"/>
      <c r="K17" s="8"/>
      <c r="L17" s="9"/>
    </row>
    <row r="18" spans="1:50" ht="23.1" customHeight="1" x14ac:dyDescent="0.3">
      <c r="A18" s="9"/>
      <c r="B18" s="14"/>
      <c r="C18" s="14"/>
      <c r="D18" s="8"/>
      <c r="E18" s="8"/>
      <c r="F18" s="8"/>
      <c r="G18" s="8"/>
      <c r="H18" s="8"/>
      <c r="I18" s="8"/>
      <c r="J18" s="8"/>
      <c r="K18" s="8"/>
      <c r="L18" s="9"/>
    </row>
    <row r="19" spans="1:50" ht="23.1" customHeight="1" x14ac:dyDescent="0.3">
      <c r="A19" s="9"/>
      <c r="B19" s="14"/>
      <c r="C19" s="14"/>
      <c r="D19" s="8"/>
      <c r="E19" s="8"/>
      <c r="F19" s="8"/>
      <c r="G19" s="8"/>
      <c r="H19" s="8"/>
      <c r="I19" s="8"/>
      <c r="J19" s="8"/>
      <c r="K19" s="8"/>
      <c r="L19" s="9"/>
    </row>
    <row r="20" spans="1:50" ht="23.1" customHeight="1" x14ac:dyDescent="0.3">
      <c r="A20" s="10" t="s">
        <v>22</v>
      </c>
      <c r="B20" s="12"/>
      <c r="C20" s="12"/>
      <c r="D20" s="13"/>
      <c r="E20" s="13">
        <f>SUMIF(P5:P6, "1", E5:E6)</f>
        <v>0</v>
      </c>
      <c r="F20" s="13"/>
      <c r="G20" s="13">
        <f>SUMIF(P5:P6, "1", G5:G6)</f>
        <v>0</v>
      </c>
      <c r="H20" s="13"/>
      <c r="I20" s="13">
        <f>SUMIF(P5:P6, "1", I5:I6)</f>
        <v>0</v>
      </c>
      <c r="J20" s="13"/>
      <c r="K20" s="13">
        <f>E20+G20+I20</f>
        <v>0</v>
      </c>
      <c r="L20" s="11"/>
      <c r="Q20">
        <f t="shared" ref="Q20:AX20" si="0">SUM(Q5:Q6)</f>
        <v>0</v>
      </c>
      <c r="R20">
        <f t="shared" si="0"/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  <c r="Z20">
        <f t="shared" si="0"/>
        <v>0</v>
      </c>
      <c r="AA20">
        <f t="shared" si="0"/>
        <v>0</v>
      </c>
      <c r="AB20">
        <f t="shared" si="0"/>
        <v>0</v>
      </c>
      <c r="AC20">
        <f t="shared" si="0"/>
        <v>0</v>
      </c>
      <c r="AD20">
        <f t="shared" si="0"/>
        <v>0</v>
      </c>
      <c r="AE20">
        <f t="shared" si="0"/>
        <v>0</v>
      </c>
      <c r="AF20">
        <f t="shared" si="0"/>
        <v>0</v>
      </c>
      <c r="AG20">
        <f t="shared" si="0"/>
        <v>0</v>
      </c>
      <c r="AH20">
        <f t="shared" si="0"/>
        <v>0</v>
      </c>
      <c r="AI20">
        <f t="shared" si="0"/>
        <v>0</v>
      </c>
      <c r="AJ20">
        <f t="shared" si="0"/>
        <v>0</v>
      </c>
      <c r="AK20">
        <f t="shared" si="0"/>
        <v>0</v>
      </c>
      <c r="AL20">
        <f t="shared" si="0"/>
        <v>0</v>
      </c>
      <c r="AM20">
        <f t="shared" si="0"/>
        <v>0</v>
      </c>
      <c r="AN20">
        <f t="shared" si="0"/>
        <v>0</v>
      </c>
      <c r="AO20">
        <f t="shared" si="0"/>
        <v>0</v>
      </c>
      <c r="AP20">
        <f t="shared" si="0"/>
        <v>0</v>
      </c>
      <c r="AQ20">
        <f t="shared" si="0"/>
        <v>0</v>
      </c>
      <c r="AR20">
        <f t="shared" si="0"/>
        <v>0</v>
      </c>
      <c r="AS20">
        <f t="shared" si="0"/>
        <v>0</v>
      </c>
      <c r="AT20">
        <f t="shared" si="0"/>
        <v>0</v>
      </c>
      <c r="AU20">
        <f t="shared" si="0"/>
        <v>0</v>
      </c>
      <c r="AV20">
        <f t="shared" si="0"/>
        <v>0</v>
      </c>
      <c r="AW20">
        <f t="shared" si="0"/>
        <v>0</v>
      </c>
      <c r="AX20">
        <f t="shared" si="0"/>
        <v>0</v>
      </c>
    </row>
  </sheetData>
  <mergeCells count="10">
    <mergeCell ref="A1:L1"/>
    <mergeCell ref="A2:L2"/>
    <mergeCell ref="A3:A4"/>
    <mergeCell ref="B3:B4"/>
    <mergeCell ref="C3:C4"/>
    <mergeCell ref="L3:L4"/>
    <mergeCell ref="D3:E3"/>
    <mergeCell ref="F3:G3"/>
    <mergeCell ref="H3:I3"/>
    <mergeCell ref="J3:K3"/>
  </mergeCells>
  <phoneticPr fontId="1" type="noConversion"/>
  <conditionalFormatting sqref="A5:L20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59055118110236215" right="0" top="0.39370078740157477" bottom="0.1388888888888889" header="0.3" footer="0.1388888888888889"/>
  <pageSetup paperSize="9" orientation="landscape" r:id="rId1"/>
  <rowBreaks count="1" manualBreakCount="1">
    <brk id="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07E32-B6C1-4A2C-94B2-47AB93F9C6A3}">
  <sheetPr>
    <tabColor rgb="FFFFFFB7"/>
  </sheetPr>
  <dimension ref="A1:AY35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3" sqref="A3:A4"/>
    </sheetView>
  </sheetViews>
  <sheetFormatPr defaultRowHeight="16.5" x14ac:dyDescent="0.3"/>
  <cols>
    <col min="1" max="2" width="20.625" style="1" customWidth="1"/>
    <col min="3" max="3" width="4.625" style="2" customWidth="1"/>
    <col min="4" max="5" width="6.625" style="3" customWidth="1"/>
    <col min="6" max="6" width="9.625" style="3" customWidth="1"/>
    <col min="7" max="7" width="6.625" style="3" customWidth="1"/>
    <col min="8" max="8" width="9.625" style="3" customWidth="1"/>
    <col min="9" max="9" width="6.625" style="3" customWidth="1"/>
    <col min="10" max="10" width="9.625" style="3" customWidth="1"/>
    <col min="11" max="11" width="6.625" style="3" customWidth="1"/>
    <col min="12" max="12" width="9.625" style="3" customWidth="1"/>
    <col min="13" max="13" width="8.625" style="3" customWidth="1"/>
    <col min="14" max="51" width="0" hidden="1" customWidth="1"/>
  </cols>
  <sheetData>
    <row r="1" spans="1:51" ht="30" customHeight="1" x14ac:dyDescent="0.3">
      <c r="A1" s="35" t="s">
        <v>42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51" ht="23.1" customHeight="1" x14ac:dyDescent="0.3">
      <c r="A2" s="50" t="str">
        <f>집계표!A2</f>
        <v>공사명 : 도개초등학교 휴게시설(2실) 환경개선공사                                                      금액: 일천이백칠십칠만원(￦12,770,000)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51" ht="23.1" customHeight="1" x14ac:dyDescent="0.3">
      <c r="A3" s="42" t="s">
        <v>43</v>
      </c>
      <c r="B3" s="42" t="s">
        <v>44</v>
      </c>
      <c r="C3" s="42" t="s">
        <v>0</v>
      </c>
      <c r="D3" s="42" t="s">
        <v>8</v>
      </c>
      <c r="E3" s="42" t="s">
        <v>9</v>
      </c>
      <c r="F3" s="42"/>
      <c r="G3" s="42" t="s">
        <v>10</v>
      </c>
      <c r="H3" s="42"/>
      <c r="I3" s="42" t="s">
        <v>11</v>
      </c>
      <c r="J3" s="42"/>
      <c r="K3" s="42" t="s">
        <v>12</v>
      </c>
      <c r="L3" s="42"/>
      <c r="M3" s="42" t="s">
        <v>45</v>
      </c>
    </row>
    <row r="4" spans="1:51" ht="23.1" customHeight="1" x14ac:dyDescent="0.3">
      <c r="A4" s="42"/>
      <c r="B4" s="42"/>
      <c r="C4" s="42"/>
      <c r="D4" s="42"/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14</v>
      </c>
      <c r="K4" s="5" t="s">
        <v>13</v>
      </c>
      <c r="L4" s="5" t="s">
        <v>14</v>
      </c>
      <c r="M4" s="42"/>
      <c r="N4" t="s">
        <v>15</v>
      </c>
      <c r="O4" t="s">
        <v>16</v>
      </c>
      <c r="P4" t="s">
        <v>17</v>
      </c>
      <c r="Q4" t="s">
        <v>18</v>
      </c>
      <c r="R4" t="s">
        <v>21</v>
      </c>
      <c r="S4" t="s">
        <v>46</v>
      </c>
      <c r="T4" t="s">
        <v>47</v>
      </c>
      <c r="U4" t="s">
        <v>48</v>
      </c>
      <c r="V4" t="s">
        <v>49</v>
      </c>
      <c r="W4" t="s">
        <v>50</v>
      </c>
      <c r="X4" t="s">
        <v>51</v>
      </c>
      <c r="Y4" t="s">
        <v>52</v>
      </c>
      <c r="Z4" t="s">
        <v>53</v>
      </c>
      <c r="AA4" t="s">
        <v>54</v>
      </c>
      <c r="AB4" t="s">
        <v>55</v>
      </c>
      <c r="AC4" t="s">
        <v>56</v>
      </c>
      <c r="AD4" t="s">
        <v>57</v>
      </c>
      <c r="AE4" t="s">
        <v>58</v>
      </c>
      <c r="AF4" t="s">
        <v>59</v>
      </c>
      <c r="AG4" t="s">
        <v>60</v>
      </c>
      <c r="AH4" t="s">
        <v>61</v>
      </c>
      <c r="AI4" t="s">
        <v>62</v>
      </c>
      <c r="AJ4" t="s">
        <v>63</v>
      </c>
      <c r="AK4" t="s">
        <v>64</v>
      </c>
      <c r="AL4" t="s">
        <v>65</v>
      </c>
      <c r="AM4" t="s">
        <v>66</v>
      </c>
      <c r="AN4" t="s">
        <v>67</v>
      </c>
      <c r="AO4" t="s">
        <v>68</v>
      </c>
      <c r="AP4" t="s">
        <v>69</v>
      </c>
      <c r="AQ4" t="s">
        <v>70</v>
      </c>
      <c r="AR4" t="s">
        <v>71</v>
      </c>
      <c r="AS4" t="s">
        <v>72</v>
      </c>
      <c r="AT4" t="s">
        <v>73</v>
      </c>
      <c r="AU4" t="s">
        <v>74</v>
      </c>
      <c r="AV4" t="s">
        <v>75</v>
      </c>
      <c r="AW4" t="s">
        <v>19</v>
      </c>
      <c r="AX4" t="s">
        <v>20</v>
      </c>
      <c r="AY4" t="s">
        <v>1</v>
      </c>
    </row>
    <row r="5" spans="1:51" ht="23.1" customHeight="1" x14ac:dyDescent="0.3">
      <c r="A5" s="45" t="s">
        <v>76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7"/>
    </row>
    <row r="6" spans="1:51" ht="23.1" customHeight="1" x14ac:dyDescent="0.3">
      <c r="A6" s="6" t="s">
        <v>28</v>
      </c>
      <c r="B6" s="6" t="s">
        <v>29</v>
      </c>
      <c r="C6" s="7" t="s">
        <v>7</v>
      </c>
      <c r="D6" s="8">
        <v>26.61</v>
      </c>
      <c r="E6" s="8"/>
      <c r="F6" s="8">
        <f>ROUNDDOWN(D6*E6, 0)</f>
        <v>0</v>
      </c>
      <c r="G6" s="8"/>
      <c r="H6" s="8">
        <f>ROUNDDOWN(D6*G6, 0)</f>
        <v>0</v>
      </c>
      <c r="I6" s="8"/>
      <c r="J6" s="8">
        <f>ROUNDDOWN(D6*I6, 0)</f>
        <v>0</v>
      </c>
      <c r="K6" s="8">
        <f>E6+G6+I6</f>
        <v>0</v>
      </c>
      <c r="L6" s="8">
        <f>F6+H6+J6</f>
        <v>0</v>
      </c>
      <c r="M6" s="15"/>
      <c r="O6" t="str">
        <f>""</f>
        <v/>
      </c>
      <c r="P6" s="4" t="s">
        <v>21</v>
      </c>
      <c r="Q6">
        <v>1</v>
      </c>
      <c r="R6">
        <f>IF(P6="기계경비", J6, 0)</f>
        <v>0</v>
      </c>
      <c r="S6">
        <f>IF(P6="운반비", L6, 0)</f>
        <v>0</v>
      </c>
      <c r="T6">
        <f>IF(P6="작업부산물", F6, 0)</f>
        <v>0</v>
      </c>
      <c r="U6">
        <f>IF(P6="관급", F6, 0)</f>
        <v>0</v>
      </c>
      <c r="V6">
        <f>IF(P6="외주비", J6, 0)</f>
        <v>0</v>
      </c>
      <c r="W6">
        <f>IF(P6="장비비", J6, 0)</f>
        <v>0</v>
      </c>
      <c r="X6">
        <f>IF(P6="폐기물처리비", L6, 0)</f>
        <v>0</v>
      </c>
      <c r="Y6">
        <f>IF(P6="가설비", J6, 0)</f>
        <v>0</v>
      </c>
      <c r="Z6">
        <f>IF(P6="잡비제외분", F6, 0)</f>
        <v>0</v>
      </c>
      <c r="AA6">
        <f>IF(P6="사급자재대", L6, 0)</f>
        <v>0</v>
      </c>
      <c r="AB6">
        <f>IF(P6="관급자재대", L6, 0)</f>
        <v>0</v>
      </c>
      <c r="AC6">
        <f>IF(P6="사용자항목1", L6, 0)</f>
        <v>0</v>
      </c>
      <c r="AD6">
        <f>IF(P6="사용자항목2", L6, 0)</f>
        <v>0</v>
      </c>
      <c r="AE6">
        <f>IF(P6="안전관리비", L6, 0)</f>
        <v>0</v>
      </c>
      <c r="AF6">
        <f>IF(P6="품질관리비", L6, 0)</f>
        <v>0</v>
      </c>
      <c r="AG6">
        <f>IF(P6="작업부산물(철거해체)", L6, 0)</f>
        <v>0</v>
      </c>
      <c r="AH6">
        <f>IF(P6="사용자항목6", L6, 0)</f>
        <v>0</v>
      </c>
      <c r="AI6">
        <f>IF(P6="사용자항목7", L6, 0)</f>
        <v>0</v>
      </c>
      <c r="AJ6">
        <f>IF(P6="사용자항목8", L6, 0)</f>
        <v>0</v>
      </c>
      <c r="AK6">
        <f>IF(P6="사용자항목9", L6, 0)</f>
        <v>0</v>
      </c>
      <c r="AL6">
        <f>IF(P6="사용자항목10", L6, 0)</f>
        <v>0</v>
      </c>
      <c r="AM6">
        <f>IF(P6="사용자항목11", L6, 0)</f>
        <v>0</v>
      </c>
      <c r="AN6">
        <f>IF(P6="사용자항목12", L6, 0)</f>
        <v>0</v>
      </c>
      <c r="AO6">
        <f>IF(P6="사용자항목13", L6, 0)</f>
        <v>0</v>
      </c>
      <c r="AP6">
        <f>IF(P6="사용자항목14", L6, 0)</f>
        <v>0</v>
      </c>
      <c r="AQ6">
        <f>IF(P6="사용자항목15", L6, 0)</f>
        <v>0</v>
      </c>
      <c r="AR6">
        <f>IF(P6="사용자항목16", L6, 0)</f>
        <v>0</v>
      </c>
      <c r="AS6">
        <f>IF(P6="사용자항목17", L6, 0)</f>
        <v>0</v>
      </c>
      <c r="AT6">
        <f>IF(P6="사용자항목18", L6, 0)</f>
        <v>0</v>
      </c>
      <c r="AU6">
        <f>IF(P6="사용자항목19", L6, 0)</f>
        <v>0</v>
      </c>
    </row>
    <row r="7" spans="1:51" ht="23.1" customHeight="1" x14ac:dyDescent="0.3">
      <c r="A7" s="9"/>
      <c r="B7" s="9"/>
      <c r="C7" s="14"/>
      <c r="D7" s="8"/>
      <c r="E7" s="8"/>
      <c r="F7" s="8"/>
      <c r="G7" s="8"/>
      <c r="H7" s="8"/>
      <c r="I7" s="8"/>
      <c r="J7" s="8"/>
      <c r="K7" s="8"/>
      <c r="L7" s="8"/>
      <c r="M7" s="8"/>
    </row>
    <row r="8" spans="1:51" ht="23.1" customHeight="1" x14ac:dyDescent="0.3">
      <c r="A8" s="9"/>
      <c r="B8" s="9"/>
      <c r="C8" s="14"/>
      <c r="D8" s="8"/>
      <c r="E8" s="8"/>
      <c r="F8" s="8"/>
      <c r="G8" s="8"/>
      <c r="H8" s="8"/>
      <c r="I8" s="8"/>
      <c r="J8" s="8"/>
      <c r="K8" s="8"/>
      <c r="L8" s="8"/>
      <c r="M8" s="8"/>
    </row>
    <row r="9" spans="1:51" ht="23.1" customHeight="1" x14ac:dyDescent="0.3">
      <c r="A9" s="9"/>
      <c r="B9" s="9"/>
      <c r="C9" s="14"/>
      <c r="D9" s="8"/>
      <c r="E9" s="8"/>
      <c r="F9" s="8"/>
      <c r="G9" s="8"/>
      <c r="H9" s="8"/>
      <c r="I9" s="8"/>
      <c r="J9" s="8"/>
      <c r="K9" s="8"/>
      <c r="L9" s="8"/>
      <c r="M9" s="8"/>
    </row>
    <row r="10" spans="1:51" ht="23.1" customHeight="1" x14ac:dyDescent="0.3">
      <c r="A10" s="9"/>
      <c r="B10" s="9"/>
      <c r="C10" s="14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51" ht="23.1" customHeight="1" x14ac:dyDescent="0.3">
      <c r="A11" s="9"/>
      <c r="B11" s="9"/>
      <c r="C11" s="14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51" ht="23.1" customHeight="1" x14ac:dyDescent="0.3">
      <c r="A12" s="9"/>
      <c r="B12" s="9"/>
      <c r="C12" s="14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51" ht="23.1" customHeight="1" x14ac:dyDescent="0.3">
      <c r="A13" s="9"/>
      <c r="B13" s="9"/>
      <c r="C13" s="14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51" ht="23.1" customHeight="1" x14ac:dyDescent="0.3">
      <c r="A14" s="9"/>
      <c r="B14" s="9"/>
      <c r="C14" s="14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51" ht="23.1" customHeight="1" x14ac:dyDescent="0.3">
      <c r="A15" s="9"/>
      <c r="B15" s="9"/>
      <c r="C15" s="14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51" ht="23.1" customHeight="1" x14ac:dyDescent="0.3">
      <c r="A16" s="9"/>
      <c r="B16" s="9"/>
      <c r="C16" s="14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51" ht="23.1" customHeight="1" x14ac:dyDescent="0.3">
      <c r="A17" s="9"/>
      <c r="B17" s="9"/>
      <c r="C17" s="14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51" ht="23.1" customHeight="1" x14ac:dyDescent="0.3">
      <c r="A18" s="9"/>
      <c r="B18" s="9"/>
      <c r="C18" s="14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51" ht="23.1" customHeight="1" x14ac:dyDescent="0.3">
      <c r="A19" s="9"/>
      <c r="B19" s="9"/>
      <c r="C19" s="14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51" ht="23.1" customHeight="1" x14ac:dyDescent="0.3">
      <c r="A20" s="10" t="s">
        <v>22</v>
      </c>
      <c r="B20" s="11"/>
      <c r="C20" s="12"/>
      <c r="D20" s="13"/>
      <c r="E20" s="13"/>
      <c r="F20" s="13">
        <f>ROUNDDOWN(SUMIF(Q6:Q19, "1", F6:F19), 0)</f>
        <v>0</v>
      </c>
      <c r="G20" s="13"/>
      <c r="H20" s="13">
        <f>ROUNDDOWN(SUMIF(Q6:Q19, "1", H6:H19), 0)</f>
        <v>0</v>
      </c>
      <c r="I20" s="13"/>
      <c r="J20" s="13">
        <f>ROUNDDOWN(SUMIF(Q6:Q19, "1", J6:J19), 0)</f>
        <v>0</v>
      </c>
      <c r="K20" s="13"/>
      <c r="L20" s="13">
        <f>F20+H20+J20</f>
        <v>0</v>
      </c>
      <c r="M20" s="13"/>
      <c r="R20">
        <f t="shared" ref="R20:AY20" si="0">ROUNDDOWN(SUM(R6:R6), 0)</f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  <c r="Z20">
        <f t="shared" si="0"/>
        <v>0</v>
      </c>
      <c r="AA20">
        <f t="shared" si="0"/>
        <v>0</v>
      </c>
      <c r="AB20">
        <f t="shared" si="0"/>
        <v>0</v>
      </c>
      <c r="AC20">
        <f t="shared" si="0"/>
        <v>0</v>
      </c>
      <c r="AD20">
        <f t="shared" si="0"/>
        <v>0</v>
      </c>
      <c r="AE20">
        <f t="shared" si="0"/>
        <v>0</v>
      </c>
      <c r="AF20">
        <f t="shared" si="0"/>
        <v>0</v>
      </c>
      <c r="AG20">
        <f t="shared" si="0"/>
        <v>0</v>
      </c>
      <c r="AH20">
        <f t="shared" si="0"/>
        <v>0</v>
      </c>
      <c r="AI20">
        <f t="shared" si="0"/>
        <v>0</v>
      </c>
      <c r="AJ20">
        <f t="shared" si="0"/>
        <v>0</v>
      </c>
      <c r="AK20">
        <f t="shared" si="0"/>
        <v>0</v>
      </c>
      <c r="AL20">
        <f t="shared" si="0"/>
        <v>0</v>
      </c>
      <c r="AM20">
        <f t="shared" si="0"/>
        <v>0</v>
      </c>
      <c r="AN20">
        <f t="shared" si="0"/>
        <v>0</v>
      </c>
      <c r="AO20">
        <f t="shared" si="0"/>
        <v>0</v>
      </c>
      <c r="AP20">
        <f t="shared" si="0"/>
        <v>0</v>
      </c>
      <c r="AQ20">
        <f t="shared" si="0"/>
        <v>0</v>
      </c>
      <c r="AR20">
        <f t="shared" si="0"/>
        <v>0</v>
      </c>
      <c r="AS20">
        <f t="shared" si="0"/>
        <v>0</v>
      </c>
      <c r="AT20">
        <f t="shared" si="0"/>
        <v>0</v>
      </c>
      <c r="AU20">
        <f t="shared" si="0"/>
        <v>0</v>
      </c>
      <c r="AV20">
        <f t="shared" si="0"/>
        <v>0</v>
      </c>
      <c r="AW20">
        <f t="shared" si="0"/>
        <v>0</v>
      </c>
      <c r="AX20">
        <f t="shared" si="0"/>
        <v>0</v>
      </c>
      <c r="AY20">
        <f t="shared" si="0"/>
        <v>0</v>
      </c>
    </row>
    <row r="21" spans="1:51" ht="23.1" customHeight="1" x14ac:dyDescent="0.3">
      <c r="A21" s="48" t="s">
        <v>77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</row>
    <row r="22" spans="1:51" ht="23.1" customHeight="1" x14ac:dyDescent="0.3">
      <c r="A22" s="6" t="s">
        <v>30</v>
      </c>
      <c r="B22" s="6" t="s">
        <v>31</v>
      </c>
      <c r="C22" s="7" t="s">
        <v>7</v>
      </c>
      <c r="D22" s="8">
        <v>41.274999999999999</v>
      </c>
      <c r="E22" s="8"/>
      <c r="F22" s="8">
        <f t="shared" ref="F22:F30" si="1">ROUNDDOWN(D22*E22, 0)</f>
        <v>0</v>
      </c>
      <c r="G22" s="8"/>
      <c r="H22" s="8">
        <f t="shared" ref="H22:H30" si="2">ROUNDDOWN(D22*G22, 0)</f>
        <v>0</v>
      </c>
      <c r="I22" s="8"/>
      <c r="J22" s="8">
        <f t="shared" ref="J22:J30" si="3">ROUNDDOWN(D22*I22, 0)</f>
        <v>0</v>
      </c>
      <c r="K22" s="8">
        <f t="shared" ref="K22:K30" si="4">E22+G22+I22</f>
        <v>0</v>
      </c>
      <c r="L22" s="8">
        <f t="shared" ref="L22:L30" si="5">F22+H22+J22</f>
        <v>0</v>
      </c>
      <c r="M22" s="15"/>
      <c r="O22" t="str">
        <f>""</f>
        <v/>
      </c>
      <c r="Q22">
        <v>1</v>
      </c>
      <c r="R22">
        <f t="shared" ref="R22:R30" si="6">IF(P22="기계경비", J22, 0)</f>
        <v>0</v>
      </c>
      <c r="S22">
        <f t="shared" ref="S22:S30" si="7">IF(P22="운반비", L22, 0)</f>
        <v>0</v>
      </c>
      <c r="T22">
        <f t="shared" ref="T22:T30" si="8">IF(P22="작업부산물", F22, 0)</f>
        <v>0</v>
      </c>
      <c r="U22">
        <f t="shared" ref="U22:U30" si="9">IF(P22="관급", F22, 0)</f>
        <v>0</v>
      </c>
      <c r="V22">
        <f t="shared" ref="V22:V30" si="10">IF(P22="외주비", J22, 0)</f>
        <v>0</v>
      </c>
      <c r="W22">
        <f t="shared" ref="W22:W30" si="11">IF(P22="장비비", J22, 0)</f>
        <v>0</v>
      </c>
      <c r="X22">
        <f t="shared" ref="X22:X30" si="12">IF(P22="폐기물처리비", L22, 0)</f>
        <v>0</v>
      </c>
      <c r="Y22">
        <f t="shared" ref="Y22:Y30" si="13">IF(P22="가설비", J22, 0)</f>
        <v>0</v>
      </c>
      <c r="Z22">
        <f t="shared" ref="Z22:Z30" si="14">IF(P22="잡비제외분", F22, 0)</f>
        <v>0</v>
      </c>
      <c r="AA22">
        <f t="shared" ref="AA22:AA30" si="15">IF(P22="사급자재대", L22, 0)</f>
        <v>0</v>
      </c>
      <c r="AB22">
        <f t="shared" ref="AB22:AB30" si="16">IF(P22="관급자재대", L22, 0)</f>
        <v>0</v>
      </c>
      <c r="AC22">
        <f t="shared" ref="AC22:AC30" si="17">IF(P22="사용자항목1", L22, 0)</f>
        <v>0</v>
      </c>
      <c r="AD22">
        <f t="shared" ref="AD22:AD30" si="18">IF(P22="사용자항목2", L22, 0)</f>
        <v>0</v>
      </c>
      <c r="AE22">
        <f t="shared" ref="AE22:AE30" si="19">IF(P22="안전관리비", L22, 0)</f>
        <v>0</v>
      </c>
      <c r="AF22">
        <f t="shared" ref="AF22:AF30" si="20">IF(P22="품질관리비", L22, 0)</f>
        <v>0</v>
      </c>
      <c r="AG22">
        <f t="shared" ref="AG22:AG30" si="21">IF(P22="작업부산물(철거해체)", L22, 0)</f>
        <v>0</v>
      </c>
      <c r="AH22">
        <f t="shared" ref="AH22:AH30" si="22">IF(P22="사용자항목6", L22, 0)</f>
        <v>0</v>
      </c>
      <c r="AI22">
        <f t="shared" ref="AI22:AI30" si="23">IF(P22="사용자항목7", L22, 0)</f>
        <v>0</v>
      </c>
      <c r="AJ22">
        <f t="shared" ref="AJ22:AJ30" si="24">IF(P22="사용자항목8", L22, 0)</f>
        <v>0</v>
      </c>
      <c r="AK22">
        <f t="shared" ref="AK22:AK30" si="25">IF(P22="사용자항목9", L22, 0)</f>
        <v>0</v>
      </c>
      <c r="AL22">
        <f t="shared" ref="AL22:AL30" si="26">IF(P22="사용자항목10", L22, 0)</f>
        <v>0</v>
      </c>
      <c r="AM22">
        <f t="shared" ref="AM22:AM30" si="27">IF(P22="사용자항목11", L22, 0)</f>
        <v>0</v>
      </c>
      <c r="AN22">
        <f t="shared" ref="AN22:AN30" si="28">IF(P22="사용자항목12", L22, 0)</f>
        <v>0</v>
      </c>
      <c r="AO22">
        <f t="shared" ref="AO22:AO30" si="29">IF(P22="사용자항목13", L22, 0)</f>
        <v>0</v>
      </c>
      <c r="AP22">
        <f t="shared" ref="AP22:AP30" si="30">IF(P22="사용자항목14", L22, 0)</f>
        <v>0</v>
      </c>
      <c r="AQ22">
        <f t="shared" ref="AQ22:AQ30" si="31">IF(P22="사용자항목15", L22, 0)</f>
        <v>0</v>
      </c>
      <c r="AR22">
        <f t="shared" ref="AR22:AR30" si="32">IF(P22="사용자항목16", L22, 0)</f>
        <v>0</v>
      </c>
      <c r="AS22">
        <f t="shared" ref="AS22:AS30" si="33">IF(P22="사용자항목17", L22, 0)</f>
        <v>0</v>
      </c>
      <c r="AT22">
        <f t="shared" ref="AT22:AT30" si="34">IF(P22="사용자항목18", L22, 0)</f>
        <v>0</v>
      </c>
      <c r="AU22">
        <f t="shared" ref="AU22:AU30" si="35">IF(P22="사용자항목19", L22, 0)</f>
        <v>0</v>
      </c>
    </row>
    <row r="23" spans="1:51" ht="23.1" customHeight="1" x14ac:dyDescent="0.3">
      <c r="A23" s="6" t="s">
        <v>159</v>
      </c>
      <c r="B23" s="6" t="s">
        <v>160</v>
      </c>
      <c r="C23" s="7" t="s">
        <v>7</v>
      </c>
      <c r="D23" s="8">
        <v>67.66</v>
      </c>
      <c r="E23" s="8"/>
      <c r="F23" s="8">
        <f t="shared" si="1"/>
        <v>0</v>
      </c>
      <c r="G23" s="8"/>
      <c r="H23" s="8">
        <f t="shared" si="2"/>
        <v>0</v>
      </c>
      <c r="I23" s="8">
        <f>ROUNDDOWN([1]일위대가목록!K7, 2)</f>
        <v>0</v>
      </c>
      <c r="J23" s="8">
        <f t="shared" si="3"/>
        <v>0</v>
      </c>
      <c r="K23" s="8">
        <f t="shared" si="4"/>
        <v>0</v>
      </c>
      <c r="L23" s="8">
        <f t="shared" si="5"/>
        <v>0</v>
      </c>
      <c r="M23" s="15"/>
    </row>
    <row r="24" spans="1:51" ht="23.1" customHeight="1" x14ac:dyDescent="0.3">
      <c r="A24" s="6" t="s">
        <v>3</v>
      </c>
      <c r="B24" s="6" t="s">
        <v>4</v>
      </c>
      <c r="C24" s="7" t="s">
        <v>5</v>
      </c>
      <c r="D24" s="8">
        <v>25.47</v>
      </c>
      <c r="E24" s="8"/>
      <c r="F24" s="8">
        <f t="shared" si="1"/>
        <v>0</v>
      </c>
      <c r="G24" s="8"/>
      <c r="H24" s="8">
        <f t="shared" si="2"/>
        <v>0</v>
      </c>
      <c r="I24" s="8">
        <v>0</v>
      </c>
      <c r="J24" s="8">
        <f t="shared" si="3"/>
        <v>0</v>
      </c>
      <c r="K24" s="8">
        <f t="shared" si="4"/>
        <v>0</v>
      </c>
      <c r="L24" s="8">
        <f t="shared" si="5"/>
        <v>0</v>
      </c>
      <c r="M24" s="8"/>
      <c r="O24" t="str">
        <f>"01"</f>
        <v>01</v>
      </c>
      <c r="Q24">
        <v>1</v>
      </c>
      <c r="R24">
        <f t="shared" si="6"/>
        <v>0</v>
      </c>
      <c r="S24">
        <f t="shared" si="7"/>
        <v>0</v>
      </c>
      <c r="T24">
        <f t="shared" si="8"/>
        <v>0</v>
      </c>
      <c r="U24">
        <f t="shared" si="9"/>
        <v>0</v>
      </c>
      <c r="V24">
        <f t="shared" si="10"/>
        <v>0</v>
      </c>
      <c r="W24">
        <f t="shared" si="11"/>
        <v>0</v>
      </c>
      <c r="X24">
        <f t="shared" si="12"/>
        <v>0</v>
      </c>
      <c r="Y24">
        <f t="shared" si="13"/>
        <v>0</v>
      </c>
      <c r="Z24">
        <f t="shared" si="14"/>
        <v>0</v>
      </c>
      <c r="AA24">
        <f t="shared" si="15"/>
        <v>0</v>
      </c>
      <c r="AB24">
        <f t="shared" si="16"/>
        <v>0</v>
      </c>
      <c r="AC24">
        <f t="shared" si="17"/>
        <v>0</v>
      </c>
      <c r="AD24">
        <f t="shared" si="18"/>
        <v>0</v>
      </c>
      <c r="AE24">
        <f t="shared" si="19"/>
        <v>0</v>
      </c>
      <c r="AF24">
        <f t="shared" si="20"/>
        <v>0</v>
      </c>
      <c r="AG24">
        <f t="shared" si="21"/>
        <v>0</v>
      </c>
      <c r="AH24">
        <f t="shared" si="22"/>
        <v>0</v>
      </c>
      <c r="AI24">
        <f t="shared" si="23"/>
        <v>0</v>
      </c>
      <c r="AJ24">
        <f t="shared" si="24"/>
        <v>0</v>
      </c>
      <c r="AK24">
        <f t="shared" si="25"/>
        <v>0</v>
      </c>
      <c r="AL24">
        <f t="shared" si="26"/>
        <v>0</v>
      </c>
      <c r="AM24">
        <f t="shared" si="27"/>
        <v>0</v>
      </c>
      <c r="AN24">
        <f t="shared" si="28"/>
        <v>0</v>
      </c>
      <c r="AO24">
        <f t="shared" si="29"/>
        <v>0</v>
      </c>
      <c r="AP24">
        <f t="shared" si="30"/>
        <v>0</v>
      </c>
      <c r="AQ24">
        <f t="shared" si="31"/>
        <v>0</v>
      </c>
      <c r="AR24">
        <f t="shared" si="32"/>
        <v>0</v>
      </c>
      <c r="AS24">
        <f t="shared" si="33"/>
        <v>0</v>
      </c>
      <c r="AT24">
        <f t="shared" si="34"/>
        <v>0</v>
      </c>
      <c r="AU24">
        <f t="shared" si="35"/>
        <v>0</v>
      </c>
    </row>
    <row r="25" spans="1:51" ht="23.1" customHeight="1" x14ac:dyDescent="0.3">
      <c r="A25" s="6" t="s">
        <v>33</v>
      </c>
      <c r="B25" s="6" t="s">
        <v>34</v>
      </c>
      <c r="C25" s="7" t="s">
        <v>7</v>
      </c>
      <c r="D25" s="8">
        <v>23.69</v>
      </c>
      <c r="E25" s="8"/>
      <c r="F25" s="8">
        <f t="shared" si="1"/>
        <v>0</v>
      </c>
      <c r="G25" s="8"/>
      <c r="H25" s="8">
        <f t="shared" si="2"/>
        <v>0</v>
      </c>
      <c r="I25" s="8"/>
      <c r="J25" s="8">
        <f t="shared" si="3"/>
        <v>0</v>
      </c>
      <c r="K25" s="8">
        <f t="shared" si="4"/>
        <v>0</v>
      </c>
      <c r="L25" s="8">
        <f t="shared" si="5"/>
        <v>0</v>
      </c>
      <c r="M25" s="15"/>
      <c r="O25" t="str">
        <f>""</f>
        <v/>
      </c>
      <c r="Q25">
        <v>1</v>
      </c>
      <c r="R25">
        <f t="shared" si="6"/>
        <v>0</v>
      </c>
      <c r="S25">
        <f t="shared" si="7"/>
        <v>0</v>
      </c>
      <c r="T25">
        <f t="shared" si="8"/>
        <v>0</v>
      </c>
      <c r="U25">
        <f t="shared" si="9"/>
        <v>0</v>
      </c>
      <c r="V25">
        <f t="shared" si="10"/>
        <v>0</v>
      </c>
      <c r="W25">
        <f t="shared" si="11"/>
        <v>0</v>
      </c>
      <c r="X25">
        <f t="shared" si="12"/>
        <v>0</v>
      </c>
      <c r="Y25">
        <f t="shared" si="13"/>
        <v>0</v>
      </c>
      <c r="Z25">
        <f t="shared" si="14"/>
        <v>0</v>
      </c>
      <c r="AA25">
        <f t="shared" si="15"/>
        <v>0</v>
      </c>
      <c r="AB25">
        <f t="shared" si="16"/>
        <v>0</v>
      </c>
      <c r="AC25">
        <f t="shared" si="17"/>
        <v>0</v>
      </c>
      <c r="AD25">
        <f t="shared" si="18"/>
        <v>0</v>
      </c>
      <c r="AE25">
        <f t="shared" si="19"/>
        <v>0</v>
      </c>
      <c r="AF25">
        <f t="shared" si="20"/>
        <v>0</v>
      </c>
      <c r="AG25">
        <f t="shared" si="21"/>
        <v>0</v>
      </c>
      <c r="AH25">
        <f t="shared" si="22"/>
        <v>0</v>
      </c>
      <c r="AI25">
        <f t="shared" si="23"/>
        <v>0</v>
      </c>
      <c r="AJ25">
        <f t="shared" si="24"/>
        <v>0</v>
      </c>
      <c r="AK25">
        <f t="shared" si="25"/>
        <v>0</v>
      </c>
      <c r="AL25">
        <f t="shared" si="26"/>
        <v>0</v>
      </c>
      <c r="AM25">
        <f t="shared" si="27"/>
        <v>0</v>
      </c>
      <c r="AN25">
        <f t="shared" si="28"/>
        <v>0</v>
      </c>
      <c r="AO25">
        <f t="shared" si="29"/>
        <v>0</v>
      </c>
      <c r="AP25">
        <f t="shared" si="30"/>
        <v>0</v>
      </c>
      <c r="AQ25">
        <f t="shared" si="31"/>
        <v>0</v>
      </c>
      <c r="AR25">
        <f t="shared" si="32"/>
        <v>0</v>
      </c>
      <c r="AS25">
        <f t="shared" si="33"/>
        <v>0</v>
      </c>
      <c r="AT25">
        <f t="shared" si="34"/>
        <v>0</v>
      </c>
      <c r="AU25">
        <f t="shared" si="35"/>
        <v>0</v>
      </c>
    </row>
    <row r="26" spans="1:51" ht="23.1" customHeight="1" x14ac:dyDescent="0.3">
      <c r="A26" s="6" t="s">
        <v>35</v>
      </c>
      <c r="B26" s="6" t="s">
        <v>36</v>
      </c>
      <c r="C26" s="7" t="s">
        <v>7</v>
      </c>
      <c r="D26" s="8">
        <v>23.69</v>
      </c>
      <c r="E26" s="8"/>
      <c r="F26" s="8">
        <f t="shared" si="1"/>
        <v>0</v>
      </c>
      <c r="G26" s="8"/>
      <c r="H26" s="8">
        <f t="shared" si="2"/>
        <v>0</v>
      </c>
      <c r="I26" s="8"/>
      <c r="J26" s="8">
        <f t="shared" si="3"/>
        <v>0</v>
      </c>
      <c r="K26" s="8">
        <f t="shared" si="4"/>
        <v>0</v>
      </c>
      <c r="L26" s="8">
        <f t="shared" si="5"/>
        <v>0</v>
      </c>
      <c r="M26" s="15"/>
      <c r="O26" t="str">
        <f>""</f>
        <v/>
      </c>
      <c r="Q26">
        <v>1</v>
      </c>
      <c r="R26">
        <f t="shared" si="6"/>
        <v>0</v>
      </c>
      <c r="S26">
        <f t="shared" si="7"/>
        <v>0</v>
      </c>
      <c r="T26">
        <f t="shared" si="8"/>
        <v>0</v>
      </c>
      <c r="U26">
        <f t="shared" si="9"/>
        <v>0</v>
      </c>
      <c r="V26">
        <f t="shared" si="10"/>
        <v>0</v>
      </c>
      <c r="W26">
        <f t="shared" si="11"/>
        <v>0</v>
      </c>
      <c r="X26">
        <f t="shared" si="12"/>
        <v>0</v>
      </c>
      <c r="Y26">
        <f t="shared" si="13"/>
        <v>0</v>
      </c>
      <c r="Z26">
        <f t="shared" si="14"/>
        <v>0</v>
      </c>
      <c r="AA26">
        <f t="shared" si="15"/>
        <v>0</v>
      </c>
      <c r="AB26">
        <f t="shared" si="16"/>
        <v>0</v>
      </c>
      <c r="AC26">
        <f t="shared" si="17"/>
        <v>0</v>
      </c>
      <c r="AD26">
        <f t="shared" si="18"/>
        <v>0</v>
      </c>
      <c r="AE26">
        <f t="shared" si="19"/>
        <v>0</v>
      </c>
      <c r="AF26">
        <f t="shared" si="20"/>
        <v>0</v>
      </c>
      <c r="AG26">
        <f t="shared" si="21"/>
        <v>0</v>
      </c>
      <c r="AH26">
        <f t="shared" si="22"/>
        <v>0</v>
      </c>
      <c r="AI26">
        <f t="shared" si="23"/>
        <v>0</v>
      </c>
      <c r="AJ26">
        <f t="shared" si="24"/>
        <v>0</v>
      </c>
      <c r="AK26">
        <f t="shared" si="25"/>
        <v>0</v>
      </c>
      <c r="AL26">
        <f t="shared" si="26"/>
        <v>0</v>
      </c>
      <c r="AM26">
        <f t="shared" si="27"/>
        <v>0</v>
      </c>
      <c r="AN26">
        <f t="shared" si="28"/>
        <v>0</v>
      </c>
      <c r="AO26">
        <f t="shared" si="29"/>
        <v>0</v>
      </c>
      <c r="AP26">
        <f t="shared" si="30"/>
        <v>0</v>
      </c>
      <c r="AQ26">
        <f t="shared" si="31"/>
        <v>0</v>
      </c>
      <c r="AR26">
        <f t="shared" si="32"/>
        <v>0</v>
      </c>
      <c r="AS26">
        <f t="shared" si="33"/>
        <v>0</v>
      </c>
      <c r="AT26">
        <f t="shared" si="34"/>
        <v>0</v>
      </c>
      <c r="AU26">
        <f t="shared" si="35"/>
        <v>0</v>
      </c>
      <c r="AY26" s="4" t="s">
        <v>37</v>
      </c>
    </row>
    <row r="27" spans="1:51" ht="23.1" customHeight="1" x14ac:dyDescent="0.3">
      <c r="A27" s="6" t="s">
        <v>38</v>
      </c>
      <c r="B27" s="6" t="s">
        <v>39</v>
      </c>
      <c r="C27" s="7" t="s">
        <v>7</v>
      </c>
      <c r="D27" s="8">
        <v>23.69</v>
      </c>
      <c r="E27" s="8"/>
      <c r="F27" s="8">
        <f t="shared" si="1"/>
        <v>0</v>
      </c>
      <c r="G27" s="8"/>
      <c r="H27" s="8">
        <f t="shared" si="2"/>
        <v>0</v>
      </c>
      <c r="I27" s="8"/>
      <c r="J27" s="8">
        <f t="shared" si="3"/>
        <v>0</v>
      </c>
      <c r="K27" s="8">
        <f t="shared" si="4"/>
        <v>0</v>
      </c>
      <c r="L27" s="8">
        <f t="shared" si="5"/>
        <v>0</v>
      </c>
      <c r="M27" s="15"/>
      <c r="O27" t="str">
        <f>""</f>
        <v/>
      </c>
      <c r="Q27">
        <v>1</v>
      </c>
      <c r="R27">
        <f t="shared" si="6"/>
        <v>0</v>
      </c>
      <c r="S27">
        <f t="shared" si="7"/>
        <v>0</v>
      </c>
      <c r="T27">
        <f t="shared" si="8"/>
        <v>0</v>
      </c>
      <c r="U27">
        <f t="shared" si="9"/>
        <v>0</v>
      </c>
      <c r="V27">
        <f t="shared" si="10"/>
        <v>0</v>
      </c>
      <c r="W27">
        <f t="shared" si="11"/>
        <v>0</v>
      </c>
      <c r="X27">
        <f t="shared" si="12"/>
        <v>0</v>
      </c>
      <c r="Y27">
        <f t="shared" si="13"/>
        <v>0</v>
      </c>
      <c r="Z27">
        <f t="shared" si="14"/>
        <v>0</v>
      </c>
      <c r="AA27">
        <f t="shared" si="15"/>
        <v>0</v>
      </c>
      <c r="AB27">
        <f t="shared" si="16"/>
        <v>0</v>
      </c>
      <c r="AC27">
        <f t="shared" si="17"/>
        <v>0</v>
      </c>
      <c r="AD27">
        <f t="shared" si="18"/>
        <v>0</v>
      </c>
      <c r="AE27">
        <f t="shared" si="19"/>
        <v>0</v>
      </c>
      <c r="AF27">
        <f t="shared" si="20"/>
        <v>0</v>
      </c>
      <c r="AG27">
        <f t="shared" si="21"/>
        <v>0</v>
      </c>
      <c r="AH27">
        <f t="shared" si="22"/>
        <v>0</v>
      </c>
      <c r="AI27">
        <f t="shared" si="23"/>
        <v>0</v>
      </c>
      <c r="AJ27">
        <f t="shared" si="24"/>
        <v>0</v>
      </c>
      <c r="AK27">
        <f t="shared" si="25"/>
        <v>0</v>
      </c>
      <c r="AL27">
        <f t="shared" si="26"/>
        <v>0</v>
      </c>
      <c r="AM27">
        <f t="shared" si="27"/>
        <v>0</v>
      </c>
      <c r="AN27">
        <f t="shared" si="28"/>
        <v>0</v>
      </c>
      <c r="AO27">
        <f t="shared" si="29"/>
        <v>0</v>
      </c>
      <c r="AP27">
        <f t="shared" si="30"/>
        <v>0</v>
      </c>
      <c r="AQ27">
        <f t="shared" si="31"/>
        <v>0</v>
      </c>
      <c r="AR27">
        <f t="shared" si="32"/>
        <v>0</v>
      </c>
      <c r="AS27">
        <f t="shared" si="33"/>
        <v>0</v>
      </c>
      <c r="AT27">
        <f t="shared" si="34"/>
        <v>0</v>
      </c>
      <c r="AU27">
        <f t="shared" si="35"/>
        <v>0</v>
      </c>
    </row>
    <row r="28" spans="1:51" ht="23.1" customHeight="1" x14ac:dyDescent="0.3">
      <c r="A28" s="6" t="s">
        <v>40</v>
      </c>
      <c r="B28" s="6" t="s">
        <v>41</v>
      </c>
      <c r="C28" s="7" t="s">
        <v>7</v>
      </c>
      <c r="D28" s="8">
        <v>67.66</v>
      </c>
      <c r="E28" s="8"/>
      <c r="F28" s="8">
        <f t="shared" si="1"/>
        <v>0</v>
      </c>
      <c r="G28" s="8"/>
      <c r="H28" s="8">
        <f t="shared" si="2"/>
        <v>0</v>
      </c>
      <c r="I28" s="8"/>
      <c r="J28" s="8">
        <f t="shared" si="3"/>
        <v>0</v>
      </c>
      <c r="K28" s="8">
        <f t="shared" si="4"/>
        <v>0</v>
      </c>
      <c r="L28" s="8">
        <f t="shared" si="5"/>
        <v>0</v>
      </c>
      <c r="M28" s="15"/>
      <c r="O28" t="str">
        <f>""</f>
        <v/>
      </c>
      <c r="Q28">
        <v>1</v>
      </c>
      <c r="R28">
        <f t="shared" si="6"/>
        <v>0</v>
      </c>
      <c r="S28">
        <f t="shared" si="7"/>
        <v>0</v>
      </c>
      <c r="T28">
        <f t="shared" si="8"/>
        <v>0</v>
      </c>
      <c r="U28">
        <f t="shared" si="9"/>
        <v>0</v>
      </c>
      <c r="V28">
        <f t="shared" si="10"/>
        <v>0</v>
      </c>
      <c r="W28">
        <f t="shared" si="11"/>
        <v>0</v>
      </c>
      <c r="X28">
        <f t="shared" si="12"/>
        <v>0</v>
      </c>
      <c r="Y28">
        <f t="shared" si="13"/>
        <v>0</v>
      </c>
      <c r="Z28">
        <f t="shared" si="14"/>
        <v>0</v>
      </c>
      <c r="AA28">
        <f t="shared" si="15"/>
        <v>0</v>
      </c>
      <c r="AB28">
        <f t="shared" si="16"/>
        <v>0</v>
      </c>
      <c r="AC28">
        <f t="shared" si="17"/>
        <v>0</v>
      </c>
      <c r="AD28">
        <f t="shared" si="18"/>
        <v>0</v>
      </c>
      <c r="AE28">
        <f t="shared" si="19"/>
        <v>0</v>
      </c>
      <c r="AF28">
        <f t="shared" si="20"/>
        <v>0</v>
      </c>
      <c r="AG28">
        <f t="shared" si="21"/>
        <v>0</v>
      </c>
      <c r="AH28">
        <f t="shared" si="22"/>
        <v>0</v>
      </c>
      <c r="AI28">
        <f t="shared" si="23"/>
        <v>0</v>
      </c>
      <c r="AJ28">
        <f t="shared" si="24"/>
        <v>0</v>
      </c>
      <c r="AK28">
        <f t="shared" si="25"/>
        <v>0</v>
      </c>
      <c r="AL28">
        <f t="shared" si="26"/>
        <v>0</v>
      </c>
      <c r="AM28">
        <f t="shared" si="27"/>
        <v>0</v>
      </c>
      <c r="AN28">
        <f t="shared" si="28"/>
        <v>0</v>
      </c>
      <c r="AO28">
        <f t="shared" si="29"/>
        <v>0</v>
      </c>
      <c r="AP28">
        <f t="shared" si="30"/>
        <v>0</v>
      </c>
      <c r="AQ28">
        <f t="shared" si="31"/>
        <v>0</v>
      </c>
      <c r="AR28">
        <f t="shared" si="32"/>
        <v>0</v>
      </c>
      <c r="AS28">
        <f t="shared" si="33"/>
        <v>0</v>
      </c>
      <c r="AT28">
        <f t="shared" si="34"/>
        <v>0</v>
      </c>
      <c r="AU28">
        <f t="shared" si="35"/>
        <v>0</v>
      </c>
    </row>
    <row r="29" spans="1:51" ht="23.1" customHeight="1" x14ac:dyDescent="0.3">
      <c r="A29" s="6" t="s">
        <v>78</v>
      </c>
      <c r="B29" s="6" t="s">
        <v>6</v>
      </c>
      <c r="C29" s="7" t="s">
        <v>7</v>
      </c>
      <c r="D29" s="8">
        <v>23.69</v>
      </c>
      <c r="E29" s="8"/>
      <c r="F29" s="8">
        <f t="shared" si="1"/>
        <v>0</v>
      </c>
      <c r="G29" s="8"/>
      <c r="H29" s="8">
        <f t="shared" si="2"/>
        <v>0</v>
      </c>
      <c r="I29" s="8">
        <v>0</v>
      </c>
      <c r="J29" s="8">
        <f t="shared" si="3"/>
        <v>0</v>
      </c>
      <c r="K29" s="8">
        <f t="shared" si="4"/>
        <v>0</v>
      </c>
      <c r="L29" s="8">
        <f t="shared" si="5"/>
        <v>0</v>
      </c>
      <c r="M29" s="8"/>
      <c r="O29" t="str">
        <f>"01"</f>
        <v>01</v>
      </c>
      <c r="Q29">
        <v>1</v>
      </c>
      <c r="R29">
        <f t="shared" si="6"/>
        <v>0</v>
      </c>
      <c r="S29">
        <f t="shared" si="7"/>
        <v>0</v>
      </c>
      <c r="T29">
        <f t="shared" si="8"/>
        <v>0</v>
      </c>
      <c r="U29">
        <f t="shared" si="9"/>
        <v>0</v>
      </c>
      <c r="V29">
        <f t="shared" si="10"/>
        <v>0</v>
      </c>
      <c r="W29">
        <f t="shared" si="11"/>
        <v>0</v>
      </c>
      <c r="X29">
        <f t="shared" si="12"/>
        <v>0</v>
      </c>
      <c r="Y29">
        <f t="shared" si="13"/>
        <v>0</v>
      </c>
      <c r="Z29">
        <f t="shared" si="14"/>
        <v>0</v>
      </c>
      <c r="AA29">
        <f t="shared" si="15"/>
        <v>0</v>
      </c>
      <c r="AB29">
        <f t="shared" si="16"/>
        <v>0</v>
      </c>
      <c r="AC29">
        <f t="shared" si="17"/>
        <v>0</v>
      </c>
      <c r="AD29">
        <f t="shared" si="18"/>
        <v>0</v>
      </c>
      <c r="AE29">
        <f t="shared" si="19"/>
        <v>0</v>
      </c>
      <c r="AF29">
        <f t="shared" si="20"/>
        <v>0</v>
      </c>
      <c r="AG29">
        <f t="shared" si="21"/>
        <v>0</v>
      </c>
      <c r="AH29">
        <f t="shared" si="22"/>
        <v>0</v>
      </c>
      <c r="AI29">
        <f t="shared" si="23"/>
        <v>0</v>
      </c>
      <c r="AJ29">
        <f t="shared" si="24"/>
        <v>0</v>
      </c>
      <c r="AK29">
        <f t="shared" si="25"/>
        <v>0</v>
      </c>
      <c r="AL29">
        <f t="shared" si="26"/>
        <v>0</v>
      </c>
      <c r="AM29">
        <f t="shared" si="27"/>
        <v>0</v>
      </c>
      <c r="AN29">
        <f t="shared" si="28"/>
        <v>0</v>
      </c>
      <c r="AO29">
        <f t="shared" si="29"/>
        <v>0</v>
      </c>
      <c r="AP29">
        <f t="shared" si="30"/>
        <v>0</v>
      </c>
      <c r="AQ29">
        <f t="shared" si="31"/>
        <v>0</v>
      </c>
      <c r="AR29">
        <f t="shared" si="32"/>
        <v>0</v>
      </c>
      <c r="AS29">
        <f t="shared" si="33"/>
        <v>0</v>
      </c>
      <c r="AT29">
        <f t="shared" si="34"/>
        <v>0</v>
      </c>
      <c r="AU29">
        <f t="shared" si="35"/>
        <v>0</v>
      </c>
    </row>
    <row r="30" spans="1:51" ht="23.1" customHeight="1" x14ac:dyDescent="0.3">
      <c r="A30" s="6" t="s">
        <v>161</v>
      </c>
      <c r="B30" s="6"/>
      <c r="C30" s="7" t="s">
        <v>7</v>
      </c>
      <c r="D30" s="8">
        <v>26.61</v>
      </c>
      <c r="E30" s="8"/>
      <c r="F30" s="8">
        <f t="shared" si="1"/>
        <v>0</v>
      </c>
      <c r="G30" s="8"/>
      <c r="H30" s="8">
        <f t="shared" si="2"/>
        <v>0</v>
      </c>
      <c r="I30" s="8"/>
      <c r="J30" s="8">
        <f t="shared" si="3"/>
        <v>0</v>
      </c>
      <c r="K30" s="8">
        <f t="shared" si="4"/>
        <v>0</v>
      </c>
      <c r="L30" s="8">
        <f t="shared" si="5"/>
        <v>0</v>
      </c>
      <c r="M30" s="15"/>
      <c r="O30" t="str">
        <f>""</f>
        <v/>
      </c>
      <c r="Q30">
        <v>1</v>
      </c>
      <c r="R30">
        <f t="shared" si="6"/>
        <v>0</v>
      </c>
      <c r="S30">
        <f t="shared" si="7"/>
        <v>0</v>
      </c>
      <c r="T30">
        <f t="shared" si="8"/>
        <v>0</v>
      </c>
      <c r="U30">
        <f t="shared" si="9"/>
        <v>0</v>
      </c>
      <c r="V30">
        <f t="shared" si="10"/>
        <v>0</v>
      </c>
      <c r="W30">
        <f t="shared" si="11"/>
        <v>0</v>
      </c>
      <c r="X30">
        <f t="shared" si="12"/>
        <v>0</v>
      </c>
      <c r="Y30">
        <f t="shared" si="13"/>
        <v>0</v>
      </c>
      <c r="Z30">
        <f t="shared" si="14"/>
        <v>0</v>
      </c>
      <c r="AA30">
        <f t="shared" si="15"/>
        <v>0</v>
      </c>
      <c r="AB30">
        <f t="shared" si="16"/>
        <v>0</v>
      </c>
      <c r="AC30">
        <f t="shared" si="17"/>
        <v>0</v>
      </c>
      <c r="AD30">
        <f t="shared" si="18"/>
        <v>0</v>
      </c>
      <c r="AE30">
        <f t="shared" si="19"/>
        <v>0</v>
      </c>
      <c r="AF30">
        <f t="shared" si="20"/>
        <v>0</v>
      </c>
      <c r="AG30">
        <f t="shared" si="21"/>
        <v>0</v>
      </c>
      <c r="AH30">
        <f t="shared" si="22"/>
        <v>0</v>
      </c>
      <c r="AI30">
        <f t="shared" si="23"/>
        <v>0</v>
      </c>
      <c r="AJ30">
        <f t="shared" si="24"/>
        <v>0</v>
      </c>
      <c r="AK30">
        <f t="shared" si="25"/>
        <v>0</v>
      </c>
      <c r="AL30">
        <f t="shared" si="26"/>
        <v>0</v>
      </c>
      <c r="AM30">
        <f t="shared" si="27"/>
        <v>0</v>
      </c>
      <c r="AN30">
        <f t="shared" si="28"/>
        <v>0</v>
      </c>
      <c r="AO30">
        <f t="shared" si="29"/>
        <v>0</v>
      </c>
      <c r="AP30">
        <f t="shared" si="30"/>
        <v>0</v>
      </c>
      <c r="AQ30">
        <f t="shared" si="31"/>
        <v>0</v>
      </c>
      <c r="AR30">
        <f t="shared" si="32"/>
        <v>0</v>
      </c>
      <c r="AS30">
        <f t="shared" si="33"/>
        <v>0</v>
      </c>
      <c r="AT30">
        <f t="shared" si="34"/>
        <v>0</v>
      </c>
      <c r="AU30">
        <f t="shared" si="35"/>
        <v>0</v>
      </c>
      <c r="AY30" s="4" t="s">
        <v>32</v>
      </c>
    </row>
    <row r="31" spans="1:51" ht="23.1" customHeight="1" x14ac:dyDescent="0.3">
      <c r="A31" s="9"/>
      <c r="B31" s="9"/>
      <c r="C31" s="14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51" ht="23.1" customHeight="1" x14ac:dyDescent="0.3">
      <c r="A32" s="9"/>
      <c r="B32" s="9"/>
      <c r="C32" s="14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51" ht="23.1" customHeight="1" x14ac:dyDescent="0.3">
      <c r="A33" s="9"/>
      <c r="B33" s="9"/>
      <c r="C33" s="14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51" ht="23.1" customHeight="1" x14ac:dyDescent="0.3">
      <c r="A34" s="9"/>
      <c r="B34" s="9"/>
      <c r="C34" s="14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51" ht="23.1" customHeight="1" x14ac:dyDescent="0.3">
      <c r="A35" s="10" t="s">
        <v>22</v>
      </c>
      <c r="B35" s="11"/>
      <c r="C35" s="12"/>
      <c r="D35" s="13"/>
      <c r="E35" s="13"/>
      <c r="F35" s="13">
        <f>SUM(F22:F30)</f>
        <v>0</v>
      </c>
      <c r="G35" s="13"/>
      <c r="H35" s="13">
        <f>SUM(H22:H30)</f>
        <v>0</v>
      </c>
      <c r="I35" s="13"/>
      <c r="J35" s="13">
        <f>SUM(J22:J30)</f>
        <v>0</v>
      </c>
      <c r="K35" s="13"/>
      <c r="L35" s="13">
        <f>SUM(L22:L30)</f>
        <v>0</v>
      </c>
      <c r="M35" s="13"/>
      <c r="R35">
        <f t="shared" ref="R35:AY35" si="36">ROUNDDOWN(SUM(R22:R30), 0)</f>
        <v>0</v>
      </c>
      <c r="S35">
        <f t="shared" si="36"/>
        <v>0</v>
      </c>
      <c r="T35">
        <f t="shared" si="36"/>
        <v>0</v>
      </c>
      <c r="U35">
        <f t="shared" si="36"/>
        <v>0</v>
      </c>
      <c r="V35">
        <f t="shared" si="36"/>
        <v>0</v>
      </c>
      <c r="W35">
        <f t="shared" si="36"/>
        <v>0</v>
      </c>
      <c r="X35">
        <f t="shared" si="36"/>
        <v>0</v>
      </c>
      <c r="Y35">
        <f t="shared" si="36"/>
        <v>0</v>
      </c>
      <c r="Z35">
        <f t="shared" si="36"/>
        <v>0</v>
      </c>
      <c r="AA35">
        <f t="shared" si="36"/>
        <v>0</v>
      </c>
      <c r="AB35">
        <f t="shared" si="36"/>
        <v>0</v>
      </c>
      <c r="AC35">
        <f t="shared" si="36"/>
        <v>0</v>
      </c>
      <c r="AD35">
        <f t="shared" si="36"/>
        <v>0</v>
      </c>
      <c r="AE35">
        <f t="shared" si="36"/>
        <v>0</v>
      </c>
      <c r="AF35">
        <f t="shared" si="36"/>
        <v>0</v>
      </c>
      <c r="AG35">
        <f t="shared" si="36"/>
        <v>0</v>
      </c>
      <c r="AH35">
        <f t="shared" si="36"/>
        <v>0</v>
      </c>
      <c r="AI35">
        <f t="shared" si="36"/>
        <v>0</v>
      </c>
      <c r="AJ35">
        <f t="shared" si="36"/>
        <v>0</v>
      </c>
      <c r="AK35">
        <f t="shared" si="36"/>
        <v>0</v>
      </c>
      <c r="AL35">
        <f t="shared" si="36"/>
        <v>0</v>
      </c>
      <c r="AM35">
        <f t="shared" si="36"/>
        <v>0</v>
      </c>
      <c r="AN35">
        <f t="shared" si="36"/>
        <v>0</v>
      </c>
      <c r="AO35">
        <f t="shared" si="36"/>
        <v>0</v>
      </c>
      <c r="AP35">
        <f t="shared" si="36"/>
        <v>0</v>
      </c>
      <c r="AQ35">
        <f t="shared" si="36"/>
        <v>0</v>
      </c>
      <c r="AR35">
        <f t="shared" si="36"/>
        <v>0</v>
      </c>
      <c r="AS35">
        <f t="shared" si="36"/>
        <v>0</v>
      </c>
      <c r="AT35">
        <f t="shared" si="36"/>
        <v>0</v>
      </c>
      <c r="AU35">
        <f t="shared" si="36"/>
        <v>0</v>
      </c>
      <c r="AV35">
        <f t="shared" si="36"/>
        <v>0</v>
      </c>
      <c r="AW35">
        <f t="shared" si="36"/>
        <v>0</v>
      </c>
      <c r="AX35">
        <f t="shared" si="36"/>
        <v>0</v>
      </c>
      <c r="AY35">
        <f t="shared" si="36"/>
        <v>0</v>
      </c>
    </row>
  </sheetData>
  <mergeCells count="13">
    <mergeCell ref="K3:L3"/>
    <mergeCell ref="A5:M5"/>
    <mergeCell ref="A21:M21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conditionalFormatting sqref="A5 A6:M35">
    <cfRule type="containsText" dxfId="1" priority="3" stopIfTrue="1" operator="containsText" text=".">
      <formula>NOT(ISERROR(SEARCH(".",A5)))</formula>
    </cfRule>
    <cfRule type="notContainsText" dxfId="0" priority="4" stopIfTrue="1" operator="notContains" text=".">
      <formula>ISERROR(SEARCH(".",A5))</formula>
    </cfRule>
  </conditionalFormatting>
  <pageMargins left="0.59055118110236215" right="0" top="0.39370078740157477" bottom="0.1388888888888889" header="0.3" footer="0.1388888888888889"/>
  <pageSetup paperSize="9" orientation="landscape" r:id="rId1"/>
  <rowBreaks count="2" manualBreakCount="2">
    <brk id="20" max="16383" man="1"/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0AB77-F0F3-4616-BE5D-2E90B1EC255E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원가계산서</vt:lpstr>
      <vt:lpstr>집계표</vt:lpstr>
      <vt:lpstr>내역서</vt:lpstr>
      <vt:lpstr>Sheet1</vt:lpstr>
      <vt:lpstr>내역서!Print_Area</vt:lpstr>
      <vt:lpstr>원가계산서!Print_Area</vt:lpstr>
      <vt:lpstr>집계표!Print_Area</vt:lpstr>
      <vt:lpstr>내역서!Print_Titles</vt:lpstr>
      <vt:lpstr>원가계산서!Print_Titles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2026-07-23T08:53:43Z</dcterms:created>
  <dcterms:modified xsi:type="dcterms:W3CDTF">2026-07-27T07:53:42Z</dcterms:modified>
</cp:coreProperties>
</file>