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6\1 대행사업\의림지 관광기반시설\1 집행\1231 용추양 1호역지변교체_서정\"/>
    </mc:Choice>
  </mc:AlternateContent>
  <xr:revisionPtr revIDLastSave="0" documentId="13_ncr:1_{58755CA0-7FAA-4C8C-89F4-EB960BF276F0}" xr6:coauthVersionLast="47" xr6:coauthVersionMax="47" xr10:uidLastSave="{00000000-0000-0000-0000-000000000000}"/>
  <bookViews>
    <workbookView xWindow="-120" yWindow="-120" windowWidth="29040" windowHeight="15840" tabRatio="687" xr2:uid="{00000000-000D-0000-FFFF-FFFF00000000}"/>
  </bookViews>
  <sheets>
    <sheet name="원가계산서" sheetId="12" r:id="rId1"/>
    <sheet name="공종별집계표" sheetId="11" r:id="rId2"/>
    <sheet name="공종별내역서" sheetId="10" r:id="rId3"/>
    <sheet name="일위대가목록" sheetId="9" r:id="rId4"/>
    <sheet name="일위대가" sheetId="8" r:id="rId5"/>
    <sheet name="단가대비표" sheetId="7" r:id="rId6"/>
    <sheet name="공량산출근거서_일위대가" sheetId="4" r:id="rId7"/>
    <sheet name="공량설정_일위대가" sheetId="3" state="hidden" r:id="rId8"/>
    <sheet name=" 공사설정 " sheetId="2" state="hidden" r:id="rId9"/>
    <sheet name="Sheet1" sheetId="1" state="hidden" r:id="rId10"/>
  </sheets>
  <definedNames>
    <definedName name="_xlnm.Print_Area" localSheetId="6">공량산출근거서_일위대가!$A$1:$P$8</definedName>
    <definedName name="_xlnm.Print_Area" localSheetId="2">공종별내역서!$A$1:$M$27</definedName>
    <definedName name="_xlnm.Print_Area" localSheetId="1">공종별집계표!$A$1:$M$27</definedName>
    <definedName name="_xlnm.Print_Area" localSheetId="5">단가대비표!$A$1:$X$19</definedName>
    <definedName name="_xlnm.Print_Area" localSheetId="4">일위대가!$A$1:$M$37</definedName>
    <definedName name="_xlnm.Print_Area" localSheetId="3">일위대가목록!$A$1:$M$8</definedName>
    <definedName name="_xlnm.Print_Titles" localSheetId="6">공량산출근거서_일위대가!$1:$3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2" l="1"/>
  <c r="I46" i="8"/>
  <c r="G46" i="8"/>
  <c r="E46" i="8"/>
  <c r="J47" i="8"/>
  <c r="H47" i="8"/>
  <c r="I41" i="8"/>
  <c r="G41" i="8"/>
  <c r="E41" i="8"/>
  <c r="K41" i="8" s="1"/>
  <c r="J42" i="8"/>
  <c r="H42" i="8"/>
  <c r="J40" i="8"/>
  <c r="H40" i="8"/>
  <c r="F40" i="8"/>
  <c r="K40" i="8"/>
  <c r="M18" i="4"/>
  <c r="N18" i="4" s="1"/>
  <c r="V18" i="4" s="1"/>
  <c r="F19" i="4" s="1"/>
  <c r="K19" i="4" s="1"/>
  <c r="D46" i="8" s="1"/>
  <c r="M15" i="4"/>
  <c r="N15" i="4" s="1"/>
  <c r="V15" i="4" s="1"/>
  <c r="F16" i="4" s="1"/>
  <c r="K16" i="4" s="1"/>
  <c r="D41" i="8" s="1"/>
  <c r="J46" i="8" l="1"/>
  <c r="J48" i="8" s="1"/>
  <c r="G10" i="9" s="1"/>
  <c r="I14" i="10" s="1"/>
  <c r="J14" i="10" s="1"/>
  <c r="F46" i="8"/>
  <c r="H46" i="8"/>
  <c r="L46" i="8" s="1"/>
  <c r="H48" i="8"/>
  <c r="F10" i="9" s="1"/>
  <c r="G14" i="10" s="1"/>
  <c r="H14" i="10" s="1"/>
  <c r="E47" i="8"/>
  <c r="K46" i="8"/>
  <c r="H41" i="8"/>
  <c r="H43" i="8" s="1"/>
  <c r="F9" i="9" s="1"/>
  <c r="J41" i="8"/>
  <c r="J43" i="8" s="1"/>
  <c r="G9" i="9" s="1"/>
  <c r="I13" i="10" s="1"/>
  <c r="J13" i="10" s="1"/>
  <c r="L40" i="8"/>
  <c r="F41" i="8"/>
  <c r="M11" i="4"/>
  <c r="N11" i="4" s="1"/>
  <c r="X11" i="4" s="1"/>
  <c r="F13" i="4" s="1"/>
  <c r="K13" i="4" s="1"/>
  <c r="D12" i="8" s="1"/>
  <c r="M10" i="4"/>
  <c r="N10" i="4" s="1"/>
  <c r="V10" i="4" s="1"/>
  <c r="F12" i="4" s="1"/>
  <c r="K12" i="4" s="1"/>
  <c r="D13" i="8" s="1"/>
  <c r="G13" i="10" l="1"/>
  <c r="H13" i="10" s="1"/>
  <c r="K47" i="8"/>
  <c r="F47" i="8"/>
  <c r="E42" i="8"/>
  <c r="K42" i="8" s="1"/>
  <c r="L41" i="8"/>
  <c r="I15" i="10"/>
  <c r="J15" i="10" s="1"/>
  <c r="G15" i="10"/>
  <c r="H15" i="10" s="1"/>
  <c r="I11" i="10"/>
  <c r="J11" i="10" s="1"/>
  <c r="G11" i="10"/>
  <c r="H11" i="10" s="1"/>
  <c r="I10" i="10"/>
  <c r="J10" i="10" s="1"/>
  <c r="G10" i="10"/>
  <c r="I9" i="10"/>
  <c r="G9" i="10"/>
  <c r="H9" i="10" s="1"/>
  <c r="I36" i="8"/>
  <c r="J36" i="8" s="1"/>
  <c r="G36" i="8"/>
  <c r="H36" i="8" s="1"/>
  <c r="E36" i="8"/>
  <c r="K36" i="8" s="1"/>
  <c r="I34" i="8"/>
  <c r="G34" i="8"/>
  <c r="H34" i="8" s="1"/>
  <c r="G33" i="8"/>
  <c r="E33" i="8"/>
  <c r="F33" i="8" s="1"/>
  <c r="I28" i="8"/>
  <c r="J28" i="8" s="1"/>
  <c r="G28" i="8"/>
  <c r="E28" i="8"/>
  <c r="I23" i="8"/>
  <c r="G23" i="8"/>
  <c r="H23" i="8" s="1"/>
  <c r="E24" i="8" s="1"/>
  <c r="F24" i="8" s="1"/>
  <c r="E23" i="8"/>
  <c r="I22" i="8"/>
  <c r="J22" i="8" s="1"/>
  <c r="G22" i="8"/>
  <c r="H22" i="8" s="1"/>
  <c r="I21" i="8"/>
  <c r="G21" i="8"/>
  <c r="I20" i="8"/>
  <c r="G20" i="8"/>
  <c r="H20" i="8" s="1"/>
  <c r="I19" i="8"/>
  <c r="J19" i="8" s="1"/>
  <c r="G19" i="8"/>
  <c r="H19" i="8" s="1"/>
  <c r="I18" i="8"/>
  <c r="G18" i="8"/>
  <c r="I13" i="8"/>
  <c r="J13" i="8" s="1"/>
  <c r="G13" i="8"/>
  <c r="E13" i="8"/>
  <c r="I12" i="8"/>
  <c r="J12" i="8" s="1"/>
  <c r="G12" i="8"/>
  <c r="E12" i="8"/>
  <c r="I7" i="8"/>
  <c r="G7" i="8"/>
  <c r="E7" i="8"/>
  <c r="I6" i="8"/>
  <c r="G6" i="8"/>
  <c r="E6" i="8"/>
  <c r="I5" i="8"/>
  <c r="J5" i="8" s="1"/>
  <c r="G5" i="8"/>
  <c r="H5" i="8" s="1"/>
  <c r="M6" i="4"/>
  <c r="N6" i="4" s="1"/>
  <c r="X6" i="4" s="1"/>
  <c r="F8" i="4" s="1"/>
  <c r="K8" i="4" s="1"/>
  <c r="D6" i="8" s="1"/>
  <c r="M5" i="4"/>
  <c r="N5" i="4" s="1"/>
  <c r="V5" i="4" s="1"/>
  <c r="F7" i="4" s="1"/>
  <c r="K7" i="4" s="1"/>
  <c r="D7" i="8" s="1"/>
  <c r="O16" i="7"/>
  <c r="E21" i="8" s="1"/>
  <c r="O15" i="7"/>
  <c r="E18" i="8" s="1"/>
  <c r="O14" i="7"/>
  <c r="E20" i="8" s="1"/>
  <c r="O13" i="7"/>
  <c r="E19" i="8" s="1"/>
  <c r="F19" i="8" s="1"/>
  <c r="O12" i="7"/>
  <c r="E22" i="8" s="1"/>
  <c r="O11" i="7"/>
  <c r="E5" i="8" s="1"/>
  <c r="O10" i="7"/>
  <c r="E9" i="10" s="1"/>
  <c r="F9" i="10" s="1"/>
  <c r="O9" i="7"/>
  <c r="E15" i="10" s="1"/>
  <c r="F15" i="10" s="1"/>
  <c r="O8" i="7"/>
  <c r="E10" i="10" s="1"/>
  <c r="O7" i="7"/>
  <c r="E11" i="10" s="1"/>
  <c r="O6" i="7"/>
  <c r="E34" i="8" s="1"/>
  <c r="V5" i="7"/>
  <c r="I33" i="8" s="1"/>
  <c r="H35" i="8"/>
  <c r="J35" i="8"/>
  <c r="J34" i="8"/>
  <c r="H33" i="8"/>
  <c r="H29" i="8"/>
  <c r="J29" i="8"/>
  <c r="F28" i="8"/>
  <c r="H24" i="8"/>
  <c r="J24" i="8"/>
  <c r="J23" i="8"/>
  <c r="H21" i="8"/>
  <c r="J21" i="8"/>
  <c r="J20" i="8"/>
  <c r="H18" i="8"/>
  <c r="J18" i="8"/>
  <c r="H14" i="8"/>
  <c r="J14" i="8"/>
  <c r="H13" i="8"/>
  <c r="F12" i="8"/>
  <c r="H12" i="8"/>
  <c r="H8" i="8"/>
  <c r="J8" i="8"/>
  <c r="H10" i="10"/>
  <c r="J9" i="10"/>
  <c r="K13" i="8" l="1"/>
  <c r="F42" i="8"/>
  <c r="K6" i="8"/>
  <c r="K28" i="8"/>
  <c r="F13" i="8"/>
  <c r="L13" i="8" s="1"/>
  <c r="J25" i="8"/>
  <c r="G6" i="9" s="1"/>
  <c r="I7" i="10" s="1"/>
  <c r="J7" i="10" s="1"/>
  <c r="K7" i="8"/>
  <c r="L24" i="8"/>
  <c r="L47" i="8"/>
  <c r="F48" i="8"/>
  <c r="J30" i="8"/>
  <c r="G7" i="9" s="1"/>
  <c r="I8" i="10" s="1"/>
  <c r="J8" i="10" s="1"/>
  <c r="H28" i="8"/>
  <c r="H30" i="8" s="1"/>
  <c r="F7" i="9" s="1"/>
  <c r="G8" i="10" s="1"/>
  <c r="H8" i="10" s="1"/>
  <c r="J15" i="8"/>
  <c r="G5" i="9" s="1"/>
  <c r="I6" i="10" s="1"/>
  <c r="J6" i="10" s="1"/>
  <c r="K12" i="8"/>
  <c r="F36" i="8"/>
  <c r="H37" i="8"/>
  <c r="F8" i="9" s="1"/>
  <c r="G12" i="10" s="1"/>
  <c r="H12" i="10" s="1"/>
  <c r="H15" i="8"/>
  <c r="F5" i="9" s="1"/>
  <c r="G6" i="10" s="1"/>
  <c r="H6" i="10" s="1"/>
  <c r="E14" i="8"/>
  <c r="K14" i="8" s="1"/>
  <c r="H7" i="8"/>
  <c r="J7" i="8"/>
  <c r="F7" i="8"/>
  <c r="K21" i="8"/>
  <c r="F21" i="8"/>
  <c r="F6" i="8"/>
  <c r="H6" i="8"/>
  <c r="J6" i="8"/>
  <c r="K34" i="8"/>
  <c r="F34" i="8"/>
  <c r="E35" i="8" s="1"/>
  <c r="F35" i="8" s="1"/>
  <c r="L35" i="8" s="1"/>
  <c r="F22" i="8"/>
  <c r="L22" i="8" s="1"/>
  <c r="K22" i="8"/>
  <c r="H9" i="8"/>
  <c r="F4" i="9" s="1"/>
  <c r="G5" i="10" s="1"/>
  <c r="H5" i="10" s="1"/>
  <c r="F11" i="10"/>
  <c r="L11" i="10" s="1"/>
  <c r="K11" i="10"/>
  <c r="F37" i="8"/>
  <c r="F20" i="8"/>
  <c r="K20" i="8"/>
  <c r="K33" i="8"/>
  <c r="J33" i="8"/>
  <c r="J37" i="8" s="1"/>
  <c r="G8" i="9" s="1"/>
  <c r="I12" i="10" s="1"/>
  <c r="J12" i="10" s="1"/>
  <c r="F5" i="8"/>
  <c r="K5" i="8"/>
  <c r="F18" i="8"/>
  <c r="L18" i="8" s="1"/>
  <c r="K18" i="8"/>
  <c r="E29" i="8"/>
  <c r="F29" i="8" s="1"/>
  <c r="L29" i="8" s="1"/>
  <c r="L9" i="10"/>
  <c r="H25" i="8"/>
  <c r="F6" i="9" s="1"/>
  <c r="G7" i="10" s="1"/>
  <c r="H7" i="10" s="1"/>
  <c r="K9" i="10"/>
  <c r="K15" i="10"/>
  <c r="L15" i="10"/>
  <c r="E6" i="12" s="1"/>
  <c r="K10" i="10"/>
  <c r="F10" i="10"/>
  <c r="L36" i="8"/>
  <c r="K23" i="8"/>
  <c r="F23" i="8"/>
  <c r="L21" i="8"/>
  <c r="L20" i="8"/>
  <c r="K19" i="8"/>
  <c r="L19" i="8"/>
  <c r="L12" i="8"/>
  <c r="L5" i="8"/>
  <c r="K35" i="8"/>
  <c r="K24" i="8"/>
  <c r="L37" i="8" l="1"/>
  <c r="L48" i="8"/>
  <c r="E10" i="9"/>
  <c r="H27" i="10"/>
  <c r="G5" i="11" s="1"/>
  <c r="H5" i="11" s="1"/>
  <c r="E8" i="8"/>
  <c r="F8" i="8" s="1"/>
  <c r="L8" i="8" s="1"/>
  <c r="L28" i="8"/>
  <c r="J9" i="8"/>
  <c r="G4" i="9" s="1"/>
  <c r="I5" i="10" s="1"/>
  <c r="J5" i="10" s="1"/>
  <c r="J27" i="10" s="1"/>
  <c r="I5" i="11" s="1"/>
  <c r="J5" i="11" s="1"/>
  <c r="J27" i="11" s="1"/>
  <c r="L42" i="8"/>
  <c r="F43" i="8"/>
  <c r="E8" i="9"/>
  <c r="H8" i="9" s="1"/>
  <c r="L33" i="8"/>
  <c r="F25" i="8"/>
  <c r="E6" i="9" s="1"/>
  <c r="E7" i="10" s="1"/>
  <c r="L34" i="8"/>
  <c r="L7" i="8"/>
  <c r="F14" i="8"/>
  <c r="L14" i="8" s="1"/>
  <c r="F9" i="8"/>
  <c r="E4" i="9" s="1"/>
  <c r="H4" i="9" s="1"/>
  <c r="K29" i="8"/>
  <c r="F30" i="8"/>
  <c r="L6" i="8"/>
  <c r="L10" i="10"/>
  <c r="L23" i="8"/>
  <c r="L43" i="8" l="1"/>
  <c r="E9" i="9"/>
  <c r="H6" i="9"/>
  <c r="E14" i="10"/>
  <c r="H10" i="9"/>
  <c r="L25" i="8"/>
  <c r="K8" i="8"/>
  <c r="E12" i="10"/>
  <c r="K12" i="10" s="1"/>
  <c r="F15" i="8"/>
  <c r="L15" i="8" s="1"/>
  <c r="L9" i="8"/>
  <c r="E5" i="10"/>
  <c r="F5" i="10" s="1"/>
  <c r="H27" i="11"/>
  <c r="E8" i="12"/>
  <c r="L30" i="8"/>
  <c r="E7" i="9"/>
  <c r="F7" i="10"/>
  <c r="L7" i="10" s="1"/>
  <c r="K7" i="10"/>
  <c r="E11" i="12"/>
  <c r="F14" i="10" l="1"/>
  <c r="L14" i="10" s="1"/>
  <c r="K14" i="10"/>
  <c r="F12" i="10"/>
  <c r="L12" i="10" s="1"/>
  <c r="E13" i="10"/>
  <c r="H9" i="9"/>
  <c r="E5" i="9"/>
  <c r="H5" i="9" s="1"/>
  <c r="K5" i="10"/>
  <c r="E18" i="12"/>
  <c r="E9" i="12"/>
  <c r="E10" i="12" s="1"/>
  <c r="H7" i="9"/>
  <c r="E8" i="10"/>
  <c r="L5" i="10"/>
  <c r="F13" i="10" l="1"/>
  <c r="L13" i="10" s="1"/>
  <c r="K13" i="10"/>
  <c r="E6" i="10"/>
  <c r="F6" i="10" s="1"/>
  <c r="F27" i="10" s="1"/>
  <c r="E20" i="12"/>
  <c r="E21" i="12"/>
  <c r="E13" i="12"/>
  <c r="E12" i="12"/>
  <c r="K8" i="10"/>
  <c r="F8" i="10"/>
  <c r="L8" i="10" s="1"/>
  <c r="K6" i="10" l="1"/>
  <c r="L6" i="10"/>
  <c r="L27" i="10" s="1"/>
  <c r="E5" i="11"/>
  <c r="F5" i="11" l="1"/>
  <c r="K5" i="11"/>
  <c r="E4" i="12" l="1"/>
  <c r="F27" i="11"/>
  <c r="L5" i="11"/>
  <c r="L27" i="11" s="1"/>
  <c r="E7" i="12" l="1"/>
  <c r="E19" i="12" s="1"/>
  <c r="E17" i="12"/>
  <c r="E22" i="12" l="1"/>
  <c r="E23" i="12" s="1"/>
  <c r="E24" i="12" s="1"/>
  <c r="E26" i="12" l="1"/>
  <c r="E27" i="12" s="1"/>
  <c r="E28" i="12" s="1"/>
  <c r="E29" i="12" s="1"/>
</calcChain>
</file>

<file path=xl/sharedStrings.xml><?xml version="1.0" encoding="utf-8"?>
<sst xmlns="http://schemas.openxmlformats.org/spreadsheetml/2006/main" count="1488" uniqueCount="398">
  <si>
    <t>공 종 별 집 계 표</t>
  </si>
  <si>
    <t>[ 용추양수장 체크밸브 교체공사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</si>
  <si>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</si>
  <si>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</si>
  <si>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</si>
  <si>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</si>
  <si>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</si>
  <si>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</si>
  <si>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</si>
  <si>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</si>
  <si>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</si>
  <si>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</si>
  <si>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</si>
  <si>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</si>
  <si>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</si>
  <si>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</si>
  <si>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</si>
  <si>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</si>
  <si>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</si>
  <si>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</si>
  <si>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</si>
  <si>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</si>
  <si>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</si>
  <si>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</si>
  <si>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</si>
  <si>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</si>
  <si>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</si>
  <si>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</si>
  <si>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</si>
  <si>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</si>
  <si>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</si>
  <si>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</si>
  <si>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</si>
  <si>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</si>
  <si>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</si>
  <si>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</si>
  <si>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</si>
  <si>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</si>
  <si>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</si>
  <si>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</si>
  <si>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</si>
  <si>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</si>
  <si>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</si>
  <si>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</si>
  <si>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</si>
  <si>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</si>
  <si>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</si>
  <si>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</si>
  <si>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</si>
  <si>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</si>
  <si>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</si>
  <si>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</t>
  </si>
  <si>
    <t/>
  </si>
  <si>
    <t>완폐식체크밸브 설치</t>
  </si>
  <si>
    <t>D250</t>
  </si>
  <si>
    <t>개</t>
  </si>
  <si>
    <t>호표 1</t>
  </si>
  <si>
    <t>58FC341CF9702A0B5577A25FE37502</t>
  </si>
  <si>
    <t>T</t>
  </si>
  <si>
    <t>F</t>
  </si>
  <si>
    <t>0158FC341CF9702A0B5577A25FE37502</t>
  </si>
  <si>
    <t>완폐식체크밸브 철거</t>
  </si>
  <si>
    <t>호표 2</t>
  </si>
  <si>
    <t>58FC341CF9702A0B5577A25FE37501</t>
  </si>
  <si>
    <t>0158FC341CF9702A0B5577A25FE37501</t>
  </si>
  <si>
    <t>압력계설치</t>
  </si>
  <si>
    <t>100mm, 10kg</t>
  </si>
  <si>
    <t>SET</t>
  </si>
  <si>
    <t>호표 3</t>
  </si>
  <si>
    <t>58FC2434990A8A27FE7F8476730D02</t>
  </si>
  <si>
    <t>0158FC2434990A8A27FE7F8476730D02</t>
  </si>
  <si>
    <t>압력계철거</t>
  </si>
  <si>
    <t>호표 4</t>
  </si>
  <si>
    <t>58FC2434990A8A27FE7F8476730D01</t>
  </si>
  <si>
    <t>0158FC2434990A8A27FE7F8476730D01</t>
  </si>
  <si>
    <t>패킹</t>
  </si>
  <si>
    <t>패킹, 플랜지용, ∮250mm</t>
  </si>
  <si>
    <t>5F1EB4D039CB0B355D7762B5833A0127892B03</t>
  </si>
  <si>
    <t>015F1EB4D039CB0B355D7762B5833A0127892B03</t>
  </si>
  <si>
    <t>육각너트</t>
  </si>
  <si>
    <t>육각너트, M24</t>
  </si>
  <si>
    <t>5F1EB4D03924CFEE8370C38F83B8096247FF16</t>
  </si>
  <si>
    <t>015F1EB4D03924CFEE8370C38F83B8096247FF16</t>
  </si>
  <si>
    <t>육각볼트</t>
  </si>
  <si>
    <t>육각볼트, M24*150</t>
  </si>
  <si>
    <t>5F1EB4D03924CFFF2F7D67B373290381818C4F</t>
  </si>
  <si>
    <t>015F1EB4D03924CFFF2F7D67B373290381818C4F</t>
  </si>
  <si>
    <t>굴착기(무한궤도)</t>
  </si>
  <si>
    <t>0.2㎥</t>
  </si>
  <si>
    <t>HR</t>
  </si>
  <si>
    <t>호표 5</t>
  </si>
  <si>
    <t>5F2F143C0918E25344772510C3F201C60184788C</t>
  </si>
  <si>
    <t>015F2F143C0918E25344772510C3F201C60184788C</t>
  </si>
  <si>
    <t>고철</t>
  </si>
  <si>
    <t>Kg</t>
  </si>
  <si>
    <t>5F1EB4D03924F4E4EB7A844683A30EAAEE4C8F</t>
  </si>
  <si>
    <t>015F1EB4D03924F4E4EB7A844683A30EAAEE4C8F</t>
  </si>
  <si>
    <t>[ 합           계 ]</t>
  </si>
  <si>
    <t>TOTAL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</si>
  <si>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</si>
  <si>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</si>
  <si>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</si>
  <si>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</si>
  <si>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</si>
  <si>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</si>
  <si>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</si>
  <si>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</si>
  <si>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</si>
  <si>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</si>
  <si>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</si>
  <si>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</si>
  <si>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</si>
  <si>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</si>
  <si>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</si>
  <si>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</si>
  <si>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</si>
  <si>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</si>
  <si>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</si>
  <si>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</si>
  <si>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</si>
  <si>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완폐식체크밸브 설치  D250  개  기계 5-1-1   ( 호표 1 )</t>
  </si>
  <si>
    <t>기계 5-1-1</t>
  </si>
  <si>
    <t>완폐식체크밸브</t>
  </si>
  <si>
    <t>완폐식체크밸브,∮250mm</t>
  </si>
  <si>
    <t>5F66C404898F1122FF7AC07EA38807D7B3939CE5</t>
  </si>
  <si>
    <t>58FC341CF9702A0B5577A25FE375025F66C404898F1122FF7AC07EA38807D7B3939CE5</t>
  </si>
  <si>
    <t>배관공</t>
  </si>
  <si>
    <t>일반공사 직종</t>
  </si>
  <si>
    <t>인</t>
  </si>
  <si>
    <t>58EAE49EC97ABBD8E97D24F4D36408F52937C0</t>
  </si>
  <si>
    <t>58FC341CF9702A0B5577A25FE3750258EAE49EC97ABBD8E97D24F4D36408F52937C0</t>
  </si>
  <si>
    <t>보통인부</t>
  </si>
  <si>
    <t>58EAE49EC97ABBD8E97D24F4D36408F5293477</t>
  </si>
  <si>
    <t>58FC341CF9702A0B5577A25FE3750258EAE49EC97ABBD8E97D24F4D36408F5293477</t>
  </si>
  <si>
    <t>공구손료</t>
  </si>
  <si>
    <t>인력품의 2%</t>
  </si>
  <si>
    <t>식</t>
  </si>
  <si>
    <t>592694D519D29BDF047DC3D6F3B0001</t>
  </si>
  <si>
    <t>58FC341CF9702A0B5577A25FE37502592694D519D29BDF047DC3D6F3B0001</t>
  </si>
  <si>
    <t xml:space="preserve"> [ 합          계 ]</t>
  </si>
  <si>
    <t>58FC341CF9702A0B5577A25FE3750158EAE49EC97ABBD8E97D24F4D36408F52937C0</t>
  </si>
  <si>
    <t>58FC341CF9702A0B5577A25FE3750158EAE49EC97ABBD8E97D24F4D36408F5293477</t>
  </si>
  <si>
    <t>58FC341CF9702A0B5577A25FE37501592694D519D29BDF047DC3D6F3B0001</t>
  </si>
  <si>
    <t>압력계설치  100mm, 10kg  SET  대한기계설비건설협회   ( 호표 3 )</t>
  </si>
  <si>
    <t>대한기계설비건설협회</t>
  </si>
  <si>
    <t>압력계</t>
  </si>
  <si>
    <t>압력계, 표시부직경 100mm, 10kg</t>
  </si>
  <si>
    <t>5F66D42D493895EEC07955A1D372031E25DCFD</t>
  </si>
  <si>
    <t>58FC2434990A8A27FE7F8476730D025F66D42D493895EEC07955A1D372031E25DCFD</t>
  </si>
  <si>
    <t>나사식강관제관이음쇠</t>
  </si>
  <si>
    <t>나사식강관제관이음쇠, ∮15mm, 엘보, 나사</t>
  </si>
  <si>
    <t>5F66C404898F23823E7CAE6F43880955E5CE98</t>
  </si>
  <si>
    <t>58FC2434990A8A27FE7F8476730D025F66C404898F23823E7CAE6F43880955E5CE98</t>
  </si>
  <si>
    <t>나사식강관제관이음쇠, ∮15mm, 소켓, 나사</t>
  </si>
  <si>
    <t>5F66C404898F23823E7CAE6F43880955EA4C73</t>
  </si>
  <si>
    <t>58FC2434990A8A27FE7F8476730D025F66C404898F23823E7CAE6F43880955EA4C73</t>
  </si>
  <si>
    <t>사이폰관(압력계설치용)</t>
  </si>
  <si>
    <t>EA</t>
  </si>
  <si>
    <t>5F66D42D491DEB100576B66A53810402C45A7E</t>
  </si>
  <si>
    <t>58FC2434990A8A27FE7F8476730D025F66D42D491DEB100576B66A53810402C45A7E</t>
  </si>
  <si>
    <t>콕밸브</t>
  </si>
  <si>
    <t>콕밸브, 게이지콕, ∮15mm</t>
  </si>
  <si>
    <t>5F66C404898F1122FF7BEBE2533B0BE1B665A0</t>
  </si>
  <si>
    <t>58FC2434990A8A27FE7F8476730D025F66C404898F1122FF7BEBE2533B0BE1B665A0</t>
  </si>
  <si>
    <t>58FC2434990A8A27FE7F8476730D0258EAE49EC97ABBD8E97D24F4D36408F52937C0</t>
  </si>
  <si>
    <t>인력품의 3%</t>
  </si>
  <si>
    <t>58FC2434990A8A27FE7F8476730D02592694D519D29BDF047DC3D6F3B0001</t>
  </si>
  <si>
    <t>압력계철거  100mm, 10kg  SET  대한기계설비건설협회   ( 호표 4 )</t>
  </si>
  <si>
    <t>58FC2434990A8A27FE7F8476730D0158EAE49EC97ABBD8E97D24F4D36408F52937C0</t>
  </si>
  <si>
    <t>58FC2434990A8A27FE7F8476730D01592694D519D29BDF047DC3D6F3B0001</t>
  </si>
  <si>
    <t>굴착기(무한궤도)  0.2㎥  HR  공통 8-3,4(0201)   ( 호표 5 )</t>
  </si>
  <si>
    <t>A</t>
  </si>
  <si>
    <t>공통 8-3,4(0201)</t>
  </si>
  <si>
    <t>대</t>
  </si>
  <si>
    <t>천원</t>
  </si>
  <si>
    <t>5F2F143C0918E25344772510C3F201C6018478</t>
  </si>
  <si>
    <t>5F2F143C0918E25344772510C3F201C60184788C5F2F143C0918E25344772510C3F201C6018478</t>
  </si>
  <si>
    <t>경유</t>
  </si>
  <si>
    <t>경유, 저유황</t>
  </si>
  <si>
    <t>L</t>
  </si>
  <si>
    <t>5F39D429793410C05E73208413530A619C2026</t>
  </si>
  <si>
    <t>5F2F143C0918E25344772510C3F201C60184788C5F39D429793410C05E73208413530A619C2026</t>
  </si>
  <si>
    <t>잡재료</t>
  </si>
  <si>
    <t>주연료비의 21%</t>
  </si>
  <si>
    <t>5F2F143C0918E25344772510C3F201C60184788C592694D519D29BDF047DC3D6F3B0001</t>
  </si>
  <si>
    <t>건설기계운전사</t>
  </si>
  <si>
    <t>58EAE49EC97ABBD8E97D24F4D36408F5293092</t>
  </si>
  <si>
    <t>5F2F143C0918E25344772510C3F201C60184788C58EAE49EC97ABBD8E97D24F4D36408F5293092</t>
  </si>
  <si>
    <t>단 가 대 비 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</si>
  <si>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</si>
  <si>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</si>
  <si>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</si>
  <si>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</si>
  <si>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</si>
  <si>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</si>
  <si>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</si>
  <si>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</si>
  <si>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</si>
  <si>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</si>
  <si>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</si>
  <si>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</si>
  <si>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1451</t>
  </si>
  <si>
    <t>1189</t>
  </si>
  <si>
    <t>자재 2</t>
  </si>
  <si>
    <t>90</t>
  </si>
  <si>
    <t>49</t>
  </si>
  <si>
    <t>자재 3</t>
  </si>
  <si>
    <t>96</t>
  </si>
  <si>
    <t>자재 4</t>
  </si>
  <si>
    <t>1472</t>
  </si>
  <si>
    <t>1198</t>
  </si>
  <si>
    <t>자재 5</t>
  </si>
  <si>
    <t>설비협회</t>
  </si>
  <si>
    <t>자재 6</t>
  </si>
  <si>
    <t>840</t>
  </si>
  <si>
    <t>612</t>
  </si>
  <si>
    <t>자재 7</t>
  </si>
  <si>
    <t>자재 8</t>
  </si>
  <si>
    <t>758</t>
  </si>
  <si>
    <t>528</t>
  </si>
  <si>
    <t>자재 9</t>
  </si>
  <si>
    <t>자재 10</t>
  </si>
  <si>
    <t>855</t>
  </si>
  <si>
    <t>자재 11</t>
  </si>
  <si>
    <t>자재 12</t>
  </si>
  <si>
    <t>노임 1</t>
  </si>
  <si>
    <t>B</t>
  </si>
  <si>
    <t>노임 2</t>
  </si>
  <si>
    <t>노임 3</t>
  </si>
  <si>
    <t>적용율(%)</t>
  </si>
  <si>
    <t>소수점이하자릿수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</si>
  <si>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</si>
  <si>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</si>
  <si>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</si>
  <si>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</si>
  <si>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</si>
  <si>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</si>
  <si>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</si>
  <si>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</si>
  <si>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</si>
  <si>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</si>
  <si>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</si>
  <si>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일위대가 코드</t>
  </si>
  <si>
    <t>완폐식체크밸브 설치  D250  (호표 1)</t>
  </si>
  <si>
    <t xml:space="preserve">      배관공</t>
  </si>
  <si>
    <t xml:space="preserve">      보통인부</t>
  </si>
  <si>
    <t>완폐식체크밸브 철거  D250  (호표 2)</t>
  </si>
  <si>
    <t>압력계설치  100mm, 10kg  (호표 3)</t>
  </si>
  <si>
    <t>압력계철거  100mm, 10kg  (호표 4)</t>
  </si>
  <si>
    <t>굴착기(무한궤도)  0.2㎥  (호표 5)</t>
  </si>
  <si>
    <t xml:space="preserve">      건설기계운전사</t>
  </si>
  <si>
    <t>일위대가목록+자재</t>
  </si>
  <si>
    <t>완폐식체크밸브 설치  D250  개  (호표 1)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</si>
  <si>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</si>
  <si>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</si>
  <si>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</si>
  <si>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</si>
  <si>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</si>
  <si>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</si>
  <si>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</si>
  <si>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</si>
  <si>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</si>
  <si>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</si>
  <si>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</si>
  <si>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</si>
  <si>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</si>
  <si>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</si>
  <si>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</si>
  <si>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</si>
  <si>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</si>
  <si>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</si>
  <si>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</si>
  <si>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</si>
  <si>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</si>
  <si>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</si>
  <si>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</si>
  <si>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</si>
  <si>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</si>
  <si>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</si>
  <si>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</si>
  <si>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</si>
  <si>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</si>
  <si>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</si>
  <si>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</si>
  <si>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</si>
  <si>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C8</t>
  </si>
  <si>
    <t>퇴직  공제  부금비</t>
  </si>
  <si>
    <t>직접노무비 * 2.3%</t>
  </si>
  <si>
    <t>CA</t>
  </si>
  <si>
    <t>산업안전보건관리비</t>
  </si>
  <si>
    <t>CB</t>
  </si>
  <si>
    <t>노인장기요양보험료</t>
  </si>
  <si>
    <t>CG</t>
  </si>
  <si>
    <t>기   타    경   비</t>
  </si>
  <si>
    <t>CS</t>
  </si>
  <si>
    <t>S1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</si>
  <si>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</si>
  <si>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</si>
  <si>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</si>
  <si>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</si>
  <si>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</si>
  <si>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</si>
  <si>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</si>
  <si>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</si>
  <si>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</si>
  <si>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</si>
  <si>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</si>
  <si>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</si>
  <si>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</si>
  <si>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</si>
  <si>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</si>
  <si>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</si>
  <si>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</si>
  <si>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</si>
  <si>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</si>
  <si>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</si>
  <si>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</si>
  <si>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</si>
  <si>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</si>
  <si>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</si>
  <si>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</si>
  <si>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</si>
  <si>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</si>
  <si>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</si>
  <si>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</si>
  <si>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</si>
  <si>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</si>
  <si>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</si>
  <si>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</si>
  <si>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</si>
  <si>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</si>
  <si>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</si>
  <si>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</si>
  <si>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</si>
  <si>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</si>
  <si>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</si>
  <si>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</si>
  <si>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</si>
  <si>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</si>
  <si>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</si>
  <si>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</si>
  <si>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</si>
  <si>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</si>
  <si>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</si>
  <si>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</si>
  <si>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</si>
  <si>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</si>
  <si>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</si>
  <si>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</si>
  <si>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</si>
  <si>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</si>
  <si>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</si>
  <si>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</si>
  <si>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</si>
  <si>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</si>
  <si>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</si>
  <si>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</si>
  <si>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</si>
  <si>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완폐식체크밸브 철거  D250  개  기계 5-1-1   ( 호표 2 )</t>
    <phoneticPr fontId="1" type="noConversion"/>
  </si>
  <si>
    <t>완폐식체크밸브 철거  D250  개    ( 호표 2 )</t>
    <phoneticPr fontId="1" type="noConversion"/>
  </si>
  <si>
    <t>0.23*1*150%*50%</t>
    <phoneticPr fontId="1" type="noConversion"/>
  </si>
  <si>
    <t>0.23*1*150%</t>
    <phoneticPr fontId="1" type="noConversion"/>
  </si>
  <si>
    <t>지세할증 50%</t>
    <phoneticPr fontId="1" type="noConversion"/>
  </si>
  <si>
    <t>직접노무비 * 17.5%</t>
    <phoneticPr fontId="1" type="noConversion"/>
  </si>
  <si>
    <t>노무비 * 3.56%</t>
    <phoneticPr fontId="1" type="noConversion"/>
  </si>
  <si>
    <t>직접노무비 * 3.595%</t>
    <phoneticPr fontId="1" type="noConversion"/>
  </si>
  <si>
    <t>직접노무비 * 4.75%</t>
    <phoneticPr fontId="1" type="noConversion"/>
  </si>
  <si>
    <t>(재료비+직노+관급자재비) * 3.11%</t>
    <phoneticPr fontId="1" type="noConversion"/>
  </si>
  <si>
    <t>건강보험료 * 13.14%</t>
    <phoneticPr fontId="1" type="noConversion"/>
  </si>
  <si>
    <t>(재료비+노무비) * 5.0%</t>
    <phoneticPr fontId="1" type="noConversion"/>
  </si>
  <si>
    <t>계 * 8%</t>
    <phoneticPr fontId="1" type="noConversion"/>
  </si>
  <si>
    <t>30일 이상 적용</t>
    <phoneticPr fontId="1" type="noConversion"/>
  </si>
  <si>
    <t>1억원 이상 적용</t>
    <phoneticPr fontId="1" type="noConversion"/>
  </si>
  <si>
    <t>(노무비+경비+일반관리비) * 15%</t>
    <phoneticPr fontId="1" type="noConversion"/>
  </si>
  <si>
    <t>석  면  분  담  금</t>
    <phoneticPr fontId="1" type="noConversion"/>
  </si>
  <si>
    <t>임금 채권 부담금</t>
    <phoneticPr fontId="1" type="noConversion"/>
  </si>
  <si>
    <t>노무비 * 0.006%</t>
    <phoneticPr fontId="1" type="noConversion"/>
  </si>
  <si>
    <t>노무비 * 0.09%</t>
    <phoneticPr fontId="1" type="noConversion"/>
  </si>
  <si>
    <t>환경부 고시 제2025-25호</t>
    <phoneticPr fontId="1" type="noConversion"/>
  </si>
  <si>
    <t>노동부 고시 제2025-100호</t>
    <phoneticPr fontId="1" type="noConversion"/>
  </si>
  <si>
    <t>바이패스밸브,∮25mm (재사용)</t>
    <phoneticPr fontId="1" type="noConversion"/>
  </si>
  <si>
    <t>0.05*1*150%</t>
    <phoneticPr fontId="1" type="noConversion"/>
  </si>
  <si>
    <t>0.05*1*150%*80%</t>
    <phoneticPr fontId="1" type="noConversion"/>
  </si>
  <si>
    <t>바이패스밸브설치  D25  (호표 6)</t>
    <phoneticPr fontId="1" type="noConversion"/>
  </si>
  <si>
    <t>바이패스밸브 재사용철거  D25  (호표 7)</t>
    <phoneticPr fontId="1" type="noConversion"/>
  </si>
  <si>
    <t>바이패스밸브 설치  D25  개  (호표 6)</t>
    <phoneticPr fontId="1" type="noConversion"/>
  </si>
  <si>
    <t>바이패스밸브 재사용철거  D25  개    ( 호표 7 )</t>
    <phoneticPr fontId="1" type="noConversion"/>
  </si>
  <si>
    <t>바이패스밸브 설치  D25  개  기계 5-1-1   ( 호표 6 )</t>
    <phoneticPr fontId="1" type="noConversion"/>
  </si>
  <si>
    <t>바이패스밸브</t>
    <phoneticPr fontId="1" type="noConversion"/>
  </si>
  <si>
    <t>바이패스밸브 재사용철거  D25  개  기계 5-1-1   ( 호표 7 )</t>
    <phoneticPr fontId="1" type="noConversion"/>
  </si>
  <si>
    <t>바이패스밸브 설치</t>
    <phoneticPr fontId="1" type="noConversion"/>
  </si>
  <si>
    <t>바이패스밸브,∮25mm(재사용)</t>
    <phoneticPr fontId="1" type="noConversion"/>
  </si>
  <si>
    <t>바이패스밸브 재사용철거</t>
    <phoneticPr fontId="1" type="noConversion"/>
  </si>
  <si>
    <t>호표 6</t>
    <phoneticPr fontId="1" type="noConversion"/>
  </si>
  <si>
    <t>호표 7</t>
    <phoneticPr fontId="1" type="noConversion"/>
  </si>
  <si>
    <t>공사명 : 용추양수장 1호 역지변 교체공사</t>
    <phoneticPr fontId="1" type="noConversion"/>
  </si>
  <si>
    <t>[ 용추양수장 1호 역지변 교체공사 ]</t>
    <phoneticPr fontId="1" type="noConversion"/>
  </si>
  <si>
    <t>01  용추양수장 1호 역지변 교체공사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</si>
</sst>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0.00#"/>
    <numFmt numFmtId="178" formatCode="#,##0.0"/>
    <numFmt numFmtId="179" formatCode="#,##0.00#;\-#,##0.00#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4" xfId="0" quotePrefix="1" applyFont="1" applyBorder="1" applyAlignment="1">
      <alignment vertical="center" wrapText="1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Fon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 applyAlignment="1">
      <alignment vertical="center"/>
    </xf>
    <xf numFmtId="0" fontId="0" fillId="0" borderId="9" xfId="0" applyFont="1" applyBorder="1" applyAlignment="1">
      <alignment vertical="center" wrapText="1"/>
    </xf>
    <xf numFmtId="0" fontId="3" fillId="0" borderId="9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0" xfId="0" quotePrefix="1">
      <alignment vertical="center"/>
    </xf>
    <xf numFmtId="0" fontId="5" fillId="0" borderId="8" xfId="0" quotePrefix="1" applyFont="1" applyBorder="1" applyAlignment="1">
      <alignment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9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9" xfId="0" quotePrefix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tabSelected="1" topLeftCell="B1" workbookViewId="0">
      <pane xSplit="3" ySplit="3" topLeftCell="E4" activePane="bottomRight" state="frozen"/>
      <selection activeCell="B1" sqref="B1"/>
      <selection pane="topRight" activeCell="E1" sqref="E1"/>
      <selection pane="bottomLeft" activeCell="B4" sqref="B4"/>
      <selection pane="bottomRight" activeCell="F34" sqref="F3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46" t="s">
        <v>253</v>
      </c>
      <c r="C1" s="46"/>
      <c r="D1" s="46"/>
      <c r="E1" s="46"/>
      <c r="F1" s="46"/>
      <c r="G1" s="46"/>
    </row>
    <row r="2" spans="1:7" ht="21.95" customHeight="1" x14ac:dyDescent="0.3">
      <c r="B2" s="47" t="s">
        <v>395</v>
      </c>
      <c r="C2" s="47"/>
      <c r="D2" s="47"/>
      <c r="E2" s="47"/>
      <c r="F2" s="48"/>
      <c r="G2" s="48"/>
    </row>
    <row r="3" spans="1:7" ht="21.95" customHeight="1" x14ac:dyDescent="0.3">
      <c r="B3" s="49" t="s">
        <v>254</v>
      </c>
      <c r="C3" s="45"/>
      <c r="D3" s="45"/>
      <c r="E3" s="39" t="s">
        <v>255</v>
      </c>
      <c r="F3" s="39" t="s">
        <v>256</v>
      </c>
      <c r="G3" s="39" t="s">
        <v>106</v>
      </c>
    </row>
    <row r="4" spans="1:7" ht="21.95" customHeight="1" x14ac:dyDescent="0.3">
      <c r="A4" s="1" t="s">
        <v>261</v>
      </c>
      <c r="B4" s="50" t="s">
        <v>257</v>
      </c>
      <c r="C4" s="50" t="s">
        <v>258</v>
      </c>
      <c r="D4" s="39" t="s">
        <v>262</v>
      </c>
      <c r="E4" s="17">
        <f>TRUNC(공종별집계표!F5, 0)</f>
        <v>5826165</v>
      </c>
      <c r="F4" s="15" t="s">
        <v>52</v>
      </c>
      <c r="G4" s="15" t="s">
        <v>52</v>
      </c>
    </row>
    <row r="5" spans="1:7" ht="21.95" customHeight="1" x14ac:dyDescent="0.3">
      <c r="A5" s="1" t="s">
        <v>263</v>
      </c>
      <c r="B5" s="50"/>
      <c r="C5" s="50"/>
      <c r="D5" s="39" t="s">
        <v>264</v>
      </c>
      <c r="E5" s="17">
        <v>0</v>
      </c>
      <c r="F5" s="15" t="s">
        <v>52</v>
      </c>
      <c r="G5" s="15" t="s">
        <v>52</v>
      </c>
    </row>
    <row r="6" spans="1:7" ht="21.95" customHeight="1" x14ac:dyDescent="0.3">
      <c r="A6" s="1" t="s">
        <v>265</v>
      </c>
      <c r="B6" s="50"/>
      <c r="C6" s="50"/>
      <c r="D6" s="39" t="s">
        <v>266</v>
      </c>
      <c r="E6" s="17">
        <f>공종별내역서!L15</f>
        <v>114520</v>
      </c>
      <c r="F6" s="15" t="s">
        <v>52</v>
      </c>
      <c r="G6" s="15" t="s">
        <v>52</v>
      </c>
    </row>
    <row r="7" spans="1:7" ht="21.95" customHeight="1" x14ac:dyDescent="0.3">
      <c r="A7" s="1" t="s">
        <v>267</v>
      </c>
      <c r="B7" s="50"/>
      <c r="C7" s="50"/>
      <c r="D7" s="39" t="s">
        <v>268</v>
      </c>
      <c r="E7" s="17">
        <f>TRUNC(E4+E5-E6, 0)</f>
        <v>5711645</v>
      </c>
      <c r="F7" s="15" t="s">
        <v>52</v>
      </c>
      <c r="G7" s="15" t="s">
        <v>52</v>
      </c>
    </row>
    <row r="8" spans="1:7" ht="21.95" customHeight="1" x14ac:dyDescent="0.3">
      <c r="A8" s="1" t="s">
        <v>269</v>
      </c>
      <c r="B8" s="50"/>
      <c r="C8" s="50" t="s">
        <v>259</v>
      </c>
      <c r="D8" s="39" t="s">
        <v>270</v>
      </c>
      <c r="E8" s="17">
        <f>TRUNC(공종별집계표!H5, 0)</f>
        <v>994117</v>
      </c>
      <c r="F8" s="15" t="s">
        <v>52</v>
      </c>
      <c r="G8" s="15" t="s">
        <v>52</v>
      </c>
    </row>
    <row r="9" spans="1:7" ht="21.95" customHeight="1" x14ac:dyDescent="0.3">
      <c r="A9" s="1" t="s">
        <v>271</v>
      </c>
      <c r="B9" s="50"/>
      <c r="C9" s="50"/>
      <c r="D9" s="39" t="s">
        <v>272</v>
      </c>
      <c r="E9" s="17">
        <f>TRUNC(E8*0.175, 0)</f>
        <v>173970</v>
      </c>
      <c r="F9" s="15" t="s">
        <v>363</v>
      </c>
      <c r="G9" s="15" t="s">
        <v>52</v>
      </c>
    </row>
    <row r="10" spans="1:7" ht="21.95" customHeight="1" x14ac:dyDescent="0.3">
      <c r="A10" s="1" t="s">
        <v>273</v>
      </c>
      <c r="B10" s="50"/>
      <c r="C10" s="50"/>
      <c r="D10" s="39" t="s">
        <v>268</v>
      </c>
      <c r="E10" s="17">
        <f>TRUNC(E8+E9, 0)</f>
        <v>1168087</v>
      </c>
      <c r="F10" s="15" t="s">
        <v>52</v>
      </c>
      <c r="G10" s="15" t="s">
        <v>52</v>
      </c>
    </row>
    <row r="11" spans="1:7" ht="21.95" customHeight="1" x14ac:dyDescent="0.3">
      <c r="A11" s="1" t="s">
        <v>274</v>
      </c>
      <c r="B11" s="50"/>
      <c r="C11" s="50" t="s">
        <v>260</v>
      </c>
      <c r="D11" s="39" t="s">
        <v>275</v>
      </c>
      <c r="E11" s="17">
        <f>TRUNC(공종별집계표!J5, 0)</f>
        <v>110984</v>
      </c>
      <c r="F11" s="15" t="s">
        <v>52</v>
      </c>
      <c r="G11" s="15" t="s">
        <v>52</v>
      </c>
    </row>
    <row r="12" spans="1:7" ht="21.95" customHeight="1" x14ac:dyDescent="0.3">
      <c r="A12" s="1" t="s">
        <v>276</v>
      </c>
      <c r="B12" s="50"/>
      <c r="C12" s="50"/>
      <c r="D12" s="39" t="s">
        <v>277</v>
      </c>
      <c r="E12" s="17">
        <f>TRUNC(E10*0.0356, 0)</f>
        <v>41583</v>
      </c>
      <c r="F12" s="15" t="s">
        <v>364</v>
      </c>
      <c r="G12" s="15" t="s">
        <v>52</v>
      </c>
    </row>
    <row r="13" spans="1:7" ht="21.95" customHeight="1" x14ac:dyDescent="0.3">
      <c r="A13" s="1" t="s">
        <v>278</v>
      </c>
      <c r="B13" s="50"/>
      <c r="C13" s="50"/>
      <c r="D13" s="39" t="s">
        <v>279</v>
      </c>
      <c r="E13" s="17">
        <f>TRUNC(E10*0.0101, 0)</f>
        <v>11797</v>
      </c>
      <c r="F13" s="15" t="s">
        <v>280</v>
      </c>
      <c r="G13" s="15" t="s">
        <v>52</v>
      </c>
    </row>
    <row r="14" spans="1:7" ht="21.95" customHeight="1" x14ac:dyDescent="0.3">
      <c r="A14" s="1" t="s">
        <v>281</v>
      </c>
      <c r="B14" s="50"/>
      <c r="C14" s="50"/>
      <c r="D14" s="39" t="s">
        <v>282</v>
      </c>
      <c r="E14" s="17"/>
      <c r="F14" s="15" t="s">
        <v>365</v>
      </c>
      <c r="G14" s="44" t="s">
        <v>371</v>
      </c>
    </row>
    <row r="15" spans="1:7" ht="21.95" customHeight="1" x14ac:dyDescent="0.3">
      <c r="A15" s="1" t="s">
        <v>283</v>
      </c>
      <c r="B15" s="50"/>
      <c r="C15" s="50"/>
      <c r="D15" s="39" t="s">
        <v>284</v>
      </c>
      <c r="E15" s="17"/>
      <c r="F15" s="15" t="s">
        <v>366</v>
      </c>
      <c r="G15" s="44" t="s">
        <v>371</v>
      </c>
    </row>
    <row r="16" spans="1:7" ht="21.95" customHeight="1" x14ac:dyDescent="0.3">
      <c r="A16" s="1" t="s">
        <v>285</v>
      </c>
      <c r="B16" s="50"/>
      <c r="C16" s="50"/>
      <c r="D16" s="39" t="s">
        <v>286</v>
      </c>
      <c r="E16" s="17"/>
      <c r="F16" s="15" t="s">
        <v>287</v>
      </c>
      <c r="G16" s="44" t="s">
        <v>372</v>
      </c>
    </row>
    <row r="17" spans="1:7" ht="21.95" customHeight="1" x14ac:dyDescent="0.3">
      <c r="A17" s="1" t="s">
        <v>288</v>
      </c>
      <c r="B17" s="50"/>
      <c r="C17" s="50"/>
      <c r="D17" s="39" t="s">
        <v>289</v>
      </c>
      <c r="E17" s="17">
        <f>TRUNC((E4+E8)*3.11%, 0)</f>
        <v>212110</v>
      </c>
      <c r="F17" s="15" t="s">
        <v>367</v>
      </c>
      <c r="G17" s="44"/>
    </row>
    <row r="18" spans="1:7" ht="21.95" customHeight="1" x14ac:dyDescent="0.3">
      <c r="A18" s="1" t="s">
        <v>290</v>
      </c>
      <c r="B18" s="50"/>
      <c r="C18" s="50"/>
      <c r="D18" s="39" t="s">
        <v>291</v>
      </c>
      <c r="E18" s="17">
        <f>TRUNC(E14*0.1281, 0)</f>
        <v>0</v>
      </c>
      <c r="F18" s="15" t="s">
        <v>368</v>
      </c>
      <c r="G18" s="44" t="s">
        <v>371</v>
      </c>
    </row>
    <row r="19" spans="1:7" ht="21.95" customHeight="1" x14ac:dyDescent="0.3">
      <c r="A19" s="1" t="s">
        <v>292</v>
      </c>
      <c r="B19" s="50"/>
      <c r="C19" s="50"/>
      <c r="D19" s="39" t="s">
        <v>293</v>
      </c>
      <c r="E19" s="17">
        <f>TRUNC((E7+E10)*0.05, 0)</f>
        <v>343986</v>
      </c>
      <c r="F19" s="15" t="s">
        <v>369</v>
      </c>
      <c r="G19" s="44"/>
    </row>
    <row r="20" spans="1:7" ht="21.95" customHeight="1" x14ac:dyDescent="0.3">
      <c r="A20" s="40"/>
      <c r="B20" s="51"/>
      <c r="C20" s="51"/>
      <c r="D20" s="43" t="s">
        <v>374</v>
      </c>
      <c r="E20" s="17">
        <f>TRUNC(E10*0.00006, 0)</f>
        <v>70</v>
      </c>
      <c r="F20" s="38" t="s">
        <v>376</v>
      </c>
      <c r="G20" s="44" t="s">
        <v>378</v>
      </c>
    </row>
    <row r="21" spans="1:7" ht="21.95" customHeight="1" x14ac:dyDescent="0.3">
      <c r="A21" s="40"/>
      <c r="B21" s="51"/>
      <c r="C21" s="51"/>
      <c r="D21" s="43" t="s">
        <v>375</v>
      </c>
      <c r="E21" s="17">
        <f>TRUNC(E10*0.0009, 0)</f>
        <v>1051</v>
      </c>
      <c r="F21" s="38" t="s">
        <v>377</v>
      </c>
      <c r="G21" s="44" t="s">
        <v>379</v>
      </c>
    </row>
    <row r="22" spans="1:7" ht="21.95" customHeight="1" x14ac:dyDescent="0.3">
      <c r="A22" s="1" t="s">
        <v>294</v>
      </c>
      <c r="B22" s="50"/>
      <c r="C22" s="50"/>
      <c r="D22" s="39" t="s">
        <v>268</v>
      </c>
      <c r="E22" s="17">
        <f>TRUNC(E11+E12+E13+E14+E15+E16+E17+E18+E19+E20+E21, 0)</f>
        <v>721581</v>
      </c>
      <c r="F22" s="15" t="s">
        <v>52</v>
      </c>
      <c r="G22" s="15" t="s">
        <v>52</v>
      </c>
    </row>
    <row r="23" spans="1:7" ht="21.95" customHeight="1" x14ac:dyDescent="0.3">
      <c r="A23" s="1" t="s">
        <v>295</v>
      </c>
      <c r="B23" s="45" t="s">
        <v>240</v>
      </c>
      <c r="C23" s="45"/>
      <c r="D23" s="45"/>
      <c r="E23" s="17">
        <f>TRUNC(E7+E10+E22, 0)</f>
        <v>7601313</v>
      </c>
      <c r="F23" s="15" t="s">
        <v>52</v>
      </c>
      <c r="G23" s="15" t="s">
        <v>52</v>
      </c>
    </row>
    <row r="24" spans="1:7" ht="21.95" customHeight="1" x14ac:dyDescent="0.3">
      <c r="A24" s="1" t="s">
        <v>296</v>
      </c>
      <c r="B24" s="45" t="s">
        <v>297</v>
      </c>
      <c r="C24" s="45"/>
      <c r="D24" s="45"/>
      <c r="E24" s="17">
        <f>TRUNC(E23*0.08, 0)</f>
        <v>608105</v>
      </c>
      <c r="F24" s="15" t="s">
        <v>370</v>
      </c>
      <c r="G24" s="15" t="s">
        <v>52</v>
      </c>
    </row>
    <row r="25" spans="1:7" ht="21.95" customHeight="1" x14ac:dyDescent="0.3">
      <c r="A25" s="1" t="s">
        <v>298</v>
      </c>
      <c r="B25" s="45" t="s">
        <v>299</v>
      </c>
      <c r="C25" s="45"/>
      <c r="D25" s="45"/>
      <c r="E25" s="17">
        <f>TRUNC((E10+E22+E24)*0.15, 0)-4083</f>
        <v>370582</v>
      </c>
      <c r="F25" s="15" t="s">
        <v>373</v>
      </c>
      <c r="G25" s="15" t="s">
        <v>52</v>
      </c>
    </row>
    <row r="26" spans="1:7" ht="21.95" customHeight="1" x14ac:dyDescent="0.3">
      <c r="A26" s="1" t="s">
        <v>300</v>
      </c>
      <c r="B26" s="45" t="s">
        <v>301</v>
      </c>
      <c r="C26" s="45"/>
      <c r="D26" s="45"/>
      <c r="E26" s="17">
        <f>TRUNC(E23+E24+E25, 0)</f>
        <v>8580000</v>
      </c>
      <c r="F26" s="15" t="s">
        <v>52</v>
      </c>
      <c r="G26" s="15" t="s">
        <v>52</v>
      </c>
    </row>
    <row r="27" spans="1:7" ht="21.95" customHeight="1" x14ac:dyDescent="0.3">
      <c r="A27" s="1" t="s">
        <v>302</v>
      </c>
      <c r="B27" s="45" t="s">
        <v>303</v>
      </c>
      <c r="C27" s="45"/>
      <c r="D27" s="45"/>
      <c r="E27" s="17">
        <f>TRUNC(E26*0.1, 0)</f>
        <v>858000</v>
      </c>
      <c r="F27" s="15" t="s">
        <v>304</v>
      </c>
      <c r="G27" s="15" t="s">
        <v>52</v>
      </c>
    </row>
    <row r="28" spans="1:7" ht="21.95" customHeight="1" x14ac:dyDescent="0.3">
      <c r="A28" s="1" t="s">
        <v>305</v>
      </c>
      <c r="B28" s="45" t="s">
        <v>306</v>
      </c>
      <c r="C28" s="45"/>
      <c r="D28" s="45"/>
      <c r="E28" s="17">
        <f>TRUNC(E26+E27, 0)</f>
        <v>9438000</v>
      </c>
      <c r="F28" s="15" t="s">
        <v>52</v>
      </c>
      <c r="G28" s="15" t="s">
        <v>52</v>
      </c>
    </row>
    <row r="29" spans="1:7" ht="21.95" customHeight="1" x14ac:dyDescent="0.3">
      <c r="A29" s="1" t="s">
        <v>307</v>
      </c>
      <c r="B29" s="45" t="s">
        <v>308</v>
      </c>
      <c r="C29" s="45"/>
      <c r="D29" s="45"/>
      <c r="E29" s="17">
        <f>TRUNC(E28+0, 0)</f>
        <v>9438000</v>
      </c>
      <c r="F29" s="15" t="s">
        <v>52</v>
      </c>
      <c r="G29" s="15" t="s">
        <v>52</v>
      </c>
    </row>
  </sheetData>
  <mergeCells count="15">
    <mergeCell ref="B1:G1"/>
    <mergeCell ref="B2:E2"/>
    <mergeCell ref="F2:G2"/>
    <mergeCell ref="B3:D3"/>
    <mergeCell ref="B4:B22"/>
    <mergeCell ref="C4:C7"/>
    <mergeCell ref="C8:C10"/>
    <mergeCell ref="C11:C22"/>
    <mergeCell ref="B29:D29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workbookViewId="0">
      <selection activeCell="A6" sqref="A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396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53" t="s">
        <v>2</v>
      </c>
      <c r="B3" s="53" t="s">
        <v>3</v>
      </c>
      <c r="C3" s="53" t="s">
        <v>4</v>
      </c>
      <c r="D3" s="53" t="s">
        <v>5</v>
      </c>
      <c r="E3" s="53" t="s">
        <v>6</v>
      </c>
      <c r="F3" s="53"/>
      <c r="G3" s="53" t="s">
        <v>9</v>
      </c>
      <c r="H3" s="53"/>
      <c r="I3" s="53" t="s">
        <v>10</v>
      </c>
      <c r="J3" s="53"/>
      <c r="K3" s="53" t="s">
        <v>11</v>
      </c>
      <c r="L3" s="53"/>
      <c r="M3" s="53" t="s">
        <v>12</v>
      </c>
      <c r="N3" s="52" t="s">
        <v>13</v>
      </c>
      <c r="O3" s="52" t="s">
        <v>14</v>
      </c>
      <c r="P3" s="52" t="s">
        <v>15</v>
      </c>
      <c r="Q3" s="52" t="s">
        <v>16</v>
      </c>
      <c r="R3" s="52" t="s">
        <v>17</v>
      </c>
      <c r="S3" s="52" t="s">
        <v>18</v>
      </c>
      <c r="T3" s="52" t="s">
        <v>19</v>
      </c>
    </row>
    <row r="4" spans="1:20" ht="30" customHeight="1" x14ac:dyDescent="0.3">
      <c r="A4" s="54"/>
      <c r="B4" s="54"/>
      <c r="C4" s="54"/>
      <c r="D4" s="54"/>
      <c r="E4" s="14" t="s">
        <v>7</v>
      </c>
      <c r="F4" s="14" t="s">
        <v>8</v>
      </c>
      <c r="G4" s="14" t="s">
        <v>7</v>
      </c>
      <c r="H4" s="14" t="s">
        <v>8</v>
      </c>
      <c r="I4" s="14" t="s">
        <v>7</v>
      </c>
      <c r="J4" s="14" t="s">
        <v>8</v>
      </c>
      <c r="K4" s="14" t="s">
        <v>7</v>
      </c>
      <c r="L4" s="14" t="s">
        <v>8</v>
      </c>
      <c r="M4" s="54"/>
      <c r="N4" s="52"/>
      <c r="O4" s="52"/>
      <c r="P4" s="52"/>
      <c r="Q4" s="52"/>
      <c r="R4" s="52"/>
      <c r="S4" s="52"/>
      <c r="T4" s="52"/>
    </row>
    <row r="5" spans="1:20" ht="30" customHeight="1" x14ac:dyDescent="0.3">
      <c r="A5" s="15" t="s">
        <v>397</v>
      </c>
      <c r="B5" s="15" t="s">
        <v>52</v>
      </c>
      <c r="C5" s="15" t="s">
        <v>52</v>
      </c>
      <c r="D5" s="16">
        <v>1</v>
      </c>
      <c r="E5" s="17">
        <f>공종별내역서!F27</f>
        <v>5826165</v>
      </c>
      <c r="F5" s="17">
        <f>E5*D5</f>
        <v>5826165</v>
      </c>
      <c r="G5" s="17">
        <f>공종별내역서!H27</f>
        <v>994117</v>
      </c>
      <c r="H5" s="17">
        <f>G5*D5</f>
        <v>994117</v>
      </c>
      <c r="I5" s="17">
        <f>공종별내역서!J27</f>
        <v>110984</v>
      </c>
      <c r="J5" s="17">
        <f>I5*D5</f>
        <v>110984</v>
      </c>
      <c r="K5" s="17">
        <f>E5+G5+I5</f>
        <v>6931266</v>
      </c>
      <c r="L5" s="17">
        <f>F5+H5+J5</f>
        <v>6931266</v>
      </c>
      <c r="M5" s="15" t="s">
        <v>52</v>
      </c>
      <c r="N5" s="2" t="s">
        <v>51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3"/>
    </row>
    <row r="6" spans="1:20" ht="30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T6" s="12"/>
    </row>
    <row r="7" spans="1:20" ht="30" customHeight="1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T7" s="12"/>
    </row>
    <row r="8" spans="1:20" ht="30" customHeight="1" x14ac:dyDescent="0.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T8" s="12"/>
    </row>
    <row r="9" spans="1:20" ht="30" customHeight="1" x14ac:dyDescent="0.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T9" s="12"/>
    </row>
    <row r="10" spans="1:20" ht="30" customHeight="1" x14ac:dyDescent="0.3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T10" s="12"/>
    </row>
    <row r="11" spans="1:20" ht="30" customHeight="1" x14ac:dyDescent="0.3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T11" s="12"/>
    </row>
    <row r="12" spans="1:20" ht="30" customHeight="1" x14ac:dyDescent="0.3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T12" s="12"/>
    </row>
    <row r="13" spans="1:20" ht="30" customHeight="1" x14ac:dyDescent="0.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T13" s="12"/>
    </row>
    <row r="14" spans="1:20" ht="30" customHeight="1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T14" s="12"/>
    </row>
    <row r="15" spans="1:20" ht="30" customHeight="1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T15" s="12"/>
    </row>
    <row r="16" spans="1:20" ht="30" customHeight="1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T16" s="12"/>
    </row>
    <row r="17" spans="1:20" ht="30" customHeight="1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T17" s="12"/>
    </row>
    <row r="18" spans="1:20" ht="30" customHeight="1" x14ac:dyDescent="0.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T18" s="12"/>
    </row>
    <row r="19" spans="1:20" ht="30" customHeight="1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T19" s="12"/>
    </row>
    <row r="20" spans="1:20" ht="30" customHeight="1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T20" s="12"/>
    </row>
    <row r="21" spans="1:20" ht="30" customHeight="1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T21" s="12"/>
    </row>
    <row r="22" spans="1:20" ht="30" customHeight="1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T22" s="12"/>
    </row>
    <row r="23" spans="1:20" ht="30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T23" s="12"/>
    </row>
    <row r="24" spans="1:20" ht="30" customHeight="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T24" s="12"/>
    </row>
    <row r="25" spans="1:20" ht="30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T25" s="12"/>
    </row>
    <row r="26" spans="1:20" ht="30" customHeight="1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T26" s="12"/>
    </row>
    <row r="27" spans="1:20" ht="30" customHeight="1" x14ac:dyDescent="0.3">
      <c r="A27" s="15" t="s">
        <v>97</v>
      </c>
      <c r="B27" s="16"/>
      <c r="C27" s="16"/>
      <c r="D27" s="16"/>
      <c r="E27" s="16"/>
      <c r="F27" s="17">
        <f>F5</f>
        <v>5826165</v>
      </c>
      <c r="G27" s="16"/>
      <c r="H27" s="17">
        <f>H5</f>
        <v>994117</v>
      </c>
      <c r="I27" s="16"/>
      <c r="J27" s="17">
        <f>J5</f>
        <v>110984</v>
      </c>
      <c r="K27" s="16"/>
      <c r="L27" s="17">
        <f>L5</f>
        <v>6931266</v>
      </c>
      <c r="M27" s="16"/>
      <c r="T27" s="1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7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G23" sqref="G2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customWidth="1"/>
    <col min="44" max="44" width="10.625" customWidth="1"/>
    <col min="45" max="46" width="1.625" customWidth="1"/>
    <col min="47" max="47" width="24.625" customWidth="1"/>
    <col min="48" max="48" width="10.625" customWidth="1"/>
  </cols>
  <sheetData>
    <row r="1" spans="1:48" ht="30" customHeight="1" x14ac:dyDescent="0.3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53" t="s">
        <v>2</v>
      </c>
      <c r="B2" s="53" t="s">
        <v>3</v>
      </c>
      <c r="C2" s="53" t="s">
        <v>4</v>
      </c>
      <c r="D2" s="53" t="s">
        <v>5</v>
      </c>
      <c r="E2" s="53" t="s">
        <v>6</v>
      </c>
      <c r="F2" s="53"/>
      <c r="G2" s="53" t="s">
        <v>9</v>
      </c>
      <c r="H2" s="53"/>
      <c r="I2" s="53" t="s">
        <v>10</v>
      </c>
      <c r="J2" s="53"/>
      <c r="K2" s="53" t="s">
        <v>11</v>
      </c>
      <c r="L2" s="53"/>
      <c r="M2" s="53" t="s">
        <v>12</v>
      </c>
      <c r="N2" s="52" t="s">
        <v>20</v>
      </c>
      <c r="O2" s="52" t="s">
        <v>14</v>
      </c>
      <c r="P2" s="52" t="s">
        <v>21</v>
      </c>
      <c r="Q2" s="52" t="s">
        <v>13</v>
      </c>
      <c r="R2" s="52" t="s">
        <v>22</v>
      </c>
      <c r="S2" s="52" t="s">
        <v>23</v>
      </c>
      <c r="T2" s="52" t="s">
        <v>24</v>
      </c>
      <c r="U2" s="52" t="s">
        <v>25</v>
      </c>
      <c r="V2" s="52" t="s">
        <v>26</v>
      </c>
      <c r="W2" s="52" t="s">
        <v>27</v>
      </c>
      <c r="X2" s="52" t="s">
        <v>28</v>
      </c>
      <c r="Y2" s="52" t="s">
        <v>29</v>
      </c>
      <c r="Z2" s="52" t="s">
        <v>30</v>
      </c>
      <c r="AA2" s="52" t="s">
        <v>31</v>
      </c>
      <c r="AB2" s="52" t="s">
        <v>32</v>
      </c>
      <c r="AC2" s="52" t="s">
        <v>33</v>
      </c>
      <c r="AD2" s="52" t="s">
        <v>34</v>
      </c>
      <c r="AE2" s="52" t="s">
        <v>35</v>
      </c>
      <c r="AF2" s="52" t="s">
        <v>36</v>
      </c>
      <c r="AG2" s="52" t="s">
        <v>37</v>
      </c>
      <c r="AH2" s="52" t="s">
        <v>38</v>
      </c>
      <c r="AI2" s="52" t="s">
        <v>39</v>
      </c>
      <c r="AJ2" s="52" t="s">
        <v>40</v>
      </c>
      <c r="AK2" s="52" t="s">
        <v>41</v>
      </c>
      <c r="AL2" s="52" t="s">
        <v>42</v>
      </c>
      <c r="AM2" s="52" t="s">
        <v>43</v>
      </c>
      <c r="AN2" s="52" t="s">
        <v>44</v>
      </c>
      <c r="AO2" s="52" t="s">
        <v>45</v>
      </c>
      <c r="AP2" s="52" t="s">
        <v>46</v>
      </c>
      <c r="AQ2" s="52" t="s">
        <v>47</v>
      </c>
      <c r="AR2" s="52" t="s">
        <v>48</v>
      </c>
      <c r="AS2" s="52" t="s">
        <v>16</v>
      </c>
      <c r="AT2" s="52" t="s">
        <v>17</v>
      </c>
      <c r="AU2" s="52" t="s">
        <v>49</v>
      </c>
      <c r="AV2" s="52" t="s">
        <v>50</v>
      </c>
    </row>
    <row r="3" spans="1:48" ht="30" customHeight="1" x14ac:dyDescent="0.3">
      <c r="A3" s="53"/>
      <c r="B3" s="53"/>
      <c r="C3" s="53"/>
      <c r="D3" s="53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53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</row>
    <row r="4" spans="1:48" ht="30" customHeight="1" x14ac:dyDescent="0.3">
      <c r="A4" s="18" t="s">
        <v>397</v>
      </c>
      <c r="B4" s="18" t="s">
        <v>52</v>
      </c>
      <c r="C4" s="19"/>
      <c r="D4" s="19"/>
      <c r="E4" s="20"/>
      <c r="F4" s="20"/>
      <c r="G4" s="20"/>
      <c r="H4" s="20"/>
      <c r="I4" s="20"/>
      <c r="J4" s="20"/>
      <c r="K4" s="20"/>
      <c r="L4" s="20"/>
      <c r="M4" s="19"/>
      <c r="N4" s="11"/>
      <c r="O4" s="11"/>
      <c r="P4" s="11"/>
      <c r="Q4" s="10" t="s">
        <v>51</v>
      </c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</row>
    <row r="5" spans="1:48" ht="30" customHeight="1" x14ac:dyDescent="0.3">
      <c r="A5" s="15" t="s">
        <v>53</v>
      </c>
      <c r="B5" s="15" t="s">
        <v>54</v>
      </c>
      <c r="C5" s="15" t="s">
        <v>55</v>
      </c>
      <c r="D5" s="16">
        <v>1</v>
      </c>
      <c r="E5" s="17">
        <f>TRUNC(일위대가목록!E4,0)</f>
        <v>5609768</v>
      </c>
      <c r="F5" s="17">
        <f t="shared" ref="F5:F15" si="0">TRUNC(E5*D5, 0)</f>
        <v>5609768</v>
      </c>
      <c r="G5" s="17">
        <f>TRUNC(일위대가목록!F4,0)</f>
        <v>288420</v>
      </c>
      <c r="H5" s="17">
        <f t="shared" ref="H5:H15" si="1">TRUNC(G5*D5, 0)</f>
        <v>288420</v>
      </c>
      <c r="I5" s="17">
        <f>TRUNC(일위대가목록!G4,0)</f>
        <v>0</v>
      </c>
      <c r="J5" s="17">
        <f t="shared" ref="J5:J15" si="2">TRUNC(I5*D5, 0)</f>
        <v>0</v>
      </c>
      <c r="K5" s="17">
        <f t="shared" ref="K5:K15" si="3">TRUNC(E5+G5+I5, 0)</f>
        <v>5898188</v>
      </c>
      <c r="L5" s="17">
        <f t="shared" ref="L5:L15" si="4">TRUNC(F5+H5+J5, 0)</f>
        <v>5898188</v>
      </c>
      <c r="M5" s="15" t="s">
        <v>56</v>
      </c>
      <c r="N5" s="2" t="s">
        <v>57</v>
      </c>
      <c r="O5" s="2" t="s">
        <v>52</v>
      </c>
      <c r="P5" s="2" t="s">
        <v>52</v>
      </c>
      <c r="Q5" s="2" t="s">
        <v>51</v>
      </c>
      <c r="R5" s="2" t="s">
        <v>58</v>
      </c>
      <c r="S5" s="2" t="s">
        <v>59</v>
      </c>
      <c r="T5" s="2" t="s">
        <v>59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60</v>
      </c>
      <c r="AV5" s="3">
        <v>2</v>
      </c>
    </row>
    <row r="6" spans="1:48" ht="30" customHeight="1" x14ac:dyDescent="0.3">
      <c r="A6" s="15" t="s">
        <v>61</v>
      </c>
      <c r="B6" s="15" t="s">
        <v>54</v>
      </c>
      <c r="C6" s="15" t="s">
        <v>55</v>
      </c>
      <c r="D6" s="16">
        <v>1</v>
      </c>
      <c r="E6" s="17">
        <f>TRUNC(일위대가목록!E5,0)</f>
        <v>2885</v>
      </c>
      <c r="F6" s="17">
        <f t="shared" si="0"/>
        <v>2885</v>
      </c>
      <c r="G6" s="17">
        <f>TRUNC(일위대가목록!F5,0)</f>
        <v>144296</v>
      </c>
      <c r="H6" s="17">
        <f t="shared" si="1"/>
        <v>144296</v>
      </c>
      <c r="I6" s="17">
        <f>TRUNC(일위대가목록!G5,0)</f>
        <v>0</v>
      </c>
      <c r="J6" s="17">
        <f t="shared" si="2"/>
        <v>0</v>
      </c>
      <c r="K6" s="17">
        <f t="shared" si="3"/>
        <v>147181</v>
      </c>
      <c r="L6" s="17">
        <f t="shared" si="4"/>
        <v>147181</v>
      </c>
      <c r="M6" s="15" t="s">
        <v>62</v>
      </c>
      <c r="N6" s="2" t="s">
        <v>63</v>
      </c>
      <c r="O6" s="2" t="s">
        <v>52</v>
      </c>
      <c r="P6" s="2" t="s">
        <v>52</v>
      </c>
      <c r="Q6" s="2" t="s">
        <v>51</v>
      </c>
      <c r="R6" s="2" t="s">
        <v>58</v>
      </c>
      <c r="S6" s="2" t="s">
        <v>59</v>
      </c>
      <c r="T6" s="2" t="s">
        <v>59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64</v>
      </c>
      <c r="AV6" s="3">
        <v>3</v>
      </c>
    </row>
    <row r="7" spans="1:48" ht="30" customHeight="1" x14ac:dyDescent="0.3">
      <c r="A7" s="15" t="s">
        <v>65</v>
      </c>
      <c r="B7" s="15" t="s">
        <v>66</v>
      </c>
      <c r="C7" s="15" t="s">
        <v>67</v>
      </c>
      <c r="D7" s="16">
        <v>2</v>
      </c>
      <c r="E7" s="17">
        <f>TRUNC(일위대가목록!E6,0)</f>
        <v>25597</v>
      </c>
      <c r="F7" s="17">
        <f t="shared" si="0"/>
        <v>51194</v>
      </c>
      <c r="G7" s="17">
        <f>TRUNC(일위대가목록!F6,0)</f>
        <v>18592</v>
      </c>
      <c r="H7" s="17">
        <f t="shared" si="1"/>
        <v>37184</v>
      </c>
      <c r="I7" s="17">
        <f>TRUNC(일위대가목록!G6,0)</f>
        <v>0</v>
      </c>
      <c r="J7" s="17">
        <f t="shared" si="2"/>
        <v>0</v>
      </c>
      <c r="K7" s="17">
        <f t="shared" si="3"/>
        <v>44189</v>
      </c>
      <c r="L7" s="17">
        <f t="shared" si="4"/>
        <v>88378</v>
      </c>
      <c r="M7" s="15" t="s">
        <v>68</v>
      </c>
      <c r="N7" s="2" t="s">
        <v>69</v>
      </c>
      <c r="O7" s="2" t="s">
        <v>52</v>
      </c>
      <c r="P7" s="2" t="s">
        <v>52</v>
      </c>
      <c r="Q7" s="2" t="s">
        <v>51</v>
      </c>
      <c r="R7" s="2" t="s">
        <v>58</v>
      </c>
      <c r="S7" s="2" t="s">
        <v>59</v>
      </c>
      <c r="T7" s="2" t="s">
        <v>59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70</v>
      </c>
      <c r="AV7" s="3">
        <v>6</v>
      </c>
    </row>
    <row r="8" spans="1:48" ht="30" customHeight="1" x14ac:dyDescent="0.3">
      <c r="A8" s="15" t="s">
        <v>71</v>
      </c>
      <c r="B8" s="15" t="s">
        <v>66</v>
      </c>
      <c r="C8" s="15" t="s">
        <v>67</v>
      </c>
      <c r="D8" s="16">
        <v>2</v>
      </c>
      <c r="E8" s="17">
        <f>TRUNC(일위대가목록!E7,0)</f>
        <v>185</v>
      </c>
      <c r="F8" s="17">
        <f t="shared" si="0"/>
        <v>370</v>
      </c>
      <c r="G8" s="17">
        <f>TRUNC(일위대가목록!F7,0)</f>
        <v>9296</v>
      </c>
      <c r="H8" s="17">
        <f t="shared" si="1"/>
        <v>18592</v>
      </c>
      <c r="I8" s="17">
        <f>TRUNC(일위대가목록!G7,0)</f>
        <v>0</v>
      </c>
      <c r="J8" s="17">
        <f t="shared" si="2"/>
        <v>0</v>
      </c>
      <c r="K8" s="17">
        <f t="shared" si="3"/>
        <v>9481</v>
      </c>
      <c r="L8" s="17">
        <f t="shared" si="4"/>
        <v>18962</v>
      </c>
      <c r="M8" s="15" t="s">
        <v>72</v>
      </c>
      <c r="N8" s="2" t="s">
        <v>73</v>
      </c>
      <c r="O8" s="2" t="s">
        <v>52</v>
      </c>
      <c r="P8" s="2" t="s">
        <v>52</v>
      </c>
      <c r="Q8" s="2" t="s">
        <v>51</v>
      </c>
      <c r="R8" s="2" t="s">
        <v>58</v>
      </c>
      <c r="S8" s="2" t="s">
        <v>59</v>
      </c>
      <c r="T8" s="2" t="s">
        <v>59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74</v>
      </c>
      <c r="AV8" s="3">
        <v>7</v>
      </c>
    </row>
    <row r="9" spans="1:48" ht="30" customHeight="1" x14ac:dyDescent="0.3">
      <c r="A9" s="15" t="s">
        <v>75</v>
      </c>
      <c r="B9" s="15" t="s">
        <v>76</v>
      </c>
      <c r="C9" s="15" t="s">
        <v>55</v>
      </c>
      <c r="D9" s="16">
        <v>2</v>
      </c>
      <c r="E9" s="17">
        <f>TRUNC(단가대비표!O10,0)</f>
        <v>6782</v>
      </c>
      <c r="F9" s="17">
        <f t="shared" si="0"/>
        <v>13564</v>
      </c>
      <c r="G9" s="17">
        <f>TRUNC(단가대비표!P10,0)</f>
        <v>0</v>
      </c>
      <c r="H9" s="17">
        <f t="shared" si="1"/>
        <v>0</v>
      </c>
      <c r="I9" s="17">
        <f>TRUNC(단가대비표!V10,0)</f>
        <v>0</v>
      </c>
      <c r="J9" s="17">
        <f t="shared" si="2"/>
        <v>0</v>
      </c>
      <c r="K9" s="17">
        <f t="shared" si="3"/>
        <v>6782</v>
      </c>
      <c r="L9" s="17">
        <f t="shared" si="4"/>
        <v>13564</v>
      </c>
      <c r="M9" s="15" t="s">
        <v>52</v>
      </c>
      <c r="N9" s="2" t="s">
        <v>77</v>
      </c>
      <c r="O9" s="2" t="s">
        <v>52</v>
      </c>
      <c r="P9" s="2" t="s">
        <v>52</v>
      </c>
      <c r="Q9" s="2" t="s">
        <v>51</v>
      </c>
      <c r="R9" s="2" t="s">
        <v>59</v>
      </c>
      <c r="S9" s="2" t="s">
        <v>59</v>
      </c>
      <c r="T9" s="2" t="s">
        <v>58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78</v>
      </c>
      <c r="AV9" s="3">
        <v>4</v>
      </c>
    </row>
    <row r="10" spans="1:48" ht="30" customHeight="1" x14ac:dyDescent="0.3">
      <c r="A10" s="15" t="s">
        <v>79</v>
      </c>
      <c r="B10" s="15" t="s">
        <v>80</v>
      </c>
      <c r="C10" s="15" t="s">
        <v>55</v>
      </c>
      <c r="D10" s="16">
        <v>36</v>
      </c>
      <c r="E10" s="17">
        <f>TRUNC(단가대비표!O8,0)</f>
        <v>245</v>
      </c>
      <c r="F10" s="17">
        <f t="shared" si="0"/>
        <v>8820</v>
      </c>
      <c r="G10" s="17">
        <f>TRUNC(단가대비표!P8,0)</f>
        <v>0</v>
      </c>
      <c r="H10" s="17">
        <f t="shared" si="1"/>
        <v>0</v>
      </c>
      <c r="I10" s="17">
        <f>TRUNC(단가대비표!V8,0)</f>
        <v>0</v>
      </c>
      <c r="J10" s="17">
        <f t="shared" si="2"/>
        <v>0</v>
      </c>
      <c r="K10" s="17">
        <f t="shared" si="3"/>
        <v>245</v>
      </c>
      <c r="L10" s="17">
        <f t="shared" si="4"/>
        <v>8820</v>
      </c>
      <c r="M10" s="15" t="s">
        <v>52</v>
      </c>
      <c r="N10" s="2" t="s">
        <v>81</v>
      </c>
      <c r="O10" s="2" t="s">
        <v>52</v>
      </c>
      <c r="P10" s="2" t="s">
        <v>52</v>
      </c>
      <c r="Q10" s="2" t="s">
        <v>51</v>
      </c>
      <c r="R10" s="2" t="s">
        <v>59</v>
      </c>
      <c r="S10" s="2" t="s">
        <v>59</v>
      </c>
      <c r="T10" s="2" t="s">
        <v>58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82</v>
      </c>
      <c r="AV10" s="3">
        <v>9</v>
      </c>
    </row>
    <row r="11" spans="1:48" ht="30" customHeight="1" x14ac:dyDescent="0.3">
      <c r="A11" s="15" t="s">
        <v>83</v>
      </c>
      <c r="B11" s="15" t="s">
        <v>84</v>
      </c>
      <c r="C11" s="15" t="s">
        <v>55</v>
      </c>
      <c r="D11" s="16">
        <v>36</v>
      </c>
      <c r="E11" s="17">
        <f>TRUNC(단가대비표!O7,0)</f>
        <v>1508</v>
      </c>
      <c r="F11" s="17">
        <f t="shared" si="0"/>
        <v>54288</v>
      </c>
      <c r="G11" s="17">
        <f>TRUNC(단가대비표!P7,0)</f>
        <v>0</v>
      </c>
      <c r="H11" s="17">
        <f t="shared" si="1"/>
        <v>0</v>
      </c>
      <c r="I11" s="17">
        <f>TRUNC(단가대비표!V7,0)</f>
        <v>0</v>
      </c>
      <c r="J11" s="17">
        <f t="shared" si="2"/>
        <v>0</v>
      </c>
      <c r="K11" s="17">
        <f t="shared" si="3"/>
        <v>1508</v>
      </c>
      <c r="L11" s="17">
        <f t="shared" si="4"/>
        <v>54288</v>
      </c>
      <c r="M11" s="15" t="s">
        <v>52</v>
      </c>
      <c r="N11" s="2" t="s">
        <v>85</v>
      </c>
      <c r="O11" s="2" t="s">
        <v>52</v>
      </c>
      <c r="P11" s="2" t="s">
        <v>52</v>
      </c>
      <c r="Q11" s="2" t="s">
        <v>51</v>
      </c>
      <c r="R11" s="2" t="s">
        <v>59</v>
      </c>
      <c r="S11" s="2" t="s">
        <v>59</v>
      </c>
      <c r="T11" s="2" t="s">
        <v>58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86</v>
      </c>
      <c r="AV11" s="3">
        <v>8</v>
      </c>
    </row>
    <row r="12" spans="1:48" ht="30" customHeight="1" x14ac:dyDescent="0.3">
      <c r="A12" s="15" t="s">
        <v>87</v>
      </c>
      <c r="B12" s="15" t="s">
        <v>88</v>
      </c>
      <c r="C12" s="15" t="s">
        <v>89</v>
      </c>
      <c r="D12" s="16">
        <v>8</v>
      </c>
      <c r="E12" s="17">
        <f>TRUNC(일위대가목록!E8,0)</f>
        <v>10576</v>
      </c>
      <c r="F12" s="17">
        <f t="shared" si="0"/>
        <v>84608</v>
      </c>
      <c r="G12" s="17">
        <f>TRUNC(일위대가목록!F8,0)</f>
        <v>59020</v>
      </c>
      <c r="H12" s="17">
        <f t="shared" si="1"/>
        <v>472160</v>
      </c>
      <c r="I12" s="17">
        <f>TRUNC(일위대가목록!G8,0)</f>
        <v>13873</v>
      </c>
      <c r="J12" s="17">
        <f t="shared" si="2"/>
        <v>110984</v>
      </c>
      <c r="K12" s="17">
        <f t="shared" si="3"/>
        <v>83469</v>
      </c>
      <c r="L12" s="17">
        <f t="shared" si="4"/>
        <v>667752</v>
      </c>
      <c r="M12" s="15" t="s">
        <v>90</v>
      </c>
      <c r="N12" s="2" t="s">
        <v>91</v>
      </c>
      <c r="O12" s="2" t="s">
        <v>52</v>
      </c>
      <c r="P12" s="2" t="s">
        <v>52</v>
      </c>
      <c r="Q12" s="2" t="s">
        <v>51</v>
      </c>
      <c r="R12" s="2" t="s">
        <v>58</v>
      </c>
      <c r="S12" s="2" t="s">
        <v>59</v>
      </c>
      <c r="T12" s="2" t="s">
        <v>59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92</v>
      </c>
      <c r="AV12" s="3">
        <v>10</v>
      </c>
    </row>
    <row r="13" spans="1:48" ht="30" customHeight="1" x14ac:dyDescent="0.3">
      <c r="A13" s="23" t="s">
        <v>390</v>
      </c>
      <c r="B13" s="23" t="s">
        <v>391</v>
      </c>
      <c r="C13" s="23" t="s">
        <v>55</v>
      </c>
      <c r="D13" s="16">
        <v>1</v>
      </c>
      <c r="E13" s="17">
        <f>TRUNC(일위대가목록!E9,0)</f>
        <v>371</v>
      </c>
      <c r="F13" s="17">
        <f t="shared" ref="F13:F14" si="5">TRUNC(E13*D13, 0)</f>
        <v>371</v>
      </c>
      <c r="G13" s="17">
        <f>TRUNC(일위대가목록!F9,0)</f>
        <v>18592</v>
      </c>
      <c r="H13" s="17">
        <f t="shared" ref="H13:H14" si="6">TRUNC(G13*D13, 0)</f>
        <v>18592</v>
      </c>
      <c r="I13" s="17">
        <f>TRUNC(일위대가목록!G9,0)</f>
        <v>0</v>
      </c>
      <c r="J13" s="17">
        <f t="shared" ref="J13:J14" si="7">TRUNC(I13*D13, 0)</f>
        <v>0</v>
      </c>
      <c r="K13" s="17">
        <f t="shared" ref="K13:K14" si="8">TRUNC(E13+G13+I13, 0)</f>
        <v>18963</v>
      </c>
      <c r="L13" s="17">
        <f t="shared" ref="L13:L14" si="9">TRUNC(F13+H13+J13, 0)</f>
        <v>18963</v>
      </c>
      <c r="M13" s="15" t="s">
        <v>393</v>
      </c>
      <c r="N13" s="15" t="s">
        <v>90</v>
      </c>
      <c r="O13" s="2"/>
      <c r="P13" s="2"/>
      <c r="Q13" s="2" t="s">
        <v>51</v>
      </c>
      <c r="R13" s="2" t="s">
        <v>58</v>
      </c>
      <c r="S13" s="2" t="s">
        <v>59</v>
      </c>
      <c r="T13" s="2" t="s">
        <v>59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/>
      <c r="AS13" s="2"/>
      <c r="AT13" s="3"/>
      <c r="AU13" s="2"/>
      <c r="AV13" s="3"/>
    </row>
    <row r="14" spans="1:48" ht="30" customHeight="1" x14ac:dyDescent="0.3">
      <c r="A14" s="23" t="s">
        <v>392</v>
      </c>
      <c r="B14" s="23"/>
      <c r="C14" s="23" t="s">
        <v>55</v>
      </c>
      <c r="D14" s="16">
        <v>1</v>
      </c>
      <c r="E14" s="17">
        <f>TRUNC(일위대가목록!E10,0)</f>
        <v>297</v>
      </c>
      <c r="F14" s="17">
        <f t="shared" si="5"/>
        <v>297</v>
      </c>
      <c r="G14" s="17">
        <f>TRUNC(일위대가목록!F10,0)</f>
        <v>14873</v>
      </c>
      <c r="H14" s="17">
        <f t="shared" si="6"/>
        <v>14873</v>
      </c>
      <c r="I14" s="17">
        <f>TRUNC(일위대가목록!G10,0)</f>
        <v>0</v>
      </c>
      <c r="J14" s="17">
        <f t="shared" si="7"/>
        <v>0</v>
      </c>
      <c r="K14" s="17">
        <f t="shared" si="8"/>
        <v>15170</v>
      </c>
      <c r="L14" s="17">
        <f t="shared" si="9"/>
        <v>15170</v>
      </c>
      <c r="M14" s="15" t="s">
        <v>394</v>
      </c>
      <c r="N14" s="2"/>
      <c r="O14" s="2"/>
      <c r="P14" s="2"/>
      <c r="Q14" s="2" t="s">
        <v>51</v>
      </c>
      <c r="R14" s="2" t="s">
        <v>58</v>
      </c>
      <c r="S14" s="2" t="s">
        <v>59</v>
      </c>
      <c r="T14" s="2" t="s">
        <v>59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/>
      <c r="AS14" s="2"/>
      <c r="AT14" s="3"/>
      <c r="AU14" s="2"/>
      <c r="AV14" s="3"/>
    </row>
    <row r="15" spans="1:48" ht="30" customHeight="1" x14ac:dyDescent="0.3">
      <c r="A15" s="15" t="s">
        <v>93</v>
      </c>
      <c r="B15" s="15" t="s">
        <v>52</v>
      </c>
      <c r="C15" s="15" t="s">
        <v>94</v>
      </c>
      <c r="D15" s="16">
        <v>280</v>
      </c>
      <c r="E15" s="17">
        <f>TRUNC(단가대비표!O9,0)</f>
        <v>409</v>
      </c>
      <c r="F15" s="17">
        <f t="shared" si="0"/>
        <v>114520</v>
      </c>
      <c r="G15" s="17">
        <f>TRUNC(단가대비표!P9,0)</f>
        <v>0</v>
      </c>
      <c r="H15" s="17">
        <f t="shared" si="1"/>
        <v>0</v>
      </c>
      <c r="I15" s="17">
        <f>TRUNC(단가대비표!V9,0)</f>
        <v>0</v>
      </c>
      <c r="J15" s="17">
        <f t="shared" si="2"/>
        <v>0</v>
      </c>
      <c r="K15" s="17">
        <f t="shared" si="3"/>
        <v>409</v>
      </c>
      <c r="L15" s="17">
        <f t="shared" si="4"/>
        <v>114520</v>
      </c>
      <c r="M15" s="15" t="s">
        <v>52</v>
      </c>
      <c r="N15" s="2" t="s">
        <v>95</v>
      </c>
      <c r="O15" s="2" t="s">
        <v>52</v>
      </c>
      <c r="P15" s="2" t="s">
        <v>52</v>
      </c>
      <c r="Q15" s="2" t="s">
        <v>51</v>
      </c>
      <c r="R15" s="2" t="s">
        <v>59</v>
      </c>
      <c r="S15" s="2" t="s">
        <v>59</v>
      </c>
      <c r="T15" s="2" t="s">
        <v>58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96</v>
      </c>
      <c r="AV15" s="3">
        <v>11</v>
      </c>
    </row>
    <row r="16" spans="1:48" ht="30" customHeight="1" x14ac:dyDescent="0.3">
      <c r="A16" s="16"/>
      <c r="B16" s="16"/>
      <c r="C16" s="16"/>
      <c r="D16" s="16"/>
      <c r="E16" s="17"/>
      <c r="F16" s="17"/>
      <c r="G16" s="17"/>
      <c r="H16" s="17"/>
      <c r="I16" s="17"/>
      <c r="J16" s="17"/>
      <c r="K16" s="17"/>
      <c r="L16" s="17"/>
      <c r="M16" s="16"/>
      <c r="Q16" s="1" t="s">
        <v>51</v>
      </c>
    </row>
    <row r="17" spans="1:17" ht="30" customHeight="1" x14ac:dyDescent="0.3">
      <c r="A17" s="16"/>
      <c r="B17" s="16"/>
      <c r="C17" s="16"/>
      <c r="D17" s="16"/>
      <c r="E17" s="17"/>
      <c r="F17" s="17"/>
      <c r="G17" s="17"/>
      <c r="H17" s="17"/>
      <c r="I17" s="17"/>
      <c r="J17" s="17"/>
      <c r="K17" s="17"/>
      <c r="L17" s="17"/>
      <c r="M17" s="16"/>
      <c r="Q17" s="1" t="s">
        <v>51</v>
      </c>
    </row>
    <row r="18" spans="1:17" ht="30" customHeight="1" x14ac:dyDescent="0.3">
      <c r="A18" s="16"/>
      <c r="B18" s="16"/>
      <c r="C18" s="16"/>
      <c r="D18" s="16"/>
      <c r="E18" s="17"/>
      <c r="F18" s="17"/>
      <c r="G18" s="17"/>
      <c r="H18" s="17"/>
      <c r="I18" s="17"/>
      <c r="J18" s="17"/>
      <c r="K18" s="17"/>
      <c r="L18" s="17"/>
      <c r="M18" s="16"/>
      <c r="Q18" s="1" t="s">
        <v>51</v>
      </c>
    </row>
    <row r="19" spans="1:17" ht="30" customHeight="1" x14ac:dyDescent="0.3">
      <c r="A19" s="16"/>
      <c r="B19" s="16"/>
      <c r="C19" s="16"/>
      <c r="D19" s="16"/>
      <c r="E19" s="17"/>
      <c r="F19" s="17"/>
      <c r="G19" s="17"/>
      <c r="H19" s="17"/>
      <c r="I19" s="17"/>
      <c r="J19" s="17"/>
      <c r="K19" s="17"/>
      <c r="L19" s="17"/>
      <c r="M19" s="16"/>
      <c r="Q19" s="1" t="s">
        <v>51</v>
      </c>
    </row>
    <row r="20" spans="1:17" ht="30" customHeight="1" x14ac:dyDescent="0.3">
      <c r="A20" s="16"/>
      <c r="B20" s="16"/>
      <c r="C20" s="16"/>
      <c r="D20" s="16"/>
      <c r="E20" s="17"/>
      <c r="F20" s="17"/>
      <c r="G20" s="17"/>
      <c r="H20" s="17"/>
      <c r="I20" s="17"/>
      <c r="J20" s="17"/>
      <c r="K20" s="17"/>
      <c r="L20" s="17"/>
      <c r="M20" s="16"/>
      <c r="Q20" s="1" t="s">
        <v>51</v>
      </c>
    </row>
    <row r="21" spans="1:17" ht="30" customHeight="1" x14ac:dyDescent="0.3">
      <c r="A21" s="16"/>
      <c r="B21" s="16"/>
      <c r="C21" s="16"/>
      <c r="D21" s="16"/>
      <c r="E21" s="17"/>
      <c r="F21" s="17"/>
      <c r="G21" s="17"/>
      <c r="H21" s="17"/>
      <c r="I21" s="17"/>
      <c r="J21" s="17"/>
      <c r="K21" s="17"/>
      <c r="L21" s="17"/>
      <c r="M21" s="16"/>
      <c r="Q21" s="1" t="s">
        <v>51</v>
      </c>
    </row>
    <row r="22" spans="1:17" ht="30" customHeight="1" x14ac:dyDescent="0.3">
      <c r="A22" s="16"/>
      <c r="B22" s="16"/>
      <c r="C22" s="16"/>
      <c r="D22" s="16"/>
      <c r="E22" s="17"/>
      <c r="F22" s="17"/>
      <c r="G22" s="17"/>
      <c r="H22" s="17"/>
      <c r="I22" s="17"/>
      <c r="J22" s="17"/>
      <c r="K22" s="17"/>
      <c r="L22" s="17"/>
      <c r="M22" s="16"/>
      <c r="Q22" s="1" t="s">
        <v>51</v>
      </c>
    </row>
    <row r="23" spans="1:17" ht="30" customHeight="1" x14ac:dyDescent="0.3">
      <c r="A23" s="16"/>
      <c r="B23" s="16"/>
      <c r="C23" s="16"/>
      <c r="D23" s="16"/>
      <c r="E23" s="17"/>
      <c r="F23" s="17"/>
      <c r="G23" s="17"/>
      <c r="H23" s="17"/>
      <c r="I23" s="17"/>
      <c r="J23" s="17"/>
      <c r="K23" s="17"/>
      <c r="L23" s="17"/>
      <c r="M23" s="16"/>
      <c r="Q23" s="1" t="s">
        <v>51</v>
      </c>
    </row>
    <row r="24" spans="1:17" ht="30" customHeight="1" x14ac:dyDescent="0.3">
      <c r="A24" s="16"/>
      <c r="B24" s="16"/>
      <c r="C24" s="16"/>
      <c r="D24" s="16"/>
      <c r="E24" s="17"/>
      <c r="F24" s="17"/>
      <c r="G24" s="17"/>
      <c r="H24" s="17"/>
      <c r="I24" s="17"/>
      <c r="J24" s="17"/>
      <c r="K24" s="17"/>
      <c r="L24" s="17"/>
      <c r="M24" s="16"/>
      <c r="Q24" s="1" t="s">
        <v>51</v>
      </c>
    </row>
    <row r="25" spans="1:17" ht="30" customHeight="1" x14ac:dyDescent="0.3">
      <c r="A25" s="16"/>
      <c r="B25" s="16"/>
      <c r="C25" s="16"/>
      <c r="D25" s="16"/>
      <c r="E25" s="17"/>
      <c r="F25" s="17"/>
      <c r="G25" s="17"/>
      <c r="H25" s="17"/>
      <c r="I25" s="17"/>
      <c r="J25" s="17"/>
      <c r="K25" s="17"/>
      <c r="L25" s="17"/>
      <c r="M25" s="16"/>
      <c r="Q25" s="1" t="s">
        <v>51</v>
      </c>
    </row>
    <row r="26" spans="1:17" ht="30" customHeight="1" x14ac:dyDescent="0.3">
      <c r="A26" s="16"/>
      <c r="B26" s="16"/>
      <c r="C26" s="16"/>
      <c r="D26" s="16"/>
      <c r="E26" s="17"/>
      <c r="F26" s="17"/>
      <c r="G26" s="17"/>
      <c r="H26" s="17"/>
      <c r="I26" s="17"/>
      <c r="J26" s="17"/>
      <c r="K26" s="17"/>
      <c r="L26" s="17"/>
      <c r="M26" s="16"/>
      <c r="Q26" s="1" t="s">
        <v>51</v>
      </c>
    </row>
    <row r="27" spans="1:17" ht="30" customHeight="1" x14ac:dyDescent="0.3">
      <c r="A27" s="15" t="s">
        <v>97</v>
      </c>
      <c r="B27" s="16"/>
      <c r="C27" s="16"/>
      <c r="D27" s="16"/>
      <c r="E27" s="17"/>
      <c r="F27" s="17">
        <f>SUMIF(Q5:Q14,"01",F5:F14)</f>
        <v>5826165</v>
      </c>
      <c r="G27" s="17"/>
      <c r="H27" s="17">
        <f>SUMIF(Q5:Q14,"01",H5:H14)</f>
        <v>994117</v>
      </c>
      <c r="I27" s="17"/>
      <c r="J27" s="17">
        <f>SUMIF(Q5:Q14,"01",J5:J14)</f>
        <v>110984</v>
      </c>
      <c r="K27" s="17"/>
      <c r="L27" s="17">
        <f>SUMIF(Q5:Q14,"01",L5:L14)</f>
        <v>6931266</v>
      </c>
      <c r="M27" s="16"/>
      <c r="N27" t="s">
        <v>98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topLeftCell="B1" workbookViewId="0">
      <selection activeCell="D19" sqref="D19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5"/>
      <c r="B1" s="4" t="s">
        <v>99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21"/>
      <c r="B2" s="22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9" t="s">
        <v>100</v>
      </c>
      <c r="B3" s="9" t="s">
        <v>2</v>
      </c>
      <c r="C3" s="9" t="s">
        <v>3</v>
      </c>
      <c r="D3" s="9" t="s">
        <v>4</v>
      </c>
      <c r="E3" s="9" t="s">
        <v>101</v>
      </c>
      <c r="F3" s="9" t="s">
        <v>102</v>
      </c>
      <c r="G3" s="9" t="s">
        <v>103</v>
      </c>
      <c r="H3" s="9" t="s">
        <v>104</v>
      </c>
      <c r="I3" s="9" t="s">
        <v>105</v>
      </c>
      <c r="J3" s="9" t="s">
        <v>106</v>
      </c>
      <c r="K3" s="9" t="s">
        <v>107</v>
      </c>
      <c r="L3" s="9" t="s">
        <v>108</v>
      </c>
      <c r="M3" s="9" t="s">
        <v>109</v>
      </c>
      <c r="N3" s="1" t="s">
        <v>110</v>
      </c>
    </row>
    <row r="4" spans="1:14" ht="30" customHeight="1" x14ac:dyDescent="0.3">
      <c r="A4" s="23" t="s">
        <v>57</v>
      </c>
      <c r="B4" s="23" t="s">
        <v>53</v>
      </c>
      <c r="C4" s="23" t="s">
        <v>54</v>
      </c>
      <c r="D4" s="23" t="s">
        <v>55</v>
      </c>
      <c r="E4" s="31">
        <f>일위대가!F9</f>
        <v>5609768</v>
      </c>
      <c r="F4" s="31">
        <f>일위대가!H9</f>
        <v>288420</v>
      </c>
      <c r="G4" s="31">
        <f>일위대가!J9</f>
        <v>0</v>
      </c>
      <c r="H4" s="31">
        <f t="shared" ref="H4:H10" si="0">E4+F4+G4</f>
        <v>5898188</v>
      </c>
      <c r="I4" s="23" t="s">
        <v>56</v>
      </c>
      <c r="J4" s="23" t="s">
        <v>52</v>
      </c>
      <c r="K4" s="23" t="s">
        <v>52</v>
      </c>
      <c r="L4" s="23" t="s">
        <v>52</v>
      </c>
      <c r="M4" s="23" t="s">
        <v>121</v>
      </c>
      <c r="N4" s="2" t="s">
        <v>52</v>
      </c>
    </row>
    <row r="5" spans="1:14" ht="30" customHeight="1" x14ac:dyDescent="0.3">
      <c r="A5" s="23" t="s">
        <v>63</v>
      </c>
      <c r="B5" s="23" t="s">
        <v>61</v>
      </c>
      <c r="C5" s="23" t="s">
        <v>54</v>
      </c>
      <c r="D5" s="23" t="s">
        <v>55</v>
      </c>
      <c r="E5" s="31">
        <f>일위대가!F15</f>
        <v>2885</v>
      </c>
      <c r="F5" s="31">
        <f>일위대가!H15</f>
        <v>144296</v>
      </c>
      <c r="G5" s="31">
        <f>일위대가!J15</f>
        <v>0</v>
      </c>
      <c r="H5" s="31">
        <f t="shared" si="0"/>
        <v>147181</v>
      </c>
      <c r="I5" s="23" t="s">
        <v>62</v>
      </c>
      <c r="J5" s="23" t="s">
        <v>52</v>
      </c>
      <c r="K5" s="23" t="s">
        <v>52</v>
      </c>
      <c r="L5" s="23" t="s">
        <v>52</v>
      </c>
      <c r="M5" s="23" t="s">
        <v>121</v>
      </c>
      <c r="N5" s="2" t="s">
        <v>52</v>
      </c>
    </row>
    <row r="6" spans="1:14" ht="30" customHeight="1" x14ac:dyDescent="0.3">
      <c r="A6" s="23" t="s">
        <v>69</v>
      </c>
      <c r="B6" s="23" t="s">
        <v>65</v>
      </c>
      <c r="C6" s="23" t="s">
        <v>66</v>
      </c>
      <c r="D6" s="23" t="s">
        <v>67</v>
      </c>
      <c r="E6" s="31">
        <f>일위대가!F25</f>
        <v>25597</v>
      </c>
      <c r="F6" s="31">
        <f>일위대가!H25</f>
        <v>18592</v>
      </c>
      <c r="G6" s="31">
        <f>일위대가!J25</f>
        <v>0</v>
      </c>
      <c r="H6" s="31">
        <f t="shared" si="0"/>
        <v>44189</v>
      </c>
      <c r="I6" s="23" t="s">
        <v>68</v>
      </c>
      <c r="J6" s="23" t="s">
        <v>52</v>
      </c>
      <c r="K6" s="23" t="s">
        <v>52</v>
      </c>
      <c r="L6" s="23" t="s">
        <v>52</v>
      </c>
      <c r="M6" s="23" t="s">
        <v>144</v>
      </c>
      <c r="N6" s="2" t="s">
        <v>52</v>
      </c>
    </row>
    <row r="7" spans="1:14" ht="30" customHeight="1" x14ac:dyDescent="0.3">
      <c r="A7" s="23" t="s">
        <v>73</v>
      </c>
      <c r="B7" s="23" t="s">
        <v>71</v>
      </c>
      <c r="C7" s="23" t="s">
        <v>66</v>
      </c>
      <c r="D7" s="23" t="s">
        <v>67</v>
      </c>
      <c r="E7" s="31">
        <f>일위대가!F30</f>
        <v>185</v>
      </c>
      <c r="F7" s="31">
        <f>일위대가!H30</f>
        <v>9296</v>
      </c>
      <c r="G7" s="31">
        <f>일위대가!J30</f>
        <v>0</v>
      </c>
      <c r="H7" s="31">
        <f t="shared" si="0"/>
        <v>9481</v>
      </c>
      <c r="I7" s="23" t="s">
        <v>72</v>
      </c>
      <c r="J7" s="23" t="s">
        <v>52</v>
      </c>
      <c r="K7" s="23" t="s">
        <v>52</v>
      </c>
      <c r="L7" s="23" t="s">
        <v>52</v>
      </c>
      <c r="M7" s="23" t="s">
        <v>144</v>
      </c>
      <c r="N7" s="2" t="s">
        <v>52</v>
      </c>
    </row>
    <row r="8" spans="1:14" ht="30" customHeight="1" x14ac:dyDescent="0.3">
      <c r="A8" s="23" t="s">
        <v>91</v>
      </c>
      <c r="B8" s="23" t="s">
        <v>87</v>
      </c>
      <c r="C8" s="23" t="s">
        <v>88</v>
      </c>
      <c r="D8" s="23" t="s">
        <v>89</v>
      </c>
      <c r="E8" s="31">
        <f>일위대가!F37</f>
        <v>10576</v>
      </c>
      <c r="F8" s="31">
        <f>일위대가!H37</f>
        <v>59020</v>
      </c>
      <c r="G8" s="31">
        <f>일위대가!J37</f>
        <v>13873</v>
      </c>
      <c r="H8" s="31">
        <f t="shared" si="0"/>
        <v>83469</v>
      </c>
      <c r="I8" s="23" t="s">
        <v>90</v>
      </c>
      <c r="J8" s="23" t="s">
        <v>52</v>
      </c>
      <c r="K8" s="23" t="s">
        <v>171</v>
      </c>
      <c r="L8" s="23" t="s">
        <v>52</v>
      </c>
      <c r="M8" s="23" t="s">
        <v>172</v>
      </c>
      <c r="N8" s="2" t="s">
        <v>58</v>
      </c>
    </row>
    <row r="9" spans="1:14" ht="30" customHeight="1" x14ac:dyDescent="0.3">
      <c r="A9" s="23" t="s">
        <v>91</v>
      </c>
      <c r="B9" s="23" t="s">
        <v>390</v>
      </c>
      <c r="C9" s="23" t="s">
        <v>391</v>
      </c>
      <c r="D9" s="23" t="s">
        <v>55</v>
      </c>
      <c r="E9" s="31">
        <f>일위대가!F43</f>
        <v>371</v>
      </c>
      <c r="F9" s="31">
        <f>일위대가!H43</f>
        <v>18592</v>
      </c>
      <c r="G9" s="31">
        <f>일위대가!J43</f>
        <v>0</v>
      </c>
      <c r="H9" s="31">
        <f t="shared" si="0"/>
        <v>18963</v>
      </c>
      <c r="I9" s="23" t="s">
        <v>393</v>
      </c>
      <c r="J9" s="23" t="s">
        <v>52</v>
      </c>
      <c r="K9" s="23" t="s">
        <v>171</v>
      </c>
      <c r="L9" s="23" t="s">
        <v>52</v>
      </c>
      <c r="M9" s="23" t="s">
        <v>121</v>
      </c>
      <c r="N9" s="2" t="s">
        <v>58</v>
      </c>
    </row>
    <row r="10" spans="1:14" ht="30" customHeight="1" x14ac:dyDescent="0.3">
      <c r="A10" s="23" t="s">
        <v>91</v>
      </c>
      <c r="B10" s="23" t="s">
        <v>392</v>
      </c>
      <c r="C10" s="23"/>
      <c r="D10" s="23" t="s">
        <v>55</v>
      </c>
      <c r="E10" s="31">
        <f>일위대가!F48</f>
        <v>297</v>
      </c>
      <c r="F10" s="31">
        <f>일위대가!H48</f>
        <v>14873</v>
      </c>
      <c r="G10" s="31">
        <f>일위대가!J48</f>
        <v>0</v>
      </c>
      <c r="H10" s="31">
        <f t="shared" si="0"/>
        <v>15170</v>
      </c>
      <c r="I10" s="23" t="s">
        <v>394</v>
      </c>
      <c r="J10" s="23" t="s">
        <v>52</v>
      </c>
      <c r="K10" s="23" t="s">
        <v>171</v>
      </c>
      <c r="L10" s="23" t="s">
        <v>52</v>
      </c>
      <c r="M10" s="23" t="s">
        <v>121</v>
      </c>
      <c r="N10" s="2" t="s">
        <v>58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48"/>
  <sheetViews>
    <sheetView workbookViewId="0">
      <selection activeCell="B54" sqref="B5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53" t="s">
        <v>2</v>
      </c>
      <c r="B2" s="53" t="s">
        <v>3</v>
      </c>
      <c r="C2" s="53" t="s">
        <v>4</v>
      </c>
      <c r="D2" s="53" t="s">
        <v>5</v>
      </c>
      <c r="E2" s="53" t="s">
        <v>6</v>
      </c>
      <c r="F2" s="53"/>
      <c r="G2" s="53" t="s">
        <v>9</v>
      </c>
      <c r="H2" s="53"/>
      <c r="I2" s="53" t="s">
        <v>10</v>
      </c>
      <c r="J2" s="53"/>
      <c r="K2" s="53" t="s">
        <v>11</v>
      </c>
      <c r="L2" s="53"/>
      <c r="M2" s="53" t="s">
        <v>12</v>
      </c>
      <c r="N2" s="52" t="s">
        <v>111</v>
      </c>
      <c r="O2" s="52" t="s">
        <v>20</v>
      </c>
      <c r="P2" s="52" t="s">
        <v>22</v>
      </c>
      <c r="Q2" s="52" t="s">
        <v>23</v>
      </c>
      <c r="R2" s="52" t="s">
        <v>24</v>
      </c>
      <c r="S2" s="52" t="s">
        <v>25</v>
      </c>
      <c r="T2" s="52" t="s">
        <v>26</v>
      </c>
      <c r="U2" s="52" t="s">
        <v>27</v>
      </c>
      <c r="V2" s="52" t="s">
        <v>28</v>
      </c>
      <c r="W2" s="52" t="s">
        <v>29</v>
      </c>
      <c r="X2" s="52" t="s">
        <v>30</v>
      </c>
      <c r="Y2" s="52" t="s">
        <v>31</v>
      </c>
      <c r="Z2" s="52" t="s">
        <v>32</v>
      </c>
      <c r="AA2" s="52" t="s">
        <v>33</v>
      </c>
      <c r="AB2" s="52" t="s">
        <v>34</v>
      </c>
      <c r="AC2" s="52" t="s">
        <v>35</v>
      </c>
      <c r="AD2" s="52" t="s">
        <v>36</v>
      </c>
      <c r="AE2" s="52" t="s">
        <v>37</v>
      </c>
      <c r="AF2" s="52" t="s">
        <v>38</v>
      </c>
      <c r="AG2" s="52" t="s">
        <v>39</v>
      </c>
      <c r="AH2" s="52" t="s">
        <v>40</v>
      </c>
      <c r="AI2" s="52" t="s">
        <v>41</v>
      </c>
      <c r="AJ2" s="52" t="s">
        <v>42</v>
      </c>
      <c r="AK2" s="52" t="s">
        <v>43</v>
      </c>
      <c r="AL2" s="52" t="s">
        <v>44</v>
      </c>
      <c r="AM2" s="52" t="s">
        <v>45</v>
      </c>
      <c r="AN2" s="52" t="s">
        <v>46</v>
      </c>
      <c r="AO2" s="52" t="s">
        <v>47</v>
      </c>
      <c r="AP2" s="52" t="s">
        <v>112</v>
      </c>
      <c r="AQ2" s="52" t="s">
        <v>113</v>
      </c>
      <c r="AR2" s="52" t="s">
        <v>114</v>
      </c>
      <c r="AS2" s="52" t="s">
        <v>115</v>
      </c>
      <c r="AT2" s="52" t="s">
        <v>116</v>
      </c>
      <c r="AU2" s="52" t="s">
        <v>117</v>
      </c>
      <c r="AV2" s="52" t="s">
        <v>48</v>
      </c>
      <c r="AW2" s="52" t="s">
        <v>118</v>
      </c>
      <c r="AX2" s="1" t="s">
        <v>110</v>
      </c>
      <c r="AY2" s="1" t="s">
        <v>21</v>
      </c>
      <c r="AZ2" s="1" t="s">
        <v>119</v>
      </c>
    </row>
    <row r="3" spans="1:52" ht="30" customHeight="1" x14ac:dyDescent="0.3">
      <c r="A3" s="53"/>
      <c r="B3" s="53"/>
      <c r="C3" s="53"/>
      <c r="D3" s="53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53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</row>
    <row r="4" spans="1:52" ht="30" customHeight="1" x14ac:dyDescent="0.3">
      <c r="A4" s="24" t="s">
        <v>120</v>
      </c>
      <c r="B4" s="25"/>
      <c r="C4" s="25"/>
      <c r="D4" s="25"/>
      <c r="E4" s="29"/>
      <c r="F4" s="32"/>
      <c r="G4" s="29"/>
      <c r="H4" s="32"/>
      <c r="I4" s="29"/>
      <c r="J4" s="32"/>
      <c r="K4" s="29"/>
      <c r="L4" s="32"/>
      <c r="M4" s="26"/>
      <c r="N4" s="1" t="s">
        <v>57</v>
      </c>
    </row>
    <row r="5" spans="1:52" ht="30" customHeight="1" x14ac:dyDescent="0.3">
      <c r="A5" s="27" t="s">
        <v>122</v>
      </c>
      <c r="B5" s="27" t="s">
        <v>123</v>
      </c>
      <c r="C5" s="27" t="s">
        <v>55</v>
      </c>
      <c r="D5" s="28">
        <v>1</v>
      </c>
      <c r="E5" s="30">
        <f>단가대비표!O11</f>
        <v>5604000</v>
      </c>
      <c r="F5" s="33">
        <f>TRUNC(E5*D5,1)</f>
        <v>5604000</v>
      </c>
      <c r="G5" s="30">
        <f>단가대비표!P11</f>
        <v>0</v>
      </c>
      <c r="H5" s="33">
        <f>TRUNC(G5*D5,1)</f>
        <v>0</v>
      </c>
      <c r="I5" s="30">
        <f>단가대비표!V11</f>
        <v>0</v>
      </c>
      <c r="J5" s="33">
        <f>TRUNC(I5*D5,1)</f>
        <v>0</v>
      </c>
      <c r="K5" s="30">
        <f t="shared" ref="K5:L8" si="0">TRUNC(E5+G5+I5,1)</f>
        <v>5604000</v>
      </c>
      <c r="L5" s="33">
        <f t="shared" si="0"/>
        <v>5604000</v>
      </c>
      <c r="M5" s="27" t="s">
        <v>52</v>
      </c>
      <c r="N5" s="2" t="s">
        <v>57</v>
      </c>
      <c r="O5" s="2" t="s">
        <v>124</v>
      </c>
      <c r="P5" s="2" t="s">
        <v>59</v>
      </c>
      <c r="Q5" s="2" t="s">
        <v>59</v>
      </c>
      <c r="R5" s="2" t="s">
        <v>58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125</v>
      </c>
      <c r="AX5" s="2" t="s">
        <v>52</v>
      </c>
      <c r="AY5" s="2" t="s">
        <v>52</v>
      </c>
      <c r="AZ5" s="2" t="s">
        <v>52</v>
      </c>
    </row>
    <row r="6" spans="1:52" ht="30" customHeight="1" x14ac:dyDescent="0.3">
      <c r="A6" s="27" t="s">
        <v>126</v>
      </c>
      <c r="B6" s="27" t="s">
        <v>127</v>
      </c>
      <c r="C6" s="27" t="s">
        <v>128</v>
      </c>
      <c r="D6" s="28">
        <f>공량산출근거서_일위대가!K8</f>
        <v>0.92400000000000004</v>
      </c>
      <c r="E6" s="30">
        <f>단가대비표!O18</f>
        <v>0</v>
      </c>
      <c r="F6" s="33">
        <f>TRUNC(E6*D6,1)</f>
        <v>0</v>
      </c>
      <c r="G6" s="30">
        <f>단가대비표!P18</f>
        <v>247897</v>
      </c>
      <c r="H6" s="33">
        <f>TRUNC(G6*D6,1)</f>
        <v>229056.8</v>
      </c>
      <c r="I6" s="30">
        <f>단가대비표!V18</f>
        <v>0</v>
      </c>
      <c r="J6" s="33">
        <f>TRUNC(I6*D6,1)</f>
        <v>0</v>
      </c>
      <c r="K6" s="30">
        <f t="shared" si="0"/>
        <v>247897</v>
      </c>
      <c r="L6" s="33">
        <f t="shared" si="0"/>
        <v>229056.8</v>
      </c>
      <c r="M6" s="42" t="s">
        <v>362</v>
      </c>
      <c r="N6" s="2" t="s">
        <v>57</v>
      </c>
      <c r="O6" s="2" t="s">
        <v>129</v>
      </c>
      <c r="P6" s="2" t="s">
        <v>59</v>
      </c>
      <c r="Q6" s="2" t="s">
        <v>59</v>
      </c>
      <c r="R6" s="2" t="s">
        <v>58</v>
      </c>
      <c r="S6" s="3"/>
      <c r="T6" s="3"/>
      <c r="U6" s="3"/>
      <c r="V6" s="3">
        <v>1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130</v>
      </c>
      <c r="AX6" s="2" t="s">
        <v>52</v>
      </c>
      <c r="AY6" s="2" t="s">
        <v>52</v>
      </c>
      <c r="AZ6" s="2" t="s">
        <v>52</v>
      </c>
    </row>
    <row r="7" spans="1:52" ht="30" customHeight="1" x14ac:dyDescent="0.3">
      <c r="A7" s="27" t="s">
        <v>131</v>
      </c>
      <c r="B7" s="27" t="s">
        <v>127</v>
      </c>
      <c r="C7" s="27" t="s">
        <v>128</v>
      </c>
      <c r="D7" s="28">
        <f>공량산출근거서_일위대가!K7</f>
        <v>0.34499999999999997</v>
      </c>
      <c r="E7" s="30">
        <f>단가대비표!O17</f>
        <v>0</v>
      </c>
      <c r="F7" s="33">
        <f>TRUNC(E7*D7,1)</f>
        <v>0</v>
      </c>
      <c r="G7" s="30">
        <f>단가대비표!P17</f>
        <v>172068</v>
      </c>
      <c r="H7" s="33">
        <f>TRUNC(G7*D7,1)</f>
        <v>59363.4</v>
      </c>
      <c r="I7" s="30">
        <f>단가대비표!V17</f>
        <v>0</v>
      </c>
      <c r="J7" s="33">
        <f>TRUNC(I7*D7,1)</f>
        <v>0</v>
      </c>
      <c r="K7" s="30">
        <f t="shared" si="0"/>
        <v>172068</v>
      </c>
      <c r="L7" s="33">
        <f t="shared" si="0"/>
        <v>59363.4</v>
      </c>
      <c r="M7" s="42" t="s">
        <v>362</v>
      </c>
      <c r="N7" s="2" t="s">
        <v>57</v>
      </c>
      <c r="O7" s="2" t="s">
        <v>132</v>
      </c>
      <c r="P7" s="2" t="s">
        <v>59</v>
      </c>
      <c r="Q7" s="2" t="s">
        <v>59</v>
      </c>
      <c r="R7" s="2" t="s">
        <v>58</v>
      </c>
      <c r="S7" s="3"/>
      <c r="T7" s="3"/>
      <c r="U7" s="3"/>
      <c r="V7" s="3">
        <v>1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133</v>
      </c>
      <c r="AX7" s="2" t="s">
        <v>52</v>
      </c>
      <c r="AY7" s="2" t="s">
        <v>52</v>
      </c>
      <c r="AZ7" s="2" t="s">
        <v>52</v>
      </c>
    </row>
    <row r="8" spans="1:52" ht="30" customHeight="1" x14ac:dyDescent="0.3">
      <c r="A8" s="27" t="s">
        <v>134</v>
      </c>
      <c r="B8" s="27" t="s">
        <v>135</v>
      </c>
      <c r="C8" s="27" t="s">
        <v>136</v>
      </c>
      <c r="D8" s="28">
        <v>1</v>
      </c>
      <c r="E8" s="30">
        <f>TRUNC(SUMIF(V5:V8, RIGHTB(O8, 1), H5:H8)*U8, 2)</f>
        <v>5768.4</v>
      </c>
      <c r="F8" s="33">
        <f>TRUNC(E8*D8,1)</f>
        <v>5768.4</v>
      </c>
      <c r="G8" s="30">
        <v>0</v>
      </c>
      <c r="H8" s="33">
        <f>TRUNC(G8*D8,1)</f>
        <v>0</v>
      </c>
      <c r="I8" s="30">
        <v>0</v>
      </c>
      <c r="J8" s="33">
        <f>TRUNC(I8*D8,1)</f>
        <v>0</v>
      </c>
      <c r="K8" s="30">
        <f t="shared" si="0"/>
        <v>5768.4</v>
      </c>
      <c r="L8" s="33">
        <f t="shared" si="0"/>
        <v>5768.4</v>
      </c>
      <c r="M8" s="27" t="s">
        <v>52</v>
      </c>
      <c r="N8" s="2" t="s">
        <v>57</v>
      </c>
      <c r="O8" s="2" t="s">
        <v>137</v>
      </c>
      <c r="P8" s="2" t="s">
        <v>59</v>
      </c>
      <c r="Q8" s="2" t="s">
        <v>59</v>
      </c>
      <c r="R8" s="2" t="s">
        <v>59</v>
      </c>
      <c r="S8" s="3">
        <v>1</v>
      </c>
      <c r="T8" s="3">
        <v>0</v>
      </c>
      <c r="U8" s="3">
        <v>0.02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138</v>
      </c>
      <c r="AX8" s="2" t="s">
        <v>52</v>
      </c>
      <c r="AY8" s="2" t="s">
        <v>52</v>
      </c>
      <c r="AZ8" s="2" t="s">
        <v>52</v>
      </c>
    </row>
    <row r="9" spans="1:52" ht="30" customHeight="1" x14ac:dyDescent="0.3">
      <c r="A9" s="27" t="s">
        <v>139</v>
      </c>
      <c r="B9" s="27" t="s">
        <v>52</v>
      </c>
      <c r="C9" s="27" t="s">
        <v>52</v>
      </c>
      <c r="D9" s="28"/>
      <c r="E9" s="30"/>
      <c r="F9" s="33">
        <f>TRUNC(SUMIF(N5:N8, N4, F5:F8),0)</f>
        <v>5609768</v>
      </c>
      <c r="G9" s="30"/>
      <c r="H9" s="33">
        <f>TRUNC(SUMIF(N5:N8, N4, H5:H8),0)</f>
        <v>288420</v>
      </c>
      <c r="I9" s="30"/>
      <c r="J9" s="33">
        <f>TRUNC(SUMIF(N5:N8, N4, J5:J8),0)</f>
        <v>0</v>
      </c>
      <c r="K9" s="30"/>
      <c r="L9" s="33">
        <f>F9+H9+J9</f>
        <v>5898188</v>
      </c>
      <c r="M9" s="27" t="s">
        <v>52</v>
      </c>
      <c r="N9" s="2" t="s">
        <v>98</v>
      </c>
      <c r="O9" s="2" t="s">
        <v>98</v>
      </c>
      <c r="P9" s="2" t="s">
        <v>52</v>
      </c>
      <c r="Q9" s="2" t="s">
        <v>52</v>
      </c>
      <c r="R9" s="2" t="s">
        <v>52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52</v>
      </c>
      <c r="AX9" s="2" t="s">
        <v>52</v>
      </c>
      <c r="AY9" s="2" t="s">
        <v>52</v>
      </c>
      <c r="AZ9" s="2" t="s">
        <v>52</v>
      </c>
    </row>
    <row r="10" spans="1:52" ht="30" customHeight="1" x14ac:dyDescent="0.3">
      <c r="A10" s="28"/>
      <c r="B10" s="28"/>
      <c r="C10" s="28"/>
      <c r="D10" s="28"/>
      <c r="E10" s="30"/>
      <c r="F10" s="33"/>
      <c r="G10" s="30"/>
      <c r="H10" s="33"/>
      <c r="I10" s="30"/>
      <c r="J10" s="33"/>
      <c r="K10" s="30"/>
      <c r="L10" s="33"/>
      <c r="M10" s="28"/>
    </row>
    <row r="11" spans="1:52" ht="30" customHeight="1" x14ac:dyDescent="0.3">
      <c r="A11" s="24" t="s">
        <v>358</v>
      </c>
      <c r="B11" s="25"/>
      <c r="C11" s="25"/>
      <c r="D11" s="25"/>
      <c r="E11" s="29"/>
      <c r="F11" s="32"/>
      <c r="G11" s="29"/>
      <c r="H11" s="32"/>
      <c r="I11" s="29"/>
      <c r="J11" s="32"/>
      <c r="K11" s="29"/>
      <c r="L11" s="32"/>
      <c r="M11" s="26"/>
      <c r="N11" s="1" t="s">
        <v>63</v>
      </c>
    </row>
    <row r="12" spans="1:52" ht="30" customHeight="1" x14ac:dyDescent="0.3">
      <c r="A12" s="27" t="s">
        <v>126</v>
      </c>
      <c r="B12" s="27" t="s">
        <v>127</v>
      </c>
      <c r="C12" s="27" t="s">
        <v>128</v>
      </c>
      <c r="D12" s="28">
        <f>공량산출근거서_일위대가!K13</f>
        <v>0.46200000000000002</v>
      </c>
      <c r="E12" s="30">
        <f>단가대비표!O18</f>
        <v>0</v>
      </c>
      <c r="F12" s="33">
        <f>TRUNC(E12*D12,1)</f>
        <v>0</v>
      </c>
      <c r="G12" s="30">
        <f>단가대비표!P18</f>
        <v>247897</v>
      </c>
      <c r="H12" s="33">
        <f>TRUNC(G12*D12,1)</f>
        <v>114528.4</v>
      </c>
      <c r="I12" s="30">
        <f>단가대비표!V18</f>
        <v>0</v>
      </c>
      <c r="J12" s="33">
        <f>TRUNC(I12*D12,1)</f>
        <v>0</v>
      </c>
      <c r="K12" s="30">
        <f t="shared" ref="K12:L14" si="1">TRUNC(E12+G12+I12,1)</f>
        <v>247897</v>
      </c>
      <c r="L12" s="33">
        <f t="shared" si="1"/>
        <v>114528.4</v>
      </c>
      <c r="M12" s="42" t="s">
        <v>362</v>
      </c>
      <c r="N12" s="2" t="s">
        <v>63</v>
      </c>
      <c r="O12" s="2" t="s">
        <v>129</v>
      </c>
      <c r="P12" s="2" t="s">
        <v>59</v>
      </c>
      <c r="Q12" s="2" t="s">
        <v>59</v>
      </c>
      <c r="R12" s="2" t="s">
        <v>58</v>
      </c>
      <c r="S12" s="3"/>
      <c r="T12" s="3"/>
      <c r="U12" s="3"/>
      <c r="V12" s="3">
        <v>1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140</v>
      </c>
      <c r="AX12" s="2" t="s">
        <v>52</v>
      </c>
      <c r="AY12" s="2" t="s">
        <v>52</v>
      </c>
      <c r="AZ12" s="2" t="s">
        <v>52</v>
      </c>
    </row>
    <row r="13" spans="1:52" ht="30" customHeight="1" x14ac:dyDescent="0.3">
      <c r="A13" s="27" t="s">
        <v>131</v>
      </c>
      <c r="B13" s="27" t="s">
        <v>127</v>
      </c>
      <c r="C13" s="27" t="s">
        <v>128</v>
      </c>
      <c r="D13" s="28">
        <f>공량산출근거서_일위대가!K12</f>
        <v>0.17299999999999999</v>
      </c>
      <c r="E13" s="30">
        <f>단가대비표!O17</f>
        <v>0</v>
      </c>
      <c r="F13" s="33">
        <f>TRUNC(E13*D13,1)</f>
        <v>0</v>
      </c>
      <c r="G13" s="30">
        <f>단가대비표!P17</f>
        <v>172068</v>
      </c>
      <c r="H13" s="33">
        <f>TRUNC(G13*D13,1)</f>
        <v>29767.7</v>
      </c>
      <c r="I13" s="30">
        <f>단가대비표!V17</f>
        <v>0</v>
      </c>
      <c r="J13" s="33">
        <f>TRUNC(I13*D13,1)</f>
        <v>0</v>
      </c>
      <c r="K13" s="30">
        <f t="shared" si="1"/>
        <v>172068</v>
      </c>
      <c r="L13" s="33">
        <f t="shared" si="1"/>
        <v>29767.7</v>
      </c>
      <c r="M13" s="42" t="s">
        <v>362</v>
      </c>
      <c r="N13" s="2" t="s">
        <v>63</v>
      </c>
      <c r="O13" s="2" t="s">
        <v>132</v>
      </c>
      <c r="P13" s="2" t="s">
        <v>59</v>
      </c>
      <c r="Q13" s="2" t="s">
        <v>59</v>
      </c>
      <c r="R13" s="2" t="s">
        <v>58</v>
      </c>
      <c r="S13" s="3"/>
      <c r="T13" s="3"/>
      <c r="U13" s="3"/>
      <c r="V13" s="3">
        <v>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141</v>
      </c>
      <c r="AX13" s="2" t="s">
        <v>52</v>
      </c>
      <c r="AY13" s="2" t="s">
        <v>52</v>
      </c>
      <c r="AZ13" s="2" t="s">
        <v>52</v>
      </c>
    </row>
    <row r="14" spans="1:52" ht="30" customHeight="1" x14ac:dyDescent="0.3">
      <c r="A14" s="27" t="s">
        <v>134</v>
      </c>
      <c r="B14" s="27" t="s">
        <v>135</v>
      </c>
      <c r="C14" s="27" t="s">
        <v>136</v>
      </c>
      <c r="D14" s="28">
        <v>1</v>
      </c>
      <c r="E14" s="30">
        <f>TRUNC(SUMIF(V12:V14, RIGHTB(O14, 1), H12:H14)*U14, 2)</f>
        <v>2885.92</v>
      </c>
      <c r="F14" s="33">
        <f>TRUNC(E14*D14,1)</f>
        <v>2885.9</v>
      </c>
      <c r="G14" s="30">
        <v>0</v>
      </c>
      <c r="H14" s="33">
        <f>TRUNC(G14*D14,1)</f>
        <v>0</v>
      </c>
      <c r="I14" s="30">
        <v>0</v>
      </c>
      <c r="J14" s="33">
        <f>TRUNC(I14*D14,1)</f>
        <v>0</v>
      </c>
      <c r="K14" s="30">
        <f t="shared" si="1"/>
        <v>2885.9</v>
      </c>
      <c r="L14" s="33">
        <f t="shared" si="1"/>
        <v>2885.9</v>
      </c>
      <c r="M14" s="27" t="s">
        <v>52</v>
      </c>
      <c r="N14" s="2" t="s">
        <v>63</v>
      </c>
      <c r="O14" s="2" t="s">
        <v>137</v>
      </c>
      <c r="P14" s="2" t="s">
        <v>59</v>
      </c>
      <c r="Q14" s="2" t="s">
        <v>59</v>
      </c>
      <c r="R14" s="2" t="s">
        <v>59</v>
      </c>
      <c r="S14" s="3">
        <v>1</v>
      </c>
      <c r="T14" s="3">
        <v>0</v>
      </c>
      <c r="U14" s="3">
        <v>0.02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142</v>
      </c>
      <c r="AX14" s="2" t="s">
        <v>52</v>
      </c>
      <c r="AY14" s="2" t="s">
        <v>52</v>
      </c>
      <c r="AZ14" s="2" t="s">
        <v>52</v>
      </c>
    </row>
    <row r="15" spans="1:52" ht="30" customHeight="1" x14ac:dyDescent="0.3">
      <c r="A15" s="27" t="s">
        <v>139</v>
      </c>
      <c r="B15" s="27" t="s">
        <v>52</v>
      </c>
      <c r="C15" s="27" t="s">
        <v>52</v>
      </c>
      <c r="D15" s="28"/>
      <c r="E15" s="30"/>
      <c r="F15" s="33">
        <f>TRUNC(SUMIF(N12:N14, N11, F12:F14),0)</f>
        <v>2885</v>
      </c>
      <c r="G15" s="30"/>
      <c r="H15" s="33">
        <f>TRUNC(SUMIF(N12:N14, N11, H12:H14),0)</f>
        <v>144296</v>
      </c>
      <c r="I15" s="30"/>
      <c r="J15" s="33">
        <f>TRUNC(SUMIF(N12:N14, N11, J12:J14),0)</f>
        <v>0</v>
      </c>
      <c r="K15" s="30"/>
      <c r="L15" s="33">
        <f>F15+H15+J15</f>
        <v>147181</v>
      </c>
      <c r="M15" s="27" t="s">
        <v>52</v>
      </c>
      <c r="N15" s="2" t="s">
        <v>98</v>
      </c>
      <c r="O15" s="2" t="s">
        <v>98</v>
      </c>
      <c r="P15" s="2" t="s">
        <v>52</v>
      </c>
      <c r="Q15" s="2" t="s">
        <v>52</v>
      </c>
      <c r="R15" s="2" t="s">
        <v>52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52</v>
      </c>
      <c r="AX15" s="2" t="s">
        <v>52</v>
      </c>
      <c r="AY15" s="2" t="s">
        <v>52</v>
      </c>
      <c r="AZ15" s="2" t="s">
        <v>52</v>
      </c>
    </row>
    <row r="16" spans="1:52" ht="30" customHeight="1" x14ac:dyDescent="0.3">
      <c r="A16" s="28"/>
      <c r="B16" s="28"/>
      <c r="C16" s="28"/>
      <c r="D16" s="28"/>
      <c r="E16" s="30"/>
      <c r="F16" s="33"/>
      <c r="G16" s="30"/>
      <c r="H16" s="33"/>
      <c r="I16" s="30"/>
      <c r="J16" s="33"/>
      <c r="K16" s="30"/>
      <c r="L16" s="33"/>
      <c r="M16" s="28"/>
    </row>
    <row r="17" spans="1:52" ht="30" customHeight="1" x14ac:dyDescent="0.3">
      <c r="A17" s="24" t="s">
        <v>143</v>
      </c>
      <c r="B17" s="25"/>
      <c r="C17" s="25"/>
      <c r="D17" s="25"/>
      <c r="E17" s="29"/>
      <c r="F17" s="32"/>
      <c r="G17" s="29"/>
      <c r="H17" s="32"/>
      <c r="I17" s="29"/>
      <c r="J17" s="32"/>
      <c r="K17" s="29"/>
      <c r="L17" s="32"/>
      <c r="M17" s="26"/>
      <c r="N17" s="1" t="s">
        <v>69</v>
      </c>
    </row>
    <row r="18" spans="1:52" ht="30" customHeight="1" x14ac:dyDescent="0.3">
      <c r="A18" s="27" t="s">
        <v>145</v>
      </c>
      <c r="B18" s="27" t="s">
        <v>146</v>
      </c>
      <c r="C18" s="27" t="s">
        <v>55</v>
      </c>
      <c r="D18" s="28">
        <v>1</v>
      </c>
      <c r="E18" s="30">
        <f>단가대비표!O15</f>
        <v>8000</v>
      </c>
      <c r="F18" s="33">
        <f t="shared" ref="F18:F24" si="2">TRUNC(E18*D18,1)</f>
        <v>8000</v>
      </c>
      <c r="G18" s="30">
        <f>단가대비표!P15</f>
        <v>0</v>
      </c>
      <c r="H18" s="33">
        <f t="shared" ref="H18:H24" si="3">TRUNC(G18*D18,1)</f>
        <v>0</v>
      </c>
      <c r="I18" s="30">
        <f>단가대비표!V15</f>
        <v>0</v>
      </c>
      <c r="J18" s="33">
        <f t="shared" ref="J18:J24" si="4">TRUNC(I18*D18,1)</f>
        <v>0</v>
      </c>
      <c r="K18" s="30">
        <f t="shared" ref="K18:L24" si="5">TRUNC(E18+G18+I18,1)</f>
        <v>8000</v>
      </c>
      <c r="L18" s="33">
        <f t="shared" si="5"/>
        <v>8000</v>
      </c>
      <c r="M18" s="27" t="s">
        <v>52</v>
      </c>
      <c r="N18" s="2" t="s">
        <v>69</v>
      </c>
      <c r="O18" s="2" t="s">
        <v>147</v>
      </c>
      <c r="P18" s="2" t="s">
        <v>59</v>
      </c>
      <c r="Q18" s="2" t="s">
        <v>59</v>
      </c>
      <c r="R18" s="2" t="s">
        <v>58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52</v>
      </c>
      <c r="AW18" s="2" t="s">
        <v>148</v>
      </c>
      <c r="AX18" s="2" t="s">
        <v>52</v>
      </c>
      <c r="AY18" s="2" t="s">
        <v>52</v>
      </c>
      <c r="AZ18" s="2" t="s">
        <v>52</v>
      </c>
    </row>
    <row r="19" spans="1:52" ht="30" customHeight="1" x14ac:dyDescent="0.3">
      <c r="A19" s="27" t="s">
        <v>149</v>
      </c>
      <c r="B19" s="27" t="s">
        <v>150</v>
      </c>
      <c r="C19" s="27" t="s">
        <v>55</v>
      </c>
      <c r="D19" s="28">
        <v>1</v>
      </c>
      <c r="E19" s="30">
        <f>단가대비표!O13</f>
        <v>650</v>
      </c>
      <c r="F19" s="33">
        <f t="shared" si="2"/>
        <v>650</v>
      </c>
      <c r="G19" s="30">
        <f>단가대비표!P13</f>
        <v>0</v>
      </c>
      <c r="H19" s="33">
        <f t="shared" si="3"/>
        <v>0</v>
      </c>
      <c r="I19" s="30">
        <f>단가대비표!V13</f>
        <v>0</v>
      </c>
      <c r="J19" s="33">
        <f t="shared" si="4"/>
        <v>0</v>
      </c>
      <c r="K19" s="30">
        <f t="shared" si="5"/>
        <v>650</v>
      </c>
      <c r="L19" s="33">
        <f t="shared" si="5"/>
        <v>650</v>
      </c>
      <c r="M19" s="27" t="s">
        <v>52</v>
      </c>
      <c r="N19" s="2" t="s">
        <v>69</v>
      </c>
      <c r="O19" s="2" t="s">
        <v>151</v>
      </c>
      <c r="P19" s="2" t="s">
        <v>59</v>
      </c>
      <c r="Q19" s="2" t="s">
        <v>59</v>
      </c>
      <c r="R19" s="2" t="s">
        <v>58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152</v>
      </c>
      <c r="AX19" s="2" t="s">
        <v>52</v>
      </c>
      <c r="AY19" s="2" t="s">
        <v>52</v>
      </c>
      <c r="AZ19" s="2" t="s">
        <v>52</v>
      </c>
    </row>
    <row r="20" spans="1:52" ht="30" customHeight="1" x14ac:dyDescent="0.3">
      <c r="A20" s="27" t="s">
        <v>149</v>
      </c>
      <c r="B20" s="27" t="s">
        <v>153</v>
      </c>
      <c r="C20" s="27" t="s">
        <v>55</v>
      </c>
      <c r="D20" s="28">
        <v>1</v>
      </c>
      <c r="E20" s="30">
        <f>단가대비표!O14</f>
        <v>610</v>
      </c>
      <c r="F20" s="33">
        <f t="shared" si="2"/>
        <v>610</v>
      </c>
      <c r="G20" s="30">
        <f>단가대비표!P14</f>
        <v>0</v>
      </c>
      <c r="H20" s="33">
        <f t="shared" si="3"/>
        <v>0</v>
      </c>
      <c r="I20" s="30">
        <f>단가대비표!V14</f>
        <v>0</v>
      </c>
      <c r="J20" s="33">
        <f t="shared" si="4"/>
        <v>0</v>
      </c>
      <c r="K20" s="30">
        <f t="shared" si="5"/>
        <v>610</v>
      </c>
      <c r="L20" s="33">
        <f t="shared" si="5"/>
        <v>610</v>
      </c>
      <c r="M20" s="27" t="s">
        <v>52</v>
      </c>
      <c r="N20" s="2" t="s">
        <v>69</v>
      </c>
      <c r="O20" s="2" t="s">
        <v>154</v>
      </c>
      <c r="P20" s="2" t="s">
        <v>59</v>
      </c>
      <c r="Q20" s="2" t="s">
        <v>59</v>
      </c>
      <c r="R20" s="2" t="s">
        <v>58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155</v>
      </c>
      <c r="AX20" s="2" t="s">
        <v>52</v>
      </c>
      <c r="AY20" s="2" t="s">
        <v>52</v>
      </c>
      <c r="AZ20" s="2" t="s">
        <v>52</v>
      </c>
    </row>
    <row r="21" spans="1:52" ht="30" customHeight="1" x14ac:dyDescent="0.3">
      <c r="A21" s="27" t="s">
        <v>156</v>
      </c>
      <c r="B21" s="27" t="s">
        <v>52</v>
      </c>
      <c r="C21" s="27" t="s">
        <v>157</v>
      </c>
      <c r="D21" s="28">
        <v>1</v>
      </c>
      <c r="E21" s="30">
        <f>단가대비표!O16</f>
        <v>6790</v>
      </c>
      <c r="F21" s="33">
        <f t="shared" si="2"/>
        <v>6790</v>
      </c>
      <c r="G21" s="30">
        <f>단가대비표!P16</f>
        <v>0</v>
      </c>
      <c r="H21" s="33">
        <f t="shared" si="3"/>
        <v>0</v>
      </c>
      <c r="I21" s="30">
        <f>단가대비표!V16</f>
        <v>0</v>
      </c>
      <c r="J21" s="33">
        <f t="shared" si="4"/>
        <v>0</v>
      </c>
      <c r="K21" s="30">
        <f t="shared" si="5"/>
        <v>6790</v>
      </c>
      <c r="L21" s="33">
        <f t="shared" si="5"/>
        <v>6790</v>
      </c>
      <c r="M21" s="27" t="s">
        <v>52</v>
      </c>
      <c r="N21" s="2" t="s">
        <v>69</v>
      </c>
      <c r="O21" s="2" t="s">
        <v>158</v>
      </c>
      <c r="P21" s="2" t="s">
        <v>59</v>
      </c>
      <c r="Q21" s="2" t="s">
        <v>59</v>
      </c>
      <c r="R21" s="2" t="s">
        <v>58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159</v>
      </c>
      <c r="AX21" s="2" t="s">
        <v>52</v>
      </c>
      <c r="AY21" s="2" t="s">
        <v>52</v>
      </c>
      <c r="AZ21" s="2" t="s">
        <v>52</v>
      </c>
    </row>
    <row r="22" spans="1:52" ht="30" customHeight="1" x14ac:dyDescent="0.3">
      <c r="A22" s="27" t="s">
        <v>160</v>
      </c>
      <c r="B22" s="27" t="s">
        <v>161</v>
      </c>
      <c r="C22" s="27" t="s">
        <v>55</v>
      </c>
      <c r="D22" s="28">
        <v>1</v>
      </c>
      <c r="E22" s="30">
        <f>단가대비표!O12</f>
        <v>8990</v>
      </c>
      <c r="F22" s="33">
        <f t="shared" si="2"/>
        <v>8990</v>
      </c>
      <c r="G22" s="30">
        <f>단가대비표!P12</f>
        <v>0</v>
      </c>
      <c r="H22" s="33">
        <f t="shared" si="3"/>
        <v>0</v>
      </c>
      <c r="I22" s="30">
        <f>단가대비표!V12</f>
        <v>0</v>
      </c>
      <c r="J22" s="33">
        <f t="shared" si="4"/>
        <v>0</v>
      </c>
      <c r="K22" s="30">
        <f t="shared" si="5"/>
        <v>8990</v>
      </c>
      <c r="L22" s="33">
        <f t="shared" si="5"/>
        <v>8990</v>
      </c>
      <c r="M22" s="27" t="s">
        <v>52</v>
      </c>
      <c r="N22" s="2" t="s">
        <v>69</v>
      </c>
      <c r="O22" s="2" t="s">
        <v>162</v>
      </c>
      <c r="P22" s="2" t="s">
        <v>59</v>
      </c>
      <c r="Q22" s="2" t="s">
        <v>59</v>
      </c>
      <c r="R22" s="2" t="s">
        <v>58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163</v>
      </c>
      <c r="AX22" s="2" t="s">
        <v>52</v>
      </c>
      <c r="AY22" s="2" t="s">
        <v>52</v>
      </c>
      <c r="AZ22" s="2" t="s">
        <v>52</v>
      </c>
    </row>
    <row r="23" spans="1:52" ht="30" customHeight="1" x14ac:dyDescent="0.3">
      <c r="A23" s="27" t="s">
        <v>126</v>
      </c>
      <c r="B23" s="27" t="s">
        <v>127</v>
      </c>
      <c r="C23" s="27" t="s">
        <v>128</v>
      </c>
      <c r="D23" s="28">
        <v>7.4999999999999997E-2</v>
      </c>
      <c r="E23" s="30">
        <f>단가대비표!O18</f>
        <v>0</v>
      </c>
      <c r="F23" s="33">
        <f t="shared" si="2"/>
        <v>0</v>
      </c>
      <c r="G23" s="30">
        <f>단가대비표!P18</f>
        <v>247897</v>
      </c>
      <c r="H23" s="33">
        <f t="shared" si="3"/>
        <v>18592.2</v>
      </c>
      <c r="I23" s="30">
        <f>단가대비표!V18</f>
        <v>0</v>
      </c>
      <c r="J23" s="33">
        <f t="shared" si="4"/>
        <v>0</v>
      </c>
      <c r="K23" s="30">
        <f t="shared" si="5"/>
        <v>247897</v>
      </c>
      <c r="L23" s="33">
        <f t="shared" si="5"/>
        <v>18592.2</v>
      </c>
      <c r="M23" s="42" t="s">
        <v>362</v>
      </c>
      <c r="N23" s="2" t="s">
        <v>69</v>
      </c>
      <c r="O23" s="2" t="s">
        <v>129</v>
      </c>
      <c r="P23" s="2" t="s">
        <v>59</v>
      </c>
      <c r="Q23" s="2" t="s">
        <v>59</v>
      </c>
      <c r="R23" s="2" t="s">
        <v>58</v>
      </c>
      <c r="S23" s="3"/>
      <c r="T23" s="3"/>
      <c r="U23" s="3"/>
      <c r="V23" s="3">
        <v>1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164</v>
      </c>
      <c r="AX23" s="2" t="s">
        <v>52</v>
      </c>
      <c r="AY23" s="2" t="s">
        <v>52</v>
      </c>
      <c r="AZ23" s="2" t="s">
        <v>52</v>
      </c>
    </row>
    <row r="24" spans="1:52" ht="30" customHeight="1" x14ac:dyDescent="0.3">
      <c r="A24" s="27" t="s">
        <v>134</v>
      </c>
      <c r="B24" s="27" t="s">
        <v>165</v>
      </c>
      <c r="C24" s="27" t="s">
        <v>136</v>
      </c>
      <c r="D24" s="28">
        <v>1</v>
      </c>
      <c r="E24" s="30">
        <f>TRUNC(SUMIF(V18:V24, RIGHTB(O24, 1), H18:H24)*U24, 2)</f>
        <v>557.76</v>
      </c>
      <c r="F24" s="33">
        <f t="shared" si="2"/>
        <v>557.70000000000005</v>
      </c>
      <c r="G24" s="30">
        <v>0</v>
      </c>
      <c r="H24" s="33">
        <f t="shared" si="3"/>
        <v>0</v>
      </c>
      <c r="I24" s="30">
        <v>0</v>
      </c>
      <c r="J24" s="33">
        <f t="shared" si="4"/>
        <v>0</v>
      </c>
      <c r="K24" s="30">
        <f t="shared" si="5"/>
        <v>557.70000000000005</v>
      </c>
      <c r="L24" s="33">
        <f t="shared" si="5"/>
        <v>557.70000000000005</v>
      </c>
      <c r="M24" s="27" t="s">
        <v>52</v>
      </c>
      <c r="N24" s="2" t="s">
        <v>69</v>
      </c>
      <c r="O24" s="2" t="s">
        <v>137</v>
      </c>
      <c r="P24" s="2" t="s">
        <v>59</v>
      </c>
      <c r="Q24" s="2" t="s">
        <v>59</v>
      </c>
      <c r="R24" s="2" t="s">
        <v>59</v>
      </c>
      <c r="S24" s="3">
        <v>1</v>
      </c>
      <c r="T24" s="3">
        <v>0</v>
      </c>
      <c r="U24" s="3">
        <v>0.03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166</v>
      </c>
      <c r="AX24" s="2" t="s">
        <v>52</v>
      </c>
      <c r="AY24" s="2" t="s">
        <v>52</v>
      </c>
      <c r="AZ24" s="2" t="s">
        <v>52</v>
      </c>
    </row>
    <row r="25" spans="1:52" ht="30" customHeight="1" x14ac:dyDescent="0.3">
      <c r="A25" s="27" t="s">
        <v>139</v>
      </c>
      <c r="B25" s="27" t="s">
        <v>52</v>
      </c>
      <c r="C25" s="27" t="s">
        <v>52</v>
      </c>
      <c r="D25" s="28"/>
      <c r="E25" s="30"/>
      <c r="F25" s="33">
        <f>TRUNC(SUMIF(N18:N24, N17, F18:F24),0)</f>
        <v>25597</v>
      </c>
      <c r="G25" s="30"/>
      <c r="H25" s="33">
        <f>TRUNC(SUMIF(N18:N24, N17, H18:H24),0)</f>
        <v>18592</v>
      </c>
      <c r="I25" s="30"/>
      <c r="J25" s="33">
        <f>TRUNC(SUMIF(N18:N24, N17, J18:J24),0)</f>
        <v>0</v>
      </c>
      <c r="K25" s="30"/>
      <c r="L25" s="33">
        <f>F25+H25+J25</f>
        <v>44189</v>
      </c>
      <c r="M25" s="27" t="s">
        <v>52</v>
      </c>
      <c r="N25" s="2" t="s">
        <v>98</v>
      </c>
      <c r="O25" s="2" t="s">
        <v>98</v>
      </c>
      <c r="P25" s="2" t="s">
        <v>52</v>
      </c>
      <c r="Q25" s="2" t="s">
        <v>52</v>
      </c>
      <c r="R25" s="2" t="s">
        <v>52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52</v>
      </c>
      <c r="AW25" s="2" t="s">
        <v>52</v>
      </c>
      <c r="AX25" s="2" t="s">
        <v>52</v>
      </c>
      <c r="AY25" s="2" t="s">
        <v>52</v>
      </c>
      <c r="AZ25" s="2" t="s">
        <v>52</v>
      </c>
    </row>
    <row r="26" spans="1:52" ht="30" customHeight="1" x14ac:dyDescent="0.3">
      <c r="A26" s="28"/>
      <c r="B26" s="28"/>
      <c r="C26" s="28"/>
      <c r="D26" s="28"/>
      <c r="E26" s="30"/>
      <c r="F26" s="33"/>
      <c r="G26" s="30"/>
      <c r="H26" s="33"/>
      <c r="I26" s="30"/>
      <c r="J26" s="33"/>
      <c r="K26" s="30"/>
      <c r="L26" s="33"/>
      <c r="M26" s="28"/>
    </row>
    <row r="27" spans="1:52" ht="30" customHeight="1" x14ac:dyDescent="0.3">
      <c r="A27" s="24" t="s">
        <v>167</v>
      </c>
      <c r="B27" s="25"/>
      <c r="C27" s="25"/>
      <c r="D27" s="25"/>
      <c r="E27" s="29"/>
      <c r="F27" s="32"/>
      <c r="G27" s="29"/>
      <c r="H27" s="32"/>
      <c r="I27" s="29"/>
      <c r="J27" s="32"/>
      <c r="K27" s="29"/>
      <c r="L27" s="32"/>
      <c r="M27" s="26"/>
      <c r="N27" s="1" t="s">
        <v>73</v>
      </c>
    </row>
    <row r="28" spans="1:52" ht="30" customHeight="1" x14ac:dyDescent="0.3">
      <c r="A28" s="27" t="s">
        <v>126</v>
      </c>
      <c r="B28" s="27" t="s">
        <v>127</v>
      </c>
      <c r="C28" s="27" t="s">
        <v>128</v>
      </c>
      <c r="D28" s="28">
        <v>3.7499999999999999E-2</v>
      </c>
      <c r="E28" s="30">
        <f>단가대비표!O18</f>
        <v>0</v>
      </c>
      <c r="F28" s="33">
        <f>TRUNC(E28*D28,1)</f>
        <v>0</v>
      </c>
      <c r="G28" s="30">
        <f>단가대비표!P18</f>
        <v>247897</v>
      </c>
      <c r="H28" s="33">
        <f>TRUNC(G28*D28,1)</f>
        <v>9296.1</v>
      </c>
      <c r="I28" s="30">
        <f>단가대비표!V18</f>
        <v>0</v>
      </c>
      <c r="J28" s="33">
        <f>TRUNC(I28*D28,1)</f>
        <v>0</v>
      </c>
      <c r="K28" s="30">
        <f>TRUNC(E28+G28+I28,1)</f>
        <v>247897</v>
      </c>
      <c r="L28" s="33">
        <f>TRUNC(F28+H28+J28,1)</f>
        <v>9296.1</v>
      </c>
      <c r="M28" s="42" t="s">
        <v>362</v>
      </c>
      <c r="N28" s="2" t="s">
        <v>73</v>
      </c>
      <c r="O28" s="2" t="s">
        <v>129</v>
      </c>
      <c r="P28" s="2" t="s">
        <v>59</v>
      </c>
      <c r="Q28" s="2" t="s">
        <v>59</v>
      </c>
      <c r="R28" s="2" t="s">
        <v>58</v>
      </c>
      <c r="S28" s="3"/>
      <c r="T28" s="3"/>
      <c r="U28" s="3"/>
      <c r="V28" s="3">
        <v>1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168</v>
      </c>
      <c r="AX28" s="2" t="s">
        <v>52</v>
      </c>
      <c r="AY28" s="2" t="s">
        <v>52</v>
      </c>
      <c r="AZ28" s="2" t="s">
        <v>52</v>
      </c>
    </row>
    <row r="29" spans="1:52" ht="30" customHeight="1" x14ac:dyDescent="0.3">
      <c r="A29" s="27" t="s">
        <v>134</v>
      </c>
      <c r="B29" s="27" t="s">
        <v>135</v>
      </c>
      <c r="C29" s="27" t="s">
        <v>136</v>
      </c>
      <c r="D29" s="28">
        <v>1</v>
      </c>
      <c r="E29" s="30">
        <f>TRUNC(SUMIF(V28:V29, RIGHTB(O29, 1), H28:H29)*U29, 2)</f>
        <v>185.92</v>
      </c>
      <c r="F29" s="33">
        <f>TRUNC(E29*D29,1)</f>
        <v>185.9</v>
      </c>
      <c r="G29" s="30">
        <v>0</v>
      </c>
      <c r="H29" s="33">
        <f>TRUNC(G29*D29,1)</f>
        <v>0</v>
      </c>
      <c r="I29" s="30">
        <v>0</v>
      </c>
      <c r="J29" s="33">
        <f>TRUNC(I29*D29,1)</f>
        <v>0</v>
      </c>
      <c r="K29" s="30">
        <f>TRUNC(E29+G29+I29,1)</f>
        <v>185.9</v>
      </c>
      <c r="L29" s="33">
        <f>TRUNC(F29+H29+J29,1)</f>
        <v>185.9</v>
      </c>
      <c r="M29" s="27" t="s">
        <v>52</v>
      </c>
      <c r="N29" s="2" t="s">
        <v>73</v>
      </c>
      <c r="O29" s="2" t="s">
        <v>137</v>
      </c>
      <c r="P29" s="2" t="s">
        <v>59</v>
      </c>
      <c r="Q29" s="2" t="s">
        <v>59</v>
      </c>
      <c r="R29" s="2" t="s">
        <v>59</v>
      </c>
      <c r="S29" s="3">
        <v>1</v>
      </c>
      <c r="T29" s="3">
        <v>0</v>
      </c>
      <c r="U29" s="3">
        <v>0.02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169</v>
      </c>
      <c r="AX29" s="2" t="s">
        <v>52</v>
      </c>
      <c r="AY29" s="2" t="s">
        <v>52</v>
      </c>
      <c r="AZ29" s="2" t="s">
        <v>52</v>
      </c>
    </row>
    <row r="30" spans="1:52" ht="30" customHeight="1" x14ac:dyDescent="0.3">
      <c r="A30" s="27" t="s">
        <v>139</v>
      </c>
      <c r="B30" s="27" t="s">
        <v>52</v>
      </c>
      <c r="C30" s="27" t="s">
        <v>52</v>
      </c>
      <c r="D30" s="28"/>
      <c r="E30" s="30"/>
      <c r="F30" s="33">
        <f>TRUNC(SUMIF(N28:N29, N27, F28:F29),0)</f>
        <v>185</v>
      </c>
      <c r="G30" s="30"/>
      <c r="H30" s="33">
        <f>TRUNC(SUMIF(N28:N29, N27, H28:H29),0)</f>
        <v>9296</v>
      </c>
      <c r="I30" s="30"/>
      <c r="J30" s="33">
        <f>TRUNC(SUMIF(N28:N29, N27, J28:J29),0)</f>
        <v>0</v>
      </c>
      <c r="K30" s="30"/>
      <c r="L30" s="33">
        <f>F30+H30+J30</f>
        <v>9481</v>
      </c>
      <c r="M30" s="27" t="s">
        <v>52</v>
      </c>
      <c r="N30" s="2" t="s">
        <v>98</v>
      </c>
      <c r="O30" s="2" t="s">
        <v>98</v>
      </c>
      <c r="P30" s="2" t="s">
        <v>52</v>
      </c>
      <c r="Q30" s="2" t="s">
        <v>52</v>
      </c>
      <c r="R30" s="2" t="s">
        <v>52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52</v>
      </c>
      <c r="AW30" s="2" t="s">
        <v>52</v>
      </c>
      <c r="AX30" s="2" t="s">
        <v>52</v>
      </c>
      <c r="AY30" s="2" t="s">
        <v>52</v>
      </c>
      <c r="AZ30" s="2" t="s">
        <v>52</v>
      </c>
    </row>
    <row r="31" spans="1:52" ht="30" customHeight="1" x14ac:dyDescent="0.3">
      <c r="A31" s="28"/>
      <c r="B31" s="28"/>
      <c r="C31" s="28"/>
      <c r="D31" s="28"/>
      <c r="E31" s="30"/>
      <c r="F31" s="33"/>
      <c r="G31" s="30"/>
      <c r="H31" s="33"/>
      <c r="I31" s="30"/>
      <c r="J31" s="33"/>
      <c r="K31" s="30"/>
      <c r="L31" s="33"/>
      <c r="M31" s="28"/>
    </row>
    <row r="32" spans="1:52" ht="30" customHeight="1" x14ac:dyDescent="0.3">
      <c r="A32" s="24" t="s">
        <v>170</v>
      </c>
      <c r="B32" s="25"/>
      <c r="C32" s="25"/>
      <c r="D32" s="25"/>
      <c r="E32" s="29"/>
      <c r="F32" s="32"/>
      <c r="G32" s="29"/>
      <c r="H32" s="32"/>
      <c r="I32" s="29"/>
      <c r="J32" s="32"/>
      <c r="K32" s="29"/>
      <c r="L32" s="32"/>
      <c r="M32" s="26"/>
      <c r="N32" s="1" t="s">
        <v>91</v>
      </c>
    </row>
    <row r="33" spans="1:52" ht="30" customHeight="1" x14ac:dyDescent="0.3">
      <c r="A33" s="27" t="s">
        <v>87</v>
      </c>
      <c r="B33" s="27" t="s">
        <v>88</v>
      </c>
      <c r="C33" s="27" t="s">
        <v>173</v>
      </c>
      <c r="D33" s="28">
        <v>0.20849999999999999</v>
      </c>
      <c r="E33" s="30">
        <f>단가대비표!O5</f>
        <v>0</v>
      </c>
      <c r="F33" s="33">
        <f>TRUNC(E33*D33,1)</f>
        <v>0</v>
      </c>
      <c r="G33" s="30">
        <f>단가대비표!P5</f>
        <v>0</v>
      </c>
      <c r="H33" s="33">
        <f>TRUNC(G33*D33,1)</f>
        <v>0</v>
      </c>
      <c r="I33" s="30">
        <f>단가대비표!V5</f>
        <v>66538</v>
      </c>
      <c r="J33" s="33">
        <f>TRUNC(I33*D33,1)</f>
        <v>13873.1</v>
      </c>
      <c r="K33" s="30">
        <f t="shared" ref="K33:L36" si="6">TRUNC(E33+G33+I33,1)</f>
        <v>66538</v>
      </c>
      <c r="L33" s="33">
        <f t="shared" si="6"/>
        <v>13873.1</v>
      </c>
      <c r="M33" s="27" t="s">
        <v>174</v>
      </c>
      <c r="N33" s="2" t="s">
        <v>91</v>
      </c>
      <c r="O33" s="2" t="s">
        <v>175</v>
      </c>
      <c r="P33" s="2" t="s">
        <v>59</v>
      </c>
      <c r="Q33" s="2" t="s">
        <v>59</v>
      </c>
      <c r="R33" s="2" t="s">
        <v>58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176</v>
      </c>
      <c r="AX33" s="2" t="s">
        <v>52</v>
      </c>
      <c r="AY33" s="2" t="s">
        <v>52</v>
      </c>
      <c r="AZ33" s="2" t="s">
        <v>52</v>
      </c>
    </row>
    <row r="34" spans="1:52" ht="30" customHeight="1" x14ac:dyDescent="0.3">
      <c r="A34" s="27" t="s">
        <v>177</v>
      </c>
      <c r="B34" s="27" t="s">
        <v>178</v>
      </c>
      <c r="C34" s="27" t="s">
        <v>179</v>
      </c>
      <c r="D34" s="28">
        <v>5</v>
      </c>
      <c r="E34" s="30">
        <f>단가대비표!O6</f>
        <v>1748.18</v>
      </c>
      <c r="F34" s="33">
        <f>TRUNC(E34*D34,1)</f>
        <v>8740.9</v>
      </c>
      <c r="G34" s="30">
        <f>단가대비표!P6</f>
        <v>0</v>
      </c>
      <c r="H34" s="33">
        <f>TRUNC(G34*D34,1)</f>
        <v>0</v>
      </c>
      <c r="I34" s="30">
        <f>단가대비표!V6</f>
        <v>0</v>
      </c>
      <c r="J34" s="33">
        <f>TRUNC(I34*D34,1)</f>
        <v>0</v>
      </c>
      <c r="K34" s="30">
        <f t="shared" si="6"/>
        <v>1748.1</v>
      </c>
      <c r="L34" s="33">
        <f t="shared" si="6"/>
        <v>8740.9</v>
      </c>
      <c r="M34" s="27" t="s">
        <v>52</v>
      </c>
      <c r="N34" s="2" t="s">
        <v>91</v>
      </c>
      <c r="O34" s="2" t="s">
        <v>180</v>
      </c>
      <c r="P34" s="2" t="s">
        <v>59</v>
      </c>
      <c r="Q34" s="2" t="s">
        <v>59</v>
      </c>
      <c r="R34" s="2" t="s">
        <v>58</v>
      </c>
      <c r="S34" s="3"/>
      <c r="T34" s="3"/>
      <c r="U34" s="3"/>
      <c r="V34" s="3">
        <v>1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181</v>
      </c>
      <c r="AX34" s="2" t="s">
        <v>52</v>
      </c>
      <c r="AY34" s="2" t="s">
        <v>52</v>
      </c>
      <c r="AZ34" s="2" t="s">
        <v>52</v>
      </c>
    </row>
    <row r="35" spans="1:52" ht="30" customHeight="1" x14ac:dyDescent="0.3">
      <c r="A35" s="27" t="s">
        <v>182</v>
      </c>
      <c r="B35" s="27" t="s">
        <v>183</v>
      </c>
      <c r="C35" s="27" t="s">
        <v>136</v>
      </c>
      <c r="D35" s="28">
        <v>1</v>
      </c>
      <c r="E35" s="30">
        <f>TRUNC(SUMIF(V33:V36, RIGHTB(O35, 1), F33:F36)*U35, 2)</f>
        <v>1835.58</v>
      </c>
      <c r="F35" s="33">
        <f>TRUNC(E35*D35,1)</f>
        <v>1835.5</v>
      </c>
      <c r="G35" s="30">
        <v>0</v>
      </c>
      <c r="H35" s="33">
        <f>TRUNC(G35*D35,1)</f>
        <v>0</v>
      </c>
      <c r="I35" s="30">
        <v>0</v>
      </c>
      <c r="J35" s="33">
        <f>TRUNC(I35*D35,1)</f>
        <v>0</v>
      </c>
      <c r="K35" s="30">
        <f t="shared" si="6"/>
        <v>1835.5</v>
      </c>
      <c r="L35" s="33">
        <f t="shared" si="6"/>
        <v>1835.5</v>
      </c>
      <c r="M35" s="27" t="s">
        <v>52</v>
      </c>
      <c r="N35" s="2" t="s">
        <v>91</v>
      </c>
      <c r="O35" s="2" t="s">
        <v>137</v>
      </c>
      <c r="P35" s="2" t="s">
        <v>59</v>
      </c>
      <c r="Q35" s="2" t="s">
        <v>59</v>
      </c>
      <c r="R35" s="2" t="s">
        <v>59</v>
      </c>
      <c r="S35" s="3">
        <v>0</v>
      </c>
      <c r="T35" s="3">
        <v>0</v>
      </c>
      <c r="U35" s="3">
        <v>0.21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184</v>
      </c>
      <c r="AX35" s="2" t="s">
        <v>52</v>
      </c>
      <c r="AY35" s="2" t="s">
        <v>52</v>
      </c>
      <c r="AZ35" s="2" t="s">
        <v>52</v>
      </c>
    </row>
    <row r="36" spans="1:52" ht="30" customHeight="1" x14ac:dyDescent="0.3">
      <c r="A36" s="27" t="s">
        <v>185</v>
      </c>
      <c r="B36" s="27" t="s">
        <v>127</v>
      </c>
      <c r="C36" s="27" t="s">
        <v>128</v>
      </c>
      <c r="D36" s="28">
        <v>1</v>
      </c>
      <c r="E36" s="30">
        <f>TRUNC(단가대비표!O19*1/8*16/12*25/20, 1)</f>
        <v>0</v>
      </c>
      <c r="F36" s="33">
        <f>TRUNC(E36*D36,1)</f>
        <v>0</v>
      </c>
      <c r="G36" s="30">
        <f>TRUNC(단가대비표!P19*1/8*16/12*25/20, 1)</f>
        <v>59020.2</v>
      </c>
      <c r="H36" s="33">
        <f>TRUNC(G36*D36,1)</f>
        <v>59020.2</v>
      </c>
      <c r="I36" s="30">
        <f>TRUNC(단가대비표!V19*1/8*16/12*25/20, 1)</f>
        <v>0</v>
      </c>
      <c r="J36" s="33">
        <f>TRUNC(I36*D36,1)</f>
        <v>0</v>
      </c>
      <c r="K36" s="30">
        <f t="shared" si="6"/>
        <v>59020.2</v>
      </c>
      <c r="L36" s="33">
        <f t="shared" si="6"/>
        <v>59020.2</v>
      </c>
      <c r="M36" s="27" t="s">
        <v>52</v>
      </c>
      <c r="N36" s="2" t="s">
        <v>91</v>
      </c>
      <c r="O36" s="2" t="s">
        <v>186</v>
      </c>
      <c r="P36" s="2" t="s">
        <v>59</v>
      </c>
      <c r="Q36" s="2" t="s">
        <v>59</v>
      </c>
      <c r="R36" s="2" t="s">
        <v>58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187</v>
      </c>
      <c r="AX36" s="2" t="s">
        <v>58</v>
      </c>
      <c r="AY36" s="2" t="s">
        <v>52</v>
      </c>
      <c r="AZ36" s="2" t="s">
        <v>52</v>
      </c>
    </row>
    <row r="37" spans="1:52" ht="30" customHeight="1" x14ac:dyDescent="0.3">
      <c r="A37" s="27" t="s">
        <v>139</v>
      </c>
      <c r="B37" s="27" t="s">
        <v>52</v>
      </c>
      <c r="C37" s="27" t="s">
        <v>52</v>
      </c>
      <c r="D37" s="28"/>
      <c r="E37" s="30"/>
      <c r="F37" s="33">
        <f>TRUNC(SUMIF(N33:N36, N32, F33:F36),0)</f>
        <v>10576</v>
      </c>
      <c r="G37" s="30"/>
      <c r="H37" s="33">
        <f>TRUNC(SUMIF(N33:N36, N32, H33:H36),0)</f>
        <v>59020</v>
      </c>
      <c r="I37" s="30"/>
      <c r="J37" s="33">
        <f>TRUNC(SUMIF(N33:N36, N32, J33:J36),0)</f>
        <v>13873</v>
      </c>
      <c r="K37" s="30"/>
      <c r="L37" s="33">
        <f>F37+H37+J37</f>
        <v>83469</v>
      </c>
      <c r="M37" s="27" t="s">
        <v>52</v>
      </c>
      <c r="N37" s="2" t="s">
        <v>98</v>
      </c>
      <c r="O37" s="2" t="s">
        <v>98</v>
      </c>
      <c r="P37" s="2" t="s">
        <v>52</v>
      </c>
      <c r="Q37" s="2" t="s">
        <v>52</v>
      </c>
      <c r="R37" s="2" t="s">
        <v>52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52</v>
      </c>
      <c r="AX37" s="2" t="s">
        <v>52</v>
      </c>
      <c r="AY37" s="2" t="s">
        <v>52</v>
      </c>
      <c r="AZ37" s="2" t="s">
        <v>52</v>
      </c>
    </row>
    <row r="38" spans="1:52" ht="30" customHeight="1" x14ac:dyDescent="0.3">
      <c r="A38" s="28"/>
      <c r="B38" s="28"/>
      <c r="C38" s="28"/>
      <c r="D38" s="28"/>
      <c r="E38" s="30"/>
      <c r="F38" s="33"/>
      <c r="G38" s="30"/>
      <c r="H38" s="33"/>
      <c r="I38" s="30"/>
      <c r="J38" s="33"/>
      <c r="K38" s="30"/>
      <c r="L38" s="33"/>
      <c r="M38" s="28"/>
    </row>
    <row r="39" spans="1:52" ht="30" customHeight="1" x14ac:dyDescent="0.3">
      <c r="A39" s="24" t="s">
        <v>387</v>
      </c>
      <c r="B39" s="25"/>
      <c r="C39" s="25"/>
      <c r="D39" s="25"/>
      <c r="E39" s="29"/>
      <c r="F39" s="32"/>
      <c r="G39" s="29"/>
      <c r="H39" s="32"/>
      <c r="I39" s="29"/>
      <c r="J39" s="32"/>
      <c r="K39" s="29"/>
      <c r="L39" s="32"/>
      <c r="M39" s="26"/>
      <c r="N39" s="41" t="s">
        <v>57</v>
      </c>
    </row>
    <row r="40" spans="1:52" ht="30" customHeight="1" x14ac:dyDescent="0.3">
      <c r="A40" s="27" t="s">
        <v>388</v>
      </c>
      <c r="B40" s="27" t="s">
        <v>391</v>
      </c>
      <c r="C40" s="27" t="s">
        <v>55</v>
      </c>
      <c r="D40" s="28">
        <v>1</v>
      </c>
      <c r="E40" s="30"/>
      <c r="F40" s="33">
        <f>TRUNC(E40*D40,1)</f>
        <v>0</v>
      </c>
      <c r="G40" s="30"/>
      <c r="H40" s="33">
        <f>TRUNC(G40*D40,1)</f>
        <v>0</v>
      </c>
      <c r="I40" s="30"/>
      <c r="J40" s="33">
        <f>TRUNC(I40*D40,1)</f>
        <v>0</v>
      </c>
      <c r="K40" s="30">
        <f t="shared" ref="K40:K42" si="7">TRUNC(E40+G40+I40,1)</f>
        <v>0</v>
      </c>
      <c r="L40" s="33">
        <f t="shared" ref="L40:L42" si="8">TRUNC(F40+H40+J40,1)</f>
        <v>0</v>
      </c>
      <c r="M40" s="27" t="s">
        <v>52</v>
      </c>
      <c r="N40" s="2" t="s">
        <v>57</v>
      </c>
      <c r="O40" s="2" t="s">
        <v>124</v>
      </c>
      <c r="P40" s="2" t="s">
        <v>59</v>
      </c>
      <c r="Q40" s="2" t="s">
        <v>59</v>
      </c>
      <c r="R40" s="2" t="s">
        <v>58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125</v>
      </c>
      <c r="AX40" s="2" t="s">
        <v>52</v>
      </c>
      <c r="AY40" s="2" t="s">
        <v>52</v>
      </c>
      <c r="AZ40" s="2" t="s">
        <v>52</v>
      </c>
    </row>
    <row r="41" spans="1:52" ht="30" customHeight="1" x14ac:dyDescent="0.3">
      <c r="A41" s="27" t="s">
        <v>126</v>
      </c>
      <c r="B41" s="27" t="s">
        <v>127</v>
      </c>
      <c r="C41" s="27" t="s">
        <v>128</v>
      </c>
      <c r="D41" s="28">
        <f>공량산출근거서_일위대가!K16</f>
        <v>7.4999999999999997E-2</v>
      </c>
      <c r="E41" s="30">
        <f>단가대비표!O18</f>
        <v>0</v>
      </c>
      <c r="F41" s="33">
        <f>TRUNC(E41*D41,1)</f>
        <v>0</v>
      </c>
      <c r="G41" s="30">
        <f>단가대비표!P18</f>
        <v>247897</v>
      </c>
      <c r="H41" s="33">
        <f>TRUNC(G41*D41,1)</f>
        <v>18592.2</v>
      </c>
      <c r="I41" s="30">
        <f>단가대비표!V18</f>
        <v>0</v>
      </c>
      <c r="J41" s="33">
        <f>TRUNC(I41*D41,1)</f>
        <v>0</v>
      </c>
      <c r="K41" s="30">
        <f t="shared" si="7"/>
        <v>247897</v>
      </c>
      <c r="L41" s="33">
        <f t="shared" si="8"/>
        <v>18592.2</v>
      </c>
      <c r="M41" s="42" t="s">
        <v>362</v>
      </c>
      <c r="N41" s="2" t="s">
        <v>57</v>
      </c>
      <c r="O41" s="2" t="s">
        <v>129</v>
      </c>
      <c r="P41" s="2" t="s">
        <v>59</v>
      </c>
      <c r="Q41" s="2" t="s">
        <v>59</v>
      </c>
      <c r="R41" s="2" t="s">
        <v>58</v>
      </c>
      <c r="S41" s="3"/>
      <c r="T41" s="3"/>
      <c r="U41" s="3"/>
      <c r="V41" s="3">
        <v>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130</v>
      </c>
      <c r="AX41" s="2" t="s">
        <v>52</v>
      </c>
      <c r="AY41" s="2" t="s">
        <v>52</v>
      </c>
      <c r="AZ41" s="2" t="s">
        <v>52</v>
      </c>
    </row>
    <row r="42" spans="1:52" ht="30" customHeight="1" x14ac:dyDescent="0.3">
      <c r="A42" s="27" t="s">
        <v>134</v>
      </c>
      <c r="B42" s="27" t="s">
        <v>135</v>
      </c>
      <c r="C42" s="27" t="s">
        <v>136</v>
      </c>
      <c r="D42" s="28">
        <v>1</v>
      </c>
      <c r="E42" s="30">
        <f>TRUNC(SUMIF(V40:V42, RIGHTB(O42, 1), H40:H42)*U42, 2)</f>
        <v>371.84</v>
      </c>
      <c r="F42" s="33">
        <f>TRUNC(E42*D42,1)</f>
        <v>371.8</v>
      </c>
      <c r="G42" s="30">
        <v>0</v>
      </c>
      <c r="H42" s="33">
        <f>TRUNC(G42*D42,1)</f>
        <v>0</v>
      </c>
      <c r="I42" s="30">
        <v>0</v>
      </c>
      <c r="J42" s="33">
        <f>TRUNC(I42*D42,1)</f>
        <v>0</v>
      </c>
      <c r="K42" s="30">
        <f t="shared" si="7"/>
        <v>371.8</v>
      </c>
      <c r="L42" s="33">
        <f t="shared" si="8"/>
        <v>371.8</v>
      </c>
      <c r="M42" s="27" t="s">
        <v>52</v>
      </c>
      <c r="N42" s="2" t="s">
        <v>57</v>
      </c>
      <c r="O42" s="2" t="s">
        <v>137</v>
      </c>
      <c r="P42" s="2" t="s">
        <v>59</v>
      </c>
      <c r="Q42" s="2" t="s">
        <v>59</v>
      </c>
      <c r="R42" s="2" t="s">
        <v>59</v>
      </c>
      <c r="S42" s="3">
        <v>1</v>
      </c>
      <c r="T42" s="3">
        <v>0</v>
      </c>
      <c r="U42" s="3">
        <v>0.02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52</v>
      </c>
      <c r="AW42" s="2" t="s">
        <v>138</v>
      </c>
      <c r="AX42" s="2" t="s">
        <v>52</v>
      </c>
      <c r="AY42" s="2" t="s">
        <v>52</v>
      </c>
      <c r="AZ42" s="2" t="s">
        <v>52</v>
      </c>
    </row>
    <row r="43" spans="1:52" ht="30" customHeight="1" x14ac:dyDescent="0.3">
      <c r="A43" s="27" t="s">
        <v>139</v>
      </c>
      <c r="B43" s="27" t="s">
        <v>52</v>
      </c>
      <c r="C43" s="27" t="s">
        <v>52</v>
      </c>
      <c r="D43" s="28"/>
      <c r="E43" s="30"/>
      <c r="F43" s="33">
        <f>TRUNC(SUMIF(N40:N42, N39, F40:F42),0)</f>
        <v>371</v>
      </c>
      <c r="G43" s="30"/>
      <c r="H43" s="33">
        <f>TRUNC(SUMIF(N40:N42, N39, H40:H42),0)</f>
        <v>18592</v>
      </c>
      <c r="I43" s="30"/>
      <c r="J43" s="33">
        <f>TRUNC(SUMIF(N40:N42, N39, J40:J42),0)</f>
        <v>0</v>
      </c>
      <c r="K43" s="30"/>
      <c r="L43" s="33">
        <f>F43+H43+J43</f>
        <v>18963</v>
      </c>
      <c r="M43" s="27" t="s">
        <v>52</v>
      </c>
      <c r="N43" s="2" t="s">
        <v>98</v>
      </c>
      <c r="O43" s="2" t="s">
        <v>98</v>
      </c>
      <c r="P43" s="2" t="s">
        <v>52</v>
      </c>
      <c r="Q43" s="2" t="s">
        <v>52</v>
      </c>
      <c r="R43" s="2" t="s">
        <v>52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52</v>
      </c>
      <c r="AX43" s="2" t="s">
        <v>52</v>
      </c>
      <c r="AY43" s="2" t="s">
        <v>52</v>
      </c>
      <c r="AZ43" s="2" t="s">
        <v>52</v>
      </c>
    </row>
    <row r="44" spans="1:52" ht="30" customHeight="1" x14ac:dyDescent="0.3">
      <c r="A44" s="28"/>
      <c r="B44" s="28"/>
      <c r="C44" s="28"/>
      <c r="D44" s="28"/>
      <c r="E44" s="30"/>
      <c r="F44" s="33"/>
      <c r="G44" s="30"/>
      <c r="H44" s="33"/>
      <c r="I44" s="30"/>
      <c r="J44" s="33"/>
      <c r="K44" s="30"/>
      <c r="L44" s="33"/>
      <c r="M44" s="28"/>
    </row>
    <row r="45" spans="1:52" ht="30" customHeight="1" x14ac:dyDescent="0.3">
      <c r="A45" s="24" t="s">
        <v>389</v>
      </c>
      <c r="B45" s="25"/>
      <c r="C45" s="25"/>
      <c r="D45" s="25"/>
      <c r="E45" s="29"/>
      <c r="F45" s="32"/>
      <c r="G45" s="29"/>
      <c r="H45" s="32"/>
      <c r="I45" s="29"/>
      <c r="J45" s="32"/>
      <c r="K45" s="29"/>
      <c r="L45" s="32"/>
      <c r="M45" s="26"/>
      <c r="N45" s="41" t="s">
        <v>57</v>
      </c>
    </row>
    <row r="46" spans="1:52" ht="30" customHeight="1" x14ac:dyDescent="0.3">
      <c r="A46" s="27" t="s">
        <v>126</v>
      </c>
      <c r="B46" s="27" t="s">
        <v>127</v>
      </c>
      <c r="C46" s="27" t="s">
        <v>128</v>
      </c>
      <c r="D46" s="28">
        <f>공량산출근거서_일위대가!K19</f>
        <v>0.06</v>
      </c>
      <c r="E46" s="30">
        <f>단가대비표!O18</f>
        <v>0</v>
      </c>
      <c r="F46" s="33">
        <f>TRUNC(E46*D46,1)</f>
        <v>0</v>
      </c>
      <c r="G46" s="30">
        <f>단가대비표!P18</f>
        <v>247897</v>
      </c>
      <c r="H46" s="33">
        <f>TRUNC(G46*D46,1)</f>
        <v>14873.8</v>
      </c>
      <c r="I46" s="30">
        <f>단가대비표!V18</f>
        <v>0</v>
      </c>
      <c r="J46" s="33">
        <f>TRUNC(I46*D46,1)</f>
        <v>0</v>
      </c>
      <c r="K46" s="30">
        <f t="shared" ref="K46:K47" si="9">TRUNC(E46+G46+I46,1)</f>
        <v>247897</v>
      </c>
      <c r="L46" s="33">
        <f t="shared" ref="L46:L47" si="10">TRUNC(F46+H46+J46,1)</f>
        <v>14873.8</v>
      </c>
      <c r="M46" s="42" t="s">
        <v>362</v>
      </c>
      <c r="N46" s="2" t="s">
        <v>57</v>
      </c>
      <c r="O46" s="2" t="s">
        <v>129</v>
      </c>
      <c r="P46" s="2" t="s">
        <v>59</v>
      </c>
      <c r="Q46" s="2" t="s">
        <v>59</v>
      </c>
      <c r="R46" s="2" t="s">
        <v>58</v>
      </c>
      <c r="S46" s="3"/>
      <c r="T46" s="3"/>
      <c r="U46" s="3"/>
      <c r="V46" s="3">
        <v>1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52</v>
      </c>
      <c r="AW46" s="2" t="s">
        <v>130</v>
      </c>
      <c r="AX46" s="2" t="s">
        <v>52</v>
      </c>
      <c r="AY46" s="2" t="s">
        <v>52</v>
      </c>
      <c r="AZ46" s="2" t="s">
        <v>52</v>
      </c>
    </row>
    <row r="47" spans="1:52" ht="30" customHeight="1" x14ac:dyDescent="0.3">
      <c r="A47" s="27" t="s">
        <v>134</v>
      </c>
      <c r="B47" s="27" t="s">
        <v>135</v>
      </c>
      <c r="C47" s="27" t="s">
        <v>136</v>
      </c>
      <c r="D47" s="28">
        <v>1</v>
      </c>
      <c r="E47" s="30">
        <f>TRUNC(SUMIF(V46:V47, RIGHTB(O47, 1), H46:H47)*U47, 2)</f>
        <v>297.47000000000003</v>
      </c>
      <c r="F47" s="33">
        <f>TRUNC(E47*D47,1)</f>
        <v>297.39999999999998</v>
      </c>
      <c r="G47" s="30">
        <v>0</v>
      </c>
      <c r="H47" s="33">
        <f>TRUNC(G47*D47,1)</f>
        <v>0</v>
      </c>
      <c r="I47" s="30">
        <v>0</v>
      </c>
      <c r="J47" s="33">
        <f>TRUNC(I47*D47,1)</f>
        <v>0</v>
      </c>
      <c r="K47" s="30">
        <f t="shared" si="9"/>
        <v>297.39999999999998</v>
      </c>
      <c r="L47" s="33">
        <f t="shared" si="10"/>
        <v>297.39999999999998</v>
      </c>
      <c r="M47" s="27" t="s">
        <v>52</v>
      </c>
      <c r="N47" s="2" t="s">
        <v>57</v>
      </c>
      <c r="O47" s="2" t="s">
        <v>137</v>
      </c>
      <c r="P47" s="2" t="s">
        <v>59</v>
      </c>
      <c r="Q47" s="2" t="s">
        <v>59</v>
      </c>
      <c r="R47" s="2" t="s">
        <v>59</v>
      </c>
      <c r="S47" s="3">
        <v>1</v>
      </c>
      <c r="T47" s="3">
        <v>0</v>
      </c>
      <c r="U47" s="3">
        <v>0.02</v>
      </c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52</v>
      </c>
      <c r="AW47" s="2" t="s">
        <v>138</v>
      </c>
      <c r="AX47" s="2" t="s">
        <v>52</v>
      </c>
      <c r="AY47" s="2" t="s">
        <v>52</v>
      </c>
      <c r="AZ47" s="2" t="s">
        <v>52</v>
      </c>
    </row>
    <row r="48" spans="1:52" ht="30" customHeight="1" x14ac:dyDescent="0.3">
      <c r="A48" s="27" t="s">
        <v>139</v>
      </c>
      <c r="B48" s="27" t="s">
        <v>52</v>
      </c>
      <c r="C48" s="27" t="s">
        <v>52</v>
      </c>
      <c r="D48" s="28"/>
      <c r="E48" s="30"/>
      <c r="F48" s="33">
        <f>TRUNC(SUMIF(N46:N47, N45, F46:F47),0)</f>
        <v>297</v>
      </c>
      <c r="G48" s="30"/>
      <c r="H48" s="33">
        <f>TRUNC(SUMIF(N46:N47, N45, H46:H47),0)</f>
        <v>14873</v>
      </c>
      <c r="I48" s="30"/>
      <c r="J48" s="33">
        <f>TRUNC(SUMIF(N46:N47, N45, J46:J47),0)</f>
        <v>0</v>
      </c>
      <c r="K48" s="30"/>
      <c r="L48" s="33">
        <f>F48+H48+J48</f>
        <v>15170</v>
      </c>
      <c r="M48" s="27" t="s">
        <v>52</v>
      </c>
      <c r="N48" s="2" t="s">
        <v>98</v>
      </c>
      <c r="O48" s="2" t="s">
        <v>98</v>
      </c>
      <c r="P48" s="2" t="s">
        <v>52</v>
      </c>
      <c r="Q48" s="2" t="s">
        <v>52</v>
      </c>
      <c r="R48" s="2" t="s">
        <v>52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52</v>
      </c>
      <c r="AX48" s="2" t="s">
        <v>52</v>
      </c>
      <c r="AY48" s="2" t="s">
        <v>52</v>
      </c>
      <c r="AZ48" s="2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19"/>
  <sheetViews>
    <sheetView topLeftCell="B1" workbookViewId="0">
      <selection activeCell="C16" sqref="C16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55" t="s">
        <v>188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28" ht="30" customHeight="1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</row>
    <row r="3" spans="1:28" ht="30" customHeight="1" x14ac:dyDescent="0.3">
      <c r="A3" s="53" t="s">
        <v>100</v>
      </c>
      <c r="B3" s="53" t="s">
        <v>2</v>
      </c>
      <c r="C3" s="53" t="s">
        <v>189</v>
      </c>
      <c r="D3" s="53" t="s">
        <v>4</v>
      </c>
      <c r="E3" s="53" t="s">
        <v>6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 t="s">
        <v>102</v>
      </c>
      <c r="Q3" s="53" t="s">
        <v>103</v>
      </c>
      <c r="R3" s="53"/>
      <c r="S3" s="53"/>
      <c r="T3" s="53"/>
      <c r="U3" s="53"/>
      <c r="V3" s="53"/>
      <c r="W3" s="53" t="s">
        <v>105</v>
      </c>
      <c r="X3" s="53" t="s">
        <v>12</v>
      </c>
      <c r="Y3" s="52" t="s">
        <v>197</v>
      </c>
      <c r="Z3" s="52" t="s">
        <v>198</v>
      </c>
      <c r="AA3" s="52" t="s">
        <v>199</v>
      </c>
      <c r="AB3" s="52" t="s">
        <v>48</v>
      </c>
    </row>
    <row r="4" spans="1:28" ht="30" customHeight="1" x14ac:dyDescent="0.3">
      <c r="A4" s="53"/>
      <c r="B4" s="53"/>
      <c r="C4" s="53"/>
      <c r="D4" s="53"/>
      <c r="E4" s="9" t="s">
        <v>190</v>
      </c>
      <c r="F4" s="9" t="s">
        <v>191</v>
      </c>
      <c r="G4" s="9" t="s">
        <v>192</v>
      </c>
      <c r="H4" s="9" t="s">
        <v>191</v>
      </c>
      <c r="I4" s="9" t="s">
        <v>193</v>
      </c>
      <c r="J4" s="9" t="s">
        <v>191</v>
      </c>
      <c r="K4" s="9" t="s">
        <v>194</v>
      </c>
      <c r="L4" s="9" t="s">
        <v>191</v>
      </c>
      <c r="M4" s="9" t="s">
        <v>195</v>
      </c>
      <c r="N4" s="9" t="s">
        <v>191</v>
      </c>
      <c r="O4" s="9" t="s">
        <v>196</v>
      </c>
      <c r="P4" s="53"/>
      <c r="Q4" s="9" t="s">
        <v>190</v>
      </c>
      <c r="R4" s="9" t="s">
        <v>192</v>
      </c>
      <c r="S4" s="9" t="s">
        <v>193</v>
      </c>
      <c r="T4" s="9" t="s">
        <v>194</v>
      </c>
      <c r="U4" s="9" t="s">
        <v>195</v>
      </c>
      <c r="V4" s="9" t="s">
        <v>196</v>
      </c>
      <c r="W4" s="53"/>
      <c r="X4" s="53"/>
      <c r="Y4" s="52"/>
      <c r="Z4" s="52"/>
      <c r="AA4" s="52"/>
      <c r="AB4" s="52"/>
    </row>
    <row r="5" spans="1:28" ht="30" customHeight="1" x14ac:dyDescent="0.3">
      <c r="A5" s="23" t="s">
        <v>175</v>
      </c>
      <c r="B5" s="23" t="s">
        <v>87</v>
      </c>
      <c r="C5" s="23" t="s">
        <v>88</v>
      </c>
      <c r="D5" s="34" t="s">
        <v>173</v>
      </c>
      <c r="E5" s="35">
        <v>0</v>
      </c>
      <c r="F5" s="23" t="s">
        <v>52</v>
      </c>
      <c r="G5" s="35">
        <v>0</v>
      </c>
      <c r="H5" s="23" t="s">
        <v>52</v>
      </c>
      <c r="I5" s="35">
        <v>0</v>
      </c>
      <c r="J5" s="23" t="s">
        <v>52</v>
      </c>
      <c r="K5" s="35">
        <v>0</v>
      </c>
      <c r="L5" s="23" t="s">
        <v>52</v>
      </c>
      <c r="M5" s="35">
        <v>0</v>
      </c>
      <c r="N5" s="23" t="s">
        <v>52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66538</v>
      </c>
      <c r="V5" s="35">
        <f>SMALL(Q5:U5,COUNTIF(Q5:U5,0)+1)</f>
        <v>66538</v>
      </c>
      <c r="W5" s="23" t="s">
        <v>200</v>
      </c>
      <c r="X5" s="23" t="s">
        <v>174</v>
      </c>
      <c r="Y5" s="2" t="s">
        <v>52</v>
      </c>
      <c r="Z5" s="2" t="s">
        <v>52</v>
      </c>
      <c r="AA5" s="36"/>
      <c r="AB5" s="2" t="s">
        <v>52</v>
      </c>
    </row>
    <row r="6" spans="1:28" ht="30" customHeight="1" x14ac:dyDescent="0.3">
      <c r="A6" s="23" t="s">
        <v>180</v>
      </c>
      <c r="B6" s="23" t="s">
        <v>177</v>
      </c>
      <c r="C6" s="23" t="s">
        <v>178</v>
      </c>
      <c r="D6" s="34" t="s">
        <v>179</v>
      </c>
      <c r="E6" s="35">
        <v>0</v>
      </c>
      <c r="F6" s="23" t="s">
        <v>52</v>
      </c>
      <c r="G6" s="35">
        <v>1864.54</v>
      </c>
      <c r="H6" s="23" t="s">
        <v>201</v>
      </c>
      <c r="I6" s="35">
        <v>1748.18</v>
      </c>
      <c r="J6" s="23" t="s">
        <v>202</v>
      </c>
      <c r="K6" s="35">
        <v>0</v>
      </c>
      <c r="L6" s="23" t="s">
        <v>52</v>
      </c>
      <c r="M6" s="35">
        <v>0</v>
      </c>
      <c r="N6" s="23" t="s">
        <v>52</v>
      </c>
      <c r="O6" s="35">
        <f t="shared" ref="O6:O16" si="0">SMALL(E6:M6,COUNTIF(E6:M6,0)+1)</f>
        <v>1748.18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23" t="s">
        <v>203</v>
      </c>
      <c r="X6" s="23" t="s">
        <v>52</v>
      </c>
      <c r="Y6" s="2" t="s">
        <v>52</v>
      </c>
      <c r="Z6" s="2" t="s">
        <v>52</v>
      </c>
      <c r="AA6" s="36"/>
      <c r="AB6" s="2" t="s">
        <v>52</v>
      </c>
    </row>
    <row r="7" spans="1:28" ht="30" customHeight="1" x14ac:dyDescent="0.3">
      <c r="A7" s="23" t="s">
        <v>85</v>
      </c>
      <c r="B7" s="23" t="s">
        <v>83</v>
      </c>
      <c r="C7" s="23" t="s">
        <v>84</v>
      </c>
      <c r="D7" s="34" t="s">
        <v>55</v>
      </c>
      <c r="E7" s="35">
        <v>1508</v>
      </c>
      <c r="F7" s="23" t="s">
        <v>52</v>
      </c>
      <c r="G7" s="35">
        <v>1894</v>
      </c>
      <c r="H7" s="23" t="s">
        <v>204</v>
      </c>
      <c r="I7" s="35">
        <v>1919</v>
      </c>
      <c r="J7" s="23" t="s">
        <v>205</v>
      </c>
      <c r="K7" s="35">
        <v>0</v>
      </c>
      <c r="L7" s="23" t="s">
        <v>52</v>
      </c>
      <c r="M7" s="35">
        <v>0</v>
      </c>
      <c r="N7" s="23" t="s">
        <v>52</v>
      </c>
      <c r="O7" s="35">
        <f t="shared" si="0"/>
        <v>1508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23" t="s">
        <v>206</v>
      </c>
      <c r="X7" s="23" t="s">
        <v>52</v>
      </c>
      <c r="Y7" s="2" t="s">
        <v>52</v>
      </c>
      <c r="Z7" s="2" t="s">
        <v>52</v>
      </c>
      <c r="AA7" s="36"/>
      <c r="AB7" s="2" t="s">
        <v>52</v>
      </c>
    </row>
    <row r="8" spans="1:28" ht="30" customHeight="1" x14ac:dyDescent="0.3">
      <c r="A8" s="23" t="s">
        <v>81</v>
      </c>
      <c r="B8" s="23" t="s">
        <v>79</v>
      </c>
      <c r="C8" s="23" t="s">
        <v>80</v>
      </c>
      <c r="D8" s="34" t="s">
        <v>55</v>
      </c>
      <c r="E8" s="35">
        <v>0</v>
      </c>
      <c r="F8" s="23" t="s">
        <v>52</v>
      </c>
      <c r="G8" s="35">
        <v>245</v>
      </c>
      <c r="H8" s="23" t="s">
        <v>207</v>
      </c>
      <c r="I8" s="35">
        <v>0</v>
      </c>
      <c r="J8" s="23" t="s">
        <v>52</v>
      </c>
      <c r="K8" s="35">
        <v>0</v>
      </c>
      <c r="L8" s="23" t="s">
        <v>52</v>
      </c>
      <c r="M8" s="35">
        <v>0</v>
      </c>
      <c r="N8" s="23" t="s">
        <v>52</v>
      </c>
      <c r="O8" s="35">
        <f t="shared" si="0"/>
        <v>245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23" t="s">
        <v>208</v>
      </c>
      <c r="X8" s="23" t="s">
        <v>52</v>
      </c>
      <c r="Y8" s="2" t="s">
        <v>52</v>
      </c>
      <c r="Z8" s="2" t="s">
        <v>52</v>
      </c>
      <c r="AA8" s="36"/>
      <c r="AB8" s="2" t="s">
        <v>52</v>
      </c>
    </row>
    <row r="9" spans="1:28" ht="30" customHeight="1" x14ac:dyDescent="0.3">
      <c r="A9" s="23" t="s">
        <v>95</v>
      </c>
      <c r="B9" s="23" t="s">
        <v>93</v>
      </c>
      <c r="C9" s="23" t="s">
        <v>52</v>
      </c>
      <c r="D9" s="34" t="s">
        <v>94</v>
      </c>
      <c r="E9" s="35">
        <v>0</v>
      </c>
      <c r="F9" s="23" t="s">
        <v>52</v>
      </c>
      <c r="G9" s="35">
        <v>415</v>
      </c>
      <c r="H9" s="23" t="s">
        <v>209</v>
      </c>
      <c r="I9" s="35">
        <v>409</v>
      </c>
      <c r="J9" s="23" t="s">
        <v>210</v>
      </c>
      <c r="K9" s="35">
        <v>0</v>
      </c>
      <c r="L9" s="23" t="s">
        <v>52</v>
      </c>
      <c r="M9" s="35">
        <v>0</v>
      </c>
      <c r="N9" s="23" t="s">
        <v>52</v>
      </c>
      <c r="O9" s="35">
        <f t="shared" si="0"/>
        <v>409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23" t="s">
        <v>211</v>
      </c>
      <c r="X9" s="23" t="s">
        <v>52</v>
      </c>
      <c r="Y9" s="2" t="s">
        <v>52</v>
      </c>
      <c r="Z9" s="2" t="s">
        <v>52</v>
      </c>
      <c r="AA9" s="36"/>
      <c r="AB9" s="2" t="s">
        <v>52</v>
      </c>
    </row>
    <row r="10" spans="1:28" ht="30" customHeight="1" x14ac:dyDescent="0.3">
      <c r="A10" s="23" t="s">
        <v>77</v>
      </c>
      <c r="B10" s="23" t="s">
        <v>75</v>
      </c>
      <c r="C10" s="23" t="s">
        <v>76</v>
      </c>
      <c r="D10" s="34" t="s">
        <v>55</v>
      </c>
      <c r="E10" s="35">
        <v>0</v>
      </c>
      <c r="F10" s="23" t="s">
        <v>52</v>
      </c>
      <c r="G10" s="35">
        <v>0</v>
      </c>
      <c r="H10" s="23" t="s">
        <v>52</v>
      </c>
      <c r="I10" s="35">
        <v>0</v>
      </c>
      <c r="J10" s="23" t="s">
        <v>52</v>
      </c>
      <c r="K10" s="35">
        <v>0</v>
      </c>
      <c r="L10" s="23" t="s">
        <v>52</v>
      </c>
      <c r="M10" s="35">
        <v>6782</v>
      </c>
      <c r="N10" s="23" t="s">
        <v>212</v>
      </c>
      <c r="O10" s="35">
        <f t="shared" si="0"/>
        <v>6782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23" t="s">
        <v>213</v>
      </c>
      <c r="X10" s="23" t="s">
        <v>52</v>
      </c>
      <c r="Y10" s="2" t="s">
        <v>52</v>
      </c>
      <c r="Z10" s="2" t="s">
        <v>52</v>
      </c>
      <c r="AA10" s="36"/>
      <c r="AB10" s="2" t="s">
        <v>52</v>
      </c>
    </row>
    <row r="11" spans="1:28" ht="30" customHeight="1" x14ac:dyDescent="0.3">
      <c r="A11" s="23" t="s">
        <v>124</v>
      </c>
      <c r="B11" s="23" t="s">
        <v>122</v>
      </c>
      <c r="C11" s="23" t="s">
        <v>123</v>
      </c>
      <c r="D11" s="34" t="s">
        <v>55</v>
      </c>
      <c r="E11" s="35">
        <v>0</v>
      </c>
      <c r="F11" s="23" t="s">
        <v>52</v>
      </c>
      <c r="G11" s="35">
        <v>6507000</v>
      </c>
      <c r="H11" s="23" t="s">
        <v>214</v>
      </c>
      <c r="I11" s="35">
        <v>5604000</v>
      </c>
      <c r="J11" s="23" t="s">
        <v>215</v>
      </c>
      <c r="K11" s="35">
        <v>0</v>
      </c>
      <c r="L11" s="23" t="s">
        <v>52</v>
      </c>
      <c r="M11" s="35">
        <v>0</v>
      </c>
      <c r="N11" s="23" t="s">
        <v>52</v>
      </c>
      <c r="O11" s="35">
        <f t="shared" si="0"/>
        <v>5604000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23" t="s">
        <v>216</v>
      </c>
      <c r="X11" s="23" t="s">
        <v>52</v>
      </c>
      <c r="Y11" s="2" t="s">
        <v>52</v>
      </c>
      <c r="Z11" s="2" t="s">
        <v>52</v>
      </c>
      <c r="AA11" s="36"/>
      <c r="AB11" s="2" t="s">
        <v>52</v>
      </c>
    </row>
    <row r="12" spans="1:28" ht="30" customHeight="1" x14ac:dyDescent="0.3">
      <c r="A12" s="23" t="s">
        <v>162</v>
      </c>
      <c r="B12" s="23" t="s">
        <v>160</v>
      </c>
      <c r="C12" s="23" t="s">
        <v>161</v>
      </c>
      <c r="D12" s="34" t="s">
        <v>55</v>
      </c>
      <c r="E12" s="35">
        <v>0</v>
      </c>
      <c r="F12" s="23" t="s">
        <v>52</v>
      </c>
      <c r="G12" s="35">
        <v>0</v>
      </c>
      <c r="H12" s="23" t="s">
        <v>52</v>
      </c>
      <c r="I12" s="35">
        <v>0</v>
      </c>
      <c r="J12" s="23" t="s">
        <v>52</v>
      </c>
      <c r="K12" s="35">
        <v>0</v>
      </c>
      <c r="L12" s="23" t="s">
        <v>52</v>
      </c>
      <c r="M12" s="35">
        <v>8990</v>
      </c>
      <c r="N12" s="23" t="s">
        <v>212</v>
      </c>
      <c r="O12" s="35">
        <f t="shared" si="0"/>
        <v>8990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23" t="s">
        <v>217</v>
      </c>
      <c r="X12" s="23" t="s">
        <v>52</v>
      </c>
      <c r="Y12" s="2" t="s">
        <v>52</v>
      </c>
      <c r="Z12" s="2" t="s">
        <v>52</v>
      </c>
      <c r="AA12" s="36"/>
      <c r="AB12" s="2" t="s">
        <v>52</v>
      </c>
    </row>
    <row r="13" spans="1:28" ht="30" customHeight="1" x14ac:dyDescent="0.3">
      <c r="A13" s="23" t="s">
        <v>151</v>
      </c>
      <c r="B13" s="23" t="s">
        <v>149</v>
      </c>
      <c r="C13" s="23" t="s">
        <v>150</v>
      </c>
      <c r="D13" s="34" t="s">
        <v>55</v>
      </c>
      <c r="E13" s="35">
        <v>650</v>
      </c>
      <c r="F13" s="23" t="s">
        <v>52</v>
      </c>
      <c r="G13" s="35">
        <v>980</v>
      </c>
      <c r="H13" s="23" t="s">
        <v>218</v>
      </c>
      <c r="I13" s="35">
        <v>760</v>
      </c>
      <c r="J13" s="23" t="s">
        <v>219</v>
      </c>
      <c r="K13" s="35">
        <v>0</v>
      </c>
      <c r="L13" s="23" t="s">
        <v>52</v>
      </c>
      <c r="M13" s="35">
        <v>0</v>
      </c>
      <c r="N13" s="23" t="s">
        <v>52</v>
      </c>
      <c r="O13" s="35">
        <f t="shared" si="0"/>
        <v>650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23" t="s">
        <v>220</v>
      </c>
      <c r="X13" s="23" t="s">
        <v>52</v>
      </c>
      <c r="Y13" s="2" t="s">
        <v>52</v>
      </c>
      <c r="Z13" s="2" t="s">
        <v>52</v>
      </c>
      <c r="AA13" s="36"/>
      <c r="AB13" s="2" t="s">
        <v>52</v>
      </c>
    </row>
    <row r="14" spans="1:28" ht="30" customHeight="1" x14ac:dyDescent="0.3">
      <c r="A14" s="23" t="s">
        <v>154</v>
      </c>
      <c r="B14" s="23" t="s">
        <v>149</v>
      </c>
      <c r="C14" s="23" t="s">
        <v>153</v>
      </c>
      <c r="D14" s="34" t="s">
        <v>55</v>
      </c>
      <c r="E14" s="35">
        <v>610</v>
      </c>
      <c r="F14" s="23" t="s">
        <v>52</v>
      </c>
      <c r="G14" s="35">
        <v>930</v>
      </c>
      <c r="H14" s="23" t="s">
        <v>218</v>
      </c>
      <c r="I14" s="35">
        <v>710</v>
      </c>
      <c r="J14" s="23" t="s">
        <v>219</v>
      </c>
      <c r="K14" s="35">
        <v>0</v>
      </c>
      <c r="L14" s="23" t="s">
        <v>52</v>
      </c>
      <c r="M14" s="35">
        <v>0</v>
      </c>
      <c r="N14" s="23" t="s">
        <v>52</v>
      </c>
      <c r="O14" s="35">
        <f t="shared" si="0"/>
        <v>610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23" t="s">
        <v>221</v>
      </c>
      <c r="X14" s="23" t="s">
        <v>52</v>
      </c>
      <c r="Y14" s="2" t="s">
        <v>52</v>
      </c>
      <c r="Z14" s="2" t="s">
        <v>52</v>
      </c>
      <c r="AA14" s="36"/>
      <c r="AB14" s="2" t="s">
        <v>52</v>
      </c>
    </row>
    <row r="15" spans="1:28" ht="30" customHeight="1" x14ac:dyDescent="0.3">
      <c r="A15" s="23" t="s">
        <v>147</v>
      </c>
      <c r="B15" s="23" t="s">
        <v>145</v>
      </c>
      <c r="C15" s="23" t="s">
        <v>146</v>
      </c>
      <c r="D15" s="34" t="s">
        <v>55</v>
      </c>
      <c r="E15" s="35">
        <v>0</v>
      </c>
      <c r="F15" s="23" t="s">
        <v>52</v>
      </c>
      <c r="G15" s="35">
        <v>8000</v>
      </c>
      <c r="H15" s="23" t="s">
        <v>222</v>
      </c>
      <c r="I15" s="35">
        <v>0</v>
      </c>
      <c r="J15" s="23" t="s">
        <v>52</v>
      </c>
      <c r="K15" s="35">
        <v>0</v>
      </c>
      <c r="L15" s="23" t="s">
        <v>52</v>
      </c>
      <c r="M15" s="35">
        <v>0</v>
      </c>
      <c r="N15" s="23" t="s">
        <v>52</v>
      </c>
      <c r="O15" s="35">
        <f t="shared" si="0"/>
        <v>8000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23" t="s">
        <v>223</v>
      </c>
      <c r="X15" s="23" t="s">
        <v>52</v>
      </c>
      <c r="Y15" s="2" t="s">
        <v>52</v>
      </c>
      <c r="Z15" s="2" t="s">
        <v>52</v>
      </c>
      <c r="AA15" s="36"/>
      <c r="AB15" s="2" t="s">
        <v>52</v>
      </c>
    </row>
    <row r="16" spans="1:28" ht="30" customHeight="1" x14ac:dyDescent="0.3">
      <c r="A16" s="23" t="s">
        <v>158</v>
      </c>
      <c r="B16" s="23" t="s">
        <v>156</v>
      </c>
      <c r="C16" s="23" t="s">
        <v>52</v>
      </c>
      <c r="D16" s="34" t="s">
        <v>157</v>
      </c>
      <c r="E16" s="35">
        <v>0</v>
      </c>
      <c r="F16" s="23" t="s">
        <v>52</v>
      </c>
      <c r="G16" s="35">
        <v>0</v>
      </c>
      <c r="H16" s="23" t="s">
        <v>52</v>
      </c>
      <c r="I16" s="35">
        <v>0</v>
      </c>
      <c r="J16" s="23" t="s">
        <v>52</v>
      </c>
      <c r="K16" s="35">
        <v>0</v>
      </c>
      <c r="L16" s="23" t="s">
        <v>52</v>
      </c>
      <c r="M16" s="35">
        <v>6790</v>
      </c>
      <c r="N16" s="23" t="s">
        <v>212</v>
      </c>
      <c r="O16" s="35">
        <f t="shared" si="0"/>
        <v>6790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23" t="s">
        <v>224</v>
      </c>
      <c r="X16" s="23" t="s">
        <v>52</v>
      </c>
      <c r="Y16" s="2" t="s">
        <v>52</v>
      </c>
      <c r="Z16" s="2" t="s">
        <v>52</v>
      </c>
      <c r="AA16" s="36"/>
      <c r="AB16" s="2" t="s">
        <v>52</v>
      </c>
    </row>
    <row r="17" spans="1:28" ht="30" customHeight="1" x14ac:dyDescent="0.3">
      <c r="A17" s="23" t="s">
        <v>132</v>
      </c>
      <c r="B17" s="23" t="s">
        <v>131</v>
      </c>
      <c r="C17" s="23" t="s">
        <v>127</v>
      </c>
      <c r="D17" s="34" t="s">
        <v>128</v>
      </c>
      <c r="E17" s="35">
        <v>0</v>
      </c>
      <c r="F17" s="23" t="s">
        <v>52</v>
      </c>
      <c r="G17" s="35">
        <v>0</v>
      </c>
      <c r="H17" s="23" t="s">
        <v>52</v>
      </c>
      <c r="I17" s="35">
        <v>0</v>
      </c>
      <c r="J17" s="23" t="s">
        <v>52</v>
      </c>
      <c r="K17" s="35">
        <v>0</v>
      </c>
      <c r="L17" s="23" t="s">
        <v>52</v>
      </c>
      <c r="M17" s="35">
        <v>0</v>
      </c>
      <c r="N17" s="23" t="s">
        <v>52</v>
      </c>
      <c r="O17" s="35">
        <v>0</v>
      </c>
      <c r="P17" s="35">
        <v>172068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23" t="s">
        <v>225</v>
      </c>
      <c r="X17" s="23" t="s">
        <v>52</v>
      </c>
      <c r="Y17" s="2" t="s">
        <v>226</v>
      </c>
      <c r="Z17" s="2" t="s">
        <v>52</v>
      </c>
      <c r="AA17" s="36"/>
      <c r="AB17" s="2" t="s">
        <v>52</v>
      </c>
    </row>
    <row r="18" spans="1:28" ht="30" customHeight="1" x14ac:dyDescent="0.3">
      <c r="A18" s="23" t="s">
        <v>129</v>
      </c>
      <c r="B18" s="23" t="s">
        <v>126</v>
      </c>
      <c r="C18" s="23" t="s">
        <v>127</v>
      </c>
      <c r="D18" s="34" t="s">
        <v>128</v>
      </c>
      <c r="E18" s="35">
        <v>0</v>
      </c>
      <c r="F18" s="23" t="s">
        <v>52</v>
      </c>
      <c r="G18" s="35">
        <v>0</v>
      </c>
      <c r="H18" s="23" t="s">
        <v>52</v>
      </c>
      <c r="I18" s="35">
        <v>0</v>
      </c>
      <c r="J18" s="23" t="s">
        <v>52</v>
      </c>
      <c r="K18" s="35">
        <v>0</v>
      </c>
      <c r="L18" s="23" t="s">
        <v>52</v>
      </c>
      <c r="M18" s="35">
        <v>0</v>
      </c>
      <c r="N18" s="23" t="s">
        <v>52</v>
      </c>
      <c r="O18" s="35">
        <v>0</v>
      </c>
      <c r="P18" s="35">
        <v>247897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23" t="s">
        <v>227</v>
      </c>
      <c r="X18" s="23" t="s">
        <v>52</v>
      </c>
      <c r="Y18" s="2" t="s">
        <v>226</v>
      </c>
      <c r="Z18" s="2" t="s">
        <v>52</v>
      </c>
      <c r="AA18" s="36"/>
      <c r="AB18" s="2" t="s">
        <v>52</v>
      </c>
    </row>
    <row r="19" spans="1:28" ht="30" customHeight="1" x14ac:dyDescent="0.3">
      <c r="A19" s="23" t="s">
        <v>186</v>
      </c>
      <c r="B19" s="23" t="s">
        <v>185</v>
      </c>
      <c r="C19" s="23" t="s">
        <v>127</v>
      </c>
      <c r="D19" s="34" t="s">
        <v>128</v>
      </c>
      <c r="E19" s="35">
        <v>0</v>
      </c>
      <c r="F19" s="23" t="s">
        <v>52</v>
      </c>
      <c r="G19" s="35">
        <v>0</v>
      </c>
      <c r="H19" s="23" t="s">
        <v>52</v>
      </c>
      <c r="I19" s="35">
        <v>0</v>
      </c>
      <c r="J19" s="23" t="s">
        <v>52</v>
      </c>
      <c r="K19" s="35">
        <v>0</v>
      </c>
      <c r="L19" s="23" t="s">
        <v>52</v>
      </c>
      <c r="M19" s="35">
        <v>0</v>
      </c>
      <c r="N19" s="23" t="s">
        <v>52</v>
      </c>
      <c r="O19" s="35">
        <v>0</v>
      </c>
      <c r="P19" s="35">
        <v>283297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23" t="s">
        <v>228</v>
      </c>
      <c r="X19" s="23" t="s">
        <v>52</v>
      </c>
      <c r="Y19" s="2" t="s">
        <v>226</v>
      </c>
      <c r="Z19" s="2" t="s">
        <v>52</v>
      </c>
      <c r="AA19" s="36"/>
      <c r="AB19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X19"/>
  <sheetViews>
    <sheetView topLeftCell="B1" zoomScale="90" zoomScaleNormal="90" workbookViewId="0">
      <selection activeCell="H19" sqref="H19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5" width="0" hidden="1" customWidth="1"/>
  </cols>
  <sheetData>
    <row r="1" spans="1:24" ht="30" customHeight="1" x14ac:dyDescent="0.3">
      <c r="A1" s="46" t="s">
        <v>231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24" ht="30" customHeight="1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24" ht="30" customHeight="1" x14ac:dyDescent="0.3">
      <c r="A3" s="9" t="s">
        <v>100</v>
      </c>
      <c r="B3" s="9" t="s">
        <v>2</v>
      </c>
      <c r="C3" s="9" t="s">
        <v>3</v>
      </c>
      <c r="D3" s="9" t="s">
        <v>4</v>
      </c>
      <c r="E3" s="9" t="s">
        <v>232</v>
      </c>
      <c r="F3" s="9" t="s">
        <v>233</v>
      </c>
      <c r="G3" s="9" t="s">
        <v>108</v>
      </c>
      <c r="H3" s="9" t="s">
        <v>234</v>
      </c>
      <c r="I3" s="9" t="s">
        <v>235</v>
      </c>
      <c r="J3" s="9" t="s">
        <v>236</v>
      </c>
      <c r="K3" s="9" t="s">
        <v>237</v>
      </c>
      <c r="L3" s="9" t="s">
        <v>238</v>
      </c>
      <c r="M3" s="9" t="s">
        <v>239</v>
      </c>
      <c r="N3" s="9" t="s">
        <v>240</v>
      </c>
      <c r="O3" s="9" t="s">
        <v>105</v>
      </c>
      <c r="P3" s="9" t="s">
        <v>241</v>
      </c>
      <c r="Q3" s="1" t="s">
        <v>52</v>
      </c>
      <c r="R3" s="1" t="s">
        <v>52</v>
      </c>
      <c r="S3" s="1" t="s">
        <v>52</v>
      </c>
      <c r="T3" s="1" t="s">
        <v>251</v>
      </c>
      <c r="V3" s="1" t="s">
        <v>131</v>
      </c>
      <c r="W3" s="1" t="s">
        <v>127</v>
      </c>
      <c r="X3" s="1" t="s">
        <v>126</v>
      </c>
    </row>
    <row r="4" spans="1:24" ht="30" customHeight="1" x14ac:dyDescent="0.3">
      <c r="A4" s="37"/>
      <c r="B4" s="56" t="s">
        <v>252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24" ht="30" customHeight="1" x14ac:dyDescent="0.3">
      <c r="A5" s="38" t="s">
        <v>124</v>
      </c>
      <c r="B5" s="38" t="s">
        <v>122</v>
      </c>
      <c r="C5" s="38" t="s">
        <v>123</v>
      </c>
      <c r="D5" s="38" t="s">
        <v>55</v>
      </c>
      <c r="E5" s="38" t="s">
        <v>121</v>
      </c>
      <c r="F5" s="37">
        <v>1</v>
      </c>
      <c r="G5" s="37">
        <v>0</v>
      </c>
      <c r="H5" s="37">
        <v>50</v>
      </c>
      <c r="I5" s="37"/>
      <c r="J5" s="37"/>
      <c r="K5" s="37">
        <v>1</v>
      </c>
      <c r="L5" s="38" t="s">
        <v>131</v>
      </c>
      <c r="M5" s="37">
        <f>0.23*(H5+100)/100*(I5+100)/100*(J5+100)/100</f>
        <v>0.34499999999999997</v>
      </c>
      <c r="N5" s="37">
        <f>F5*M5</f>
        <v>0.34499999999999997</v>
      </c>
      <c r="O5" s="38" t="s">
        <v>225</v>
      </c>
      <c r="P5" s="38" t="s">
        <v>361</v>
      </c>
      <c r="Q5" s="1" t="s">
        <v>57</v>
      </c>
      <c r="R5" s="1" t="s">
        <v>132</v>
      </c>
      <c r="S5">
        <v>0.23</v>
      </c>
      <c r="T5" s="1" t="s">
        <v>125</v>
      </c>
      <c r="V5">
        <f>N5</f>
        <v>0.34499999999999997</v>
      </c>
    </row>
    <row r="6" spans="1:24" ht="30" customHeight="1" x14ac:dyDescent="0.3">
      <c r="A6" s="38" t="s">
        <v>52</v>
      </c>
      <c r="B6" s="38" t="s">
        <v>52</v>
      </c>
      <c r="C6" s="38" t="s">
        <v>52</v>
      </c>
      <c r="D6" s="38" t="s">
        <v>52</v>
      </c>
      <c r="E6" s="38" t="s">
        <v>52</v>
      </c>
      <c r="F6" s="37"/>
      <c r="G6" s="37"/>
      <c r="H6" s="37"/>
      <c r="I6" s="37"/>
      <c r="J6" s="37"/>
      <c r="K6" s="37"/>
      <c r="L6" s="38" t="s">
        <v>126</v>
      </c>
      <c r="M6" s="37">
        <f>0.616*(H5+100)/100*(I5+100)/100*(J5+100)/100</f>
        <v>0.92400000000000004</v>
      </c>
      <c r="N6" s="37">
        <f>F5*M6</f>
        <v>0.92400000000000004</v>
      </c>
      <c r="O6" s="38" t="s">
        <v>227</v>
      </c>
      <c r="P6" s="38" t="s">
        <v>52</v>
      </c>
      <c r="Q6" s="1" t="s">
        <v>57</v>
      </c>
      <c r="R6" s="1" t="s">
        <v>129</v>
      </c>
      <c r="S6">
        <v>0.61599999999999999</v>
      </c>
      <c r="T6" s="1" t="s">
        <v>125</v>
      </c>
      <c r="X6">
        <f>N6</f>
        <v>0.92400000000000004</v>
      </c>
    </row>
    <row r="7" spans="1:24" ht="30" customHeight="1" x14ac:dyDescent="0.3">
      <c r="A7" s="38" t="s">
        <v>132</v>
      </c>
      <c r="B7" s="38" t="s">
        <v>131</v>
      </c>
      <c r="C7" s="38" t="s">
        <v>127</v>
      </c>
      <c r="D7" s="38" t="s">
        <v>128</v>
      </c>
      <c r="E7" s="38" t="s">
        <v>52</v>
      </c>
      <c r="F7" s="37">
        <f>SUM(V5:V6)</f>
        <v>0.34499999999999997</v>
      </c>
      <c r="G7" s="37"/>
      <c r="H7" s="37"/>
      <c r="I7" s="37"/>
      <c r="J7" s="37"/>
      <c r="K7" s="37">
        <f>ROUND(ROUNDDOWN(F7,공량설정_일위대가!C4+1)*공량설정_일위대가!B2/100, 공량설정_일위대가!C4)</f>
        <v>0.34499999999999997</v>
      </c>
      <c r="L7" s="38" t="s">
        <v>52</v>
      </c>
      <c r="M7" s="37"/>
      <c r="N7" s="37"/>
      <c r="O7" s="37" t="s">
        <v>225</v>
      </c>
      <c r="P7" s="38" t="s">
        <v>52</v>
      </c>
      <c r="Q7" s="1" t="s">
        <v>57</v>
      </c>
      <c r="R7" s="1" t="s">
        <v>52</v>
      </c>
      <c r="T7" s="1" t="s">
        <v>133</v>
      </c>
    </row>
    <row r="8" spans="1:24" ht="30" customHeight="1" x14ac:dyDescent="0.3">
      <c r="A8" s="38" t="s">
        <v>129</v>
      </c>
      <c r="B8" s="38" t="s">
        <v>126</v>
      </c>
      <c r="C8" s="38" t="s">
        <v>127</v>
      </c>
      <c r="D8" s="38" t="s">
        <v>128</v>
      </c>
      <c r="E8" s="38" t="s">
        <v>52</v>
      </c>
      <c r="F8" s="37">
        <f>SUM(X5:X6)</f>
        <v>0.92400000000000004</v>
      </c>
      <c r="G8" s="37"/>
      <c r="H8" s="37"/>
      <c r="I8" s="37"/>
      <c r="J8" s="37"/>
      <c r="K8" s="37">
        <f>ROUND(ROUNDDOWN(F8,공량설정_일위대가!C3+1)*공량설정_일위대가!B2/100, 공량설정_일위대가!C3)</f>
        <v>0.92400000000000004</v>
      </c>
      <c r="L8" s="38" t="s">
        <v>52</v>
      </c>
      <c r="M8" s="37"/>
      <c r="N8" s="37"/>
      <c r="O8" s="37" t="s">
        <v>227</v>
      </c>
      <c r="P8" s="38" t="s">
        <v>52</v>
      </c>
      <c r="Q8" s="1" t="s">
        <v>57</v>
      </c>
      <c r="R8" s="1" t="s">
        <v>52</v>
      </c>
      <c r="T8" s="1" t="s">
        <v>130</v>
      </c>
    </row>
    <row r="9" spans="1:24" ht="30" customHeight="1" x14ac:dyDescent="0.3">
      <c r="A9" s="37"/>
      <c r="B9" s="56" t="s">
        <v>359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</row>
    <row r="10" spans="1:24" ht="30" customHeight="1" x14ac:dyDescent="0.3">
      <c r="A10" s="38" t="s">
        <v>124</v>
      </c>
      <c r="B10" s="38"/>
      <c r="C10" s="38"/>
      <c r="D10" s="38" t="s">
        <v>55</v>
      </c>
      <c r="E10" s="38" t="s">
        <v>121</v>
      </c>
      <c r="F10" s="37">
        <v>1</v>
      </c>
      <c r="G10" s="37">
        <v>0</v>
      </c>
      <c r="H10" s="37">
        <v>50</v>
      </c>
      <c r="I10" s="37">
        <v>-50</v>
      </c>
      <c r="J10" s="37"/>
      <c r="K10" s="37">
        <v>1</v>
      </c>
      <c r="L10" s="38" t="s">
        <v>131</v>
      </c>
      <c r="M10" s="37">
        <f>0.23*(H10+100)/100*(I10+100)/100*(J10+100)/100</f>
        <v>0.17249999999999999</v>
      </c>
      <c r="N10" s="37">
        <f>F10*M10</f>
        <v>0.17249999999999999</v>
      </c>
      <c r="O10" s="38" t="s">
        <v>225</v>
      </c>
      <c r="P10" s="38" t="s">
        <v>360</v>
      </c>
      <c r="Q10" s="40" t="s">
        <v>57</v>
      </c>
      <c r="R10" s="40" t="s">
        <v>132</v>
      </c>
      <c r="S10">
        <v>0.23</v>
      </c>
      <c r="T10" s="40" t="s">
        <v>125</v>
      </c>
      <c r="V10">
        <f>N10</f>
        <v>0.17249999999999999</v>
      </c>
    </row>
    <row r="11" spans="1:24" ht="30" customHeight="1" x14ac:dyDescent="0.3">
      <c r="A11" s="38" t="s">
        <v>52</v>
      </c>
      <c r="B11" s="38" t="s">
        <v>52</v>
      </c>
      <c r="C11" s="38" t="s">
        <v>52</v>
      </c>
      <c r="D11" s="38" t="s">
        <v>52</v>
      </c>
      <c r="E11" s="38" t="s">
        <v>52</v>
      </c>
      <c r="F11" s="37"/>
      <c r="G11" s="37"/>
      <c r="H11" s="37"/>
      <c r="I11" s="37"/>
      <c r="J11" s="37"/>
      <c r="K11" s="37"/>
      <c r="L11" s="38" t="s">
        <v>126</v>
      </c>
      <c r="M11" s="37">
        <f>0.616*(H10+100)/100*(I10+100)/100*(J10+100)/100</f>
        <v>0.46200000000000002</v>
      </c>
      <c r="N11" s="37">
        <f>F10*M11</f>
        <v>0.46200000000000002</v>
      </c>
      <c r="O11" s="38" t="s">
        <v>227</v>
      </c>
      <c r="P11" s="38" t="s">
        <v>52</v>
      </c>
      <c r="Q11" s="40" t="s">
        <v>57</v>
      </c>
      <c r="R11" s="40" t="s">
        <v>129</v>
      </c>
      <c r="S11">
        <v>0.61599999999999999</v>
      </c>
      <c r="T11" s="40" t="s">
        <v>125</v>
      </c>
      <c r="X11">
        <f>N11</f>
        <v>0.46200000000000002</v>
      </c>
    </row>
    <row r="12" spans="1:24" ht="30" customHeight="1" x14ac:dyDescent="0.3">
      <c r="A12" s="38" t="s">
        <v>132</v>
      </c>
      <c r="B12" s="38" t="s">
        <v>131</v>
      </c>
      <c r="C12" s="38" t="s">
        <v>127</v>
      </c>
      <c r="D12" s="38" t="s">
        <v>128</v>
      </c>
      <c r="E12" s="38" t="s">
        <v>52</v>
      </c>
      <c r="F12" s="37">
        <f>SUM(V10:V11)</f>
        <v>0.17249999999999999</v>
      </c>
      <c r="G12" s="37"/>
      <c r="H12" s="37"/>
      <c r="I12" s="37"/>
      <c r="J12" s="37"/>
      <c r="K12" s="37">
        <f>ROUND(ROUNDDOWN(F12,공량설정_일위대가!C7+1)*공량설정_일위대가!B5/100, 공량설정_일위대가!C7)</f>
        <v>0.17299999999999999</v>
      </c>
      <c r="L12" s="38" t="s">
        <v>52</v>
      </c>
      <c r="M12" s="37"/>
      <c r="N12" s="37"/>
      <c r="O12" s="37" t="s">
        <v>225</v>
      </c>
      <c r="P12" s="38" t="s">
        <v>52</v>
      </c>
      <c r="Q12" s="40" t="s">
        <v>57</v>
      </c>
      <c r="R12" s="40" t="s">
        <v>52</v>
      </c>
      <c r="T12" s="40" t="s">
        <v>133</v>
      </c>
    </row>
    <row r="13" spans="1:24" ht="30" customHeight="1" x14ac:dyDescent="0.3">
      <c r="A13" s="38" t="s">
        <v>129</v>
      </c>
      <c r="B13" s="38" t="s">
        <v>126</v>
      </c>
      <c r="C13" s="38" t="s">
        <v>127</v>
      </c>
      <c r="D13" s="38" t="s">
        <v>128</v>
      </c>
      <c r="E13" s="38" t="s">
        <v>52</v>
      </c>
      <c r="F13" s="37">
        <f>SUM(X10:X11)</f>
        <v>0.46200000000000002</v>
      </c>
      <c r="G13" s="37"/>
      <c r="H13" s="37"/>
      <c r="I13" s="37"/>
      <c r="J13" s="37"/>
      <c r="K13" s="37">
        <f>ROUND(ROUNDDOWN(F13,공량설정_일위대가!C6+1)*공량설정_일위대가!B5/100, 공량설정_일위대가!C6)</f>
        <v>0.46200000000000002</v>
      </c>
      <c r="L13" s="38" t="s">
        <v>52</v>
      </c>
      <c r="M13" s="37"/>
      <c r="N13" s="37"/>
      <c r="O13" s="37" t="s">
        <v>227</v>
      </c>
      <c r="P13" s="38" t="s">
        <v>52</v>
      </c>
      <c r="Q13" s="40" t="s">
        <v>57</v>
      </c>
      <c r="R13" s="40" t="s">
        <v>52</v>
      </c>
      <c r="T13" s="40" t="s">
        <v>130</v>
      </c>
    </row>
    <row r="14" spans="1:24" ht="30" customHeight="1" x14ac:dyDescent="0.3">
      <c r="A14" s="37"/>
      <c r="B14" s="56" t="s">
        <v>385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</row>
    <row r="15" spans="1:24" ht="30" customHeight="1" x14ac:dyDescent="0.3">
      <c r="A15" s="38" t="s">
        <v>124</v>
      </c>
      <c r="B15" s="38" t="s">
        <v>122</v>
      </c>
      <c r="C15" s="38" t="s">
        <v>380</v>
      </c>
      <c r="D15" s="38" t="s">
        <v>55</v>
      </c>
      <c r="E15" s="38" t="s">
        <v>121</v>
      </c>
      <c r="F15" s="37">
        <v>1</v>
      </c>
      <c r="G15" s="37">
        <v>0</v>
      </c>
      <c r="H15" s="37">
        <v>50</v>
      </c>
      <c r="I15" s="37"/>
      <c r="J15" s="37"/>
      <c r="K15" s="37">
        <v>1</v>
      </c>
      <c r="L15" s="38" t="s">
        <v>126</v>
      </c>
      <c r="M15" s="37">
        <f>0.05*(H15+100)/100*(I15+100)/100*(J15+100)/100</f>
        <v>7.4999999999999997E-2</v>
      </c>
      <c r="N15" s="37">
        <f>F15*M15</f>
        <v>7.4999999999999997E-2</v>
      </c>
      <c r="O15" s="38" t="s">
        <v>227</v>
      </c>
      <c r="P15" s="38" t="s">
        <v>381</v>
      </c>
      <c r="Q15" s="41" t="s">
        <v>57</v>
      </c>
      <c r="R15" s="41" t="s">
        <v>132</v>
      </c>
      <c r="S15">
        <v>0.23</v>
      </c>
      <c r="T15" s="41" t="s">
        <v>125</v>
      </c>
      <c r="V15">
        <f>N15</f>
        <v>7.4999999999999997E-2</v>
      </c>
    </row>
    <row r="16" spans="1:24" ht="30" customHeight="1" x14ac:dyDescent="0.3">
      <c r="A16" s="38" t="s">
        <v>132</v>
      </c>
      <c r="B16" s="38" t="s">
        <v>126</v>
      </c>
      <c r="C16" s="38" t="s">
        <v>127</v>
      </c>
      <c r="D16" s="38" t="s">
        <v>128</v>
      </c>
      <c r="E16" s="38" t="s">
        <v>52</v>
      </c>
      <c r="F16" s="37">
        <f>SUM(V15:V15)</f>
        <v>7.4999999999999997E-2</v>
      </c>
      <c r="G16" s="37"/>
      <c r="H16" s="37"/>
      <c r="I16" s="37"/>
      <c r="J16" s="37"/>
      <c r="K16" s="37">
        <f>ROUND(ROUNDDOWN(F16,공량설정_일위대가!C15+1)*공량설정_일위대가!B14/100, 공량설정_일위대가!C15)</f>
        <v>7.4999999999999997E-2</v>
      </c>
      <c r="L16" s="38" t="s">
        <v>52</v>
      </c>
      <c r="M16" s="37"/>
      <c r="N16" s="37"/>
      <c r="O16" s="38" t="s">
        <v>227</v>
      </c>
      <c r="P16" s="38" t="s">
        <v>52</v>
      </c>
      <c r="Q16" s="41" t="s">
        <v>57</v>
      </c>
      <c r="R16" s="41" t="s">
        <v>52</v>
      </c>
      <c r="T16" s="41" t="s">
        <v>133</v>
      </c>
    </row>
    <row r="17" spans="1:22" ht="30" customHeight="1" x14ac:dyDescent="0.3">
      <c r="A17" s="37"/>
      <c r="B17" s="56" t="s">
        <v>386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</row>
    <row r="18" spans="1:22" ht="30" customHeight="1" x14ac:dyDescent="0.3">
      <c r="A18" s="38" t="s">
        <v>124</v>
      </c>
      <c r="B18" s="38"/>
      <c r="C18" s="38"/>
      <c r="D18" s="38" t="s">
        <v>55</v>
      </c>
      <c r="E18" s="38" t="s">
        <v>121</v>
      </c>
      <c r="F18" s="37">
        <v>1</v>
      </c>
      <c r="G18" s="37">
        <v>0</v>
      </c>
      <c r="H18" s="37">
        <v>50</v>
      </c>
      <c r="I18" s="37">
        <v>-20</v>
      </c>
      <c r="J18" s="37"/>
      <c r="K18" s="37">
        <v>1</v>
      </c>
      <c r="L18" s="38" t="s">
        <v>126</v>
      </c>
      <c r="M18" s="37">
        <f>0.05*(H18+100)/100*(I18+100)/100*(J18+100)/100</f>
        <v>0.06</v>
      </c>
      <c r="N18" s="37">
        <f>F18*M18</f>
        <v>0.06</v>
      </c>
      <c r="O18" s="38" t="s">
        <v>227</v>
      </c>
      <c r="P18" s="38" t="s">
        <v>382</v>
      </c>
      <c r="Q18" s="41" t="s">
        <v>57</v>
      </c>
      <c r="R18" s="41" t="s">
        <v>132</v>
      </c>
      <c r="S18">
        <v>0.23</v>
      </c>
      <c r="T18" s="41" t="s">
        <v>125</v>
      </c>
      <c r="V18">
        <f>N18</f>
        <v>0.06</v>
      </c>
    </row>
    <row r="19" spans="1:22" ht="30" customHeight="1" x14ac:dyDescent="0.3">
      <c r="A19" s="38" t="s">
        <v>132</v>
      </c>
      <c r="B19" s="38" t="s">
        <v>126</v>
      </c>
      <c r="C19" s="38" t="s">
        <v>127</v>
      </c>
      <c r="D19" s="38" t="s">
        <v>128</v>
      </c>
      <c r="E19" s="38" t="s">
        <v>52</v>
      </c>
      <c r="F19" s="37">
        <f>SUM(V18:V18)</f>
        <v>0.06</v>
      </c>
      <c r="G19" s="37"/>
      <c r="H19" s="37"/>
      <c r="I19" s="37"/>
      <c r="J19" s="37"/>
      <c r="K19" s="37">
        <f>ROUND(ROUNDDOWN(F19,공량설정_일위대가!C17+1)*공량설정_일위대가!B16/100, 공량설정_일위대가!C17)</f>
        <v>0.06</v>
      </c>
      <c r="L19" s="38" t="s">
        <v>52</v>
      </c>
      <c r="M19" s="37"/>
      <c r="N19" s="37"/>
      <c r="O19" s="38" t="s">
        <v>227</v>
      </c>
      <c r="P19" s="38" t="s">
        <v>52</v>
      </c>
      <c r="Q19" s="41" t="s">
        <v>57</v>
      </c>
      <c r="R19" s="41" t="s">
        <v>52</v>
      </c>
      <c r="T19" s="41" t="s">
        <v>133</v>
      </c>
    </row>
  </sheetData>
  <mergeCells count="6">
    <mergeCell ref="B17:P17"/>
    <mergeCell ref="A1:P1"/>
    <mergeCell ref="A2:P2"/>
    <mergeCell ref="B4:P4"/>
    <mergeCell ref="B9:P9"/>
    <mergeCell ref="B14:P14"/>
  </mergeCells>
  <phoneticPr fontId="1" type="noConversion"/>
  <pageMargins left="0.78740157480314954" right="0" top="0.39370078740157477" bottom="0.39370078740157477" header="0" footer="0"/>
  <pageSetup paperSize="9" scale="5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7"/>
  <sheetViews>
    <sheetView workbookViewId="0">
      <selection activeCell="H30" sqref="H30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111</v>
      </c>
      <c r="B1" t="s">
        <v>229</v>
      </c>
      <c r="C1" t="s">
        <v>230</v>
      </c>
      <c r="D1" t="s">
        <v>242</v>
      </c>
    </row>
    <row r="2" spans="1:4" x14ac:dyDescent="0.3">
      <c r="A2" s="1" t="s">
        <v>243</v>
      </c>
      <c r="B2">
        <v>100</v>
      </c>
      <c r="D2" s="1" t="s">
        <v>57</v>
      </c>
    </row>
    <row r="3" spans="1:4" x14ac:dyDescent="0.3">
      <c r="A3" t="s">
        <v>244</v>
      </c>
      <c r="C3">
        <v>3</v>
      </c>
      <c r="D3" s="1" t="s">
        <v>130</v>
      </c>
    </row>
    <row r="4" spans="1:4" x14ac:dyDescent="0.3">
      <c r="A4" t="s">
        <v>245</v>
      </c>
      <c r="C4">
        <v>3</v>
      </c>
      <c r="D4" s="1" t="s">
        <v>133</v>
      </c>
    </row>
    <row r="5" spans="1:4" x14ac:dyDescent="0.3">
      <c r="A5" s="1" t="s">
        <v>246</v>
      </c>
      <c r="B5">
        <v>100</v>
      </c>
      <c r="D5" s="1" t="s">
        <v>63</v>
      </c>
    </row>
    <row r="6" spans="1:4" x14ac:dyDescent="0.3">
      <c r="A6" t="s">
        <v>244</v>
      </c>
      <c r="C6">
        <v>3</v>
      </c>
      <c r="D6" s="1" t="s">
        <v>140</v>
      </c>
    </row>
    <row r="7" spans="1:4" x14ac:dyDescent="0.3">
      <c r="A7" t="s">
        <v>245</v>
      </c>
      <c r="C7">
        <v>3</v>
      </c>
      <c r="D7" s="1" t="s">
        <v>141</v>
      </c>
    </row>
    <row r="8" spans="1:4" x14ac:dyDescent="0.3">
      <c r="A8" s="1" t="s">
        <v>247</v>
      </c>
      <c r="B8">
        <v>100</v>
      </c>
      <c r="D8" s="1" t="s">
        <v>69</v>
      </c>
    </row>
    <row r="9" spans="1:4" x14ac:dyDescent="0.3">
      <c r="A9" t="s">
        <v>244</v>
      </c>
      <c r="C9">
        <v>2</v>
      </c>
      <c r="D9" s="1" t="s">
        <v>164</v>
      </c>
    </row>
    <row r="10" spans="1:4" x14ac:dyDescent="0.3">
      <c r="A10" s="1" t="s">
        <v>248</v>
      </c>
      <c r="B10">
        <v>100</v>
      </c>
      <c r="D10" s="1" t="s">
        <v>73</v>
      </c>
    </row>
    <row r="11" spans="1:4" x14ac:dyDescent="0.3">
      <c r="A11" t="s">
        <v>244</v>
      </c>
      <c r="C11">
        <v>3</v>
      </c>
      <c r="D11" s="1" t="s">
        <v>168</v>
      </c>
    </row>
    <row r="12" spans="1:4" x14ac:dyDescent="0.3">
      <c r="A12" s="1" t="s">
        <v>249</v>
      </c>
      <c r="B12">
        <v>100</v>
      </c>
      <c r="D12" s="1" t="s">
        <v>91</v>
      </c>
    </row>
    <row r="13" spans="1:4" x14ac:dyDescent="0.3">
      <c r="A13" t="s">
        <v>250</v>
      </c>
      <c r="C13">
        <v>0</v>
      </c>
      <c r="D13" s="1" t="s">
        <v>187</v>
      </c>
    </row>
    <row r="14" spans="1:4" x14ac:dyDescent="0.3">
      <c r="A14" s="41" t="s">
        <v>383</v>
      </c>
      <c r="B14">
        <v>100</v>
      </c>
      <c r="D14" s="41" t="s">
        <v>69</v>
      </c>
    </row>
    <row r="15" spans="1:4" x14ac:dyDescent="0.3">
      <c r="A15" t="s">
        <v>244</v>
      </c>
      <c r="C15">
        <v>3</v>
      </c>
      <c r="D15" s="41" t="s">
        <v>164</v>
      </c>
    </row>
    <row r="16" spans="1:4" x14ac:dyDescent="0.3">
      <c r="A16" s="41" t="s">
        <v>384</v>
      </c>
      <c r="B16">
        <v>100</v>
      </c>
      <c r="D16" s="41" t="s">
        <v>73</v>
      </c>
    </row>
    <row r="17" spans="1:4" x14ac:dyDescent="0.3">
      <c r="A17" t="s">
        <v>244</v>
      </c>
      <c r="C17">
        <v>3</v>
      </c>
      <c r="D17" s="41" t="s">
        <v>168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3"/>
  <sheetViews>
    <sheetView workbookViewId="0"/>
  </sheetViews>
  <sheetFormatPr defaultRowHeight="16.5" x14ac:dyDescent="0.3"/>
  <sheetData>
    <row r="1" spans="1:7" x14ac:dyDescent="0.3">
      <c r="A1" t="s">
        <v>309</v>
      </c>
    </row>
    <row r="2" spans="1:7" x14ac:dyDescent="0.3">
      <c r="A2" s="1" t="s">
        <v>310</v>
      </c>
      <c r="B2" t="s">
        <v>311</v>
      </c>
      <c r="C2" s="1" t="s">
        <v>312</v>
      </c>
    </row>
    <row r="3" spans="1:7" x14ac:dyDescent="0.3">
      <c r="A3" s="1" t="s">
        <v>313</v>
      </c>
      <c r="B3" t="s">
        <v>314</v>
      </c>
    </row>
    <row r="4" spans="1:7" x14ac:dyDescent="0.3">
      <c r="A4" s="1" t="s">
        <v>315</v>
      </c>
      <c r="B4">
        <v>5</v>
      </c>
    </row>
    <row r="5" spans="1:7" x14ac:dyDescent="0.3">
      <c r="A5" s="1" t="s">
        <v>316</v>
      </c>
      <c r="B5">
        <v>5</v>
      </c>
    </row>
    <row r="6" spans="1:7" x14ac:dyDescent="0.3">
      <c r="A6" s="1" t="s">
        <v>317</v>
      </c>
      <c r="B6" t="s">
        <v>318</v>
      </c>
    </row>
    <row r="7" spans="1:7" x14ac:dyDescent="0.3">
      <c r="A7" s="1" t="s">
        <v>319</v>
      </c>
      <c r="B7" t="s">
        <v>311</v>
      </c>
      <c r="C7">
        <v>1</v>
      </c>
    </row>
    <row r="8" spans="1:7" x14ac:dyDescent="0.3">
      <c r="A8" s="1" t="s">
        <v>320</v>
      </c>
      <c r="B8" t="s">
        <v>311</v>
      </c>
      <c r="C8">
        <v>2</v>
      </c>
    </row>
    <row r="9" spans="1:7" x14ac:dyDescent="0.3">
      <c r="A9" s="1" t="s">
        <v>321</v>
      </c>
      <c r="B9" t="s">
        <v>190</v>
      </c>
      <c r="C9" t="s">
        <v>192</v>
      </c>
      <c r="D9" t="s">
        <v>193</v>
      </c>
      <c r="E9" t="s">
        <v>194</v>
      </c>
      <c r="F9" t="s">
        <v>195</v>
      </c>
      <c r="G9" t="s">
        <v>322</v>
      </c>
    </row>
    <row r="10" spans="1:7" x14ac:dyDescent="0.3">
      <c r="A10" s="1" t="s">
        <v>323</v>
      </c>
      <c r="B10">
        <v>1472</v>
      </c>
      <c r="C10">
        <v>0</v>
      </c>
      <c r="D10">
        <v>0</v>
      </c>
    </row>
    <row r="11" spans="1:7" x14ac:dyDescent="0.3">
      <c r="A11" s="1" t="s">
        <v>324</v>
      </c>
      <c r="B11" t="s">
        <v>325</v>
      </c>
      <c r="C11">
        <v>4</v>
      </c>
    </row>
    <row r="12" spans="1:7" x14ac:dyDescent="0.3">
      <c r="A12" s="1" t="s">
        <v>326</v>
      </c>
      <c r="B12" t="s">
        <v>325</v>
      </c>
      <c r="C12">
        <v>4</v>
      </c>
    </row>
    <row r="13" spans="1:7" x14ac:dyDescent="0.3">
      <c r="A13" s="1" t="s">
        <v>327</v>
      </c>
      <c r="B13" t="s">
        <v>325</v>
      </c>
      <c r="C13">
        <v>3</v>
      </c>
    </row>
    <row r="14" spans="1:7" x14ac:dyDescent="0.3">
      <c r="A14" s="1" t="s">
        <v>328</v>
      </c>
      <c r="B14" t="s">
        <v>325</v>
      </c>
      <c r="C14">
        <v>5</v>
      </c>
    </row>
    <row r="15" spans="1:7" x14ac:dyDescent="0.3">
      <c r="A15" s="1" t="s">
        <v>329</v>
      </c>
      <c r="B15" t="s">
        <v>171</v>
      </c>
      <c r="C15" t="s">
        <v>330</v>
      </c>
      <c r="D15" t="s">
        <v>330</v>
      </c>
      <c r="E15" t="s">
        <v>330</v>
      </c>
      <c r="F15">
        <v>1</v>
      </c>
    </row>
    <row r="16" spans="1:7" x14ac:dyDescent="0.3">
      <c r="A16" s="1" t="s">
        <v>331</v>
      </c>
      <c r="B16">
        <v>1.1100000000000001</v>
      </c>
      <c r="C16">
        <v>1.1200000000000001</v>
      </c>
    </row>
    <row r="17" spans="1:13" x14ac:dyDescent="0.3">
      <c r="A17" s="1" t="s">
        <v>332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333</v>
      </c>
      <c r="B18">
        <v>1.25</v>
      </c>
      <c r="C18">
        <v>1.071</v>
      </c>
    </row>
    <row r="19" spans="1:13" x14ac:dyDescent="0.3">
      <c r="A19" s="1" t="s">
        <v>334</v>
      </c>
    </row>
    <row r="20" spans="1:13" x14ac:dyDescent="0.3">
      <c r="A20" s="1" t="s">
        <v>335</v>
      </c>
      <c r="B20" s="1" t="s">
        <v>311</v>
      </c>
      <c r="C20">
        <v>1</v>
      </c>
    </row>
    <row r="21" spans="1:13" x14ac:dyDescent="0.3">
      <c r="A21" t="s">
        <v>337</v>
      </c>
      <c r="B21" t="s">
        <v>338</v>
      </c>
      <c r="C21" t="s">
        <v>339</v>
      </c>
    </row>
    <row r="22" spans="1:13" x14ac:dyDescent="0.3">
      <c r="A22">
        <v>1</v>
      </c>
      <c r="B22" s="1" t="s">
        <v>340</v>
      </c>
      <c r="C22" s="1" t="s">
        <v>265</v>
      </c>
    </row>
    <row r="23" spans="1:13" x14ac:dyDescent="0.3">
      <c r="A23">
        <v>2</v>
      </c>
      <c r="B23" s="1" t="s">
        <v>341</v>
      </c>
      <c r="C23" s="1" t="s">
        <v>342</v>
      </c>
    </row>
    <row r="24" spans="1:13" x14ac:dyDescent="0.3">
      <c r="A24">
        <v>3</v>
      </c>
      <c r="B24" s="1" t="s">
        <v>343</v>
      </c>
      <c r="C24" s="1" t="s">
        <v>344</v>
      </c>
    </row>
    <row r="25" spans="1:13" x14ac:dyDescent="0.3">
      <c r="A25">
        <v>4</v>
      </c>
      <c r="B25" s="1" t="s">
        <v>345</v>
      </c>
      <c r="C25" s="1" t="s">
        <v>346</v>
      </c>
    </row>
    <row r="26" spans="1:13" x14ac:dyDescent="0.3">
      <c r="A26">
        <v>5</v>
      </c>
      <c r="B26" s="1" t="s">
        <v>347</v>
      </c>
      <c r="C26" s="1" t="s">
        <v>52</v>
      </c>
    </row>
    <row r="27" spans="1:13" x14ac:dyDescent="0.3">
      <c r="A27">
        <v>6</v>
      </c>
      <c r="B27" s="1" t="s">
        <v>348</v>
      </c>
      <c r="C27" s="1" t="s">
        <v>52</v>
      </c>
    </row>
    <row r="28" spans="1:13" x14ac:dyDescent="0.3">
      <c r="A28">
        <v>7</v>
      </c>
      <c r="B28" s="1" t="s">
        <v>349</v>
      </c>
      <c r="C28" s="1" t="s">
        <v>52</v>
      </c>
    </row>
    <row r="29" spans="1:13" x14ac:dyDescent="0.3">
      <c r="A29">
        <v>8</v>
      </c>
      <c r="B29" s="1" t="s">
        <v>349</v>
      </c>
      <c r="C29" s="1" t="s">
        <v>52</v>
      </c>
    </row>
    <row r="30" spans="1:13" x14ac:dyDescent="0.3">
      <c r="A30">
        <v>9</v>
      </c>
      <c r="B30" s="1" t="s">
        <v>349</v>
      </c>
      <c r="C30" s="1" t="s">
        <v>52</v>
      </c>
    </row>
    <row r="31" spans="1:13" x14ac:dyDescent="0.3">
      <c r="A31" t="s">
        <v>171</v>
      </c>
      <c r="B31" s="1" t="s">
        <v>350</v>
      </c>
      <c r="C31" s="1" t="s">
        <v>52</v>
      </c>
    </row>
    <row r="32" spans="1:13" x14ac:dyDescent="0.3">
      <c r="A32" t="s">
        <v>226</v>
      </c>
      <c r="B32" s="1" t="s">
        <v>351</v>
      </c>
      <c r="C32" s="1" t="s">
        <v>52</v>
      </c>
    </row>
    <row r="33" spans="1:3" x14ac:dyDescent="0.3">
      <c r="A33" t="s">
        <v>311</v>
      </c>
      <c r="B33" s="1" t="s">
        <v>350</v>
      </c>
      <c r="C33" s="1" t="s">
        <v>52</v>
      </c>
    </row>
    <row r="34" spans="1:3" x14ac:dyDescent="0.3">
      <c r="A34" t="s">
        <v>352</v>
      </c>
      <c r="B34" s="1" t="s">
        <v>350</v>
      </c>
      <c r="C34" s="1" t="s">
        <v>52</v>
      </c>
    </row>
    <row r="35" spans="1:3" x14ac:dyDescent="0.3">
      <c r="A35" t="s">
        <v>353</v>
      </c>
      <c r="B35" s="1" t="s">
        <v>350</v>
      </c>
      <c r="C35" s="1" t="s">
        <v>52</v>
      </c>
    </row>
    <row r="36" spans="1:3" x14ac:dyDescent="0.3">
      <c r="A36" t="s">
        <v>59</v>
      </c>
      <c r="B36" s="1" t="s">
        <v>350</v>
      </c>
      <c r="C36" s="1" t="s">
        <v>52</v>
      </c>
    </row>
    <row r="37" spans="1:3" x14ac:dyDescent="0.3">
      <c r="A37" t="s">
        <v>354</v>
      </c>
      <c r="B37" s="1" t="s">
        <v>350</v>
      </c>
      <c r="C37" s="1" t="s">
        <v>52</v>
      </c>
    </row>
    <row r="38" spans="1:3" x14ac:dyDescent="0.3">
      <c r="A38" t="s">
        <v>355</v>
      </c>
      <c r="B38" s="1" t="s">
        <v>350</v>
      </c>
      <c r="C38" s="1" t="s">
        <v>52</v>
      </c>
    </row>
    <row r="39" spans="1:3" x14ac:dyDescent="0.3">
      <c r="A39" t="s">
        <v>356</v>
      </c>
      <c r="B39" s="1" t="s">
        <v>350</v>
      </c>
      <c r="C39" s="1" t="s">
        <v>52</v>
      </c>
    </row>
    <row r="40" spans="1:3" x14ac:dyDescent="0.3">
      <c r="A40" t="s">
        <v>357</v>
      </c>
      <c r="B40" s="1" t="s">
        <v>350</v>
      </c>
      <c r="C40" s="1" t="s">
        <v>52</v>
      </c>
    </row>
    <row r="43" spans="1:3" x14ac:dyDescent="0.3">
      <c r="A43" t="s">
        <v>336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13</vt:i4>
      </vt:variant>
    </vt:vector>
  </HeadingPairs>
  <TitlesOfParts>
    <vt:vector size="23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공량산출근거서_일위대가</vt:lpstr>
      <vt:lpstr>공량설정_일위대가</vt:lpstr>
      <vt:lpstr> 공사설정 </vt:lpstr>
      <vt:lpstr>Sheet1</vt:lpstr>
      <vt:lpstr>공량산출근거서_일위대가!Print_Area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공량산출근거서_일위대가!Print_Titles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EKR</cp:lastModifiedBy>
  <dcterms:created xsi:type="dcterms:W3CDTF">2026-06-05T08:25:52Z</dcterms:created>
  <dcterms:modified xsi:type="dcterms:W3CDTF">2026-07-21T04:43:36Z</dcterms:modified>
</cp:coreProperties>
</file>