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E:\2026년\01.사업관련\2.취약지역\3.양지리\3.공사시행\2.전기통신 공사발주\2.통신공사\"/>
    </mc:Choice>
  </mc:AlternateContent>
  <xr:revisionPtr revIDLastSave="0" documentId="13_ncr:1_{AEBEBF6B-EA4F-4DC7-9E6C-BD8F20FF9331}" xr6:coauthVersionLast="47" xr6:coauthVersionMax="47" xr10:uidLastSave="{00000000-0000-0000-0000-000000000000}"/>
  <bookViews>
    <workbookView xWindow="10065" yWindow="5595" windowWidth="3105" windowHeight="3105" tabRatio="923" activeTab="3" xr2:uid="{00000000-000D-0000-FFFF-FFFF00000000}"/>
  </bookViews>
  <sheets>
    <sheet name="표지" sheetId="59" r:id="rId1"/>
    <sheet name="갑지" sheetId="60" r:id="rId2"/>
    <sheet name="표지 (2)" sheetId="61" r:id="rId3"/>
    <sheet name="원가" sheetId="62" r:id="rId4"/>
    <sheet name="총괄표" sheetId="48" r:id="rId5"/>
    <sheet name="내역서" sheetId="50" r:id="rId6"/>
    <sheet name="표지 (3)" sheetId="63" r:id="rId7"/>
    <sheet name="일대목차" sheetId="52" r:id="rId8"/>
    <sheet name="일위대가" sheetId="53" r:id="rId9"/>
    <sheet name="일위노임" sheetId="54" r:id="rId10"/>
    <sheet name="합산자재" sheetId="56" state="hidden" r:id="rId11"/>
    <sheet name="표지 (4)" sheetId="64" r:id="rId12"/>
    <sheet name="노임근거" sheetId="51" r:id="rId13"/>
    <sheet name="표지 (5)" sheetId="65" r:id="rId14"/>
    <sheet name="단가조사" sheetId="57" r:id="rId15"/>
    <sheet name="옵션" sheetId="58" state="hidden" r:id="rId16"/>
    <sheet name="목차" sheetId="44" state="hidden" r:id="rId17"/>
    <sheet name="표지 (6)" sheetId="66" r:id="rId18"/>
    <sheet name="표지 (7)" sheetId="67" r:id="rId19"/>
    <sheet name="산출집계" sheetId="2" r:id="rId20"/>
    <sheet name="기본산출서" sheetId="7" state="hidden" r:id="rId21"/>
    <sheet name="목록별산출서" sheetId="8" r:id="rId22"/>
    <sheet name="사용설명" sheetId="3" state="hidden" r:id="rId23"/>
  </sheets>
  <functionGroups builtInGroupCount="19"/>
  <definedNames>
    <definedName name="_xlnm.Print_Area" localSheetId="1">갑지!$B$2:$AD$28</definedName>
    <definedName name="_xlnm.Print_Area" localSheetId="20">기본산출서!$A$1:$Z$506</definedName>
    <definedName name="_xlnm.Print_Area" localSheetId="5">내역서!$A$1:$Q$81</definedName>
    <definedName name="_xlnm.Print_Area" localSheetId="12">노임근거!$A$1:$T$55</definedName>
    <definedName name="_xlnm.Print_Area" localSheetId="19">산출집계!$A$1:$Y$74</definedName>
    <definedName name="_xlnm.Print_Area" localSheetId="3">원가!$A$1:$AQ$37</definedName>
    <definedName name="_xlnm.Print_Area" localSheetId="9">일위노임!$A$1:$T$81</definedName>
    <definedName name="_xlnm.Print_Area" localSheetId="8">일위대가!$A$1:$Q$107</definedName>
    <definedName name="_xlnm.Print_Area" localSheetId="4">총괄표!$A$1:$Q$81</definedName>
    <definedName name="_xlnm.Print_Area" localSheetId="0">표지!$B$2:$M$19</definedName>
    <definedName name="_xlnm.Print_Area" localSheetId="2">'표지 (2)'!$B$2:$M$19</definedName>
    <definedName name="_xlnm.Print_Area" localSheetId="6">'표지 (3)'!$B$2:$M$19</definedName>
    <definedName name="_xlnm.Print_Area" localSheetId="11">'표지 (4)'!$B$2:$M$19</definedName>
    <definedName name="_xlnm.Print_Area" localSheetId="13">'표지 (5)'!$B$2:$M$19</definedName>
    <definedName name="_xlnm.Print_Area" localSheetId="17">'표지 (6)'!$B$2:$M$19</definedName>
    <definedName name="_xlnm.Print_Area" localSheetId="18">'표지 (7)'!$B$2:$M$19</definedName>
    <definedName name="_xlnm.Print_Titles" localSheetId="5">내역서!$1:$3</definedName>
    <definedName name="_xlnm.Print_Titles" localSheetId="12">노임근거!$1:$3</definedName>
    <definedName name="_xlnm.Print_Titles" localSheetId="14">단가조사!$1:$3</definedName>
    <definedName name="_xlnm.Print_Titles" localSheetId="21">목록별산출서!$1:$3</definedName>
    <definedName name="_xlnm.Print_Titles" localSheetId="16">목차!$1:$3</definedName>
    <definedName name="_xlnm.Print_Titles" localSheetId="7">일대목차!$1:$3</definedName>
    <definedName name="_xlnm.Print_Titles" localSheetId="9">일위노임!$1:$3</definedName>
    <definedName name="_xlnm.Print_Titles" localSheetId="8">일위대가!$1:$3</definedName>
    <definedName name="_xlnm.Print_Titles" localSheetId="4">총괄표!$1:$3</definedName>
    <definedName name="_xlnm.Print_Titles" localSheetId="10">합산자재!$1:$3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67" l="1"/>
  <c r="B3" i="67"/>
  <c r="B11" i="66"/>
  <c r="B3" i="66"/>
  <c r="B11" i="65"/>
  <c r="B3" i="65"/>
  <c r="B11" i="64"/>
  <c r="B3" i="64"/>
  <c r="B11" i="63"/>
  <c r="B3" i="63"/>
  <c r="L36" i="62"/>
  <c r="M24" i="60" s="1"/>
  <c r="L35" i="62"/>
  <c r="M22" i="60" s="1"/>
  <c r="L33" i="62"/>
  <c r="BA29" i="62"/>
  <c r="L29" i="62"/>
  <c r="BA28" i="62"/>
  <c r="L28" i="62"/>
  <c r="BA27" i="62"/>
  <c r="BA26" i="62"/>
  <c r="S23" i="62"/>
  <c r="S22" i="62"/>
  <c r="S21" i="62"/>
  <c r="S20" i="62"/>
  <c r="S19" i="62"/>
  <c r="S16" i="62"/>
  <c r="S15" i="62"/>
  <c r="S14" i="62"/>
  <c r="S13" i="62"/>
  <c r="S12" i="62"/>
  <c r="AT11" i="62"/>
  <c r="S18" i="62" s="1"/>
  <c r="AV10" i="62"/>
  <c r="AT3" i="62"/>
  <c r="S9" i="62" s="1"/>
  <c r="A2" i="62"/>
  <c r="AM1" i="62"/>
  <c r="B11" i="61"/>
  <c r="B3" i="61"/>
  <c r="M18" i="60"/>
  <c r="F8" i="60"/>
  <c r="I6" i="48" l="1"/>
  <c r="L6" i="48"/>
  <c r="P6" i="48" s="1"/>
  <c r="N6" i="48"/>
  <c r="I7" i="48"/>
  <c r="L7" i="48"/>
  <c r="N7" i="48"/>
  <c r="I8" i="48"/>
  <c r="L8" i="48"/>
  <c r="N8" i="48"/>
  <c r="P8" i="48" s="1"/>
  <c r="I9" i="48"/>
  <c r="L9" i="48"/>
  <c r="N9" i="48"/>
  <c r="I10" i="48"/>
  <c r="L10" i="48"/>
  <c r="N10" i="48"/>
  <c r="I11" i="48"/>
  <c r="L11" i="48"/>
  <c r="N11" i="48"/>
  <c r="I12" i="48"/>
  <c r="P12" i="48" s="1"/>
  <c r="L12" i="48"/>
  <c r="N12" i="48"/>
  <c r="I13" i="48"/>
  <c r="P13" i="48" s="1"/>
  <c r="L13" i="48"/>
  <c r="N13" i="48"/>
  <c r="I14" i="48"/>
  <c r="L14" i="48"/>
  <c r="N14" i="48"/>
  <c r="I15" i="48"/>
  <c r="L15" i="48"/>
  <c r="N15" i="48"/>
  <c r="I16" i="48"/>
  <c r="L16" i="48"/>
  <c r="N16" i="48"/>
  <c r="I17" i="48"/>
  <c r="L17" i="48"/>
  <c r="N17" i="48"/>
  <c r="I18" i="48"/>
  <c r="L18" i="48"/>
  <c r="N18" i="48"/>
  <c r="I19" i="48"/>
  <c r="L19" i="48"/>
  <c r="P19" i="48" s="1"/>
  <c r="N19" i="48"/>
  <c r="I20" i="48"/>
  <c r="L20" i="48"/>
  <c r="N20" i="48"/>
  <c r="I21" i="48"/>
  <c r="L21" i="48"/>
  <c r="N21" i="48"/>
  <c r="I22" i="48"/>
  <c r="L22" i="48"/>
  <c r="N22" i="48"/>
  <c r="I23" i="48"/>
  <c r="L23" i="48"/>
  <c r="N23" i="48"/>
  <c r="P23" i="48"/>
  <c r="I24" i="48"/>
  <c r="L24" i="48"/>
  <c r="N24" i="48"/>
  <c r="I25" i="48"/>
  <c r="L25" i="48"/>
  <c r="N25" i="48"/>
  <c r="I26" i="48"/>
  <c r="L26" i="48"/>
  <c r="N26" i="48"/>
  <c r="I27" i="48"/>
  <c r="L27" i="48"/>
  <c r="N27" i="48"/>
  <c r="I28" i="48"/>
  <c r="L28" i="48"/>
  <c r="N28" i="48"/>
  <c r="I32" i="48"/>
  <c r="L32" i="48"/>
  <c r="N32" i="48"/>
  <c r="I34" i="48"/>
  <c r="L34" i="48"/>
  <c r="N34" i="48"/>
  <c r="I35" i="48"/>
  <c r="L35" i="48"/>
  <c r="N35" i="48"/>
  <c r="I36" i="48"/>
  <c r="P36" i="48" s="1"/>
  <c r="L36" i="48"/>
  <c r="N36" i="48"/>
  <c r="I37" i="48"/>
  <c r="L37" i="48"/>
  <c r="N37" i="48"/>
  <c r="I38" i="48"/>
  <c r="L38" i="48"/>
  <c r="N38" i="48"/>
  <c r="I39" i="48"/>
  <c r="L39" i="48"/>
  <c r="N39" i="48"/>
  <c r="I40" i="48"/>
  <c r="L40" i="48"/>
  <c r="N40" i="48"/>
  <c r="I41" i="48"/>
  <c r="L41" i="48"/>
  <c r="N41" i="48"/>
  <c r="P41" i="48" s="1"/>
  <c r="I42" i="48"/>
  <c r="L42" i="48"/>
  <c r="N42" i="48"/>
  <c r="I43" i="48"/>
  <c r="L43" i="48"/>
  <c r="N43" i="48"/>
  <c r="I44" i="48"/>
  <c r="L44" i="48"/>
  <c r="N44" i="48"/>
  <c r="I45" i="48"/>
  <c r="L45" i="48"/>
  <c r="N45" i="48"/>
  <c r="P45" i="48"/>
  <c r="I46" i="48"/>
  <c r="L46" i="48"/>
  <c r="N46" i="48"/>
  <c r="I47" i="48"/>
  <c r="L47" i="48"/>
  <c r="N47" i="48"/>
  <c r="I48" i="48"/>
  <c r="L48" i="48"/>
  <c r="N48" i="48"/>
  <c r="I49" i="48"/>
  <c r="L49" i="48"/>
  <c r="N49" i="48"/>
  <c r="I50" i="48"/>
  <c r="L50" i="48"/>
  <c r="N50" i="48"/>
  <c r="I51" i="48"/>
  <c r="L51" i="48"/>
  <c r="N51" i="48"/>
  <c r="I52" i="48"/>
  <c r="L52" i="48"/>
  <c r="N52" i="48"/>
  <c r="I53" i="48"/>
  <c r="L53" i="48"/>
  <c r="N53" i="48"/>
  <c r="P53" i="48" s="1"/>
  <c r="I54" i="48"/>
  <c r="L54" i="48"/>
  <c r="N54" i="48"/>
  <c r="I59" i="48"/>
  <c r="L59" i="48"/>
  <c r="N59" i="48"/>
  <c r="I60" i="48"/>
  <c r="L60" i="48"/>
  <c r="N60" i="48"/>
  <c r="I61" i="48"/>
  <c r="L61" i="48"/>
  <c r="N61" i="48"/>
  <c r="I62" i="48"/>
  <c r="L62" i="48"/>
  <c r="N62" i="48"/>
  <c r="P62" i="48" s="1"/>
  <c r="I63" i="48"/>
  <c r="L63" i="48"/>
  <c r="N63" i="48"/>
  <c r="I64" i="48"/>
  <c r="L64" i="48"/>
  <c r="N64" i="48"/>
  <c r="I65" i="48"/>
  <c r="L65" i="48"/>
  <c r="N65" i="48"/>
  <c r="I66" i="48"/>
  <c r="L66" i="48"/>
  <c r="N66" i="48"/>
  <c r="I67" i="48"/>
  <c r="L67" i="48"/>
  <c r="N67" i="48"/>
  <c r="I68" i="48"/>
  <c r="L68" i="48"/>
  <c r="N68" i="48"/>
  <c r="I69" i="48"/>
  <c r="L69" i="48"/>
  <c r="N69" i="48"/>
  <c r="I70" i="48"/>
  <c r="L70" i="48"/>
  <c r="N70" i="48"/>
  <c r="I71" i="48"/>
  <c r="L71" i="48"/>
  <c r="N71" i="48"/>
  <c r="I72" i="48"/>
  <c r="L72" i="48"/>
  <c r="N72" i="48"/>
  <c r="I73" i="48"/>
  <c r="L73" i="48"/>
  <c r="N73" i="48"/>
  <c r="I74" i="48"/>
  <c r="L74" i="48"/>
  <c r="P74" i="48" s="1"/>
  <c r="N74" i="48"/>
  <c r="I75" i="48"/>
  <c r="L75" i="48"/>
  <c r="N75" i="48"/>
  <c r="I76" i="48"/>
  <c r="L76" i="48"/>
  <c r="N76" i="48"/>
  <c r="I77" i="48"/>
  <c r="L77" i="48"/>
  <c r="N77" i="48"/>
  <c r="I78" i="48"/>
  <c r="L78" i="48"/>
  <c r="N78" i="48"/>
  <c r="I79" i="48"/>
  <c r="L79" i="48"/>
  <c r="N79" i="48"/>
  <c r="I80" i="48"/>
  <c r="L80" i="48"/>
  <c r="N80" i="48"/>
  <c r="K5" i="50"/>
  <c r="M5" i="50"/>
  <c r="K6" i="50"/>
  <c r="M6" i="50"/>
  <c r="K7" i="50"/>
  <c r="M7" i="50"/>
  <c r="K8" i="50"/>
  <c r="M8" i="50"/>
  <c r="K9" i="50"/>
  <c r="M9" i="50"/>
  <c r="K10" i="50"/>
  <c r="M10" i="50"/>
  <c r="L11" i="50"/>
  <c r="N11" i="50"/>
  <c r="L12" i="50"/>
  <c r="N12" i="50"/>
  <c r="K13" i="50"/>
  <c r="M13" i="50"/>
  <c r="K14" i="50"/>
  <c r="M14" i="50"/>
  <c r="K15" i="50"/>
  <c r="M15" i="50"/>
  <c r="K16" i="50"/>
  <c r="M16" i="50"/>
  <c r="K17" i="50"/>
  <c r="M17" i="50"/>
  <c r="K18" i="50"/>
  <c r="M18" i="50"/>
  <c r="K19" i="50"/>
  <c r="M19" i="50"/>
  <c r="K20" i="50"/>
  <c r="M20" i="50"/>
  <c r="K21" i="50"/>
  <c r="M21" i="50"/>
  <c r="K22" i="50"/>
  <c r="M22" i="50"/>
  <c r="L31" i="50"/>
  <c r="N31" i="50"/>
  <c r="H32" i="50"/>
  <c r="M32" i="50"/>
  <c r="H33" i="50"/>
  <c r="M33" i="50"/>
  <c r="H34" i="50"/>
  <c r="M34" i="50"/>
  <c r="H35" i="50"/>
  <c r="M35" i="50"/>
  <c r="L36" i="50"/>
  <c r="N36" i="50"/>
  <c r="I37" i="50"/>
  <c r="L37" i="50"/>
  <c r="N37" i="50"/>
  <c r="I38" i="50"/>
  <c r="L38" i="50"/>
  <c r="P38" i="50" s="1"/>
  <c r="N38" i="50"/>
  <c r="I39" i="50"/>
  <c r="L39" i="50"/>
  <c r="N39" i="50"/>
  <c r="I40" i="50"/>
  <c r="L40" i="50"/>
  <c r="N40" i="50"/>
  <c r="I41" i="50"/>
  <c r="L41" i="50"/>
  <c r="N41" i="50"/>
  <c r="I42" i="50"/>
  <c r="L42" i="50"/>
  <c r="N42" i="50"/>
  <c r="P42" i="50"/>
  <c r="I43" i="50"/>
  <c r="L43" i="50"/>
  <c r="N43" i="50"/>
  <c r="I44" i="50"/>
  <c r="L44" i="50"/>
  <c r="N44" i="50"/>
  <c r="I45" i="50"/>
  <c r="L45" i="50"/>
  <c r="N45" i="50"/>
  <c r="I46" i="50"/>
  <c r="L46" i="50"/>
  <c r="N46" i="50"/>
  <c r="P46" i="50"/>
  <c r="I47" i="50"/>
  <c r="L47" i="50"/>
  <c r="N47" i="50"/>
  <c r="I48" i="50"/>
  <c r="L48" i="50"/>
  <c r="N48" i="50"/>
  <c r="I49" i="50"/>
  <c r="L49" i="50"/>
  <c r="N49" i="50"/>
  <c r="I50" i="50"/>
  <c r="L50" i="50"/>
  <c r="N50" i="50"/>
  <c r="P50" i="50" s="1"/>
  <c r="I51" i="50"/>
  <c r="L51" i="50"/>
  <c r="N51" i="50"/>
  <c r="I52" i="50"/>
  <c r="L52" i="50"/>
  <c r="N52" i="50"/>
  <c r="I53" i="50"/>
  <c r="L53" i="50"/>
  <c r="N53" i="50"/>
  <c r="I54" i="50"/>
  <c r="L54" i="50"/>
  <c r="N54" i="50"/>
  <c r="K57" i="50"/>
  <c r="M57" i="50"/>
  <c r="K58" i="50"/>
  <c r="M58" i="50"/>
  <c r="K59" i="50"/>
  <c r="M59" i="50"/>
  <c r="K60" i="50"/>
  <c r="M60" i="50"/>
  <c r="L61" i="50"/>
  <c r="N61" i="50"/>
  <c r="L62" i="50"/>
  <c r="N62" i="50"/>
  <c r="K63" i="50"/>
  <c r="M63" i="50"/>
  <c r="K64" i="50"/>
  <c r="M64" i="50"/>
  <c r="K65" i="50"/>
  <c r="M65" i="50"/>
  <c r="K66" i="50"/>
  <c r="M66" i="50"/>
  <c r="L69" i="50"/>
  <c r="N69" i="50"/>
  <c r="H70" i="50"/>
  <c r="M70" i="50"/>
  <c r="L71" i="50"/>
  <c r="N71" i="50"/>
  <c r="I72" i="50"/>
  <c r="L72" i="50"/>
  <c r="N72" i="50"/>
  <c r="I73" i="50"/>
  <c r="L73" i="50"/>
  <c r="N73" i="50"/>
  <c r="I74" i="50"/>
  <c r="L74" i="50"/>
  <c r="N74" i="50"/>
  <c r="I75" i="50"/>
  <c r="L75" i="50"/>
  <c r="N75" i="50"/>
  <c r="I76" i="50"/>
  <c r="P76" i="50" s="1"/>
  <c r="L76" i="50"/>
  <c r="N76" i="50"/>
  <c r="I77" i="50"/>
  <c r="P77" i="50" s="1"/>
  <c r="L77" i="50"/>
  <c r="N77" i="50"/>
  <c r="I78" i="50"/>
  <c r="L78" i="50"/>
  <c r="N78" i="50"/>
  <c r="P78" i="50"/>
  <c r="I79" i="50"/>
  <c r="L79" i="50"/>
  <c r="N79" i="50"/>
  <c r="I80" i="50"/>
  <c r="L80" i="50"/>
  <c r="N80" i="50"/>
  <c r="J38" i="51"/>
  <c r="H38" i="51"/>
  <c r="J23" i="51"/>
  <c r="H23" i="51"/>
  <c r="J22" i="51"/>
  <c r="H22" i="51"/>
  <c r="J21" i="51"/>
  <c r="H21" i="51"/>
  <c r="J20" i="51"/>
  <c r="H20" i="51"/>
  <c r="H24" i="51"/>
  <c r="O24" i="51"/>
  <c r="H25" i="51"/>
  <c r="O25" i="51"/>
  <c r="H26" i="51"/>
  <c r="O26" i="51"/>
  <c r="H27" i="51"/>
  <c r="O27" i="51"/>
  <c r="H28" i="51"/>
  <c r="O28" i="51"/>
  <c r="H29" i="51"/>
  <c r="O29" i="51"/>
  <c r="AE20" i="53"/>
  <c r="AE15" i="53"/>
  <c r="H5" i="53"/>
  <c r="M5" i="53"/>
  <c r="I7" i="53"/>
  <c r="P7" i="53" s="1"/>
  <c r="L7" i="53"/>
  <c r="N7" i="53"/>
  <c r="H9" i="53"/>
  <c r="M9" i="53"/>
  <c r="I11" i="53"/>
  <c r="L11" i="53"/>
  <c r="N11" i="53"/>
  <c r="P11" i="53"/>
  <c r="H14" i="53"/>
  <c r="I14" i="53" s="1"/>
  <c r="L14" i="53"/>
  <c r="I16" i="53"/>
  <c r="L16" i="53"/>
  <c r="N16" i="53"/>
  <c r="I21" i="53"/>
  <c r="P21" i="53" s="1"/>
  <c r="L21" i="53"/>
  <c r="N21" i="53"/>
  <c r="K23" i="53"/>
  <c r="L23" i="53" s="1"/>
  <c r="M23" i="53"/>
  <c r="N23" i="53" s="1"/>
  <c r="K24" i="53"/>
  <c r="L24" i="53"/>
  <c r="M24" i="53"/>
  <c r="N24" i="53"/>
  <c r="H25" i="53"/>
  <c r="M25" i="53"/>
  <c r="H26" i="53"/>
  <c r="K26" i="53"/>
  <c r="M26" i="53"/>
  <c r="L27" i="53"/>
  <c r="N27" i="53"/>
  <c r="I29" i="53"/>
  <c r="L29" i="53"/>
  <c r="N29" i="53"/>
  <c r="K31" i="53"/>
  <c r="L31" i="53" s="1"/>
  <c r="M31" i="53"/>
  <c r="N31" i="53"/>
  <c r="K32" i="53"/>
  <c r="L32" i="53" s="1"/>
  <c r="M32" i="53"/>
  <c r="N32" i="53" s="1"/>
  <c r="K33" i="53"/>
  <c r="L33" i="53" s="1"/>
  <c r="M33" i="53"/>
  <c r="N33" i="53" s="1"/>
  <c r="K34" i="53"/>
  <c r="L34" i="53" s="1"/>
  <c r="M34" i="53"/>
  <c r="N34" i="53"/>
  <c r="M35" i="53"/>
  <c r="N35" i="53" s="1"/>
  <c r="L36" i="53"/>
  <c r="N36" i="53"/>
  <c r="H37" i="53"/>
  <c r="M37" i="53"/>
  <c r="H38" i="53"/>
  <c r="M38" i="53"/>
  <c r="H39" i="53"/>
  <c r="M39" i="53"/>
  <c r="L40" i="53"/>
  <c r="N40" i="53"/>
  <c r="I42" i="53"/>
  <c r="L42" i="53"/>
  <c r="P42" i="53" s="1"/>
  <c r="N42" i="53"/>
  <c r="K44" i="53"/>
  <c r="L44" i="53" s="1"/>
  <c r="M44" i="53"/>
  <c r="N44" i="53"/>
  <c r="K45" i="53"/>
  <c r="L45" i="53" s="1"/>
  <c r="M45" i="53"/>
  <c r="N45" i="53" s="1"/>
  <c r="K46" i="53"/>
  <c r="L46" i="53" s="1"/>
  <c r="M46" i="53"/>
  <c r="N46" i="53" s="1"/>
  <c r="K47" i="53"/>
  <c r="L47" i="53" s="1"/>
  <c r="M47" i="53"/>
  <c r="N47" i="53"/>
  <c r="K48" i="53"/>
  <c r="L48" i="53" s="1"/>
  <c r="M48" i="53"/>
  <c r="N48" i="53"/>
  <c r="H49" i="53"/>
  <c r="K49" i="53"/>
  <c r="M49" i="53"/>
  <c r="L50" i="53"/>
  <c r="N50" i="53"/>
  <c r="I52" i="53"/>
  <c r="L52" i="53"/>
  <c r="N52" i="53"/>
  <c r="P52" i="53"/>
  <c r="K54" i="53"/>
  <c r="L54" i="53"/>
  <c r="M54" i="53"/>
  <c r="N54" i="53" s="1"/>
  <c r="K55" i="53"/>
  <c r="L55" i="53" s="1"/>
  <c r="M55" i="53"/>
  <c r="N55" i="53"/>
  <c r="K56" i="53"/>
  <c r="L56" i="53" s="1"/>
  <c r="M56" i="53"/>
  <c r="N56" i="53"/>
  <c r="K57" i="53"/>
  <c r="L57" i="53"/>
  <c r="M57" i="53"/>
  <c r="N57" i="53"/>
  <c r="K58" i="53"/>
  <c r="L58" i="53"/>
  <c r="M58" i="53"/>
  <c r="N58" i="53" s="1"/>
  <c r="K59" i="53"/>
  <c r="L59" i="53" s="1"/>
  <c r="M59" i="53"/>
  <c r="N59" i="53" s="1"/>
  <c r="K60" i="53"/>
  <c r="L60" i="53"/>
  <c r="M60" i="53"/>
  <c r="N60" i="53"/>
  <c r="K61" i="53"/>
  <c r="L61" i="53" s="1"/>
  <c r="M61" i="53"/>
  <c r="N61" i="53" s="1"/>
  <c r="K62" i="53"/>
  <c r="L62" i="53" s="1"/>
  <c r="M62" i="53"/>
  <c r="N62" i="53" s="1"/>
  <c r="K63" i="53"/>
  <c r="L63" i="53" s="1"/>
  <c r="M63" i="53"/>
  <c r="N63" i="53" s="1"/>
  <c r="K64" i="53"/>
  <c r="L64" i="53" s="1"/>
  <c r="M64" i="53"/>
  <c r="N64" i="53" s="1"/>
  <c r="K65" i="53"/>
  <c r="L65" i="53"/>
  <c r="M65" i="53"/>
  <c r="N65" i="53" s="1"/>
  <c r="K66" i="53"/>
  <c r="L66" i="53"/>
  <c r="M66" i="53"/>
  <c r="N66" i="53"/>
  <c r="K67" i="53"/>
  <c r="L67" i="53" s="1"/>
  <c r="M67" i="53"/>
  <c r="N67" i="53" s="1"/>
  <c r="H68" i="53"/>
  <c r="M68" i="53"/>
  <c r="H69" i="53"/>
  <c r="M69" i="53"/>
  <c r="H70" i="53"/>
  <c r="M70" i="53"/>
  <c r="H71" i="53"/>
  <c r="M71" i="53"/>
  <c r="H72" i="53"/>
  <c r="M72" i="53"/>
  <c r="H73" i="53"/>
  <c r="M73" i="53"/>
  <c r="H74" i="53"/>
  <c r="M74" i="53"/>
  <c r="H75" i="53"/>
  <c r="K75" i="53"/>
  <c r="M75" i="53"/>
  <c r="L76" i="53"/>
  <c r="N76" i="53"/>
  <c r="I78" i="53"/>
  <c r="P78" i="53" s="1"/>
  <c r="L78" i="53"/>
  <c r="N78" i="53"/>
  <c r="K80" i="53"/>
  <c r="L80" i="53"/>
  <c r="M80" i="53"/>
  <c r="N80" i="53" s="1"/>
  <c r="L81" i="53"/>
  <c r="N81" i="53"/>
  <c r="H82" i="53"/>
  <c r="M82" i="53"/>
  <c r="L83" i="53"/>
  <c r="N83" i="53"/>
  <c r="I85" i="53"/>
  <c r="L85" i="53"/>
  <c r="N85" i="53"/>
  <c r="K87" i="53"/>
  <c r="L87" i="53"/>
  <c r="M87" i="53"/>
  <c r="N87" i="53" s="1"/>
  <c r="L88" i="53"/>
  <c r="N88" i="53"/>
  <c r="H89" i="53"/>
  <c r="M89" i="53"/>
  <c r="L90" i="53"/>
  <c r="N90" i="53"/>
  <c r="I92" i="53"/>
  <c r="L92" i="53"/>
  <c r="N92" i="53"/>
  <c r="P92" i="53"/>
  <c r="K94" i="53"/>
  <c r="L94" i="53" s="1"/>
  <c r="M94" i="53"/>
  <c r="N94" i="53"/>
  <c r="L95" i="53"/>
  <c r="N95" i="53"/>
  <c r="H96" i="53"/>
  <c r="M96" i="53"/>
  <c r="L97" i="53"/>
  <c r="N97" i="53"/>
  <c r="H5" i="54"/>
  <c r="O5" i="54"/>
  <c r="AF5" i="54" s="1"/>
  <c r="H6" i="54"/>
  <c r="H8" i="54"/>
  <c r="O8" i="54"/>
  <c r="H9" i="54"/>
  <c r="G9" i="54" s="1"/>
  <c r="G9" i="53" s="1"/>
  <c r="I9" i="53" s="1"/>
  <c r="I10" i="53" s="1"/>
  <c r="H11" i="54"/>
  <c r="O11" i="54"/>
  <c r="H12" i="54"/>
  <c r="O12" i="54"/>
  <c r="AF12" i="54" s="1"/>
  <c r="H13" i="54"/>
  <c r="H14" i="54"/>
  <c r="H16" i="54"/>
  <c r="O16" i="54"/>
  <c r="AD16" i="54" s="1"/>
  <c r="H17" i="54"/>
  <c r="O17" i="54"/>
  <c r="AG17" i="54" s="1"/>
  <c r="H18" i="54"/>
  <c r="O18" i="54"/>
  <c r="H19" i="54"/>
  <c r="O19" i="54"/>
  <c r="AD19" i="54" s="1"/>
  <c r="H20" i="54"/>
  <c r="O20" i="54"/>
  <c r="H21" i="54"/>
  <c r="O21" i="54"/>
  <c r="H22" i="54"/>
  <c r="O22" i="54"/>
  <c r="H23" i="54"/>
  <c r="O23" i="54"/>
  <c r="H24" i="54"/>
  <c r="H25" i="54"/>
  <c r="H26" i="54"/>
  <c r="I26" i="54"/>
  <c r="O26" i="54" s="1"/>
  <c r="H28" i="54"/>
  <c r="O28" i="54"/>
  <c r="H29" i="54"/>
  <c r="H31" i="54"/>
  <c r="O31" i="54"/>
  <c r="H32" i="54"/>
  <c r="O32" i="54"/>
  <c r="H33" i="54"/>
  <c r="O33" i="54"/>
  <c r="AC33" i="54" s="1"/>
  <c r="H34" i="54"/>
  <c r="O34" i="54"/>
  <c r="AF34" i="54" s="1"/>
  <c r="H35" i="54"/>
  <c r="O35" i="54"/>
  <c r="AI35" i="54" s="1"/>
  <c r="AI49" i="54" s="1"/>
  <c r="H36" i="54"/>
  <c r="O36" i="54"/>
  <c r="AH36" i="54" s="1"/>
  <c r="H37" i="54"/>
  <c r="O37" i="54"/>
  <c r="AC37" i="54" s="1"/>
  <c r="H38" i="54"/>
  <c r="O38" i="54"/>
  <c r="AF38" i="54" s="1"/>
  <c r="H39" i="54"/>
  <c r="O39" i="54"/>
  <c r="AC39" i="54" s="1"/>
  <c r="H40" i="54"/>
  <c r="O40" i="54"/>
  <c r="H41" i="54"/>
  <c r="O41" i="54"/>
  <c r="H42" i="54"/>
  <c r="O42" i="54"/>
  <c r="H43" i="54"/>
  <c r="O43" i="54"/>
  <c r="H44" i="54"/>
  <c r="O44" i="54"/>
  <c r="H45" i="54"/>
  <c r="O45" i="54"/>
  <c r="AC45" i="54" s="1"/>
  <c r="H46" i="54"/>
  <c r="O46" i="54"/>
  <c r="AF46" i="54" s="1"/>
  <c r="H47" i="54"/>
  <c r="O47" i="54"/>
  <c r="AC47" i="54" s="1"/>
  <c r="H48" i="54"/>
  <c r="O48" i="54"/>
  <c r="H49" i="54"/>
  <c r="H50" i="54"/>
  <c r="H51" i="54"/>
  <c r="H52" i="54"/>
  <c r="H53" i="54"/>
  <c r="H54" i="54"/>
  <c r="H55" i="54"/>
  <c r="H56" i="54"/>
  <c r="H58" i="54"/>
  <c r="O58" i="54"/>
  <c r="AB58" i="54" s="1"/>
  <c r="H59" i="54"/>
  <c r="H61" i="54"/>
  <c r="O61" i="54"/>
  <c r="AB61" i="54" s="1"/>
  <c r="I62" i="54" s="1"/>
  <c r="O62" i="54" s="1"/>
  <c r="H62" i="54"/>
  <c r="H64" i="54"/>
  <c r="O64" i="54"/>
  <c r="H65" i="54"/>
  <c r="AB64" i="54"/>
  <c r="AB65" i="54" s="1"/>
  <c r="AF48" i="54"/>
  <c r="AG44" i="54"/>
  <c r="AE43" i="54"/>
  <c r="AE49" i="54" s="1"/>
  <c r="AF42" i="54"/>
  <c r="AB41" i="54"/>
  <c r="AB49" i="54" s="1"/>
  <c r="AF40" i="54"/>
  <c r="AF32" i="54"/>
  <c r="AA31" i="54"/>
  <c r="AA49" i="54" s="1"/>
  <c r="AA28" i="54"/>
  <c r="AG24" i="54"/>
  <c r="AD23" i="54"/>
  <c r="AF22" i="54"/>
  <c r="AD21" i="54"/>
  <c r="AF20" i="54"/>
  <c r="AF18" i="54"/>
  <c r="AD11" i="54"/>
  <c r="AD13" i="54" s="1"/>
  <c r="AF8" i="54"/>
  <c r="I9" i="54" s="1"/>
  <c r="O9" i="54" s="1"/>
  <c r="H12" i="56"/>
  <c r="L12" i="56"/>
  <c r="H13" i="56"/>
  <c r="H16" i="50" s="1"/>
  <c r="L13" i="56"/>
  <c r="H14" i="56"/>
  <c r="H17" i="50" s="1"/>
  <c r="H23" i="56"/>
  <c r="L23" i="56"/>
  <c r="H24" i="56"/>
  <c r="L24" i="56" s="1"/>
  <c r="H25" i="56"/>
  <c r="H66" i="50" s="1"/>
  <c r="L25" i="56"/>
  <c r="H36" i="56"/>
  <c r="H63" i="53" s="1"/>
  <c r="I63" i="53" s="1"/>
  <c r="P63" i="53" s="1"/>
  <c r="L36" i="56"/>
  <c r="H37" i="56"/>
  <c r="H55" i="53" s="1"/>
  <c r="I55" i="53" s="1"/>
  <c r="L37" i="56"/>
  <c r="H38" i="56"/>
  <c r="H57" i="53" s="1"/>
  <c r="I57" i="53" s="1"/>
  <c r="P57" i="53" s="1"/>
  <c r="H47" i="56"/>
  <c r="L47" i="56"/>
  <c r="H48" i="56"/>
  <c r="L48" i="56" s="1"/>
  <c r="H49" i="56"/>
  <c r="H24" i="53" s="1"/>
  <c r="I24" i="53" s="1"/>
  <c r="L49" i="56"/>
  <c r="H53" i="56"/>
  <c r="L53" i="56" s="1"/>
  <c r="I53" i="56"/>
  <c r="K14" i="53" s="1"/>
  <c r="J53" i="56"/>
  <c r="M14" i="53" s="1"/>
  <c r="N14" i="53" s="1"/>
  <c r="H54" i="56"/>
  <c r="H19" i="53" s="1"/>
  <c r="I19" i="53" s="1"/>
  <c r="I54" i="56"/>
  <c r="K19" i="53" s="1"/>
  <c r="L19" i="53" s="1"/>
  <c r="J54" i="56"/>
  <c r="M19" i="53" s="1"/>
  <c r="N19" i="53" s="1"/>
  <c r="H55" i="56"/>
  <c r="H35" i="53" s="1"/>
  <c r="I35" i="53" s="1"/>
  <c r="I55" i="56"/>
  <c r="K35" i="53" s="1"/>
  <c r="L35" i="53" s="1"/>
  <c r="J55" i="56"/>
  <c r="I56" i="56"/>
  <c r="K70" i="50" s="1"/>
  <c r="L56" i="56"/>
  <c r="I57" i="56"/>
  <c r="K69" i="53" s="1"/>
  <c r="I58" i="56"/>
  <c r="K70" i="53" s="1"/>
  <c r="L58" i="56"/>
  <c r="I59" i="56"/>
  <c r="K25" i="53" s="1"/>
  <c r="I60" i="56"/>
  <c r="K34" i="50" s="1"/>
  <c r="I61" i="56"/>
  <c r="L61" i="56" s="1"/>
  <c r="I62" i="56"/>
  <c r="L62" i="56" s="1"/>
  <c r="I63" i="56"/>
  <c r="K74" i="53" s="1"/>
  <c r="I64" i="56"/>
  <c r="L64" i="56" s="1"/>
  <c r="I65" i="56"/>
  <c r="L65" i="56" s="1"/>
  <c r="L66" i="56"/>
  <c r="L67" i="56"/>
  <c r="L68" i="56"/>
  <c r="L69" i="56"/>
  <c r="L70" i="56"/>
  <c r="L71" i="56"/>
  <c r="L72" i="56"/>
  <c r="L73" i="56"/>
  <c r="L74" i="56"/>
  <c r="L75" i="56"/>
  <c r="L76" i="56"/>
  <c r="L77" i="56"/>
  <c r="L78" i="56"/>
  <c r="L79" i="56"/>
  <c r="L80" i="56"/>
  <c r="L81" i="56"/>
  <c r="B25" i="58"/>
  <c r="B24" i="58"/>
  <c r="D24" i="58" s="1"/>
  <c r="B23" i="58"/>
  <c r="B22" i="58"/>
  <c r="D22" i="58" s="1"/>
  <c r="B21" i="58"/>
  <c r="D12" i="7"/>
  <c r="D14" i="7"/>
  <c r="D18" i="7"/>
  <c r="D20" i="7"/>
  <c r="D28" i="7"/>
  <c r="D30" i="7"/>
  <c r="D34" i="7"/>
  <c r="D36" i="7"/>
  <c r="D44" i="7"/>
  <c r="D52" i="7"/>
  <c r="D60" i="7"/>
  <c r="D62" i="7"/>
  <c r="D66" i="7"/>
  <c r="D68" i="7"/>
  <c r="D76" i="7"/>
  <c r="D78" i="7"/>
  <c r="D82" i="7"/>
  <c r="D84" i="7"/>
  <c r="D92" i="7"/>
  <c r="D104" i="7"/>
  <c r="D106" i="7"/>
  <c r="D110" i="7"/>
  <c r="D112" i="7"/>
  <c r="D150" i="7"/>
  <c r="D152" i="7"/>
  <c r="D156" i="7"/>
  <c r="D158" i="7"/>
  <c r="D166" i="7"/>
  <c r="D168" i="7"/>
  <c r="D172" i="7"/>
  <c r="D174" i="7"/>
  <c r="D182" i="7"/>
  <c r="D184" i="7"/>
  <c r="D192" i="7"/>
  <c r="D194" i="7"/>
  <c r="D242" i="7"/>
  <c r="D244" i="7"/>
  <c r="D246" i="7"/>
  <c r="D248" i="7"/>
  <c r="D250" i="7"/>
  <c r="D252" i="7"/>
  <c r="D254" i="7"/>
  <c r="D256" i="7"/>
  <c r="D266" i="7"/>
  <c r="D268" i="7"/>
  <c r="D270" i="7"/>
  <c r="D272" i="7"/>
  <c r="D276" i="7"/>
  <c r="D282" i="7"/>
  <c r="D288" i="7"/>
  <c r="D334" i="7"/>
  <c r="D336" i="7"/>
  <c r="D338" i="7"/>
  <c r="D340" i="7"/>
  <c r="D342" i="7"/>
  <c r="D348" i="7"/>
  <c r="D350" i="7"/>
  <c r="D352" i="7"/>
  <c r="D358" i="7"/>
  <c r="D360" i="7"/>
  <c r="D362" i="7"/>
  <c r="D364" i="7"/>
  <c r="D366" i="7"/>
  <c r="D376" i="7"/>
  <c r="D378" i="7"/>
  <c r="D380" i="7"/>
  <c r="D426" i="7"/>
  <c r="D428" i="7"/>
  <c r="D430" i="7"/>
  <c r="D432" i="7"/>
  <c r="D434" i="7"/>
  <c r="D436" i="7"/>
  <c r="D472" i="7"/>
  <c r="D474" i="7"/>
  <c r="D476" i="7"/>
  <c r="D482" i="7"/>
  <c r="D484" i="7"/>
  <c r="D486" i="7"/>
  <c r="D25" i="58"/>
  <c r="D23" i="58"/>
  <c r="D21" i="58"/>
  <c r="D13" i="58"/>
  <c r="D12" i="58"/>
  <c r="D11" i="58"/>
  <c r="H26" i="56" s="1"/>
  <c r="L26" i="56" s="1"/>
  <c r="F3" i="58"/>
  <c r="AE3" i="50"/>
  <c r="AD3" i="50"/>
  <c r="E274" i="7"/>
  <c r="E8" i="7"/>
  <c r="E480" i="7"/>
  <c r="G89" i="8"/>
  <c r="M138" i="8"/>
  <c r="E158" i="7"/>
  <c r="E76" i="7"/>
  <c r="E36" i="7"/>
  <c r="M85" i="8"/>
  <c r="E364" i="7"/>
  <c r="E486" i="7"/>
  <c r="M81" i="8"/>
  <c r="E272" i="7"/>
  <c r="E420" i="7"/>
  <c r="M23" i="8"/>
  <c r="G52" i="8"/>
  <c r="G26" i="8"/>
  <c r="E380" i="7"/>
  <c r="G23" i="8"/>
  <c r="E466" i="7"/>
  <c r="E40" i="7"/>
  <c r="E20" i="7"/>
  <c r="G73" i="8"/>
  <c r="E430" i="7"/>
  <c r="M95" i="8"/>
  <c r="M52" i="8"/>
  <c r="E74" i="7"/>
  <c r="E102" i="7"/>
  <c r="M94" i="8"/>
  <c r="M135" i="8"/>
  <c r="E172" i="7"/>
  <c r="E282" i="7"/>
  <c r="M140" i="8"/>
  <c r="E88" i="7"/>
  <c r="E192" i="7"/>
  <c r="M32" i="8"/>
  <c r="M63" i="8"/>
  <c r="M11" i="8"/>
  <c r="M183" i="8"/>
  <c r="M186" i="8"/>
  <c r="E174" i="7"/>
  <c r="E148" i="7"/>
  <c r="E238" i="7"/>
  <c r="E240" i="7"/>
  <c r="G28" i="8"/>
  <c r="G102" i="8"/>
  <c r="M24" i="8"/>
  <c r="M80" i="8"/>
  <c r="E194" i="7"/>
  <c r="M71" i="8"/>
  <c r="M58" i="8"/>
  <c r="G100" i="8"/>
  <c r="G15" i="8"/>
  <c r="G83" i="8"/>
  <c r="E260" i="7"/>
  <c r="E72" i="7"/>
  <c r="G69" i="8"/>
  <c r="G134" i="8"/>
  <c r="M61" i="8"/>
  <c r="E270" i="7"/>
  <c r="G190" i="8"/>
  <c r="E424" i="7"/>
  <c r="M15" i="8"/>
  <c r="M188" i="8"/>
  <c r="G79" i="8"/>
  <c r="M12" i="8"/>
  <c r="M105" i="8"/>
  <c r="E100" i="7"/>
  <c r="E334" i="7"/>
  <c r="E18" i="7"/>
  <c r="E428" i="7"/>
  <c r="M99" i="8"/>
  <c r="E362" i="7"/>
  <c r="E470" i="7"/>
  <c r="E16" i="7"/>
  <c r="E256" i="7"/>
  <c r="M93" i="8"/>
  <c r="E342" i="7"/>
  <c r="G29" i="8"/>
  <c r="M176" i="8"/>
  <c r="M134" i="8"/>
  <c r="E58" i="7"/>
  <c r="E46" i="7"/>
  <c r="E64" i="7"/>
  <c r="M136" i="8"/>
  <c r="M51" i="8"/>
  <c r="M100" i="8"/>
  <c r="E156" i="7"/>
  <c r="M22" i="8"/>
  <c r="G176" i="8"/>
  <c r="E78" i="7"/>
  <c r="E426" i="7"/>
  <c r="E476" i="7"/>
  <c r="M182" i="8"/>
  <c r="E26" i="7"/>
  <c r="E346" i="7"/>
  <c r="E286" i="7"/>
  <c r="M66" i="8"/>
  <c r="E44" i="7"/>
  <c r="M16" i="8"/>
  <c r="M50" i="8"/>
  <c r="E168" i="7"/>
  <c r="G136" i="8"/>
  <c r="G9" i="8"/>
  <c r="E28" i="7"/>
  <c r="M13" i="8"/>
  <c r="G10" i="8"/>
  <c r="M179" i="8"/>
  <c r="M88" i="8"/>
  <c r="E180" i="7"/>
  <c r="E352" i="7"/>
  <c r="E336" i="7"/>
  <c r="E170" i="7"/>
  <c r="E24" i="7"/>
  <c r="E432" i="7"/>
  <c r="M25" i="8"/>
  <c r="M98" i="8"/>
  <c r="M82" i="8"/>
  <c r="E252" i="7"/>
  <c r="E66" i="7"/>
  <c r="M104" i="8"/>
  <c r="E244" i="7"/>
  <c r="M56" i="8"/>
  <c r="M86" i="8"/>
  <c r="M137" i="8"/>
  <c r="E164" i="7"/>
  <c r="E80" i="7"/>
  <c r="E30" i="7"/>
  <c r="M193" i="8"/>
  <c r="M57" i="8"/>
  <c r="M181" i="8"/>
  <c r="M190" i="8"/>
  <c r="G85" i="8"/>
  <c r="E288" i="7"/>
  <c r="E84" i="7"/>
  <c r="M89" i="8"/>
  <c r="M14" i="8"/>
  <c r="M101" i="8"/>
  <c r="E332" i="7"/>
  <c r="M10" i="8"/>
  <c r="E166" i="7"/>
  <c r="E56" i="7"/>
  <c r="E34" i="7"/>
  <c r="E266" i="7"/>
  <c r="M177" i="8"/>
  <c r="E32" i="7"/>
  <c r="E110" i="7"/>
  <c r="M84" i="8"/>
  <c r="G12" i="8"/>
  <c r="E10" i="7"/>
  <c r="G180" i="8"/>
  <c r="E60" i="7"/>
  <c r="M72" i="8"/>
  <c r="E242" i="7"/>
  <c r="E146" i="7"/>
  <c r="E154" i="7"/>
  <c r="M87" i="8"/>
  <c r="E340" i="7"/>
  <c r="M102" i="8"/>
  <c r="E52" i="7"/>
  <c r="E150" i="7"/>
  <c r="E104" i="7"/>
  <c r="E182" i="7"/>
  <c r="M60" i="8"/>
  <c r="G14" i="8"/>
  <c r="M139" i="8"/>
  <c r="E360" i="7"/>
  <c r="E162" i="7"/>
  <c r="E350" i="7"/>
  <c r="M178" i="8"/>
  <c r="G186" i="8"/>
  <c r="M59" i="8"/>
  <c r="E106" i="7"/>
  <c r="M91" i="8"/>
  <c r="G56" i="8"/>
  <c r="M62" i="8"/>
  <c r="G139" i="8"/>
  <c r="G21" i="8"/>
  <c r="M29" i="8"/>
  <c r="G13" i="8"/>
  <c r="E250" i="7"/>
  <c r="E328" i="7"/>
  <c r="M26" i="8"/>
  <c r="G81" i="8"/>
  <c r="M53" i="8"/>
  <c r="M189" i="8"/>
  <c r="E144" i="7"/>
  <c r="M8" i="8"/>
  <c r="M90" i="8"/>
  <c r="M9" i="8"/>
  <c r="M83" i="8"/>
  <c r="E468" i="7"/>
  <c r="E12" i="7"/>
  <c r="E338" i="7"/>
  <c r="M192" i="8"/>
  <c r="E356" i="7"/>
  <c r="E484" i="7"/>
  <c r="E330" i="7"/>
  <c r="E108" i="7"/>
  <c r="G135" i="8"/>
  <c r="M187" i="8"/>
  <c r="E378" i="7"/>
  <c r="E472" i="7"/>
  <c r="M73" i="8"/>
  <c r="E92" i="7"/>
  <c r="G32" i="8"/>
  <c r="E276" i="7"/>
  <c r="M54" i="8"/>
  <c r="E268" i="7"/>
  <c r="E14" i="7"/>
  <c r="E236" i="7"/>
  <c r="M21" i="8"/>
  <c r="G188" i="8"/>
  <c r="G60" i="8"/>
  <c r="G138" i="8"/>
  <c r="E248" i="7"/>
  <c r="M55" i="8"/>
  <c r="G98" i="8"/>
  <c r="E434" i="7"/>
  <c r="G71" i="8"/>
  <c r="M74" i="8"/>
  <c r="G50" i="8"/>
  <c r="E68" i="7"/>
  <c r="G140" i="8"/>
  <c r="E62" i="7"/>
  <c r="E152" i="7"/>
  <c r="E422" i="7"/>
  <c r="G25" i="8"/>
  <c r="E264" i="7"/>
  <c r="E6" i="7"/>
  <c r="M103" i="8"/>
  <c r="M75" i="8"/>
  <c r="M191" i="8"/>
  <c r="M79" i="8"/>
  <c r="M180" i="8"/>
  <c r="M28" i="8"/>
  <c r="E376" i="7"/>
  <c r="G54" i="8"/>
  <c r="M76" i="8"/>
  <c r="E436" i="7"/>
  <c r="E474" i="7"/>
  <c r="E90" i="7"/>
  <c r="E358" i="7"/>
  <c r="M64" i="8"/>
  <c r="G178" i="8"/>
  <c r="E262" i="7"/>
  <c r="E178" i="7"/>
  <c r="E184" i="7"/>
  <c r="E112" i="7"/>
  <c r="E190" i="7"/>
  <c r="E42" i="7"/>
  <c r="E374" i="7"/>
  <c r="G8" i="8"/>
  <c r="E254" i="7"/>
  <c r="E348" i="7"/>
  <c r="E246" i="7"/>
  <c r="E82" i="7"/>
  <c r="E482" i="7"/>
  <c r="M69" i="8"/>
  <c r="M70" i="8"/>
  <c r="M65" i="8"/>
  <c r="E366" i="7"/>
  <c r="M92" i="8"/>
  <c r="G16" i="8"/>
  <c r="AH49" i="54" l="1"/>
  <c r="I55" i="54"/>
  <c r="O55" i="54" s="1"/>
  <c r="H46" i="56"/>
  <c r="H35" i="56"/>
  <c r="H22" i="56"/>
  <c r="H11" i="56"/>
  <c r="P80" i="50"/>
  <c r="P47" i="50"/>
  <c r="P77" i="48"/>
  <c r="P70" i="48"/>
  <c r="P16" i="48"/>
  <c r="I13" i="54"/>
  <c r="O13" i="54" s="1"/>
  <c r="P48" i="50"/>
  <c r="H45" i="56"/>
  <c r="H33" i="56"/>
  <c r="H20" i="50" s="1"/>
  <c r="H21" i="56"/>
  <c r="H10" i="56"/>
  <c r="K72" i="53"/>
  <c r="K33" i="50"/>
  <c r="P52" i="48"/>
  <c r="P85" i="53"/>
  <c r="I25" i="54"/>
  <c r="H34" i="56"/>
  <c r="H21" i="50" s="1"/>
  <c r="P41" i="50"/>
  <c r="H32" i="56"/>
  <c r="H9" i="56"/>
  <c r="H10" i="50" s="1"/>
  <c r="P73" i="50"/>
  <c r="P53" i="50"/>
  <c r="P19" i="53"/>
  <c r="H44" i="56"/>
  <c r="H20" i="56"/>
  <c r="H8" i="56"/>
  <c r="I53" i="54"/>
  <c r="O53" i="54" s="1"/>
  <c r="K9" i="53"/>
  <c r="P40" i="50"/>
  <c r="P69" i="48"/>
  <c r="P9" i="48"/>
  <c r="H43" i="56"/>
  <c r="L43" i="56" s="1"/>
  <c r="H31" i="56"/>
  <c r="K89" i="53"/>
  <c r="P21" i="48"/>
  <c r="P54" i="50"/>
  <c r="L63" i="56"/>
  <c r="H19" i="56"/>
  <c r="H7" i="56"/>
  <c r="P39" i="50"/>
  <c r="H42" i="56"/>
  <c r="L42" i="56" s="1"/>
  <c r="H30" i="56"/>
  <c r="H29" i="56"/>
  <c r="H31" i="53" s="1"/>
  <c r="I31" i="53" s="1"/>
  <c r="H18" i="56"/>
  <c r="H6" i="56"/>
  <c r="P20" i="48"/>
  <c r="H41" i="56"/>
  <c r="H17" i="56"/>
  <c r="H46" i="53" s="1"/>
  <c r="I46" i="53" s="1"/>
  <c r="P46" i="53" s="1"/>
  <c r="H40" i="56"/>
  <c r="H56" i="53" s="1"/>
  <c r="I56" i="53" s="1"/>
  <c r="P56" i="53" s="1"/>
  <c r="H28" i="56"/>
  <c r="H16" i="56"/>
  <c r="H44" i="53" s="1"/>
  <c r="I44" i="53" s="1"/>
  <c r="P44" i="53" s="1"/>
  <c r="H5" i="56"/>
  <c r="K38" i="53"/>
  <c r="H22" i="50"/>
  <c r="L60" i="56"/>
  <c r="H52" i="56"/>
  <c r="K5" i="53"/>
  <c r="P44" i="50"/>
  <c r="P25" i="48"/>
  <c r="P24" i="48"/>
  <c r="H51" i="56"/>
  <c r="L51" i="56" s="1"/>
  <c r="H39" i="56"/>
  <c r="H27" i="56"/>
  <c r="H15" i="56"/>
  <c r="H4" i="56"/>
  <c r="L59" i="56"/>
  <c r="H50" i="56"/>
  <c r="L38" i="56"/>
  <c r="L14" i="56"/>
  <c r="I50" i="54"/>
  <c r="O50" i="54" s="1"/>
  <c r="P43" i="50"/>
  <c r="P78" i="48"/>
  <c r="P39" i="48"/>
  <c r="P50" i="48"/>
  <c r="P65" i="48"/>
  <c r="P61" i="48"/>
  <c r="P14" i="48"/>
  <c r="P71" i="48"/>
  <c r="P44" i="48"/>
  <c r="P40" i="48"/>
  <c r="P79" i="48"/>
  <c r="P75" i="48"/>
  <c r="P48" i="48"/>
  <c r="P46" i="48"/>
  <c r="P49" i="48"/>
  <c r="P54" i="48"/>
  <c r="P35" i="48"/>
  <c r="P27" i="48"/>
  <c r="P68" i="48"/>
  <c r="P42" i="48"/>
  <c r="P64" i="48"/>
  <c r="P38" i="48"/>
  <c r="P26" i="48"/>
  <c r="P51" i="48"/>
  <c r="P34" i="48"/>
  <c r="P22" i="48"/>
  <c r="P37" i="48"/>
  <c r="P18" i="48"/>
  <c r="P66" i="48"/>
  <c r="P59" i="48"/>
  <c r="P47" i="48"/>
  <c r="P7" i="48"/>
  <c r="P73" i="48"/>
  <c r="P10" i="48"/>
  <c r="P43" i="48"/>
  <c r="P72" i="50"/>
  <c r="P75" i="50"/>
  <c r="P45" i="50"/>
  <c r="P52" i="50"/>
  <c r="P37" i="50"/>
  <c r="P51" i="50"/>
  <c r="I6" i="54"/>
  <c r="AF6" i="54"/>
  <c r="H5" i="52"/>
  <c r="P35" i="53"/>
  <c r="P31" i="53"/>
  <c r="G25" i="54"/>
  <c r="G38" i="53" s="1"/>
  <c r="O25" i="54"/>
  <c r="G26" i="54"/>
  <c r="G39" i="53" s="1"/>
  <c r="I24" i="54"/>
  <c r="O24" i="54" s="1"/>
  <c r="G24" i="54"/>
  <c r="G37" i="53" s="1"/>
  <c r="I56" i="54"/>
  <c r="O56" i="54" s="1"/>
  <c r="AB62" i="54"/>
  <c r="P29" i="53"/>
  <c r="L9" i="53"/>
  <c r="P9" i="53" s="1"/>
  <c r="I29" i="54"/>
  <c r="AA29" i="54"/>
  <c r="AC49" i="54"/>
  <c r="I14" i="54"/>
  <c r="O14" i="54" s="1"/>
  <c r="AF13" i="54"/>
  <c r="P63" i="48"/>
  <c r="I65" i="54"/>
  <c r="P17" i="48"/>
  <c r="H67" i="53"/>
  <c r="I67" i="53" s="1"/>
  <c r="P67" i="53" s="1"/>
  <c r="L50" i="56"/>
  <c r="G53" i="54"/>
  <c r="G72" i="53" s="1"/>
  <c r="P49" i="50"/>
  <c r="P76" i="48"/>
  <c r="P67" i="48"/>
  <c r="K39" i="53"/>
  <c r="K35" i="50"/>
  <c r="K73" i="53"/>
  <c r="I59" i="54"/>
  <c r="AB59" i="54"/>
  <c r="P80" i="48"/>
  <c r="AG49" i="54"/>
  <c r="I54" i="54"/>
  <c r="O54" i="54" s="1"/>
  <c r="P55" i="53"/>
  <c r="L54" i="56"/>
  <c r="AD24" i="54"/>
  <c r="N9" i="53"/>
  <c r="N10" i="53" s="1"/>
  <c r="M5" i="52" s="1"/>
  <c r="AF24" i="54"/>
  <c r="P16" i="53"/>
  <c r="G55" i="54"/>
  <c r="G74" i="53" s="1"/>
  <c r="I52" i="54"/>
  <c r="O52" i="54" s="1"/>
  <c r="L55" i="56"/>
  <c r="P24" i="53"/>
  <c r="H65" i="50"/>
  <c r="H15" i="50"/>
  <c r="L29" i="56"/>
  <c r="G62" i="54"/>
  <c r="G89" i="53" s="1"/>
  <c r="P32" i="48"/>
  <c r="P11" i="48"/>
  <c r="AF9" i="54"/>
  <c r="AF49" i="54"/>
  <c r="H54" i="53"/>
  <c r="I54" i="53" s="1"/>
  <c r="P28" i="48"/>
  <c r="L57" i="56"/>
  <c r="K96" i="53"/>
  <c r="K82" i="53"/>
  <c r="P74" i="50"/>
  <c r="H64" i="50"/>
  <c r="P60" i="48"/>
  <c r="I49" i="54"/>
  <c r="O49" i="54" s="1"/>
  <c r="P15" i="48"/>
  <c r="I51" i="54"/>
  <c r="L34" i="56"/>
  <c r="L17" i="56"/>
  <c r="P14" i="53"/>
  <c r="K32" i="50"/>
  <c r="K68" i="53"/>
  <c r="K37" i="53"/>
  <c r="P72" i="48"/>
  <c r="L40" i="56"/>
  <c r="L16" i="56"/>
  <c r="G56" i="54"/>
  <c r="G75" i="53" s="1"/>
  <c r="K71" i="53"/>
  <c r="P79" i="50"/>
  <c r="J104" i="7"/>
  <c r="CE104" i="7" s="1"/>
  <c r="N82" i="8"/>
  <c r="G360" i="7"/>
  <c r="CB360" i="7" s="1"/>
  <c r="O360" i="7"/>
  <c r="CJ360" i="7" s="1"/>
  <c r="I244" i="7"/>
  <c r="CD244" i="7" s="1"/>
  <c r="I321" i="7" s="1"/>
  <c r="I322" i="7" s="1"/>
  <c r="K8" i="2" s="1"/>
  <c r="J8" i="2" s="1"/>
  <c r="H268" i="7"/>
  <c r="CC268" i="7" s="1"/>
  <c r="M268" i="7"/>
  <c r="CH268" i="7" s="1"/>
  <c r="N16" i="8"/>
  <c r="N65" i="8"/>
  <c r="N181" i="8"/>
  <c r="N51" i="8"/>
  <c r="N180" i="8"/>
  <c r="N50" i="8"/>
  <c r="H266" i="7"/>
  <c r="CC266" i="7" s="1"/>
  <c r="M266" i="7"/>
  <c r="CH266" i="7" s="1"/>
  <c r="N135" i="8"/>
  <c r="N98" i="8"/>
  <c r="N92" i="8"/>
  <c r="N60" i="8"/>
  <c r="F18" i="7"/>
  <c r="CA18" i="7" s="1"/>
  <c r="H168" i="7"/>
  <c r="CC168" i="7" s="1"/>
  <c r="O362" i="7"/>
  <c r="CJ362" i="7" s="1"/>
  <c r="G362" i="7"/>
  <c r="CB362" i="7" s="1"/>
  <c r="N22" i="8"/>
  <c r="N79" i="8"/>
  <c r="G36" i="7"/>
  <c r="CB36" i="7" s="1"/>
  <c r="N21" i="8"/>
  <c r="N66" i="8"/>
  <c r="P256" i="7"/>
  <c r="CK256" i="7" s="1"/>
  <c r="P321" i="7" s="1"/>
  <c r="P322" i="7" s="1"/>
  <c r="K25" i="2" s="1"/>
  <c r="J25" i="2" s="1"/>
  <c r="N9" i="8"/>
  <c r="N191" i="8"/>
  <c r="F476" i="7"/>
  <c r="CA476" i="7" s="1"/>
  <c r="G476" i="7"/>
  <c r="CB476" i="7" s="1"/>
  <c r="I476" i="7"/>
  <c r="CD476" i="7" s="1"/>
  <c r="H476" i="7"/>
  <c r="CC476" i="7" s="1"/>
  <c r="R282" i="7"/>
  <c r="CM282" i="7" s="1"/>
  <c r="R321" i="7" s="1"/>
  <c r="R322" i="7" s="1"/>
  <c r="K27" i="2" s="1"/>
  <c r="J27" i="2" s="1"/>
  <c r="N90" i="8"/>
  <c r="F192" i="7"/>
  <c r="CA192" i="7" s="1"/>
  <c r="N192" i="8"/>
  <c r="N91" i="8"/>
  <c r="F426" i="7"/>
  <c r="CA426" i="7" s="1"/>
  <c r="F459" i="7" s="1"/>
  <c r="F460" i="7" s="1"/>
  <c r="K42" i="2" s="1"/>
  <c r="J42" i="2" s="1"/>
  <c r="N190" i="8"/>
  <c r="N75" i="8"/>
  <c r="F242" i="7"/>
  <c r="CA242" i="7" s="1"/>
  <c r="F321" i="7" s="1"/>
  <c r="F322" i="7" s="1"/>
  <c r="K5" i="2" s="1"/>
  <c r="J5" i="2" s="1"/>
  <c r="N101" i="8"/>
  <c r="I434" i="7"/>
  <c r="CD434" i="7" s="1"/>
  <c r="I459" i="7" s="1"/>
  <c r="I460" i="7" s="1"/>
  <c r="K46" i="2" s="1"/>
  <c r="J46" i="2" s="1"/>
  <c r="N29" i="8"/>
  <c r="G158" i="7"/>
  <c r="CB158" i="7" s="1"/>
  <c r="G229" i="7" s="1"/>
  <c r="G230" i="7" s="1"/>
  <c r="F34" i="7"/>
  <c r="CA34" i="7" s="1"/>
  <c r="N12" i="8"/>
  <c r="M270" i="7"/>
  <c r="CH270" i="7" s="1"/>
  <c r="N139" i="8"/>
  <c r="N102" i="8"/>
  <c r="F486" i="7"/>
  <c r="CA486" i="7" s="1"/>
  <c r="G486" i="7"/>
  <c r="CB486" i="7" s="1"/>
  <c r="I486" i="7"/>
  <c r="CD486" i="7" s="1"/>
  <c r="H486" i="7"/>
  <c r="CC486" i="7" s="1"/>
  <c r="N59" i="8"/>
  <c r="N15" i="8"/>
  <c r="G380" i="7"/>
  <c r="CB380" i="7" s="1"/>
  <c r="H380" i="7"/>
  <c r="CC380" i="7" s="1"/>
  <c r="L380" i="7"/>
  <c r="CG380" i="7" s="1"/>
  <c r="M380" i="7"/>
  <c r="CH380" i="7" s="1"/>
  <c r="L254" i="7"/>
  <c r="CG254" i="7" s="1"/>
  <c r="L321" i="7" s="1"/>
  <c r="L322" i="7" s="1"/>
  <c r="K16" i="2" s="1"/>
  <c r="J16" i="2" s="1"/>
  <c r="N189" i="8"/>
  <c r="F474" i="7"/>
  <c r="CA474" i="7" s="1"/>
  <c r="I474" i="7"/>
  <c r="CD474" i="7" s="1"/>
  <c r="N58" i="8"/>
  <c r="N100" i="8"/>
  <c r="G174" i="7"/>
  <c r="CB174" i="7" s="1"/>
  <c r="N57" i="8"/>
  <c r="N11" i="8"/>
  <c r="N83" i="8"/>
  <c r="G432" i="7"/>
  <c r="CB432" i="7" s="1"/>
  <c r="G376" i="7"/>
  <c r="CB376" i="7" s="1"/>
  <c r="L376" i="7"/>
  <c r="CG376" i="7" s="1"/>
  <c r="J250" i="7"/>
  <c r="CE250" i="7" s="1"/>
  <c r="J321" i="7" s="1"/>
  <c r="J322" i="7" s="1"/>
  <c r="K11" i="2" s="1"/>
  <c r="J11" i="2" s="1"/>
  <c r="H152" i="7"/>
  <c r="CC152" i="7" s="1"/>
  <c r="H78" i="7"/>
  <c r="CC78" i="7" s="1"/>
  <c r="N89" i="8"/>
  <c r="N28" i="8"/>
  <c r="G336" i="7"/>
  <c r="CB336" i="7" s="1"/>
  <c r="O336" i="7"/>
  <c r="CJ336" i="7" s="1"/>
  <c r="N70" i="8"/>
  <c r="N182" i="8"/>
  <c r="N10" i="8"/>
  <c r="G20" i="7"/>
  <c r="CB20" i="7" s="1"/>
  <c r="N76" i="8"/>
  <c r="G348" i="7"/>
  <c r="CB348" i="7" s="1"/>
  <c r="L348" i="7"/>
  <c r="CG348" i="7" s="1"/>
  <c r="N177" i="8"/>
  <c r="J12" i="7"/>
  <c r="CE12" i="7" s="1"/>
  <c r="J60" i="7"/>
  <c r="CE60" i="7" s="1"/>
  <c r="N86" i="8"/>
  <c r="G112" i="7"/>
  <c r="CB112" i="7" s="1"/>
  <c r="N188" i="8"/>
  <c r="N85" i="8"/>
  <c r="K342" i="7"/>
  <c r="CF342" i="7" s="1"/>
  <c r="N342" i="7"/>
  <c r="CI342" i="7" s="1"/>
  <c r="O342" i="7"/>
  <c r="CJ342" i="7" s="1"/>
  <c r="J342" i="7"/>
  <c r="CE342" i="7" s="1"/>
  <c r="J413" i="7" s="1"/>
  <c r="J414" i="7" s="1"/>
  <c r="L15" i="2" s="1"/>
  <c r="J15" i="2" s="1"/>
  <c r="F342" i="7"/>
  <c r="CA342" i="7" s="1"/>
  <c r="I342" i="7"/>
  <c r="CD342" i="7" s="1"/>
  <c r="N99" i="8"/>
  <c r="N69" i="8"/>
  <c r="H364" i="7"/>
  <c r="CC364" i="7" s="1"/>
  <c r="N364" i="7"/>
  <c r="CI364" i="7" s="1"/>
  <c r="K364" i="7"/>
  <c r="CF364" i="7" s="1"/>
  <c r="F364" i="7"/>
  <c r="CA364" i="7" s="1"/>
  <c r="S288" i="7"/>
  <c r="CN288" i="7" s="1"/>
  <c r="S321" i="7" s="1"/>
  <c r="S322" i="7" s="1"/>
  <c r="K28" i="2" s="1"/>
  <c r="J28" i="2" s="1"/>
  <c r="G194" i="7"/>
  <c r="CB194" i="7" s="1"/>
  <c r="N136" i="8"/>
  <c r="N54" i="8"/>
  <c r="F172" i="7"/>
  <c r="CA172" i="7" s="1"/>
  <c r="F52" i="7"/>
  <c r="CA52" i="7" s="1"/>
  <c r="N186" i="8"/>
  <c r="N64" i="8"/>
  <c r="Q276" i="7"/>
  <c r="CL276" i="7" s="1"/>
  <c r="Q321" i="7" s="1"/>
  <c r="Q322" i="7" s="1"/>
  <c r="K26" i="2" s="1"/>
  <c r="J26" i="2" s="1"/>
  <c r="G84" i="7"/>
  <c r="CB84" i="7" s="1"/>
  <c r="G68" i="7"/>
  <c r="CB68" i="7" s="1"/>
  <c r="N134" i="8"/>
  <c r="H428" i="7"/>
  <c r="CC428" i="7" s="1"/>
  <c r="H459" i="7" s="1"/>
  <c r="H460" i="7" s="1"/>
  <c r="K44" i="2" s="1"/>
  <c r="J44" i="2" s="1"/>
  <c r="N74" i="8"/>
  <c r="N53" i="8"/>
  <c r="N13" i="8"/>
  <c r="I366" i="7"/>
  <c r="CD366" i="7" s="1"/>
  <c r="J366" i="7"/>
  <c r="CE366" i="7" s="1"/>
  <c r="N366" i="7"/>
  <c r="CI366" i="7" s="1"/>
  <c r="K366" i="7"/>
  <c r="CF366" i="7" s="1"/>
  <c r="F366" i="7"/>
  <c r="CA366" i="7" s="1"/>
  <c r="O366" i="7"/>
  <c r="CJ366" i="7" s="1"/>
  <c r="O272" i="7"/>
  <c r="CJ272" i="7" s="1"/>
  <c r="O321" i="7" s="1"/>
  <c r="O322" i="7" s="1"/>
  <c r="K24" i="2" s="1"/>
  <c r="J24" i="2" s="1"/>
  <c r="G248" i="7"/>
  <c r="CB248" i="7" s="1"/>
  <c r="I182" i="7"/>
  <c r="CD182" i="7" s="1"/>
  <c r="I166" i="7"/>
  <c r="CD166" i="7" s="1"/>
  <c r="I150" i="7"/>
  <c r="CD150" i="7" s="1"/>
  <c r="N93" i="8"/>
  <c r="N84" i="8"/>
  <c r="N61" i="8"/>
  <c r="F482" i="7"/>
  <c r="CA482" i="7" s="1"/>
  <c r="I482" i="7"/>
  <c r="CD482" i="7" s="1"/>
  <c r="G352" i="7"/>
  <c r="CB352" i="7" s="1"/>
  <c r="H352" i="7"/>
  <c r="CC352" i="7" s="1"/>
  <c r="L352" i="7"/>
  <c r="CG352" i="7" s="1"/>
  <c r="M352" i="7"/>
  <c r="CH352" i="7" s="1"/>
  <c r="N176" i="8"/>
  <c r="N26" i="8"/>
  <c r="N193" i="8"/>
  <c r="N183" i="8"/>
  <c r="N140" i="8"/>
  <c r="N105" i="8"/>
  <c r="N73" i="8"/>
  <c r="N52" i="8"/>
  <c r="N25" i="8"/>
  <c r="G338" i="7"/>
  <c r="CB338" i="7" s="1"/>
  <c r="O338" i="7"/>
  <c r="CJ338" i="7" s="1"/>
  <c r="H106" i="7"/>
  <c r="CC106" i="7" s="1"/>
  <c r="F82" i="7"/>
  <c r="CA82" i="7" s="1"/>
  <c r="F66" i="7"/>
  <c r="CA66" i="7" s="1"/>
  <c r="I92" i="7"/>
  <c r="CD92" i="7" s="1"/>
  <c r="I137" i="7" s="1"/>
  <c r="I138" i="7" s="1"/>
  <c r="H30" i="7"/>
  <c r="CC30" i="7" s="1"/>
  <c r="N179" i="8"/>
  <c r="N104" i="8"/>
  <c r="N88" i="8"/>
  <c r="N56" i="8"/>
  <c r="I472" i="7"/>
  <c r="CD472" i="7" s="1"/>
  <c r="F472" i="7"/>
  <c r="CA472" i="7" s="1"/>
  <c r="G378" i="7"/>
  <c r="CB378" i="7" s="1"/>
  <c r="L378" i="7"/>
  <c r="CG378" i="7" s="1"/>
  <c r="J44" i="7"/>
  <c r="CE44" i="7" s="1"/>
  <c r="N95" i="8"/>
  <c r="N72" i="8"/>
  <c r="N63" i="8"/>
  <c r="N24" i="8"/>
  <c r="N14" i="8"/>
  <c r="G430" i="7"/>
  <c r="CB430" i="7" s="1"/>
  <c r="K430" i="7"/>
  <c r="CF430" i="7" s="1"/>
  <c r="K459" i="7" s="1"/>
  <c r="K460" i="7" s="1"/>
  <c r="K50" i="2" s="1"/>
  <c r="J50" i="2" s="1"/>
  <c r="F358" i="7"/>
  <c r="CA358" i="7" s="1"/>
  <c r="N358" i="7"/>
  <c r="CI358" i="7" s="1"/>
  <c r="F340" i="7"/>
  <c r="CA340" i="7" s="1"/>
  <c r="H340" i="7"/>
  <c r="CC340" i="7" s="1"/>
  <c r="K340" i="7"/>
  <c r="CF340" i="7" s="1"/>
  <c r="N340" i="7"/>
  <c r="CI340" i="7" s="1"/>
  <c r="G246" i="7"/>
  <c r="CB246" i="7" s="1"/>
  <c r="N246" i="7"/>
  <c r="CI246" i="7" s="1"/>
  <c r="N321" i="7" s="1"/>
  <c r="N322" i="7" s="1"/>
  <c r="K19" i="2" s="1"/>
  <c r="J19" i="2" s="1"/>
  <c r="H184" i="7"/>
  <c r="CC184" i="7" s="1"/>
  <c r="H62" i="7"/>
  <c r="CC62" i="7" s="1"/>
  <c r="N138" i="8"/>
  <c r="N81" i="8"/>
  <c r="F110" i="7"/>
  <c r="CA110" i="7" s="1"/>
  <c r="N187" i="8"/>
  <c r="N178" i="8"/>
  <c r="N103" i="8"/>
  <c r="N87" i="8"/>
  <c r="N32" i="8"/>
  <c r="N8" i="8"/>
  <c r="L350" i="7"/>
  <c r="CG350" i="7" s="1"/>
  <c r="G350" i="7"/>
  <c r="CB350" i="7" s="1"/>
  <c r="F156" i="7"/>
  <c r="CA156" i="7" s="1"/>
  <c r="J76" i="7"/>
  <c r="CE76" i="7" s="1"/>
  <c r="H14" i="7"/>
  <c r="CC14" i="7" s="1"/>
  <c r="N137" i="8"/>
  <c r="N94" i="8"/>
  <c r="N80" i="8"/>
  <c r="N71" i="8"/>
  <c r="N62" i="8"/>
  <c r="N55" i="8"/>
  <c r="N23" i="8"/>
  <c r="F484" i="7"/>
  <c r="CA484" i="7" s="1"/>
  <c r="I484" i="7"/>
  <c r="CD484" i="7" s="1"/>
  <c r="J436" i="7"/>
  <c r="CE436" i="7" s="1"/>
  <c r="J459" i="7" s="1"/>
  <c r="J460" i="7" s="1"/>
  <c r="K47" i="2" s="1"/>
  <c r="J47" i="2" s="1"/>
  <c r="F334" i="7"/>
  <c r="CA334" i="7" s="1"/>
  <c r="N334" i="7"/>
  <c r="CI334" i="7" s="1"/>
  <c r="K252" i="7"/>
  <c r="CF252" i="7" s="1"/>
  <c r="K321" i="7" s="1"/>
  <c r="K322" i="7" s="1"/>
  <c r="K12" i="2" s="1"/>
  <c r="J12" i="2" s="1"/>
  <c r="J28" i="7"/>
  <c r="CE28" i="7" s="1"/>
  <c r="G505" i="7" l="1"/>
  <c r="G506" i="7" s="1"/>
  <c r="L48" i="2" s="1"/>
  <c r="J48" i="2" s="1"/>
  <c r="H65" i="53"/>
  <c r="I65" i="53" s="1"/>
  <c r="P65" i="53" s="1"/>
  <c r="L10" i="56"/>
  <c r="H13" i="50"/>
  <c r="H63" i="50"/>
  <c r="H23" i="53"/>
  <c r="I23" i="53" s="1"/>
  <c r="P23" i="53" s="1"/>
  <c r="L28" i="56"/>
  <c r="H94" i="53"/>
  <c r="L21" i="56"/>
  <c r="H62" i="53"/>
  <c r="I62" i="53" s="1"/>
  <c r="P62" i="53" s="1"/>
  <c r="L45" i="56"/>
  <c r="G50" i="54"/>
  <c r="G69" i="53" s="1"/>
  <c r="H58" i="53"/>
  <c r="I58" i="53" s="1"/>
  <c r="P58" i="53" s="1"/>
  <c r="L41" i="56"/>
  <c r="H57" i="50"/>
  <c r="L4" i="56"/>
  <c r="H5" i="50"/>
  <c r="L8" i="56"/>
  <c r="H60" i="50"/>
  <c r="H9" i="50"/>
  <c r="H34" i="53"/>
  <c r="L20" i="56"/>
  <c r="H6" i="50"/>
  <c r="L5" i="56"/>
  <c r="H58" i="50"/>
  <c r="H33" i="53"/>
  <c r="I33" i="53" s="1"/>
  <c r="P33" i="53" s="1"/>
  <c r="L27" i="56"/>
  <c r="L18" i="56"/>
  <c r="H45" i="53"/>
  <c r="I45" i="53" s="1"/>
  <c r="P45" i="53" s="1"/>
  <c r="H64" i="53"/>
  <c r="I64" i="53" s="1"/>
  <c r="P64" i="53" s="1"/>
  <c r="L44" i="56"/>
  <c r="H47" i="53"/>
  <c r="I47" i="53" s="1"/>
  <c r="P47" i="53" s="1"/>
  <c r="L31" i="56"/>
  <c r="G54" i="54"/>
  <c r="G73" i="53" s="1"/>
  <c r="I73" i="53" s="1"/>
  <c r="L39" i="56"/>
  <c r="H59" i="53"/>
  <c r="I59" i="53" s="1"/>
  <c r="P59" i="53" s="1"/>
  <c r="H32" i="53"/>
  <c r="I32" i="53" s="1"/>
  <c r="P32" i="53" s="1"/>
  <c r="L30" i="56"/>
  <c r="H14" i="50"/>
  <c r="L11" i="56"/>
  <c r="H7" i="50"/>
  <c r="L6" i="56"/>
  <c r="H8" i="50"/>
  <c r="H59" i="50"/>
  <c r="L7" i="56"/>
  <c r="L32" i="56"/>
  <c r="H48" i="53"/>
  <c r="I48" i="53" s="1"/>
  <c r="P48" i="53" s="1"/>
  <c r="H87" i="53"/>
  <c r="L22" i="56"/>
  <c r="H80" i="53"/>
  <c r="L33" i="56"/>
  <c r="H19" i="50"/>
  <c r="L19" i="56"/>
  <c r="H61" i="53"/>
  <c r="I61" i="53" s="1"/>
  <c r="P61" i="53" s="1"/>
  <c r="L35" i="56"/>
  <c r="L52" i="56"/>
  <c r="H60" i="53"/>
  <c r="I60" i="53" s="1"/>
  <c r="P60" i="53" s="1"/>
  <c r="H66" i="53"/>
  <c r="I66" i="53" s="1"/>
  <c r="P66" i="53" s="1"/>
  <c r="L46" i="56"/>
  <c r="L15" i="56"/>
  <c r="H18" i="50"/>
  <c r="L9" i="56"/>
  <c r="G13" i="54"/>
  <c r="G25" i="53" s="1"/>
  <c r="H505" i="7"/>
  <c r="H506" i="7" s="1"/>
  <c r="L49" i="2" s="1"/>
  <c r="J49" i="2" s="1"/>
  <c r="H49" i="2" s="1"/>
  <c r="G66" i="50" s="1"/>
  <c r="I413" i="7"/>
  <c r="I414" i="7" s="1"/>
  <c r="L14" i="2" s="1"/>
  <c r="J14" i="2" s="1"/>
  <c r="J16" i="50" s="1"/>
  <c r="I13" i="51" s="1"/>
  <c r="H46" i="2"/>
  <c r="G63" i="50" s="1"/>
  <c r="J63" i="50"/>
  <c r="I35" i="51" s="1"/>
  <c r="O35" i="51" s="1"/>
  <c r="AA35" i="51" s="1"/>
  <c r="H24" i="2"/>
  <c r="G25" i="50" s="1"/>
  <c r="J25" i="50"/>
  <c r="H15" i="2"/>
  <c r="G17" i="50" s="1"/>
  <c r="J17" i="50"/>
  <c r="H47" i="2"/>
  <c r="G64" i="50" s="1"/>
  <c r="J64" i="50"/>
  <c r="H25" i="2"/>
  <c r="G26" i="50" s="1"/>
  <c r="J26" i="50"/>
  <c r="H28" i="2"/>
  <c r="G28" i="50" s="1"/>
  <c r="J28" i="50"/>
  <c r="H42" i="2"/>
  <c r="G57" i="50" s="1"/>
  <c r="J57" i="50"/>
  <c r="H11" i="2"/>
  <c r="G13" i="50" s="1"/>
  <c r="J13" i="50"/>
  <c r="I11" i="51" s="1"/>
  <c r="O11" i="51" s="1"/>
  <c r="AA11" i="51" s="1"/>
  <c r="H16" i="2"/>
  <c r="G18" i="50" s="1"/>
  <c r="J18" i="50"/>
  <c r="I14" i="51" s="1"/>
  <c r="H27" i="2"/>
  <c r="G24" i="50" s="1"/>
  <c r="J24" i="50"/>
  <c r="L413" i="7"/>
  <c r="L414" i="7" s="1"/>
  <c r="L20" i="2" s="1"/>
  <c r="J20" i="2" s="1"/>
  <c r="H26" i="2"/>
  <c r="G23" i="50" s="1"/>
  <c r="J23" i="50"/>
  <c r="H14" i="2"/>
  <c r="G16" i="50" s="1"/>
  <c r="H12" i="2"/>
  <c r="G14" i="50" s="1"/>
  <c r="J14" i="50"/>
  <c r="H19" i="2"/>
  <c r="G27" i="50" s="1"/>
  <c r="J27" i="50"/>
  <c r="H8" i="2"/>
  <c r="G8" i="50" s="1"/>
  <c r="J8" i="50"/>
  <c r="H50" i="2"/>
  <c r="G67" i="50" s="1"/>
  <c r="J67" i="50"/>
  <c r="H44" i="2"/>
  <c r="G59" i="50" s="1"/>
  <c r="J59" i="50"/>
  <c r="H48" i="2"/>
  <c r="G65" i="50" s="1"/>
  <c r="I65" i="50" s="1"/>
  <c r="J65" i="50"/>
  <c r="I36" i="51" s="1"/>
  <c r="O36" i="51" s="1"/>
  <c r="AA36" i="51" s="1"/>
  <c r="H5" i="2"/>
  <c r="G5" i="50" s="1"/>
  <c r="J5" i="50"/>
  <c r="G459" i="7"/>
  <c r="G460" i="7" s="1"/>
  <c r="K43" i="2" s="1"/>
  <c r="J43" i="2" s="1"/>
  <c r="I229" i="7"/>
  <c r="I230" i="7" s="1"/>
  <c r="H229" i="7"/>
  <c r="H230" i="7" s="1"/>
  <c r="L89" i="53"/>
  <c r="I89" i="53"/>
  <c r="N89" i="53"/>
  <c r="N91" i="53" s="1"/>
  <c r="M13" i="52" s="1"/>
  <c r="N13" i="52" s="1"/>
  <c r="M30" i="50" s="1"/>
  <c r="O59" i="54"/>
  <c r="G59" i="54"/>
  <c r="G82" i="53" s="1"/>
  <c r="L72" i="53"/>
  <c r="AE72" i="53" s="1"/>
  <c r="I72" i="53"/>
  <c r="N72" i="53"/>
  <c r="O29" i="54"/>
  <c r="G29" i="54"/>
  <c r="G49" i="53" s="1"/>
  <c r="L10" i="53"/>
  <c r="AE9" i="53"/>
  <c r="AE10" i="53" s="1"/>
  <c r="L74" i="53"/>
  <c r="AE74" i="53" s="1"/>
  <c r="I74" i="53"/>
  <c r="N74" i="53"/>
  <c r="N75" i="53"/>
  <c r="I75" i="53"/>
  <c r="L75" i="53"/>
  <c r="AE75" i="53" s="1"/>
  <c r="G65" i="54"/>
  <c r="G96" i="53" s="1"/>
  <c r="O65" i="54"/>
  <c r="P54" i="53"/>
  <c r="N39" i="53"/>
  <c r="L39" i="53"/>
  <c r="AE39" i="53" s="1"/>
  <c r="I39" i="53"/>
  <c r="G52" i="54"/>
  <c r="G71" i="53" s="1"/>
  <c r="L38" i="53"/>
  <c r="AE38" i="53" s="1"/>
  <c r="N38" i="53"/>
  <c r="I38" i="53"/>
  <c r="P38" i="53" s="1"/>
  <c r="G49" i="54"/>
  <c r="G68" i="53" s="1"/>
  <c r="L37" i="53"/>
  <c r="N37" i="53"/>
  <c r="I37" i="53"/>
  <c r="P37" i="53" s="1"/>
  <c r="O51" i="54"/>
  <c r="G51" i="54"/>
  <c r="G70" i="53" s="1"/>
  <c r="H18" i="53"/>
  <c r="I18" i="53" s="1"/>
  <c r="I5" i="52"/>
  <c r="N5" i="52"/>
  <c r="M18" i="53"/>
  <c r="N18" i="53" s="1"/>
  <c r="N20" i="53" s="1"/>
  <c r="M7" i="52" s="1"/>
  <c r="N7" i="52" s="1"/>
  <c r="M24" i="50" s="1"/>
  <c r="G14" i="54"/>
  <c r="G26" i="53" s="1"/>
  <c r="O6" i="54"/>
  <c r="G6" i="54"/>
  <c r="G5" i="53" s="1"/>
  <c r="J137" i="7"/>
  <c r="J138" i="7" s="1"/>
  <c r="F137" i="7"/>
  <c r="F138" i="7" s="1"/>
  <c r="N413" i="7"/>
  <c r="N414" i="7" s="1"/>
  <c r="L22" i="2" s="1"/>
  <c r="J22" i="2" s="1"/>
  <c r="O413" i="7"/>
  <c r="O414" i="7" s="1"/>
  <c r="L23" i="2" s="1"/>
  <c r="J23" i="2" s="1"/>
  <c r="G321" i="7"/>
  <c r="G322" i="7" s="1"/>
  <c r="K6" i="2" s="1"/>
  <c r="J6" i="2" s="1"/>
  <c r="G413" i="7"/>
  <c r="G414" i="7" s="1"/>
  <c r="L10" i="2" s="1"/>
  <c r="J10" i="2" s="1"/>
  <c r="H413" i="7"/>
  <c r="H414" i="7" s="1"/>
  <c r="L13" i="2" s="1"/>
  <c r="J13" i="2" s="1"/>
  <c r="F505" i="7"/>
  <c r="F506" i="7" s="1"/>
  <c r="L45" i="2" s="1"/>
  <c r="J45" i="2" s="1"/>
  <c r="H137" i="7"/>
  <c r="H138" i="7" s="1"/>
  <c r="G137" i="7"/>
  <c r="G138" i="7" s="1"/>
  <c r="F229" i="7"/>
  <c r="F230" i="7" s="1"/>
  <c r="M413" i="7"/>
  <c r="M414" i="7" s="1"/>
  <c r="L21" i="2" s="1"/>
  <c r="J21" i="2" s="1"/>
  <c r="F413" i="7"/>
  <c r="F414" i="7" s="1"/>
  <c r="L9" i="2" s="1"/>
  <c r="J9" i="2" s="1"/>
  <c r="M321" i="7"/>
  <c r="M322" i="7" s="1"/>
  <c r="K17" i="2" s="1"/>
  <c r="J17" i="2" s="1"/>
  <c r="K413" i="7"/>
  <c r="K414" i="7" s="1"/>
  <c r="L18" i="2" s="1"/>
  <c r="J18" i="2" s="1"/>
  <c r="I505" i="7"/>
  <c r="I506" i="7" s="1"/>
  <c r="L51" i="2" s="1"/>
  <c r="J51" i="2" s="1"/>
  <c r="H321" i="7"/>
  <c r="H322" i="7" s="1"/>
  <c r="K7" i="2" s="1"/>
  <c r="J7" i="2" s="1"/>
  <c r="J66" i="50" l="1"/>
  <c r="I37" i="51" s="1"/>
  <c r="N69" i="53"/>
  <c r="I69" i="53"/>
  <c r="L69" i="53"/>
  <c r="AE69" i="53" s="1"/>
  <c r="AC80" i="53"/>
  <c r="AC81" i="53" s="1"/>
  <c r="I80" i="53"/>
  <c r="I87" i="53"/>
  <c r="AC87" i="53"/>
  <c r="AC88" i="53" s="1"/>
  <c r="I94" i="53"/>
  <c r="AC94" i="53"/>
  <c r="AC95" i="53" s="1"/>
  <c r="L73" i="53"/>
  <c r="AE73" i="53" s="1"/>
  <c r="I34" i="53"/>
  <c r="P34" i="53" s="1"/>
  <c r="AC34" i="53"/>
  <c r="AC36" i="53" s="1"/>
  <c r="N73" i="53"/>
  <c r="P73" i="53" s="1"/>
  <c r="N25" i="53"/>
  <c r="L25" i="53"/>
  <c r="AE25" i="53" s="1"/>
  <c r="I25" i="53"/>
  <c r="P25" i="53" s="1"/>
  <c r="H6" i="2"/>
  <c r="G6" i="50" s="1"/>
  <c r="J6" i="50"/>
  <c r="H22" i="2"/>
  <c r="G29" i="50" s="1"/>
  <c r="J29" i="50"/>
  <c r="H20" i="2"/>
  <c r="G20" i="50" s="1"/>
  <c r="J20" i="50"/>
  <c r="L64" i="50"/>
  <c r="N64" i="50"/>
  <c r="N57" i="50"/>
  <c r="I57" i="50"/>
  <c r="L57" i="50"/>
  <c r="G31" i="51"/>
  <c r="N14" i="50"/>
  <c r="L14" i="50"/>
  <c r="I14" i="50"/>
  <c r="H18" i="2"/>
  <c r="G22" i="50" s="1"/>
  <c r="J22" i="50"/>
  <c r="I19" i="51" s="1"/>
  <c r="H17" i="2"/>
  <c r="G19" i="50" s="1"/>
  <c r="J19" i="50"/>
  <c r="AC59" i="50"/>
  <c r="AB59" i="50"/>
  <c r="I33" i="51"/>
  <c r="N17" i="50"/>
  <c r="L17" i="50"/>
  <c r="I17" i="50"/>
  <c r="H51" i="2"/>
  <c r="G68" i="50" s="1"/>
  <c r="J68" i="50"/>
  <c r="I59" i="50"/>
  <c r="L59" i="50"/>
  <c r="N59" i="50"/>
  <c r="G33" i="51"/>
  <c r="O37" i="51"/>
  <c r="AA37" i="51" s="1"/>
  <c r="I66" i="50"/>
  <c r="N66" i="50"/>
  <c r="G37" i="51"/>
  <c r="H37" i="51" s="1"/>
  <c r="L66" i="50"/>
  <c r="G14" i="51"/>
  <c r="H14" i="51" s="1"/>
  <c r="L18" i="50"/>
  <c r="I18" i="50"/>
  <c r="N18" i="50"/>
  <c r="H10" i="2"/>
  <c r="G10" i="50" s="1"/>
  <c r="J10" i="50"/>
  <c r="H43" i="2"/>
  <c r="G58" i="50" s="1"/>
  <c r="J58" i="50"/>
  <c r="AB5" i="50"/>
  <c r="AC5" i="50"/>
  <c r="I5" i="51"/>
  <c r="I5" i="50"/>
  <c r="L5" i="50"/>
  <c r="N5" i="50"/>
  <c r="G5" i="51"/>
  <c r="G13" i="51"/>
  <c r="H13" i="51" s="1"/>
  <c r="N16" i="50"/>
  <c r="L16" i="50"/>
  <c r="I16" i="50"/>
  <c r="L65" i="50"/>
  <c r="G36" i="51"/>
  <c r="H36" i="51" s="1"/>
  <c r="N65" i="50"/>
  <c r="H9" i="2"/>
  <c r="G9" i="50" s="1"/>
  <c r="J9" i="50"/>
  <c r="H21" i="2"/>
  <c r="G21" i="50" s="1"/>
  <c r="J21" i="50"/>
  <c r="I18" i="51" s="1"/>
  <c r="O14" i="51"/>
  <c r="AA14" i="51" s="1"/>
  <c r="I8" i="51"/>
  <c r="AB8" i="50"/>
  <c r="AC8" i="50"/>
  <c r="N24" i="50"/>
  <c r="L8" i="50"/>
  <c r="N8" i="50"/>
  <c r="G8" i="51"/>
  <c r="I8" i="50"/>
  <c r="L13" i="50"/>
  <c r="G11" i="51"/>
  <c r="H11" i="51" s="1"/>
  <c r="N13" i="50"/>
  <c r="I13" i="50"/>
  <c r="I64" i="50"/>
  <c r="H23" i="2"/>
  <c r="G30" i="50" s="1"/>
  <c r="N30" i="50" s="1"/>
  <c r="J30" i="50"/>
  <c r="O13" i="51"/>
  <c r="AA13" i="51" s="1"/>
  <c r="H7" i="2"/>
  <c r="G7" i="50" s="1"/>
  <c r="J7" i="50"/>
  <c r="H45" i="2"/>
  <c r="G60" i="50" s="1"/>
  <c r="J60" i="50"/>
  <c r="H13" i="2"/>
  <c r="G15" i="50" s="1"/>
  <c r="J15" i="50"/>
  <c r="I12" i="51" s="1"/>
  <c r="O12" i="51" s="1"/>
  <c r="AA12" i="51" s="1"/>
  <c r="I31" i="51"/>
  <c r="O31" i="51" s="1"/>
  <c r="AA31" i="51" s="1"/>
  <c r="AC57" i="50"/>
  <c r="AB57" i="50"/>
  <c r="I63" i="50"/>
  <c r="G35" i="51"/>
  <c r="H35" i="51" s="1"/>
  <c r="L63" i="50"/>
  <c r="N63" i="50"/>
  <c r="I71" i="53"/>
  <c r="L71" i="53"/>
  <c r="AE71" i="53" s="1"/>
  <c r="N71" i="53"/>
  <c r="N96" i="53"/>
  <c r="N98" i="53" s="1"/>
  <c r="M14" i="52" s="1"/>
  <c r="N14" i="52" s="1"/>
  <c r="M68" i="50" s="1"/>
  <c r="I96" i="53"/>
  <c r="L96" i="53"/>
  <c r="P72" i="53"/>
  <c r="P39" i="53"/>
  <c r="I20" i="53"/>
  <c r="P75" i="53"/>
  <c r="N68" i="53"/>
  <c r="N77" i="53" s="1"/>
  <c r="M11" i="52" s="1"/>
  <c r="N11" i="52" s="1"/>
  <c r="M28" i="50" s="1"/>
  <c r="N28" i="50" s="1"/>
  <c r="L68" i="53"/>
  <c r="I68" i="53"/>
  <c r="I82" i="53"/>
  <c r="L82" i="53"/>
  <c r="N82" i="53"/>
  <c r="N84" i="53" s="1"/>
  <c r="M12" i="52" s="1"/>
  <c r="N12" i="52" s="1"/>
  <c r="M29" i="50" s="1"/>
  <c r="P89" i="53"/>
  <c r="L70" i="53"/>
  <c r="AE70" i="53" s="1"/>
  <c r="N70" i="53"/>
  <c r="I70" i="53"/>
  <c r="P70" i="53" s="1"/>
  <c r="AE89" i="53"/>
  <c r="AE91" i="53" s="1"/>
  <c r="AC91" i="53" s="1"/>
  <c r="AD91" i="53"/>
  <c r="L91" i="53"/>
  <c r="K13" i="52" s="1"/>
  <c r="L13" i="52" s="1"/>
  <c r="K30" i="50" s="1"/>
  <c r="P74" i="53"/>
  <c r="L5" i="53"/>
  <c r="N5" i="53"/>
  <c r="N6" i="53" s="1"/>
  <c r="M4" i="52" s="1"/>
  <c r="I5" i="53"/>
  <c r="N41" i="53"/>
  <c r="M9" i="52" s="1"/>
  <c r="N9" i="52" s="1"/>
  <c r="M26" i="50" s="1"/>
  <c r="N26" i="50" s="1"/>
  <c r="AE37" i="53"/>
  <c r="AE41" i="53" s="1"/>
  <c r="AC41" i="53" s="1"/>
  <c r="AD41" i="53"/>
  <c r="L41" i="53"/>
  <c r="K9" i="52" s="1"/>
  <c r="L9" i="52" s="1"/>
  <c r="K26" i="50" s="1"/>
  <c r="L26" i="50" s="1"/>
  <c r="K5" i="52"/>
  <c r="P10" i="53"/>
  <c r="I26" i="53"/>
  <c r="N26" i="53"/>
  <c r="L26" i="53"/>
  <c r="L49" i="53"/>
  <c r="I49" i="53"/>
  <c r="N49" i="53"/>
  <c r="N51" i="53" s="1"/>
  <c r="M10" i="52" s="1"/>
  <c r="N10" i="52" s="1"/>
  <c r="L30" i="50" l="1"/>
  <c r="P94" i="53"/>
  <c r="AD95" i="53"/>
  <c r="H95" i="53" s="1"/>
  <c r="I95" i="53" s="1"/>
  <c r="P95" i="53" s="1"/>
  <c r="P87" i="53"/>
  <c r="AD88" i="53"/>
  <c r="H88" i="53" s="1"/>
  <c r="I88" i="53" s="1"/>
  <c r="H40" i="53"/>
  <c r="I40" i="53" s="1"/>
  <c r="P40" i="53" s="1"/>
  <c r="P80" i="53"/>
  <c r="AD81" i="53"/>
  <c r="H81" i="53" s="1"/>
  <c r="I81" i="53" s="1"/>
  <c r="P81" i="53" s="1"/>
  <c r="N29" i="50"/>
  <c r="H90" i="53"/>
  <c r="I90" i="53" s="1"/>
  <c r="P90" i="53" s="1"/>
  <c r="P69" i="53"/>
  <c r="N28" i="53"/>
  <c r="M8" i="52" s="1"/>
  <c r="N8" i="52" s="1"/>
  <c r="M25" i="50" s="1"/>
  <c r="N25" i="50" s="1"/>
  <c r="AD36" i="53"/>
  <c r="H36" i="53" s="1"/>
  <c r="I36" i="53" s="1"/>
  <c r="P36" i="53" s="1"/>
  <c r="P64" i="50"/>
  <c r="P8" i="50"/>
  <c r="P17" i="50"/>
  <c r="P65" i="50"/>
  <c r="H31" i="51"/>
  <c r="P13" i="50"/>
  <c r="O8" i="51"/>
  <c r="AA8" i="51" s="1"/>
  <c r="H8" i="51"/>
  <c r="P57" i="50"/>
  <c r="G18" i="51"/>
  <c r="H18" i="51" s="1"/>
  <c r="I21" i="50"/>
  <c r="L21" i="50"/>
  <c r="N21" i="50"/>
  <c r="G17" i="51"/>
  <c r="N20" i="50"/>
  <c r="G16" i="51"/>
  <c r="L20" i="50"/>
  <c r="I20" i="50"/>
  <c r="I15" i="51"/>
  <c r="AC19" i="50"/>
  <c r="O18" i="51"/>
  <c r="AD18" i="51" s="1"/>
  <c r="I9" i="51"/>
  <c r="AC9" i="50"/>
  <c r="AA9" i="50"/>
  <c r="I32" i="51"/>
  <c r="AB58" i="50"/>
  <c r="AB62" i="50" s="1"/>
  <c r="H62" i="50" s="1"/>
  <c r="I62" i="50" s="1"/>
  <c r="P62" i="50" s="1"/>
  <c r="AC58" i="50"/>
  <c r="I16" i="51"/>
  <c r="O16" i="51" s="1"/>
  <c r="AD16" i="51" s="1"/>
  <c r="I17" i="51"/>
  <c r="AC20" i="50"/>
  <c r="I58" i="50"/>
  <c r="N58" i="50"/>
  <c r="L58" i="50"/>
  <c r="G32" i="51"/>
  <c r="I10" i="51"/>
  <c r="AC10" i="50"/>
  <c r="AA10" i="50"/>
  <c r="P59" i="50"/>
  <c r="AB7" i="50"/>
  <c r="I7" i="51"/>
  <c r="AC7" i="50"/>
  <c r="P63" i="50"/>
  <c r="P5" i="50"/>
  <c r="L15" i="50"/>
  <c r="N15" i="50"/>
  <c r="G12" i="51"/>
  <c r="H12" i="51" s="1"/>
  <c r="I15" i="50"/>
  <c r="P15" i="50" s="1"/>
  <c r="G10" i="51"/>
  <c r="N10" i="50"/>
  <c r="L10" i="50"/>
  <c r="I10" i="50"/>
  <c r="O19" i="51"/>
  <c r="AA19" i="51" s="1"/>
  <c r="I6" i="51"/>
  <c r="AB6" i="50"/>
  <c r="AC6" i="50"/>
  <c r="L7" i="50"/>
  <c r="I7" i="50"/>
  <c r="N7" i="50"/>
  <c r="G7" i="51"/>
  <c r="H33" i="51"/>
  <c r="O33" i="51"/>
  <c r="AA33" i="51" s="1"/>
  <c r="P66" i="50"/>
  <c r="O5" i="51"/>
  <c r="AA5" i="51" s="1"/>
  <c r="H5" i="51"/>
  <c r="G15" i="51"/>
  <c r="I19" i="50"/>
  <c r="L19" i="50"/>
  <c r="N19" i="50"/>
  <c r="I9" i="50"/>
  <c r="G9" i="51"/>
  <c r="L9" i="50"/>
  <c r="N9" i="50"/>
  <c r="AC60" i="50"/>
  <c r="AA60" i="50"/>
  <c r="AA61" i="50" s="1"/>
  <c r="H61" i="50" s="1"/>
  <c r="I61" i="50" s="1"/>
  <c r="P61" i="50" s="1"/>
  <c r="I34" i="51"/>
  <c r="I22" i="50"/>
  <c r="L22" i="50"/>
  <c r="G19" i="51"/>
  <c r="H19" i="51" s="1"/>
  <c r="N22" i="50"/>
  <c r="G6" i="51"/>
  <c r="N6" i="50"/>
  <c r="L6" i="50"/>
  <c r="I6" i="50"/>
  <c r="N68" i="50"/>
  <c r="G34" i="51"/>
  <c r="I60" i="50"/>
  <c r="N60" i="50"/>
  <c r="L60" i="50"/>
  <c r="P16" i="50"/>
  <c r="P18" i="50"/>
  <c r="P14" i="50"/>
  <c r="H7" i="52"/>
  <c r="I7" i="52" s="1"/>
  <c r="I6" i="53"/>
  <c r="P5" i="53"/>
  <c r="M27" i="50"/>
  <c r="N27" i="50" s="1"/>
  <c r="M67" i="50"/>
  <c r="N67" i="50" s="1"/>
  <c r="M13" i="53"/>
  <c r="N13" i="53" s="1"/>
  <c r="N15" i="53" s="1"/>
  <c r="M6" i="52" s="1"/>
  <c r="N6" i="52" s="1"/>
  <c r="M23" i="50" s="1"/>
  <c r="N23" i="50" s="1"/>
  <c r="N4" i="52"/>
  <c r="P49" i="53"/>
  <c r="L6" i="53"/>
  <c r="K4" i="52" s="1"/>
  <c r="AE5" i="53"/>
  <c r="AE6" i="53" s="1"/>
  <c r="AE49" i="53"/>
  <c r="AE51" i="53" s="1"/>
  <c r="AC51" i="53" s="1"/>
  <c r="L51" i="53"/>
  <c r="K10" i="52" s="1"/>
  <c r="L10" i="52" s="1"/>
  <c r="AD51" i="53"/>
  <c r="AE82" i="53"/>
  <c r="AE84" i="53" s="1"/>
  <c r="AC84" i="53" s="1"/>
  <c r="AD84" i="53"/>
  <c r="H83" i="53" s="1"/>
  <c r="I83" i="53" s="1"/>
  <c r="P83" i="53" s="1"/>
  <c r="L84" i="53"/>
  <c r="K12" i="52" s="1"/>
  <c r="L12" i="52" s="1"/>
  <c r="K29" i="50" s="1"/>
  <c r="L29" i="50" s="1"/>
  <c r="I41" i="53"/>
  <c r="P82" i="53"/>
  <c r="AE26" i="53"/>
  <c r="AE28" i="53" s="1"/>
  <c r="AC28" i="53" s="1"/>
  <c r="AD28" i="53"/>
  <c r="H27" i="53" s="1"/>
  <c r="I27" i="53" s="1"/>
  <c r="P27" i="53" s="1"/>
  <c r="L28" i="53"/>
  <c r="K8" i="52" s="1"/>
  <c r="L8" i="52" s="1"/>
  <c r="K25" i="50" s="1"/>
  <c r="L25" i="50" s="1"/>
  <c r="AE96" i="53"/>
  <c r="AE98" i="53" s="1"/>
  <c r="AC98" i="53" s="1"/>
  <c r="AD98" i="53"/>
  <c r="L98" i="53"/>
  <c r="K14" i="52" s="1"/>
  <c r="L14" i="52" s="1"/>
  <c r="K68" i="50" s="1"/>
  <c r="L68" i="50" s="1"/>
  <c r="P96" i="53"/>
  <c r="P26" i="53"/>
  <c r="P71" i="53"/>
  <c r="L5" i="52"/>
  <c r="P5" i="52" s="1"/>
  <c r="K18" i="53"/>
  <c r="L18" i="53" s="1"/>
  <c r="P68" i="53"/>
  <c r="AE68" i="53"/>
  <c r="AE77" i="53" s="1"/>
  <c r="AC77" i="53" s="1"/>
  <c r="L77" i="53"/>
  <c r="K11" i="52" s="1"/>
  <c r="L11" i="52" s="1"/>
  <c r="K28" i="50" s="1"/>
  <c r="L28" i="50" s="1"/>
  <c r="AD77" i="53"/>
  <c r="AB12" i="50" l="1"/>
  <c r="H12" i="50" s="1"/>
  <c r="I12" i="50" s="1"/>
  <c r="P12" i="50" s="1"/>
  <c r="H50" i="53"/>
  <c r="I50" i="53" s="1"/>
  <c r="P50" i="53" s="1"/>
  <c r="H97" i="53"/>
  <c r="I97" i="53" s="1"/>
  <c r="P88" i="53"/>
  <c r="I91" i="53"/>
  <c r="P10" i="50"/>
  <c r="P20" i="50"/>
  <c r="AD20" i="51"/>
  <c r="P7" i="50"/>
  <c r="P19" i="50"/>
  <c r="H16" i="51"/>
  <c r="P60" i="50"/>
  <c r="AC69" i="50"/>
  <c r="AA11" i="50"/>
  <c r="H11" i="50" s="1"/>
  <c r="I11" i="50" s="1"/>
  <c r="P11" i="50" s="1"/>
  <c r="P58" i="50"/>
  <c r="H9" i="51"/>
  <c r="O9" i="51"/>
  <c r="AA9" i="51" s="1"/>
  <c r="AC31" i="50"/>
  <c r="H17" i="51"/>
  <c r="O17" i="51"/>
  <c r="AE17" i="51" s="1"/>
  <c r="O32" i="51"/>
  <c r="AA32" i="51" s="1"/>
  <c r="H32" i="51"/>
  <c r="I22" i="51"/>
  <c r="P22" i="50"/>
  <c r="H7" i="51"/>
  <c r="O7" i="51"/>
  <c r="AA7" i="51" s="1"/>
  <c r="H10" i="51"/>
  <c r="O10" i="51"/>
  <c r="AA10" i="51" s="1"/>
  <c r="P21" i="50"/>
  <c r="O6" i="51"/>
  <c r="AA6" i="51" s="1"/>
  <c r="H6" i="51"/>
  <c r="O34" i="51"/>
  <c r="AA34" i="51" s="1"/>
  <c r="H34" i="51"/>
  <c r="P6" i="50"/>
  <c r="P9" i="50"/>
  <c r="H15" i="51"/>
  <c r="O15" i="51"/>
  <c r="AC15" i="51" s="1"/>
  <c r="P97" i="53"/>
  <c r="I98" i="53"/>
  <c r="L20" i="53"/>
  <c r="P18" i="53"/>
  <c r="K67" i="50"/>
  <c r="L67" i="50" s="1"/>
  <c r="K27" i="50"/>
  <c r="L27" i="50" s="1"/>
  <c r="K13" i="53"/>
  <c r="L13" i="53" s="1"/>
  <c r="L15" i="53" s="1"/>
  <c r="K6" i="52" s="1"/>
  <c r="L6" i="52" s="1"/>
  <c r="K23" i="50" s="1"/>
  <c r="L23" i="50" s="1"/>
  <c r="L4" i="52"/>
  <c r="I84" i="53"/>
  <c r="I51" i="53"/>
  <c r="I28" i="53"/>
  <c r="H76" i="53"/>
  <c r="I76" i="53" s="1"/>
  <c r="P41" i="53"/>
  <c r="H9" i="52"/>
  <c r="I9" i="52" s="1"/>
  <c r="P6" i="53"/>
  <c r="H4" i="52"/>
  <c r="H24" i="50"/>
  <c r="I24" i="50" s="1"/>
  <c r="P91" i="53" l="1"/>
  <c r="H13" i="52"/>
  <c r="I13" i="52" s="1"/>
  <c r="AA38" i="51"/>
  <c r="AA20" i="51"/>
  <c r="I21" i="51"/>
  <c r="AC20" i="51"/>
  <c r="I23" i="51"/>
  <c r="AE20" i="51"/>
  <c r="I38" i="51"/>
  <c r="I20" i="51"/>
  <c r="O22" i="51"/>
  <c r="G22" i="51"/>
  <c r="H13" i="53"/>
  <c r="I13" i="53" s="1"/>
  <c r="I4" i="52"/>
  <c r="P4" i="52" s="1"/>
  <c r="H26" i="50"/>
  <c r="I26" i="50" s="1"/>
  <c r="P26" i="50" s="1"/>
  <c r="P9" i="52"/>
  <c r="P76" i="53"/>
  <c r="I77" i="53"/>
  <c r="P51" i="53"/>
  <c r="H10" i="52"/>
  <c r="I10" i="52" s="1"/>
  <c r="P84" i="53"/>
  <c r="H12" i="52"/>
  <c r="I12" i="52" s="1"/>
  <c r="H8" i="52"/>
  <c r="I8" i="52" s="1"/>
  <c r="P28" i="53"/>
  <c r="K7" i="52"/>
  <c r="L7" i="52" s="1"/>
  <c r="P20" i="53"/>
  <c r="H14" i="52"/>
  <c r="I14" i="52" s="1"/>
  <c r="P98" i="53"/>
  <c r="P13" i="52" l="1"/>
  <c r="H30" i="50"/>
  <c r="I30" i="50" s="1"/>
  <c r="P30" i="50" s="1"/>
  <c r="J34" i="50"/>
  <c r="G34" i="50"/>
  <c r="G20" i="51"/>
  <c r="O20" i="51"/>
  <c r="G38" i="51"/>
  <c r="O38" i="51"/>
  <c r="O21" i="51"/>
  <c r="G21" i="51"/>
  <c r="G23" i="51"/>
  <c r="O23" i="51"/>
  <c r="H25" i="50"/>
  <c r="I25" i="50" s="1"/>
  <c r="P25" i="50" s="1"/>
  <c r="P8" i="52"/>
  <c r="P13" i="53"/>
  <c r="I15" i="53"/>
  <c r="H29" i="50"/>
  <c r="I29" i="50" s="1"/>
  <c r="P29" i="50" s="1"/>
  <c r="P12" i="52"/>
  <c r="H27" i="50"/>
  <c r="I27" i="50" s="1"/>
  <c r="P27" i="50" s="1"/>
  <c r="P10" i="52"/>
  <c r="H67" i="50"/>
  <c r="I67" i="50" s="1"/>
  <c r="H68" i="50"/>
  <c r="I68" i="50" s="1"/>
  <c r="P68" i="50" s="1"/>
  <c r="P14" i="52"/>
  <c r="H11" i="52"/>
  <c r="I11" i="52" s="1"/>
  <c r="P77" i="53"/>
  <c r="K24" i="50"/>
  <c r="L24" i="50" s="1"/>
  <c r="P7" i="52"/>
  <c r="G35" i="50" l="1"/>
  <c r="J35" i="50"/>
  <c r="J33" i="50"/>
  <c r="G33" i="50"/>
  <c r="J70" i="50"/>
  <c r="G70" i="50"/>
  <c r="J32" i="50"/>
  <c r="G32" i="50"/>
  <c r="I34" i="50"/>
  <c r="N34" i="50"/>
  <c r="L34" i="50"/>
  <c r="AE34" i="50" s="1"/>
  <c r="P24" i="50"/>
  <c r="P11" i="52"/>
  <c r="H28" i="50"/>
  <c r="I28" i="50" s="1"/>
  <c r="P28" i="50" s="1"/>
  <c r="P67" i="50"/>
  <c r="AD69" i="50"/>
  <c r="H69" i="50" s="1"/>
  <c r="I69" i="50" s="1"/>
  <c r="P69" i="50" s="1"/>
  <c r="H6" i="52"/>
  <c r="I6" i="52" s="1"/>
  <c r="P15" i="53"/>
  <c r="N70" i="50" l="1"/>
  <c r="N81" i="50" s="1"/>
  <c r="M58" i="48" s="1"/>
  <c r="N58" i="48" s="1"/>
  <c r="I70" i="50"/>
  <c r="L70" i="50"/>
  <c r="P34" i="50"/>
  <c r="L32" i="50"/>
  <c r="N32" i="50"/>
  <c r="I32" i="50"/>
  <c r="P32" i="50" s="1"/>
  <c r="I33" i="50"/>
  <c r="N33" i="50"/>
  <c r="L33" i="50"/>
  <c r="AE33" i="50" s="1"/>
  <c r="N35" i="50"/>
  <c r="I35" i="50"/>
  <c r="L35" i="50"/>
  <c r="AE35" i="50" s="1"/>
  <c r="P6" i="52"/>
  <c r="H23" i="50"/>
  <c r="I23" i="50" s="1"/>
  <c r="P35" i="50" l="1"/>
  <c r="P70" i="50"/>
  <c r="P33" i="50"/>
  <c r="AE32" i="50"/>
  <c r="AE37" i="50" s="1"/>
  <c r="AC37" i="50" s="1"/>
  <c r="L55" i="50"/>
  <c r="K57" i="48" s="1"/>
  <c r="L57" i="48" s="1"/>
  <c r="AD37" i="50"/>
  <c r="N55" i="50"/>
  <c r="M57" i="48" s="1"/>
  <c r="N57" i="48" s="1"/>
  <c r="N81" i="48" s="1"/>
  <c r="M31" i="48" s="1"/>
  <c r="N31" i="48" s="1"/>
  <c r="N55" i="48" s="1"/>
  <c r="M5" i="48" s="1"/>
  <c r="N5" i="48" s="1"/>
  <c r="N29" i="48" s="1"/>
  <c r="AE70" i="50"/>
  <c r="AE72" i="50" s="1"/>
  <c r="AC72" i="50" s="1"/>
  <c r="AD72" i="50"/>
  <c r="L81" i="50"/>
  <c r="K58" i="48" s="1"/>
  <c r="L58" i="48" s="1"/>
  <c r="P23" i="50"/>
  <c r="AD31" i="50"/>
  <c r="H31" i="50" s="1"/>
  <c r="I31" i="50" s="1"/>
  <c r="P31" i="50" s="1"/>
  <c r="H36" i="50" l="1"/>
  <c r="I36" i="50" s="1"/>
  <c r="P36" i="50" s="1"/>
  <c r="D2" i="58"/>
  <c r="AV6" i="62"/>
  <c r="L11" i="62" s="1"/>
  <c r="H71" i="50"/>
  <c r="I71" i="50" s="1"/>
  <c r="P71" i="50" s="1"/>
  <c r="P81" i="50" s="1"/>
  <c r="L81" i="48"/>
  <c r="K31" i="48" s="1"/>
  <c r="L31" i="48" s="1"/>
  <c r="L55" i="48" s="1"/>
  <c r="K5" i="48" s="1"/>
  <c r="L5" i="48" s="1"/>
  <c r="L29" i="48" s="1"/>
  <c r="I55" i="50"/>
  <c r="H57" i="48" s="1"/>
  <c r="I57" i="48" s="1"/>
  <c r="P55" i="50"/>
  <c r="I81" i="50" l="1"/>
  <c r="H58" i="48" s="1"/>
  <c r="I58" i="48" s="1"/>
  <c r="P58" i="48" s="1"/>
  <c r="C2" i="58"/>
  <c r="AV4" i="62"/>
  <c r="L8" i="62" s="1"/>
  <c r="I81" i="48"/>
  <c r="H31" i="48" s="1"/>
  <c r="I31" i="48" s="1"/>
  <c r="P57" i="48"/>
  <c r="P81" i="48" s="1"/>
  <c r="L14" i="62" l="1"/>
  <c r="L16" i="62" s="1"/>
  <c r="L15" i="62"/>
  <c r="L9" i="62"/>
  <c r="L10" i="62" s="1"/>
  <c r="L19" i="62"/>
  <c r="P31" i="48"/>
  <c r="P55" i="48" s="1"/>
  <c r="I55" i="48"/>
  <c r="H5" i="48" s="1"/>
  <c r="I5" i="48" s="1"/>
  <c r="L12" i="62" l="1"/>
  <c r="L22" i="62"/>
  <c r="L13" i="62"/>
  <c r="L23" i="62"/>
  <c r="I29" i="48"/>
  <c r="P5" i="48"/>
  <c r="P29" i="48" s="1"/>
  <c r="B2" i="58" l="1"/>
  <c r="F2" i="58" s="1"/>
  <c r="AV3" i="62"/>
  <c r="L4" i="62" s="1"/>
  <c r="AT27" i="62" l="1"/>
  <c r="L7" i="62"/>
  <c r="AT32" i="62" l="1"/>
  <c r="AT30" i="62"/>
  <c r="L21" i="62"/>
  <c r="L20" i="62"/>
  <c r="AT31" i="62"/>
  <c r="L18" i="62"/>
  <c r="AU30" i="62"/>
  <c r="AU32" i="62"/>
  <c r="S17" i="62" s="1"/>
  <c r="AU31" i="62"/>
  <c r="L17" i="62" l="1"/>
  <c r="L24" i="62" s="1"/>
  <c r="AT10" i="62" s="1"/>
  <c r="S26" i="62" s="1"/>
  <c r="L25" i="62" l="1"/>
  <c r="L26" i="62" s="1"/>
  <c r="AT14" i="62" s="1"/>
  <c r="S27" i="62" s="1"/>
  <c r="L27" i="62" l="1"/>
  <c r="L30" i="62" s="1"/>
  <c r="L31" i="62" s="1"/>
  <c r="L32" i="62" s="1"/>
  <c r="AZ13" i="62" s="1"/>
  <c r="M16" i="60" l="1"/>
  <c r="AU40" i="62"/>
  <c r="AU39" i="62"/>
  <c r="AZ14" i="62"/>
  <c r="L34" i="62" s="1"/>
  <c r="S34" i="62"/>
  <c r="M20" i="60" l="1"/>
  <c r="M26" i="60" s="1"/>
  <c r="L37" i="62"/>
  <c r="AV12" i="62" l="1"/>
  <c r="V2" i="62"/>
  <c r="AI2" i="62"/>
  <c r="K14" i="60"/>
  <c r="U14" i="6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최영석</author>
    <author>설계담당</author>
    <author>Windows XP</author>
  </authors>
  <commentList>
    <comment ref="AS3" authorId="0" shapeId="0" xr:uid="{00000000-0006-0000-0300-000001000000}">
      <text>
        <r>
          <rPr>
            <sz val="9"/>
            <color indexed="81"/>
            <rFont val="돋움"/>
            <family val="3"/>
            <charset val="129"/>
          </rPr>
          <t>공사규모:재+직노+산경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AS10" authorId="1" shapeId="0" xr:uid="{00000000-0006-0000-0300-000002000000}">
      <text>
        <r>
          <rPr>
            <b/>
            <sz val="9"/>
            <color indexed="81"/>
            <rFont val="돋움"/>
            <family val="3"/>
            <charset val="129"/>
          </rPr>
          <t>추정가격기준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1" authorId="0" shapeId="0" xr:uid="{00000000-0006-0000-0300-000003000000}">
      <text>
        <r>
          <rPr>
            <sz val="9"/>
            <color indexed="81"/>
            <rFont val="돋움"/>
            <family val="3"/>
            <charset val="129"/>
          </rPr>
          <t>공사규모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재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직노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산경</t>
        </r>
        <r>
          <rPr>
            <sz val="9"/>
            <color indexed="81"/>
            <rFont val="Tahoma"/>
            <family val="2"/>
          </rPr>
          <t xml:space="preserve">
(</t>
        </r>
        <r>
          <rPr>
            <sz val="9"/>
            <color indexed="81"/>
            <rFont val="돋움"/>
            <family val="3"/>
            <charset val="129"/>
          </rPr>
          <t>소모품비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세금과공제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복리후생비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여비교통비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지급수수료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수도광열비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통신비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도서인쇄비</t>
        </r>
        <r>
          <rPr>
            <sz val="9"/>
            <color indexed="81"/>
            <rFont val="Tahoma"/>
            <family val="2"/>
          </rPr>
          <t>)</t>
        </r>
      </text>
    </comment>
    <comment ref="AS12" authorId="2" shapeId="0" xr:uid="{00000000-0006-0000-0300-000004000000}">
      <text>
        <r>
          <rPr>
            <b/>
            <sz val="12"/>
            <color indexed="81"/>
            <rFont val="굴림"/>
            <family val="3"/>
            <charset val="129"/>
          </rPr>
          <t>전기,통신,소방 제외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S13" authorId="1" shapeId="0" xr:uid="{00000000-0006-0000-0300-000005000000}">
      <text>
        <r>
          <rPr>
            <b/>
            <sz val="9"/>
            <color indexed="81"/>
            <rFont val="돋움"/>
            <family val="3"/>
            <charset val="129"/>
          </rPr>
          <t>추정금액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추정가격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부가세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도급관급금액</t>
        </r>
        <r>
          <rPr>
            <b/>
            <sz val="9"/>
            <color indexed="81"/>
            <rFont val="Tahoma"/>
            <family val="2"/>
          </rPr>
          <t>) 3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4" authorId="0" shapeId="0" xr:uid="{00000000-0006-0000-0300-000006000000}">
      <text>
        <r>
          <rPr>
            <b/>
            <sz val="9"/>
            <color indexed="81"/>
            <rFont val="돋움"/>
            <family val="3"/>
            <charset val="129"/>
          </rPr>
          <t>추정가격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기준
</t>
        </r>
      </text>
    </comment>
    <comment ref="AS26" authorId="0" shapeId="0" xr:uid="{00000000-0006-0000-0300-000007000000}">
      <text>
        <r>
          <rPr>
            <sz val="9"/>
            <color indexed="81"/>
            <rFont val="맑은 고딕"/>
            <family val="3"/>
            <charset val="129"/>
          </rPr>
          <t>공사규모:재(관급포함)+직노
적용대상:공사금액(도급+관급) 4천만원이상 건설공사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<sst xmlns="http://schemas.openxmlformats.org/spreadsheetml/2006/main" count="4402" uniqueCount="903">
  <si>
    <t>…</t>
    <phoneticPr fontId="1" type="noConversion"/>
  </si>
  <si>
    <t>번호</t>
    <phoneticPr fontId="1" type="noConversion"/>
  </si>
  <si>
    <t>공종코드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</si>
  <si>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</si>
  <si>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</si>
  <si>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</si>
  <si>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</si>
  <si>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</si>
  <si>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</si>
  <si>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</si>
  <si>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수식계</t>
    <phoneticPr fontId="1" type="noConversion"/>
  </si>
  <si>
    <t>단위계</t>
    <phoneticPr fontId="1" type="noConversion"/>
  </si>
  <si>
    <t>계</t>
    <phoneticPr fontId="1" type="noConversion"/>
  </si>
  <si>
    <t>내           용</t>
    <phoneticPr fontId="1" type="noConversion"/>
  </si>
  <si>
    <t>산 출 목 록</t>
    <phoneticPr fontId="1" type="noConversion"/>
  </si>
  <si>
    <t>산 출 수 식</t>
    <phoneticPr fontId="1" type="noConversion"/>
  </si>
  <si>
    <t>단위계</t>
    <phoneticPr fontId="1" type="noConversion"/>
  </si>
  <si>
    <t>계</t>
    <phoneticPr fontId="1" type="noConversion"/>
  </si>
  <si>
    <t>코드</t>
    <phoneticPr fontId="1" type="noConversion"/>
  </si>
  <si>
    <t>단위수식</t>
    <phoneticPr fontId="1" type="noConversion"/>
  </si>
  <si>
    <t>비               고</t>
    <phoneticPr fontId="1" type="noConversion"/>
  </si>
  <si>
    <t>** 반드시 다음 사항을 숙지하신 다음 수정 작업을 하십시오 **</t>
    <phoneticPr fontId="1" type="noConversion"/>
  </si>
  <si>
    <t>1.</t>
    <phoneticPr fontId="1" type="noConversion"/>
  </si>
  <si>
    <t>수정 작업은 본 프로그램에서 하신 후 다시 작성(엑셀파일) 하십시오.</t>
    <phoneticPr fontId="1" type="noConversion"/>
  </si>
  <si>
    <t>산출 양식은 공식이 연결되어 있지 않습니다.</t>
    <phoneticPr fontId="1" type="noConversion"/>
  </si>
  <si>
    <t>구  분</t>
    <phoneticPr fontId="1" type="noConversion"/>
  </si>
  <si>
    <t>본 파일의 내용을 인쇄할 경우, 미리보기를 통하여 페이지 절선을 확인 후 인쇄하십시오.</t>
    <phoneticPr fontId="1" type="noConversion"/>
  </si>
  <si>
    <t>페이지 절선이 맞지 않으면 다음을 참고하십시오.</t>
    <phoneticPr fontId="1" type="noConversion"/>
  </si>
  <si>
    <t>2.</t>
    <phoneticPr fontId="1" type="noConversion"/>
  </si>
  <si>
    <t>3.</t>
    <phoneticPr fontId="1" type="noConversion"/>
  </si>
  <si>
    <t>a. 해당시트의 셀 전체를 선택합니다.</t>
    <phoneticPr fontId="1" type="noConversion"/>
  </si>
  <si>
    <t>b. 행높이를 적절히 가감하면 페이지 절선을 맞출 수 있습니다.</t>
    <phoneticPr fontId="1" type="noConversion"/>
  </si>
  <si>
    <t>줄</t>
    <phoneticPr fontId="1" type="noConversion"/>
  </si>
  <si>
    <t>수</t>
    <phoneticPr fontId="1" type="noConversion"/>
  </si>
  <si>
    <t>64Bit용</t>
    <phoneticPr fontId="1" type="noConversion"/>
  </si>
  <si>
    <t xml:space="preserve"> </t>
    <phoneticPr fontId="1" type="noConversion"/>
  </si>
  <si>
    <t>금액</t>
    <phoneticPr fontId="1" type="noConversion"/>
  </si>
  <si>
    <t>이윤</t>
    <phoneticPr fontId="1" type="noConversion"/>
  </si>
  <si>
    <t>비 목</t>
    <phoneticPr fontId="1" type="noConversion"/>
  </si>
  <si>
    <t>연속견적가로형식</t>
  </si>
  <si>
    <t>공   종   명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</si>
  <si>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</si>
  <si>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</si>
  <si>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</si>
  <si>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</si>
  <si>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</si>
  <si>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노임 계산 정보</t>
    <phoneticPr fontId="1" type="noConversion"/>
  </si>
  <si>
    <t>부속재 및 손료</t>
    <phoneticPr fontId="1" type="noConversion"/>
  </si>
  <si>
    <t>명   칭</t>
    <phoneticPr fontId="1" type="noConversion"/>
  </si>
  <si>
    <t>규   격</t>
    <phoneticPr fontId="1" type="noConversion"/>
  </si>
  <si>
    <t>노임계</t>
    <phoneticPr fontId="1" type="noConversion"/>
  </si>
  <si>
    <t>전체(%)</t>
    <phoneticPr fontId="1" type="noConversion"/>
  </si>
  <si>
    <t>공종별(%)</t>
    <phoneticPr fontId="1" type="noConversion"/>
  </si>
  <si>
    <t>노임 소수</t>
    <phoneticPr fontId="1" type="noConversion"/>
  </si>
  <si>
    <t>CD배관재</t>
    <phoneticPr fontId="1" type="noConversion"/>
  </si>
  <si>
    <t>일반배관재</t>
    <phoneticPr fontId="1" type="noConversion"/>
  </si>
  <si>
    <t>소모재</t>
    <phoneticPr fontId="1" type="noConversion"/>
  </si>
  <si>
    <t>자재계</t>
    <phoneticPr fontId="1" type="noConversion"/>
  </si>
  <si>
    <t>공량산출</t>
    <phoneticPr fontId="1" type="noConversion"/>
  </si>
  <si>
    <t>단 위 단 가 산 출</t>
    <phoneticPr fontId="1" type="noConversion"/>
  </si>
  <si>
    <t>품셈근거</t>
    <phoneticPr fontId="1" type="noConversion"/>
  </si>
  <si>
    <t>결정수량</t>
    <phoneticPr fontId="1" type="noConversion"/>
  </si>
  <si>
    <t>할증</t>
    <phoneticPr fontId="1" type="noConversion"/>
  </si>
  <si>
    <t>산출수량</t>
    <phoneticPr fontId="1" type="noConversion"/>
  </si>
  <si>
    <t>재할%</t>
    <phoneticPr fontId="1" type="noConversion"/>
  </si>
  <si>
    <t>품셈</t>
    <phoneticPr fontId="1" type="noConversion"/>
  </si>
  <si>
    <t>할증%</t>
    <phoneticPr fontId="1" type="noConversion"/>
  </si>
  <si>
    <t>공량</t>
    <phoneticPr fontId="1" type="noConversion"/>
  </si>
  <si>
    <t>단위단가</t>
    <phoneticPr fontId="1" type="noConversion"/>
  </si>
  <si>
    <t>목차코드</t>
    <phoneticPr fontId="1" type="noConversion"/>
  </si>
  <si>
    <t>지급비</t>
    <phoneticPr fontId="1" type="noConversion"/>
  </si>
  <si>
    <t>적용단가</t>
    <phoneticPr fontId="1" type="noConversion"/>
  </si>
  <si>
    <t>시설단가</t>
    <phoneticPr fontId="1" type="noConversion"/>
  </si>
  <si>
    <t>거래가격</t>
    <phoneticPr fontId="1" type="noConversion"/>
  </si>
  <si>
    <t>물가정보</t>
    <phoneticPr fontId="1" type="noConversion"/>
  </si>
  <si>
    <t>조사단가1</t>
    <phoneticPr fontId="1" type="noConversion"/>
  </si>
  <si>
    <t>조사단가2</t>
    <phoneticPr fontId="1" type="noConversion"/>
  </si>
  <si>
    <t>PAGE</t>
    <phoneticPr fontId="1" type="noConversion"/>
  </si>
  <si>
    <t>총 급 액</t>
    <phoneticPr fontId="1" type="noConversion"/>
  </si>
  <si>
    <t>관급 자재비</t>
    <phoneticPr fontId="1" type="noConversion"/>
  </si>
  <si>
    <t>금액조정이 안되나요?</t>
    <phoneticPr fontId="1" type="noConversion"/>
  </si>
  <si>
    <t>이지테크에서 변환할 때 2번 옵션을 지정하여 다시 해보세요</t>
    <phoneticPr fontId="1" type="noConversion"/>
  </si>
  <si>
    <t>시트를 삭제할 때 에러가 뜨면 1번 옵션으로 하면 됩니다.</t>
    <phoneticPr fontId="1" type="noConversion"/>
  </si>
  <si>
    <t>적용율(%)</t>
    <phoneticPr fontId="1" type="noConversion"/>
  </si>
  <si>
    <t>끝자리</t>
    <phoneticPr fontId="1" type="noConversion"/>
  </si>
  <si>
    <t>적용율(%)/100</t>
    <phoneticPr fontId="1" type="noConversion"/>
  </si>
  <si>
    <t>일위대가소수</t>
    <phoneticPr fontId="1" type="noConversion"/>
  </si>
  <si>
    <t>전체자재 적용율(%)(공종/일위대가)</t>
    <phoneticPr fontId="1" type="noConversion"/>
  </si>
  <si>
    <t>전체노임 적용율(%)(공종)</t>
    <phoneticPr fontId="1" type="noConversion"/>
  </si>
  <si>
    <t>2번 옵션으로 변환했을 때에는 결과값이 다를 수 있습니다.</t>
    <phoneticPr fontId="1" type="noConversion"/>
  </si>
  <si>
    <t>전체노임 적용율(%)(일위대가)</t>
    <phoneticPr fontId="1" type="noConversion"/>
  </si>
  <si>
    <t>*(그룹별 자재 단가 추가 할증)*</t>
    <phoneticPr fontId="1" type="noConversion"/>
  </si>
  <si>
    <t>Cable(CAB) 할증(%)</t>
    <phoneticPr fontId="1" type="noConversion"/>
  </si>
  <si>
    <t>Wire (WIR) 할증(%)</t>
    <phoneticPr fontId="1" type="noConversion"/>
  </si>
  <si>
    <t>Pipe (PIP) 할증(%)</t>
    <phoneticPr fontId="1" type="noConversion"/>
  </si>
  <si>
    <t>제 4그룹   할증(%)</t>
    <phoneticPr fontId="1" type="noConversion"/>
  </si>
  <si>
    <t>제 5그룹   할증(%)</t>
    <phoneticPr fontId="1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</si>
  <si>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</si>
  <si>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</si>
  <si>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</si>
  <si>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</si>
  <si>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</si>
  <si>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</si>
  <si>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1" type="noConversion"/>
  </si>
  <si>
    <t>방폭할증(%)</t>
    <phoneticPr fontId="1" type="noConversion"/>
  </si>
  <si>
    <t>고소할증(%)</t>
    <phoneticPr fontId="1" type="noConversion"/>
  </si>
  <si>
    <t>공구손료(%)</t>
    <phoneticPr fontId="1" type="noConversion"/>
  </si>
  <si>
    <t>*(공종별 노임 적용율(%))*</t>
    <phoneticPr fontId="1" type="noConversion"/>
  </si>
  <si>
    <t>소수자릿수</t>
    <phoneticPr fontId="1" type="noConversion"/>
  </si>
  <si>
    <t>[ 양지리 농어촌취약지역 생활여건 개조사업 통신공사 ]</t>
  </si>
  <si>
    <t>전체 집계표*</t>
  </si>
  <si>
    <t xml:space="preserve"> 1-1-1.통신설비공사</t>
  </si>
  <si>
    <t>식</t>
  </si>
  <si>
    <t xml:space="preserve"> 1-2-1.통합배선설비공사</t>
  </si>
  <si>
    <t xml:space="preserve"> 1-2-2.CATV설비공사</t>
  </si>
  <si>
    <t>기본 산출서</t>
  </si>
  <si>
    <t xml:space="preserve"> 1.통신공사</t>
  </si>
  <si>
    <t xml:space="preserve"> 1-1.마을회관 통신공사</t>
  </si>
  <si>
    <t>기본 산출서*</t>
  </si>
  <si>
    <t xml:space="preserve">   1층</t>
  </si>
  <si>
    <t xml:space="preserve">   2층</t>
  </si>
  <si>
    <t xml:space="preserve"> 1-2.회의실 통신공사</t>
  </si>
  <si>
    <t xml:space="preserve">   간선</t>
  </si>
  <si>
    <t>목록별 산출서</t>
  </si>
  <si>
    <t>목록별 산출서*</t>
  </si>
  <si>
    <t>총줄수-&gt;</t>
  </si>
  <si>
    <t>공종줄</t>
  </si>
  <si>
    <t>1</t>
  </si>
  <si>
    <t>1.통신공사::1-1.마을회관 통신공사::1-1-1.통신설비공사::1층</t>
  </si>
  <si>
    <t>P01</t>
  </si>
  <si>
    <t xml:space="preserve">            ▼    1층    ▼</t>
  </si>
  <si>
    <t>-</t>
  </si>
  <si>
    <t>▣ 홀</t>
  </si>
  <si>
    <t>(철거)</t>
  </si>
  <si>
    <t>전화용수구(철거);4핀 1구;EA</t>
  </si>
  <si>
    <t>전화용수구(철거)</t>
  </si>
  <si>
    <t>4핀 1구</t>
  </si>
  <si>
    <t>EA</t>
  </si>
  <si>
    <t>TV UNIT(철거);쌍방향형;EA</t>
  </si>
  <si>
    <t>TV UNIT(철거)</t>
  </si>
  <si>
    <t>쌍방향형</t>
  </si>
  <si>
    <t>(신설)</t>
  </si>
  <si>
    <t>모듈라짹 매입용,Cat.6 1구</t>
  </si>
  <si>
    <t>모듈라짹</t>
  </si>
  <si>
    <t>매입용, Cat.6 1구</t>
  </si>
  <si>
    <t>개</t>
  </si>
  <si>
    <t>TV UNIT 쌍방향,직렬분기형</t>
  </si>
  <si>
    <t>TV UNIT</t>
  </si>
  <si>
    <t>쌍방향, 직렬분기형</t>
  </si>
  <si>
    <t>▣ 노인정(남)</t>
  </si>
  <si>
    <t>▣ 찜질방</t>
  </si>
  <si>
    <t>▣ 체력단련실</t>
  </si>
  <si>
    <t>▣ 회의실</t>
  </si>
  <si>
    <t>☞방송실</t>
  </si>
  <si>
    <t>(철거후재설치)</t>
  </si>
  <si>
    <t>방송 RACK(철거후재설치);19inch;EA</t>
  </si>
  <si>
    <t>방송 RACK(철거후재설치)</t>
  </si>
  <si>
    <t>19inch</t>
  </si>
  <si>
    <t>▣ 노인정(여)</t>
  </si>
  <si>
    <t>1.통신공사::1-1.마을회관 통신공사::1-1-1.통신설비공사::2층</t>
  </si>
  <si>
    <t xml:space="preserve">            ▼    2층    ▼</t>
  </si>
  <si>
    <t>▣ 방-1</t>
  </si>
  <si>
    <t>▣ 방-2</t>
  </si>
  <si>
    <t>▣ 방-3</t>
  </si>
  <si>
    <t>1.통신공사::1-2.회의실 통신공사::1-2-1.통합배선설비공사::간선</t>
  </si>
  <si>
    <t>P010201</t>
  </si>
  <si>
    <t xml:space="preserve">            ▼    간선    ▼</t>
  </si>
  <si>
    <t>☞기간통신사업자 ~ 방송통신단자함</t>
  </si>
  <si>
    <t>(IN)</t>
  </si>
  <si>
    <t>전선관 + (노출) + ST 36c</t>
  </si>
  <si>
    <t>ST 36C(EMPTY PIPE)×2L,인입통신주</t>
  </si>
  <si>
    <t>4*2</t>
  </si>
  <si>
    <t>59750337014</t>
  </si>
  <si>
    <t>강제전선관(노출)</t>
  </si>
  <si>
    <t>아연도 36 mm</t>
  </si>
  <si>
    <t>M</t>
  </si>
  <si>
    <t>전선관 + (지중) + HI 36c</t>
  </si>
  <si>
    <t>HI 36C(EMPTY PIPE)×2L,전기터파기</t>
  </si>
  <si>
    <t>40*2</t>
  </si>
  <si>
    <t>59751467035</t>
  </si>
  <si>
    <t>경질비닐전선관(지중)</t>
  </si>
  <si>
    <t>HI 36 mm</t>
  </si>
  <si>
    <t>전선관 + (일반) + HI 36c</t>
  </si>
  <si>
    <t>행거</t>
  </si>
  <si>
    <t>HI 36C(EMPTY PIPE)×2L,노출행거</t>
  </si>
  <si>
    <t>10*2</t>
  </si>
  <si>
    <t>59751467015</t>
  </si>
  <si>
    <t>경질비닐전선관</t>
  </si>
  <si>
    <t>행거 + 36C</t>
  </si>
  <si>
    <t>2</t>
  </si>
  <si>
    <t>EKO40004002</t>
  </si>
  <si>
    <t>파이프행거</t>
  </si>
  <si>
    <t>36C</t>
  </si>
  <si>
    <t>개소</t>
  </si>
  <si>
    <t>HI 36C(EMPTY PIPE)×2L,수직</t>
  </si>
  <si>
    <t>위샤캡 + 36c</t>
  </si>
  <si>
    <t>강재전선관용 부품 위샤캡,36 C</t>
  </si>
  <si>
    <t>1*2</t>
  </si>
  <si>
    <t>59759017044</t>
  </si>
  <si>
    <t>강제전선관용 부품</t>
  </si>
  <si>
    <t>위샤캡, 36 C</t>
  </si>
  <si>
    <t>노말밴드 + HI 36c</t>
  </si>
  <si>
    <t>경질비닐전선관용 부품 노말밴드 36 mm</t>
  </si>
  <si>
    <t>2*2</t>
  </si>
  <si>
    <t>59759027002</t>
  </si>
  <si>
    <t>경질비닐전선관용 부품</t>
  </si>
  <si>
    <t>노말밴드, 36 mm</t>
  </si>
  <si>
    <t>풀박스 + 250x250 + 150</t>
  </si>
  <si>
    <t>풀박스 250x250x150</t>
  </si>
  <si>
    <t>59753857101</t>
  </si>
  <si>
    <t>풀박스</t>
  </si>
  <si>
    <t>250×250×150</t>
  </si>
  <si>
    <t>수공1호 + 950x450x700</t>
  </si>
  <si>
    <t>핸드홀(수공1호) 950x450x700</t>
  </si>
  <si>
    <t>56979003039</t>
  </si>
  <si>
    <t>핸드홀(수공1호)</t>
  </si>
  <si>
    <t>950x450x700</t>
  </si>
  <si>
    <t xml:space="preserve">            ▼    접지   ▼</t>
  </si>
  <si>
    <t>☞방송통신단자함</t>
  </si>
  <si>
    <t>(G1)</t>
  </si>
  <si>
    <t>전선관 + (지중) + HI 16c</t>
  </si>
  <si>
    <t>HI 16C(FGV 1-6㎟)지중</t>
  </si>
  <si>
    <t>20</t>
  </si>
  <si>
    <t>59751467032</t>
  </si>
  <si>
    <t>HI 16 mm</t>
  </si>
  <si>
    <t>접지전선 + F-GV + 6_㎟</t>
  </si>
  <si>
    <t>E1450927203</t>
  </si>
  <si>
    <t>접지용비닐절연전선(F-GV)</t>
  </si>
  <si>
    <t>6㎟</t>
  </si>
  <si>
    <t>HI 16C(FGV 1-6㎟)수직</t>
  </si>
  <si>
    <t>0.5</t>
  </si>
  <si>
    <t>LEADER(FGV 1-6㎟)</t>
  </si>
  <si>
    <t>2+1</t>
  </si>
  <si>
    <t>접지봉(통신) + 16Φ×1800mm + 3본</t>
  </si>
  <si>
    <t>접지봉(통신) 16Φ×1800mm, 3본</t>
  </si>
  <si>
    <t>56979003037</t>
  </si>
  <si>
    <t>접지봉(통신)</t>
  </si>
  <si>
    <t>16Φ×1800mm, 3본</t>
  </si>
  <si>
    <t>(옥외공사)</t>
  </si>
  <si>
    <t>기계 + 터파기 + 90:10</t>
  </si>
  <si>
    <t>터파기(기계90%,인력10%) 보통토사</t>
  </si>
  <si>
    <t>((0.8+0.6)/2*1.2)*20</t>
  </si>
  <si>
    <t>56979003122</t>
  </si>
  <si>
    <t>터파기(기계90%,인력10%)</t>
  </si>
  <si>
    <t>보통토사</t>
  </si>
  <si>
    <t>㎥</t>
  </si>
  <si>
    <t>기계 + 되메우기 + 90:10</t>
  </si>
  <si>
    <t>되메우기(기계90%,인력10%) 보통토사</t>
  </si>
  <si>
    <t>56979003123</t>
  </si>
  <si>
    <t>되메우기(기계90%,인력10%)</t>
  </si>
  <si>
    <t xml:space="preserve">           ▼   단자함   ▼</t>
  </si>
  <si>
    <t>방송통신단자함++면</t>
  </si>
  <si>
    <t>방송통신단자함;;면</t>
  </si>
  <si>
    <t>MM057351370</t>
  </si>
  <si>
    <t>방송통신단자함</t>
  </si>
  <si>
    <t>면</t>
  </si>
  <si>
    <t>1.통신공사::1-2.회의실 통신공사::1-2-1.통합배선설비공사::1층</t>
  </si>
  <si>
    <t>▶ [FROM : 방송통신단자함]</t>
  </si>
  <si>
    <t>▣ 회의실(1)</t>
  </si>
  <si>
    <t>전선관 + (KS) + CD 16c</t>
  </si>
  <si>
    <t>CD 16C(UTP cat.6 2-4P-0.5㎜)바닥</t>
  </si>
  <si>
    <t>5</t>
  </si>
  <si>
    <t>59753097002</t>
  </si>
  <si>
    <t>합성수지제 가요전선관</t>
  </si>
  <si>
    <t>CD-난연성 16㎜</t>
  </si>
  <si>
    <t>Cat6 UTP 0.5 + 4P + 2열동시</t>
  </si>
  <si>
    <t>56979000118</t>
  </si>
  <si>
    <t>UTP 케이블</t>
  </si>
  <si>
    <t>Cat.6 0.5mm 4P 2열동시1열당</t>
  </si>
  <si>
    <t>전선관 + (KS) + CD 22c</t>
  </si>
  <si>
    <t>CD 22C(UTP cat.6 4-4P-0.5㎜)바닥</t>
  </si>
  <si>
    <t>59753097003</t>
  </si>
  <si>
    <t>CD-난연성 22㎜</t>
  </si>
  <si>
    <t>Cat6 UTP 0.5 + 4P + 4열동시</t>
  </si>
  <si>
    <t>56979000120</t>
  </si>
  <si>
    <t>Cat.6 0.5mm 4P 4열동시1열당</t>
  </si>
  <si>
    <t>------4↑------&gt;  단자함 귀로(CD,UTP)</t>
  </si>
  <si>
    <t>(0.5+1)*4</t>
  </si>
  <si>
    <t>TEL/LAN UNIT-2구↑ 말단(H:0.3M)-CD,UTP</t>
  </si>
  <si>
    <t>(0.3+0.2)*2</t>
  </si>
  <si>
    <t>스위치 + 1구 박스 + 54mm</t>
  </si>
  <si>
    <t>3</t>
  </si>
  <si>
    <t>59753777102</t>
  </si>
  <si>
    <t>스위치박스</t>
  </si>
  <si>
    <t>1 개용 54 mm</t>
  </si>
  <si>
    <t>모듈러짹 + 매입Cat6 + 2구</t>
  </si>
  <si>
    <t>4</t>
  </si>
  <si>
    <t>58051750202</t>
  </si>
  <si>
    <t>매입용, Cat.6 2구</t>
  </si>
  <si>
    <t>TEL/LAN UNIT-2구↑ 분기(H:0.3M)-CD,UTP</t>
  </si>
  <si>
    <t>(0.3+0.2)*4</t>
  </si>
  <si>
    <t>스위치 + 2구 박스 + 54mm</t>
  </si>
  <si>
    <t>59753777111</t>
  </si>
  <si>
    <t>2 개용 54 mm</t>
  </si>
  <si>
    <t>박스커버 + S/W 2구 + 오목</t>
  </si>
  <si>
    <t>6</t>
  </si>
  <si>
    <t>59753767281</t>
  </si>
  <si>
    <t>아우트렛박스 커버</t>
  </si>
  <si>
    <t>커버, 4각,2개용S/W (오목)</t>
  </si>
  <si>
    <t>7</t>
  </si>
  <si>
    <t>CD 22C(FIBER OPTICAL SMSC 1-2C)바닥</t>
  </si>
  <si>
    <t>광케이블 + 옥내 + SMSC 2c</t>
  </si>
  <si>
    <t>56979002152</t>
  </si>
  <si>
    <t>광케이블(광수구용)</t>
  </si>
  <si>
    <t>SM-SC 2c</t>
  </si>
  <si>
    <t>------2C↑------&gt;  RACK 귀로(CD22,F/O)</t>
  </si>
  <si>
    <t>(0.5+2)</t>
  </si>
  <si>
    <t>F/O UNIT -1구↑ 말단(H:0.3M)-CD,F/O</t>
  </si>
  <si>
    <t>(0.3+0.2)</t>
  </si>
  <si>
    <t>광MODULAR + 매입SMF + 1구</t>
  </si>
  <si>
    <t>56979002154</t>
  </si>
  <si>
    <t>광MODULAR JACK</t>
  </si>
  <si>
    <t>SM-SC 1구형</t>
  </si>
  <si>
    <t>▣ 회의실(2)</t>
  </si>
  <si>
    <t>뒷 장으로 연결▶</t>
  </si>
  <si>
    <t>◀앞 장에서 연결</t>
  </si>
  <si>
    <t>1.통신공사::1-2.회의실 통신공사::1-2-2.CATV설비공사::간선</t>
  </si>
  <si>
    <t>P010202</t>
  </si>
  <si>
    <t>ST 36C(EMPTY PIPE)인입통신주</t>
  </si>
  <si>
    <t>HI 36C(EMPTY PIPE)전기터파기</t>
  </si>
  <si>
    <t>40</t>
  </si>
  <si>
    <t>HI 36C(EMPTY PIPE)노출행거</t>
  </si>
  <si>
    <t>10</t>
  </si>
  <si>
    <t>HI 36C(EMPTY PIPE)수직</t>
  </si>
  <si>
    <t>1.통신공사::1-2.회의실 통신공사::1-2-2.CATV설비공사::1층</t>
  </si>
  <si>
    <t>CD 16C(1-5C-HFBT)바닥</t>
  </si>
  <si>
    <t>5C-HFBT + 1열</t>
  </si>
  <si>
    <t>56979000129</t>
  </si>
  <si>
    <t>고발포동축케이블</t>
  </si>
  <si>
    <t>삼중차폐,5C-HFBT 1열</t>
  </si>
  <si>
    <t>------2↑------&gt;  단자함 귀로(CD,HFBT)</t>
  </si>
  <si>
    <t>0.5+1</t>
  </si>
  <si>
    <t>TV 유니트  -단말↑  (H:0.4M)-CD,HFBT</t>
  </si>
  <si>
    <t>(0.4+0.2)</t>
  </si>
  <si>
    <t>TV UNIT + 쌍방향 + 단말</t>
  </si>
  <si>
    <t>58200297102</t>
  </si>
  <si>
    <t>쌍방향, 단말</t>
  </si>
  <si>
    <t>339</t>
  </si>
  <si>
    <t>모듈러짹</t>
  </si>
  <si>
    <t>TVUNIT</t>
  </si>
  <si>
    <t>TVUNIT(철거)</t>
  </si>
  <si>
    <t>방송RACK(철거후재설치)</t>
  </si>
  <si>
    <t>No</t>
  </si>
  <si>
    <t>산 출 목 록 / 산 출 수 식</t>
  </si>
  <si>
    <t>단위/계</t>
  </si>
  <si>
    <t>매입Cat6</t>
  </si>
  <si>
    <t>쌍방향</t>
  </si>
  <si>
    <t>4핀1구</t>
  </si>
  <si>
    <t>1구</t>
  </si>
  <si>
    <t>직렬분기</t>
  </si>
  <si>
    <t>8</t>
  </si>
  <si>
    <t>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</si>
  <si>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</si>
  <si>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</si>
  <si>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</si>
  <si>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</si>
  <si>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</si>
  <si>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</si>
  <si>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</si>
  <si>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</si>
  <si>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</si>
  <si>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</si>
  <si>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산출계</t>
  </si>
  <si>
    <t>소계</t>
  </si>
  <si>
    <t>소계*(1)[공종]개소</t>
  </si>
  <si>
    <t>전선관</t>
  </si>
  <si>
    <t>위샤캡</t>
  </si>
  <si>
    <t>노말밴드</t>
  </si>
  <si>
    <t>접지전선</t>
  </si>
  <si>
    <t>수공1호</t>
  </si>
  <si>
    <t>기계</t>
  </si>
  <si>
    <t>(노출)</t>
  </si>
  <si>
    <t>(일반)</t>
  </si>
  <si>
    <t>(지중)</t>
  </si>
  <si>
    <t>250x250</t>
  </si>
  <si>
    <t>F-GV</t>
  </si>
  <si>
    <t>16Φ×1800mm</t>
  </si>
  <si>
    <t>터파기</t>
  </si>
  <si>
    <t>되메우기</t>
  </si>
  <si>
    <t>ST36c</t>
  </si>
  <si>
    <t>HI36c</t>
  </si>
  <si>
    <t>HI16c</t>
  </si>
  <si>
    <t>36c</t>
  </si>
  <si>
    <t>150</t>
  </si>
  <si>
    <t>6_㎟</t>
  </si>
  <si>
    <t>3본</t>
  </si>
  <si>
    <t>90:10</t>
  </si>
  <si>
    <t>스위치</t>
  </si>
  <si>
    <t>박스커버</t>
  </si>
  <si>
    <t>광케이블</t>
  </si>
  <si>
    <t>광MODULAR</t>
  </si>
  <si>
    <t>Cat6UTP0.5</t>
  </si>
  <si>
    <t>(KS)</t>
  </si>
  <si>
    <t>1구박스</t>
  </si>
  <si>
    <t>2구박스</t>
  </si>
  <si>
    <t>S/W2구</t>
  </si>
  <si>
    <t>옥내</t>
  </si>
  <si>
    <t>매입SMF</t>
  </si>
  <si>
    <t>4P</t>
  </si>
  <si>
    <t>CD16c</t>
  </si>
  <si>
    <t>CD22c</t>
  </si>
  <si>
    <t>54mm</t>
  </si>
  <si>
    <t>오목</t>
  </si>
  <si>
    <t>2구</t>
  </si>
  <si>
    <t>SMSC2c</t>
  </si>
  <si>
    <t>2열동시</t>
  </si>
  <si>
    <t>4열동시</t>
  </si>
  <si>
    <t>5C-HFBT</t>
  </si>
  <si>
    <t>단말</t>
  </si>
  <si>
    <t>1열</t>
  </si>
  <si>
    <t>506</t>
    <phoneticPr fontId="1" type="noConversion"/>
  </si>
  <si>
    <t>2.0</t>
  </si>
  <si>
    <t>명 칭</t>
  </si>
  <si>
    <t>규 격</t>
  </si>
  <si>
    <t>단위</t>
  </si>
  <si>
    <t>계</t>
  </si>
  <si>
    <t>할증(%)</t>
  </si>
  <si>
    <t>1층</t>
  </si>
  <si>
    <t>간선</t>
  </si>
  <si>
    <t>전체집계표* - 1</t>
  </si>
  <si>
    <t>전체집계표* - 38</t>
  </si>
  <si>
    <t>전체집계표* - 75</t>
  </si>
  <si>
    <t>기본산출서* - 1</t>
  </si>
  <si>
    <t>기본산출서* - 139</t>
  </si>
  <si>
    <t>기본산출서* - 231</t>
  </si>
  <si>
    <t>기본산출서* - 323</t>
  </si>
  <si>
    <t>기본산출서* - 415</t>
  </si>
  <si>
    <t>기본산출서* - 461</t>
  </si>
  <si>
    <t>목록별산출서* - 4</t>
  </si>
  <si>
    <t>목록별산출서* - 88</t>
  </si>
  <si>
    <t>목록별산출서* - 130</t>
  </si>
  <si>
    <t>목록별산출서* - 172</t>
  </si>
  <si>
    <t>목록별산출서* - 256</t>
  </si>
  <si>
    <t>목록별산출서* - 298</t>
  </si>
  <si>
    <t>1-1-1.통신설비공사</t>
  </si>
  <si>
    <t>1-2-1.통합배선설비공사</t>
  </si>
  <si>
    <t>1-2-2.CATV설비공사</t>
  </si>
  <si>
    <t>3913170620935611</t>
  </si>
  <si>
    <t>m</t>
  </si>
  <si>
    <t>1029</t>
  </si>
  <si>
    <t>1-1201</t>
  </si>
  <si>
    <t>3913170610034968</t>
  </si>
  <si>
    <t>1024</t>
  </si>
  <si>
    <t>1-1203</t>
  </si>
  <si>
    <t>3913170630034965</t>
  </si>
  <si>
    <t>3913170630034968</t>
  </si>
  <si>
    <t>3913170610035664</t>
  </si>
  <si>
    <t>1025</t>
  </si>
  <si>
    <t>3913170610035665</t>
  </si>
  <si>
    <t>3913170820176469</t>
  </si>
  <si>
    <t>1-1202</t>
  </si>
  <si>
    <t>3913170820935618</t>
  </si>
  <si>
    <t>3912130610035778</t>
  </si>
  <si>
    <t>1028</t>
  </si>
  <si>
    <t>1-1207</t>
  </si>
  <si>
    <t>3912130610035781</t>
  </si>
  <si>
    <t>3912130820174718</t>
  </si>
  <si>
    <t>1-1206</t>
  </si>
  <si>
    <t>3912130310035803</t>
  </si>
  <si>
    <t>3913170810036360</t>
  </si>
  <si>
    <t>강재전선관용 부품</t>
  </si>
  <si>
    <t>파이프행거, 36 C</t>
  </si>
  <si>
    <t>3116210220135776</t>
  </si>
  <si>
    <t>스트롱앵커</t>
  </si>
  <si>
    <t>M10(3/8 )</t>
  </si>
  <si>
    <t>1-643</t>
  </si>
  <si>
    <t>3116169820135160</t>
  </si>
  <si>
    <t>행거볼트</t>
  </si>
  <si>
    <t>M10×1000㎜</t>
  </si>
  <si>
    <t>1-43</t>
  </si>
  <si>
    <t>2612152420683697</t>
  </si>
  <si>
    <t>994</t>
  </si>
  <si>
    <t>1-1165</t>
  </si>
  <si>
    <t>2612152420683701</t>
  </si>
  <si>
    <t>35㎟</t>
  </si>
  <si>
    <t>2612160621650577</t>
  </si>
  <si>
    <t>삼중차폐, 5C-HFBT</t>
  </si>
  <si>
    <t>1007</t>
  </si>
  <si>
    <t>1-1175</t>
  </si>
  <si>
    <t>2612160921650753</t>
  </si>
  <si>
    <t>Cat.6 0.5mm 4P</t>
  </si>
  <si>
    <t>1002</t>
  </si>
  <si>
    <t>1-1176</t>
  </si>
  <si>
    <t>3912140620937656</t>
  </si>
  <si>
    <t>1099</t>
  </si>
  <si>
    <t>1-1278</t>
  </si>
  <si>
    <t>3912140620937657</t>
  </si>
  <si>
    <t>3912140620937621</t>
  </si>
  <si>
    <t>3912140620937623</t>
  </si>
  <si>
    <t>3912161310054842</t>
  </si>
  <si>
    <t>접지봉-통신</t>
  </si>
  <si>
    <t>14Φ×1000 mm</t>
  </si>
  <si>
    <t>1-1270</t>
  </si>
  <si>
    <t>3912161310054844</t>
  </si>
  <si>
    <t>16Φ×1800 mm</t>
  </si>
  <si>
    <t>3012169821869026</t>
  </si>
  <si>
    <t>핸드홀</t>
  </si>
  <si>
    <t>수공1호(통신용)</t>
  </si>
  <si>
    <t>조</t>
  </si>
  <si>
    <t>1-208</t>
  </si>
  <si>
    <t>3012169821869024</t>
  </si>
  <si>
    <t>핸드홀카바</t>
  </si>
  <si>
    <t>주철각형(전기,통신)</t>
  </si>
  <si>
    <t>3116172710023970</t>
  </si>
  <si>
    <t>6각너트</t>
  </si>
  <si>
    <t>3/8,M10</t>
  </si>
  <si>
    <t>1-39</t>
  </si>
  <si>
    <t>3116181120136196</t>
  </si>
  <si>
    <t>스프링와샤</t>
  </si>
  <si>
    <t>용융아연도, 호칭경10</t>
  </si>
  <si>
    <t>EAG9790020000152</t>
  </si>
  <si>
    <t>EAG9790020000154</t>
  </si>
  <si>
    <t>1003</t>
  </si>
  <si>
    <t>391115ZZ701Z0001</t>
  </si>
  <si>
    <t>110BLOCK</t>
  </si>
  <si>
    <t>25P</t>
  </si>
  <si>
    <t>(주)금성테크윈</t>
  </si>
  <si>
    <t>가나테크윈</t>
  </si>
  <si>
    <t>컴라인</t>
  </si>
  <si>
    <t>391115ZZ701Z0002</t>
  </si>
  <si>
    <t>F/O PATCH CORD</t>
  </si>
  <si>
    <t>SC-LC-SM L-3M</t>
  </si>
  <si>
    <t>391115ZZ701Z0003</t>
  </si>
  <si>
    <t>FDF (광수구용)</t>
  </si>
  <si>
    <t>SC TYPE 4CORE</t>
  </si>
  <si>
    <t>391115ZZ701Z0004</t>
  </si>
  <si>
    <t>MINI L2 SWITCH HUB</t>
  </si>
  <si>
    <t>L2 8PORT 1000T + 2PORT SFP</t>
  </si>
  <si>
    <t>391115ZZ701Z0005</t>
  </si>
  <si>
    <t>PATCH PANEL (WALL TYPE)</t>
  </si>
  <si>
    <t>CAT.6 6PORT</t>
  </si>
  <si>
    <t>391115ZZ701Z0006</t>
  </si>
  <si>
    <t>PIG TAIL</t>
  </si>
  <si>
    <t>SC-SM L-1M</t>
  </si>
  <si>
    <t>391115ZZ701Z0007</t>
  </si>
  <si>
    <t>SFP MODULE</t>
  </si>
  <si>
    <t>MINI-GBIC SFP 1000BASE-LX(호환용)</t>
  </si>
  <si>
    <t>391115ZZ701Z0008</t>
  </si>
  <si>
    <t>391115ZZ701Z0009</t>
  </si>
  <si>
    <t>TV 분배기</t>
  </si>
  <si>
    <t>2분배기</t>
  </si>
  <si>
    <t>391115ZZ701Z0010</t>
  </si>
  <si>
    <t>TV 증폭기</t>
  </si>
  <si>
    <t>쌍방향(54~864 MHz)</t>
  </si>
  <si>
    <t>391115ZZ701Z0011</t>
  </si>
  <si>
    <t>UTP PATCH CORD</t>
  </si>
  <si>
    <t>CAT.6 L-1M</t>
  </si>
  <si>
    <t>391115ZZ701Z0012</t>
  </si>
  <si>
    <t>낙뢰보호기</t>
  </si>
  <si>
    <t>5~864MHz</t>
  </si>
  <si>
    <t>391115ZZ701Z0013</t>
  </si>
  <si>
    <t>391115ZZ701Z0014</t>
  </si>
  <si>
    <t>391115ZZ701Z0015</t>
  </si>
  <si>
    <t>접지봉설치</t>
  </si>
  <si>
    <t>3본 연결</t>
  </si>
  <si>
    <t>391115ZZ701Z0016</t>
  </si>
  <si>
    <t>접지형 노출콘센트</t>
  </si>
  <si>
    <t>220V 3구</t>
  </si>
  <si>
    <t>391115ZZ701Z0017</t>
  </si>
  <si>
    <t>중간단자함 (노출형)</t>
  </si>
  <si>
    <t>800*1,000*180(ALL:연강)</t>
  </si>
  <si>
    <t>391115ZZ701Z0020</t>
  </si>
  <si>
    <t>피뢰탄기반</t>
  </si>
  <si>
    <t>10P</t>
  </si>
  <si>
    <t>ECA565826042</t>
  </si>
  <si>
    <t>기계터파기</t>
  </si>
  <si>
    <t>보통토사(0.6㎥/43.6)</t>
  </si>
  <si>
    <t>경비</t>
  </si>
  <si>
    <t>재료</t>
  </si>
  <si>
    <t>노무</t>
  </si>
  <si>
    <t>ECA565826051</t>
  </si>
  <si>
    <t>기계되메우기</t>
  </si>
  <si>
    <t>ECA565826044</t>
  </si>
  <si>
    <t>크레인</t>
  </si>
  <si>
    <t>트럭 탑재형 10 Ton</t>
  </si>
  <si>
    <t>분</t>
  </si>
  <si>
    <t>L001010101000086</t>
  </si>
  <si>
    <t>노 무 비</t>
  </si>
  <si>
    <t>통신내선공</t>
  </si>
  <si>
    <t>인</t>
  </si>
  <si>
    <t>L001010101000089</t>
  </si>
  <si>
    <t>통신케이블공</t>
  </si>
  <si>
    <t>L001010101000087</t>
  </si>
  <si>
    <t>통신설비공</t>
  </si>
  <si>
    <t>L001010101000088</t>
  </si>
  <si>
    <t>통신외선공</t>
  </si>
  <si>
    <t>L001010201000092</t>
  </si>
  <si>
    <t>광케이블설치사</t>
  </si>
  <si>
    <t>L001010101000002</t>
  </si>
  <si>
    <t>보통인부</t>
  </si>
  <si>
    <t>L001010101000003</t>
  </si>
  <si>
    <t>특별인부</t>
  </si>
  <si>
    <t>L001010201000093</t>
  </si>
  <si>
    <t>H/W시험사</t>
  </si>
  <si>
    <t>L001010201000094</t>
  </si>
  <si>
    <t>S/W시험사</t>
  </si>
  <si>
    <t>L001010101000075</t>
  </si>
  <si>
    <t>내선전공</t>
  </si>
  <si>
    <t>물가자료</t>
    <phoneticPr fontId="1" type="noConversion"/>
  </si>
  <si>
    <t>93</t>
  </si>
  <si>
    <t>[ 양지리 농어촌취약지역 생활여건 개조사업 통 ] - 합산자재목록</t>
  </si>
  <si>
    <t>공량적용</t>
  </si>
  <si>
    <t>종합적산673</t>
  </si>
  <si>
    <t>종합적산690</t>
  </si>
  <si>
    <t>81</t>
  </si>
  <si>
    <t>[ 제 1호 ] 인력터파기  보통토사0-1m [㎥_]</t>
  </si>
  <si>
    <t>800</t>
  </si>
  <si>
    <t>391115ZZ701Z0019</t>
  </si>
  <si>
    <t>품셈 산출근거</t>
  </si>
  <si>
    <t>인력터파기 보통토사 0-1M</t>
  </si>
  <si>
    <t>56900017041</t>
  </si>
  <si>
    <t>통신2-1-8</t>
  </si>
  <si>
    <t>[ 제 2호 ] 인력되메우기  보통토사0-1m [㎥_]</t>
  </si>
  <si>
    <t>391115ZZ701Z0018</t>
  </si>
  <si>
    <t>인력되메우기 보통토사 0-1M</t>
  </si>
  <si>
    <t>[ 제 5호 ] 접지봉(통신)  16Φ×1800mm, 3본 [개소]</t>
  </si>
  <si>
    <t>56900017115</t>
  </si>
  <si>
    <t>통신11-5-1</t>
  </si>
  <si>
    <t>[ 제 6호 ] 핸드홀(수공1호)  950x450x700 [식]</t>
  </si>
  <si>
    <t>통신2-3-1</t>
  </si>
  <si>
    <t>56900017118</t>
  </si>
  <si>
    <t>통신2-3-2</t>
  </si>
  <si>
    <t>[ 제 7호 ] 파이프행거  36C [개소]</t>
  </si>
  <si>
    <t>56900017113</t>
  </si>
  <si>
    <t>통신3-7-1</t>
  </si>
  <si>
    <t>[ 제 8호 ] 방송통신단자함 [면]</t>
  </si>
  <si>
    <t>통신3-3-1</t>
  </si>
  <si>
    <t>56900017114</t>
  </si>
  <si>
    <t>통신4-1-2-2</t>
  </si>
  <si>
    <t>56900017143</t>
  </si>
  <si>
    <t>통신8-1-1</t>
  </si>
  <si>
    <t>56900017142</t>
  </si>
  <si>
    <t>통신4-3-3</t>
  </si>
  <si>
    <t>56900017116</t>
  </si>
  <si>
    <t>56900017011</t>
  </si>
  <si>
    <t>통신4-1-3</t>
  </si>
  <si>
    <t>통신7-12-2</t>
  </si>
  <si>
    <t>통신7-12-3-2</t>
  </si>
  <si>
    <t>[ 제 9호 ] UTP 케이블  Cat.6 0.5mm 4P 2열동시1열당 [m]</t>
  </si>
  <si>
    <t>통신4-3-1</t>
  </si>
  <si>
    <t>[ 제 10호 ] UTP 케이블  Cat.6 0.5mm 4P 4열동시1열당 [m]</t>
  </si>
  <si>
    <t>[ 제 11호 ] 고발포동축케이블  삼중차폐,5C-HFBT 1열 [m]</t>
  </si>
  <si>
    <t>통신4-2-1</t>
  </si>
  <si>
    <t>56930210010</t>
  </si>
  <si>
    <t>ABB111100000</t>
  </si>
  <si>
    <t>제 1호</t>
  </si>
  <si>
    <t>인력터파기</t>
  </si>
  <si>
    <t>보통토사0-1m</t>
  </si>
  <si>
    <t>㎥_</t>
  </si>
  <si>
    <t>통신공종</t>
  </si>
  <si>
    <t>56930210021</t>
  </si>
  <si>
    <t>ABD100001000</t>
  </si>
  <si>
    <t>제 2호</t>
  </si>
  <si>
    <t>인력되메우기</t>
  </si>
  <si>
    <t>EAG979003122</t>
  </si>
  <si>
    <t>제 3호</t>
  </si>
  <si>
    <t>EAG979003123</t>
  </si>
  <si>
    <t>제 4호</t>
  </si>
  <si>
    <t>EAG979003037</t>
  </si>
  <si>
    <t>제 5호</t>
  </si>
  <si>
    <t>EAG979003039</t>
  </si>
  <si>
    <t>제 6호</t>
  </si>
  <si>
    <t>EKO400040002</t>
  </si>
  <si>
    <t>제 7호</t>
  </si>
  <si>
    <t>56959000001</t>
  </si>
  <si>
    <t>EAZ800010000</t>
  </si>
  <si>
    <t>제 8호</t>
  </si>
  <si>
    <t>EAG979000118</t>
  </si>
  <si>
    <t>제 9호</t>
  </si>
  <si>
    <t>EAG979000120</t>
  </si>
  <si>
    <t>제 10호</t>
  </si>
  <si>
    <t>EAG979000129</t>
  </si>
  <si>
    <t>제 11호</t>
  </si>
  <si>
    <t>29</t>
  </si>
  <si>
    <t>일목줄</t>
  </si>
  <si>
    <t>[제 1호] 인력터파기  보통토사0-1m [㎥_]</t>
  </si>
  <si>
    <t>합계줄</t>
  </si>
  <si>
    <t>( 합       계 )</t>
  </si>
  <si>
    <t>노임계</t>
  </si>
  <si>
    <t>[제 2호] 인력되메우기  보통토사0-1m [㎥_]</t>
  </si>
  <si>
    <t>[제 3호] 터파기(기계90%,인력10%)  보통토사 [㎥]</t>
  </si>
  <si>
    <t>ILD</t>
  </si>
  <si>
    <t>CA565826042</t>
  </si>
  <si>
    <t>ild</t>
  </si>
  <si>
    <t>[제 4호] 되메우기(기계90%,인력10%)  보통토사 [㎥]</t>
  </si>
  <si>
    <t>CA565826051</t>
  </si>
  <si>
    <t>[제 5호] 접지봉(통신)  16Φ×1800mm, 3본 [개소]</t>
  </si>
  <si>
    <t>MM629312587</t>
  </si>
  <si>
    <t>MM057351383</t>
  </si>
  <si>
    <t>A0300000000</t>
  </si>
  <si>
    <t>RENT000000000006</t>
  </si>
  <si>
    <t>[ 공 구 손 료 ]</t>
  </si>
  <si>
    <t>노무비의 3 %</t>
  </si>
  <si>
    <t>[제 6호] 핸드홀(수공1호)  950x450x700 [식]</t>
  </si>
  <si>
    <t>MM795549350</t>
  </si>
  <si>
    <t>56800447433</t>
  </si>
  <si>
    <t>MM629312585</t>
  </si>
  <si>
    <t>E1450927208</t>
  </si>
  <si>
    <t>CA565826044</t>
  </si>
  <si>
    <t>A0100000000</t>
  </si>
  <si>
    <t>RENT000000000003</t>
  </si>
  <si>
    <t>[ 소모 잡자재 ]</t>
  </si>
  <si>
    <t>전선, 전선관의 2 %</t>
  </si>
  <si>
    <t>[제 7호] 파이프행거  36C [개소]</t>
  </si>
  <si>
    <t>59759017114</t>
  </si>
  <si>
    <t>53060327011</t>
  </si>
  <si>
    <t>53060807023</t>
  </si>
  <si>
    <t>53100028501</t>
  </si>
  <si>
    <t>53100327011</t>
  </si>
  <si>
    <t>[제 8호] 방송통신단자함 [면]</t>
  </si>
  <si>
    <t>MM057419927</t>
  </si>
  <si>
    <t>MM057419926</t>
  </si>
  <si>
    <t>MM057419925</t>
  </si>
  <si>
    <t>MM057419924</t>
  </si>
  <si>
    <t>MM057419923</t>
  </si>
  <si>
    <t>MM057419922</t>
  </si>
  <si>
    <t>MM057419921</t>
  </si>
  <si>
    <t>MM057419920</t>
  </si>
  <si>
    <t>MM057419919</t>
  </si>
  <si>
    <t>MM057419918</t>
  </si>
  <si>
    <t>MM057419917</t>
  </si>
  <si>
    <t>MM057419916</t>
  </si>
  <si>
    <t>MM057419915</t>
  </si>
  <si>
    <t>MM057419914</t>
  </si>
  <si>
    <t>[제 9호] UTP 케이블  Cat.6 0.5mm 4P 2열동시1열당 [m]</t>
  </si>
  <si>
    <t>61452167502</t>
  </si>
  <si>
    <t>[제 10호] UTP 케이블  Cat.6 0.5mm 4P 4열동시1열당 [m]</t>
  </si>
  <si>
    <t>[제 11호] 고발포동축케이블  삼중차폐,5C-HFBT 1열 [m]</t>
  </si>
  <si>
    <t>61454127541</t>
  </si>
  <si>
    <t>107</t>
  </si>
  <si>
    <t>통신4-3-2</t>
  </si>
  <si>
    <t>통신4-2-2</t>
  </si>
  <si>
    <t>0010201</t>
  </si>
  <si>
    <t>통신3-1-1</t>
  </si>
  <si>
    <t>통신3-2-1</t>
  </si>
  <si>
    <t>0010202</t>
  </si>
  <si>
    <t>A0600000000</t>
  </si>
  <si>
    <t>RENT000000000001</t>
  </si>
  <si>
    <t>[ 배관 부속재 ]</t>
  </si>
  <si>
    <t>CD 전선관의 40 %</t>
  </si>
  <si>
    <t>A0500000000</t>
  </si>
  <si>
    <t>RENT000000000002</t>
  </si>
  <si>
    <t>전선관의 20 %</t>
  </si>
  <si>
    <t>001</t>
  </si>
  <si>
    <t>1.통신공사</t>
  </si>
  <si>
    <t>Total</t>
  </si>
  <si>
    <t>00102</t>
  </si>
  <si>
    <t>본 파일은 이지테크에서 2번 옵션으로 만들었습니다.</t>
  </si>
  <si>
    <t>[양지리 농어촌취약지역 생활여건 개조사업 통신공사]</t>
    <phoneticPr fontId="1" type="noConversion"/>
  </si>
  <si>
    <t>[ 양지리 농어촌취약지역 생활여건 개조사업 통신공사 ]</t>
    <phoneticPr fontId="1" type="noConversion"/>
  </si>
  <si>
    <t>[ 양지리 농어촌취약지역 생활여건 개조사업 통신공사 ] - 일위대가목차</t>
    <phoneticPr fontId="1" type="noConversion"/>
  </si>
  <si>
    <t>[ 양지리 농어촌취약지역 생활여건 개조사업 통신공사 ] - 일위대가표</t>
    <phoneticPr fontId="1" type="noConversion"/>
  </si>
  <si>
    <t>[ 양지리 농어촌취약지역 생활여건 개조사업 통신공사 ] - 일위노임 산출근거(2026년 상반기 노임)</t>
    <phoneticPr fontId="1" type="noConversion"/>
  </si>
  <si>
    <t>[ 양지리 농어촌취약지역 생활여건 개조사업 통신공사 ] - 노임 산출근거(2026년 상반기 노임)</t>
    <phoneticPr fontId="1" type="noConversion"/>
  </si>
  <si>
    <t>[ 양지리 농어촌취약지역 생활여건 개조사업 통신공사 ] - 단가조사서(1/6단가:2026년04월)</t>
    <phoneticPr fontId="1" type="noConversion"/>
  </si>
  <si>
    <t>양지리 농어촌취약지역 생활여건 개조사업 통신공사</t>
    <phoneticPr fontId="1" type="noConversion"/>
  </si>
  <si>
    <t>설 계 예 산 서</t>
    <phoneticPr fontId="1" type="noConversion"/>
  </si>
  <si>
    <t>2026.   04.</t>
    <phoneticPr fontId="1" type="noConversion"/>
  </si>
  <si>
    <t xml:space="preserve">   </t>
    <phoneticPr fontId="1" type="noConversion"/>
  </si>
  <si>
    <t>설   계   서     용   지    ( 갑   지 )</t>
    <phoneticPr fontId="1" type="noConversion"/>
  </si>
  <si>
    <t>과 장</t>
    <phoneticPr fontId="1" type="noConversion"/>
  </si>
  <si>
    <t>심사자</t>
    <phoneticPr fontId="1" type="noConversion"/>
  </si>
  <si>
    <t>검사자</t>
    <phoneticPr fontId="1" type="noConversion"/>
  </si>
  <si>
    <t>설계자</t>
    <phoneticPr fontId="1" type="noConversion"/>
  </si>
  <si>
    <t xml:space="preserve">  2026 년   04 월       일  </t>
    <phoneticPr fontId="1" type="noConversion"/>
  </si>
  <si>
    <t xml:space="preserve"> 년 도</t>
    <phoneticPr fontId="1" type="noConversion"/>
  </si>
  <si>
    <t xml:space="preserve">  공   사   개   요</t>
    <phoneticPr fontId="1" type="noConversion"/>
  </si>
  <si>
    <t>통신</t>
    <phoneticPr fontId="1" type="noConversion"/>
  </si>
  <si>
    <t>공사 1식</t>
    <phoneticPr fontId="1" type="noConversion"/>
  </si>
  <si>
    <t xml:space="preserve">  총   공   사   비</t>
    <phoneticPr fontId="1" type="noConversion"/>
  </si>
  <si>
    <t>도  급  예  산  액</t>
    <phoneticPr fontId="1" type="noConversion"/>
  </si>
  <si>
    <t>원</t>
    <phoneticPr fontId="1" type="noConversion"/>
  </si>
  <si>
    <t>내 역</t>
    <phoneticPr fontId="1" type="noConversion"/>
  </si>
  <si>
    <t>한  전  불  입  금</t>
    <phoneticPr fontId="1" type="noConversion"/>
  </si>
  <si>
    <t>재해예방기술지도</t>
    <phoneticPr fontId="1" type="noConversion"/>
  </si>
  <si>
    <t>관  급  자  관  급</t>
    <phoneticPr fontId="1" type="noConversion"/>
  </si>
  <si>
    <t>도  급  자  관  급</t>
    <phoneticPr fontId="1" type="noConversion"/>
  </si>
  <si>
    <t>총       합       계</t>
    <phoneticPr fontId="1" type="noConversion"/>
  </si>
  <si>
    <t>내  역  서</t>
    <phoneticPr fontId="1" type="noConversion"/>
  </si>
  <si>
    <t>공사기간:</t>
    <phoneticPr fontId="1" type="noConversion"/>
  </si>
  <si>
    <t>공사규모:</t>
    <phoneticPr fontId="1" type="noConversion"/>
  </si>
  <si>
    <t>공사유형/기간:</t>
    <phoneticPr fontId="1" type="noConversion"/>
  </si>
  <si>
    <t>요율적용표</t>
    <phoneticPr fontId="1" type="noConversion"/>
  </si>
  <si>
    <t xml:space="preserve">구          분 </t>
    <phoneticPr fontId="1" type="noConversion"/>
  </si>
  <si>
    <t>금         액</t>
    <phoneticPr fontId="1" type="noConversion"/>
  </si>
  <si>
    <t>구     성     비</t>
    <phoneticPr fontId="1" type="noConversion"/>
  </si>
  <si>
    <t>비          고</t>
    <phoneticPr fontId="1" type="noConversion"/>
  </si>
  <si>
    <t>간접노무비</t>
    <phoneticPr fontId="1" type="noConversion"/>
  </si>
  <si>
    <t>직접재료비</t>
    <phoneticPr fontId="1" type="noConversion"/>
  </si>
  <si>
    <t>이윤삭제액</t>
    <phoneticPr fontId="1" type="noConversion"/>
  </si>
  <si>
    <t>순  공  사  비  원  가</t>
    <phoneticPr fontId="1" type="noConversion"/>
  </si>
  <si>
    <t>직 접 재 료 비</t>
    <phoneticPr fontId="1" type="noConversion"/>
  </si>
  <si>
    <t>직접노무비</t>
    <phoneticPr fontId="1" type="noConversion"/>
  </si>
  <si>
    <t>한전불입금삭제액</t>
    <phoneticPr fontId="1" type="noConversion"/>
  </si>
  <si>
    <t>간 접 재 료 비</t>
    <phoneticPr fontId="1" type="noConversion"/>
  </si>
  <si>
    <t>산재보험료</t>
    <phoneticPr fontId="1" type="noConversion"/>
  </si>
  <si>
    <t>작업부산물</t>
    <phoneticPr fontId="1" type="noConversion"/>
  </si>
  <si>
    <t>관급자관급삭제액</t>
    <phoneticPr fontId="1" type="noConversion"/>
  </si>
  <si>
    <t>고용보험료</t>
    <phoneticPr fontId="1" type="noConversion"/>
  </si>
  <si>
    <t>산출경비</t>
    <phoneticPr fontId="1" type="noConversion"/>
  </si>
  <si>
    <t>도급자관급삭제액</t>
    <phoneticPr fontId="1" type="noConversion"/>
  </si>
  <si>
    <t>소          계</t>
    <phoneticPr fontId="1" type="noConversion"/>
  </si>
  <si>
    <t>건강보험료</t>
    <phoneticPr fontId="1" type="noConversion"/>
  </si>
  <si>
    <t>폐기물운반처리비</t>
    <phoneticPr fontId="1" type="noConversion"/>
  </si>
  <si>
    <t>기술지도비삭제액</t>
    <phoneticPr fontId="1" type="noConversion"/>
  </si>
  <si>
    <t>직접노무비(가)</t>
    <phoneticPr fontId="1" type="noConversion"/>
  </si>
  <si>
    <t>연금보험료</t>
    <phoneticPr fontId="1" type="noConversion"/>
  </si>
  <si>
    <t>관급자관급</t>
    <phoneticPr fontId="1" type="noConversion"/>
  </si>
  <si>
    <t>간접노무비(나)</t>
    <phoneticPr fontId="1" type="noConversion"/>
  </si>
  <si>
    <t>노인장기요양보험료</t>
    <phoneticPr fontId="1" type="noConversion"/>
  </si>
  <si>
    <t>도급자관급</t>
    <phoneticPr fontId="1" type="noConversion"/>
  </si>
  <si>
    <t>일반관리비</t>
    <phoneticPr fontId="1" type="noConversion"/>
  </si>
  <si>
    <t>도급자관급(부가세및조달수수료제외)</t>
    <phoneticPr fontId="1" type="noConversion"/>
  </si>
  <si>
    <t>재해예방기술지도비 계상</t>
    <phoneticPr fontId="1" type="noConversion"/>
  </si>
  <si>
    <t>경   비</t>
    <phoneticPr fontId="1" type="noConversion"/>
  </si>
  <si>
    <t>산  출  경  비</t>
    <phoneticPr fontId="1" type="noConversion"/>
  </si>
  <si>
    <t>기타경비</t>
    <phoneticPr fontId="1" type="noConversion"/>
  </si>
  <si>
    <t>한전불입금</t>
    <phoneticPr fontId="1" type="noConversion"/>
  </si>
  <si>
    <t>공  사  일  수</t>
    <phoneticPr fontId="1" type="noConversion"/>
  </si>
  <si>
    <t>산 재 보 험 료</t>
    <phoneticPr fontId="1" type="noConversion"/>
  </si>
  <si>
    <t>환경보전비</t>
    <phoneticPr fontId="1" type="noConversion"/>
  </si>
  <si>
    <t>공사비계</t>
    <phoneticPr fontId="1" type="noConversion"/>
  </si>
  <si>
    <t>교육실시일수</t>
    <phoneticPr fontId="1" type="noConversion"/>
  </si>
  <si>
    <t>고 용 보 험 료</t>
    <phoneticPr fontId="1" type="noConversion"/>
  </si>
  <si>
    <t>퇴직공제부금비</t>
    <phoneticPr fontId="1" type="noConversion"/>
  </si>
  <si>
    <t>공사 기간</t>
    <phoneticPr fontId="1" type="noConversion"/>
  </si>
  <si>
    <t>6개월이하</t>
    <phoneticPr fontId="1" type="noConversion"/>
  </si>
  <si>
    <t>1회당 기술지도비</t>
    <phoneticPr fontId="1" type="noConversion"/>
  </si>
  <si>
    <t>건 강 보 험 료</t>
    <phoneticPr fontId="1" type="noConversion"/>
  </si>
  <si>
    <t>7-12개월</t>
    <phoneticPr fontId="1" type="noConversion"/>
  </si>
  <si>
    <t>기술지도비</t>
    <phoneticPr fontId="1" type="noConversion"/>
  </si>
  <si>
    <t>연 금 보 험 료</t>
    <phoneticPr fontId="1" type="noConversion"/>
  </si>
  <si>
    <t>13-36개월</t>
    <phoneticPr fontId="1" type="noConversion"/>
  </si>
  <si>
    <t xml:space="preserve"> 추정금액 1억원이상공사 적용-월2회(1회 15일 주기) 기술지도</t>
    <phoneticPr fontId="1" type="noConversion"/>
  </si>
  <si>
    <t>36개월이상</t>
    <phoneticPr fontId="1" type="noConversion"/>
  </si>
  <si>
    <t>산업안전보건관리비</t>
    <phoneticPr fontId="1" type="noConversion"/>
  </si>
  <si>
    <t xml:space="preserve"> 총공사금액 2천만원이상공사 적용.</t>
    <phoneticPr fontId="1" type="noConversion"/>
  </si>
  <si>
    <t>간접노무비요율</t>
    <phoneticPr fontId="1" type="noConversion"/>
  </si>
  <si>
    <t>조달수수료(도급자관급)</t>
    <phoneticPr fontId="1" type="noConversion"/>
  </si>
  <si>
    <t>기  타  경  비</t>
    <phoneticPr fontId="1" type="noConversion"/>
  </si>
  <si>
    <t>석면분담금</t>
    <phoneticPr fontId="1" type="noConversion"/>
  </si>
  <si>
    <t xml:space="preserve"> 추정금액 1억원이상공사 적용.</t>
    <phoneticPr fontId="1" type="noConversion"/>
  </si>
  <si>
    <t>임금채권부담금</t>
    <phoneticPr fontId="1" type="noConversion"/>
  </si>
  <si>
    <t>환 경 보 전 비</t>
    <phoneticPr fontId="1" type="noConversion"/>
  </si>
  <si>
    <t>건 설 하 도 급 대 금
지급보증서발급수수료</t>
    <phoneticPr fontId="1" type="noConversion"/>
  </si>
  <si>
    <t>석 면 분 담 금</t>
    <phoneticPr fontId="1" type="noConversion"/>
  </si>
  <si>
    <t>기타경비요율</t>
    <phoneticPr fontId="1" type="noConversion"/>
  </si>
  <si>
    <t>6개월이하</t>
  </si>
  <si>
    <t>재해예방기술지도비 단가</t>
    <phoneticPr fontId="1" type="noConversion"/>
  </si>
  <si>
    <t>7-12개월</t>
  </si>
  <si>
    <t>공사금액</t>
    <phoneticPr fontId="1" type="noConversion"/>
  </si>
  <si>
    <t>기술지도비 1회</t>
    <phoneticPr fontId="1" type="noConversion"/>
  </si>
  <si>
    <t>기술지도비 1회
(부가가치세포함)</t>
    <phoneticPr fontId="1" type="noConversion"/>
  </si>
  <si>
    <t>일  반  관  리  비</t>
    <phoneticPr fontId="1" type="noConversion"/>
  </si>
  <si>
    <t>안전관리비</t>
    <phoneticPr fontId="1" type="noConversion"/>
  </si>
  <si>
    <t>13-36개월</t>
  </si>
  <si>
    <t>3억미만</t>
    <phoneticPr fontId="1" type="noConversion"/>
  </si>
  <si>
    <t>이              윤</t>
    <phoneticPr fontId="1" type="noConversion"/>
  </si>
  <si>
    <t>기초액</t>
    <phoneticPr fontId="1" type="noConversion"/>
  </si>
  <si>
    <t>36개월이상</t>
  </si>
  <si>
    <t>3억이상 20억 미만</t>
    <phoneticPr fontId="1" type="noConversion"/>
  </si>
  <si>
    <t>작  업  부  산  물</t>
    <phoneticPr fontId="1" type="noConversion"/>
  </si>
  <si>
    <t>20억이상 40억 미만</t>
    <phoneticPr fontId="1" type="noConversion"/>
  </si>
  <si>
    <t>폐기물 운반 처리비</t>
    <phoneticPr fontId="1" type="noConversion"/>
  </si>
  <si>
    <t>40억 이상</t>
    <phoneticPr fontId="1" type="noConversion"/>
  </si>
  <si>
    <t>공   급    가   액</t>
    <phoneticPr fontId="1" type="noConversion"/>
  </si>
  <si>
    <t>안전관리비(1)</t>
    <phoneticPr fontId="1" type="noConversion"/>
  </si>
  <si>
    <t>단가 적용 : 건설업 소규모 건설현장 재해예방을 위한 발주자 책무 부여 방안 연구(’19.10.)</t>
    <phoneticPr fontId="1" type="noConversion"/>
  </si>
  <si>
    <t>부  가  가  치  세</t>
    <phoneticPr fontId="1" type="noConversion"/>
  </si>
  <si>
    <t xml:space="preserve"> 공급가액의 10%</t>
    <phoneticPr fontId="1" type="noConversion"/>
  </si>
  <si>
    <t>안전관리비(2)</t>
    <phoneticPr fontId="1" type="noConversion"/>
  </si>
  <si>
    <t>도      급      액</t>
    <phoneticPr fontId="1" type="noConversion"/>
  </si>
  <si>
    <t>안전관리비(3)</t>
    <phoneticPr fontId="1" type="noConversion"/>
  </si>
  <si>
    <t xml:space="preserve"> 저압지중인입(~kW)</t>
    <phoneticPr fontId="1" type="noConversion"/>
  </si>
  <si>
    <t xml:space="preserve"> 한전불입금,전기안전공사검사수수료</t>
    <phoneticPr fontId="1" type="noConversion"/>
  </si>
  <si>
    <t>재해예방기술지도비</t>
    <phoneticPr fontId="1" type="noConversion"/>
  </si>
  <si>
    <t xml:space="preserve"> 추정금액 1억원이상공사 적용-월2회(1회 15일 주기) 기술지도.</t>
    <phoneticPr fontId="1" type="noConversion"/>
  </si>
  <si>
    <t>총   공   사   비</t>
    <phoneticPr fontId="1" type="noConversion"/>
  </si>
  <si>
    <t>안전관리비 2천이하 적용안함</t>
    <phoneticPr fontId="1" type="noConversion"/>
  </si>
  <si>
    <t>퇴직공제금 1억이하 적용안함</t>
    <phoneticPr fontId="1" type="noConversion"/>
  </si>
  <si>
    <t>**일반관리비**</t>
    <phoneticPr fontId="1" type="noConversion"/>
  </si>
  <si>
    <t>추정가격 기준이나 금액에따라 변경됨으로 이윤하고</t>
    <phoneticPr fontId="1" type="noConversion"/>
  </si>
  <si>
    <t>일반관리비는 추정가격에서 제외시킴</t>
    <phoneticPr fontId="1" type="noConversion"/>
  </si>
  <si>
    <t>**이윤**</t>
    <phoneticPr fontId="1" type="noConversion"/>
  </si>
  <si>
    <t>추정가격 기준이나 금액에따라 변경됨으로 이윤은</t>
    <phoneticPr fontId="1" type="noConversion"/>
  </si>
  <si>
    <t>추정가격에서 제외시킴</t>
    <phoneticPr fontId="1" type="noConversion"/>
  </si>
  <si>
    <t>일 위 대 가 표</t>
    <phoneticPr fontId="1" type="noConversion"/>
  </si>
  <si>
    <t>노 임 산 출 근 거 서</t>
    <phoneticPr fontId="1" type="noConversion"/>
  </si>
  <si>
    <t>단 가 조 사 서</t>
    <phoneticPr fontId="1" type="noConversion"/>
  </si>
  <si>
    <t>견  적  서</t>
    <phoneticPr fontId="1" type="noConversion"/>
  </si>
  <si>
    <t>산  출  서</t>
    <phoneticPr fontId="1" type="noConversion"/>
  </si>
  <si>
    <t>1.통신공사::1-1.회의실 통신공사::1-1-1.통합배선설비공사::간선</t>
    <phoneticPr fontId="1" type="noConversion"/>
  </si>
  <si>
    <t>1.통신공사::1-1.회의실 통신공사::1-1-1.통합배선설비공사::1층</t>
    <phoneticPr fontId="1" type="noConversion"/>
  </si>
  <si>
    <t>1.통신공사::1-1.회의실 통신공사::1-1-2.CATV설비공사::간선</t>
    <phoneticPr fontId="1" type="noConversion"/>
  </si>
  <si>
    <t>1.통신공사::1-1.회의실 통신공사::1-1-2.CATV설비공사::1층</t>
    <phoneticPr fontId="1" type="noConversion"/>
  </si>
  <si>
    <t>1.통신공사::1-1.회의실 통신공사::1-1-1.통합배선설비공사</t>
    <phoneticPr fontId="1" type="noConversion"/>
  </si>
  <si>
    <t>1.통신공사::1-1.회의실 통신공사::1-1-2.CATV설비공사</t>
    <phoneticPr fontId="1" type="noConversion"/>
  </si>
  <si>
    <t>1.통신공사::1-1.회의실 통신공사::1-1-1.통합배선설비공사</t>
    <phoneticPr fontId="1" type="noConversion"/>
  </si>
  <si>
    <t>1.통신공사::1-1.회의실 통신공사::1-1-2.CATV설비공사</t>
    <phoneticPr fontId="1" type="noConversion"/>
  </si>
  <si>
    <t>1-1.회의실 통신공사</t>
    <phoneticPr fontId="1" type="noConversion"/>
  </si>
  <si>
    <t>1.통신공사::1-1.회의실 통신공사</t>
    <phoneticPr fontId="1" type="noConversion"/>
  </si>
  <si>
    <t>1-1-1.통합배선설비공사</t>
    <phoneticPr fontId="1" type="noConversion"/>
  </si>
  <si>
    <t>1-1-2.CATV설비공사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</si>
</sst>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176" formatCode="#,###;\-#,###"/>
    <numFmt numFmtId="177" formatCode="0_);[Red]\(0\)"/>
    <numFmt numFmtId="178" formatCode="#,##0_ "/>
    <numFmt numFmtId="179" formatCode="#,###"/>
    <numFmt numFmtId="180" formatCode="yyyy&quot;.  &quot;\ m&quot;.&quot;;@"/>
    <numFmt numFmtId="181" formatCode="#\ #\ #\ #"/>
    <numFmt numFmtId="182" formatCode="\(&quot;₩&quot;#,##0\-\)"/>
    <numFmt numFmtId="183" formatCode="_-* #,##0_-;\-* #,##0_-;_-* &quot;-&quot;??_-;_-@_-"/>
    <numFmt numFmtId="184" formatCode="0.0%"/>
    <numFmt numFmtId="185" formatCode="#,##0_);\(#,##0\)"/>
    <numFmt numFmtId="186" formatCode="0.000%"/>
    <numFmt numFmtId="187" formatCode="#,##0_ ;[Red]\-#,##0\ "/>
    <numFmt numFmtId="188" formatCode="_ * #,##0_ ;_ * \-#,##0_ ;_ * &quot;-&quot;_ ;_ @_ "/>
  </numFmts>
  <fonts count="4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2"/>
      <name val="돋움"/>
      <family val="3"/>
      <charset val="129"/>
    </font>
    <font>
      <b/>
      <sz val="30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돋움체"/>
      <family val="3"/>
      <charset val="129"/>
    </font>
    <font>
      <b/>
      <sz val="14"/>
      <name val="돋움"/>
      <family val="3"/>
      <charset val="129"/>
    </font>
    <font>
      <sz val="9"/>
      <name val="돋움"/>
      <family val="3"/>
      <charset val="129"/>
    </font>
    <font>
      <b/>
      <u val="singleAccounting"/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indexed="12"/>
      <name val="굴림체"/>
      <family val="3"/>
      <charset val="129"/>
    </font>
    <font>
      <sz val="10"/>
      <color indexed="10"/>
      <name val="굴림체"/>
      <family val="3"/>
      <charset val="129"/>
    </font>
    <font>
      <sz val="10"/>
      <color rgb="FF0000FF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rgb="FF0000FF"/>
      <name val="돋움"/>
      <family val="3"/>
      <charset val="129"/>
    </font>
    <font>
      <sz val="10"/>
      <color theme="1"/>
      <name val="돋움"/>
      <family val="3"/>
      <charset val="129"/>
    </font>
    <font>
      <sz val="9"/>
      <name val="돋움체"/>
      <family val="3"/>
      <charset val="129"/>
    </font>
    <font>
      <sz val="9"/>
      <color indexed="12"/>
      <name val="굴림체"/>
      <family val="3"/>
      <charset val="129"/>
    </font>
    <font>
      <b/>
      <sz val="10"/>
      <name val="돋움체"/>
      <family val="3"/>
      <charset val="129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2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맑은 고딕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</cellStyleXfs>
  <cellXfs count="4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2" borderId="3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49" fontId="2" fillId="0" borderId="3" xfId="0" applyNumberFormat="1" applyFont="1" applyBorder="1"/>
    <xf numFmtId="0" fontId="2" fillId="0" borderId="3" xfId="0" applyFont="1" applyBorder="1"/>
    <xf numFmtId="49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2" fillId="0" borderId="6" xfId="0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49" fontId="6" fillId="0" borderId="0" xfId="0" applyNumberFormat="1" applyFont="1"/>
    <xf numFmtId="176" fontId="6" fillId="0" borderId="0" xfId="0" applyNumberFormat="1" applyFont="1"/>
    <xf numFmtId="49" fontId="6" fillId="0" borderId="3" xfId="0" applyNumberFormat="1" applyFont="1" applyBorder="1"/>
    <xf numFmtId="49" fontId="6" fillId="0" borderId="3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177" fontId="6" fillId="0" borderId="3" xfId="0" applyNumberFormat="1" applyFont="1" applyBorder="1" applyAlignment="1">
      <alignment horizontal="center"/>
    </xf>
    <xf numFmtId="177" fontId="6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49" fontId="2" fillId="0" borderId="4" xfId="0" applyNumberFormat="1" applyFont="1" applyBorder="1"/>
    <xf numFmtId="49" fontId="0" fillId="0" borderId="0" xfId="0" applyNumberFormat="1"/>
    <xf numFmtId="0" fontId="2" fillId="0" borderId="0" xfId="0" applyFont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/>
    <xf numFmtId="176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3" xfId="0" applyNumberFormat="1" applyFont="1" applyBorder="1" applyAlignment="1">
      <alignment shrinkToFit="1"/>
    </xf>
    <xf numFmtId="49" fontId="2" fillId="3" borderId="14" xfId="0" applyNumberFormat="1" applyFont="1" applyFill="1" applyBorder="1" applyAlignment="1">
      <alignment horizontal="left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176" fontId="2" fillId="0" borderId="1" xfId="0" applyNumberFormat="1" applyFont="1" applyBorder="1"/>
    <xf numFmtId="176" fontId="2" fillId="0" borderId="4" xfId="0" applyNumberFormat="1" applyFont="1" applyBorder="1"/>
    <xf numFmtId="49" fontId="2" fillId="0" borderId="4" xfId="0" applyNumberFormat="1" applyFont="1" applyBorder="1" applyAlignment="1">
      <alignment horizontal="left"/>
    </xf>
    <xf numFmtId="0" fontId="2" fillId="0" borderId="4" xfId="0" applyFont="1" applyBorder="1"/>
    <xf numFmtId="0" fontId="0" fillId="0" borderId="3" xfId="0" applyBorder="1"/>
    <xf numFmtId="49" fontId="2" fillId="0" borderId="2" xfId="0" applyNumberFormat="1" applyFont="1" applyBorder="1" applyAlignment="1">
      <alignment horizontal="left"/>
    </xf>
    <xf numFmtId="49" fontId="2" fillId="0" borderId="6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right"/>
    </xf>
    <xf numFmtId="46" fontId="2" fillId="0" borderId="0" xfId="0" applyNumberFormat="1" applyFont="1"/>
    <xf numFmtId="49" fontId="2" fillId="0" borderId="5" xfId="0" applyNumberFormat="1" applyFont="1" applyBorder="1" applyAlignment="1">
      <alignment horizontal="left"/>
    </xf>
    <xf numFmtId="176" fontId="2" fillId="0" borderId="4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left" shrinkToFit="1"/>
    </xf>
    <xf numFmtId="49" fontId="2" fillId="0" borderId="3" xfId="0" applyNumberFormat="1" applyFont="1" applyBorder="1" applyAlignment="1">
      <alignment horizontal="center" shrinkToFit="1"/>
    </xf>
    <xf numFmtId="0" fontId="2" fillId="0" borderId="3" xfId="0" applyFont="1" applyBorder="1" applyAlignment="1">
      <alignment horizontal="right" shrinkToFit="1"/>
    </xf>
    <xf numFmtId="0" fontId="2" fillId="0" borderId="3" xfId="0" applyFont="1" applyBorder="1" applyAlignment="1">
      <alignment horizontal="left" shrinkToFit="1"/>
    </xf>
    <xf numFmtId="49" fontId="2" fillId="0" borderId="4" xfId="0" applyNumberFormat="1" applyFont="1" applyBorder="1" applyAlignment="1">
      <alignment horizontal="left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right" shrinkToFit="1"/>
    </xf>
    <xf numFmtId="49" fontId="2" fillId="0" borderId="4" xfId="0" applyNumberFormat="1" applyFont="1" applyBorder="1" applyAlignment="1">
      <alignment shrinkToFit="1"/>
    </xf>
    <xf numFmtId="0" fontId="2" fillId="0" borderId="4" xfId="0" applyFont="1" applyBorder="1" applyAlignment="1">
      <alignment horizontal="left" shrinkToFit="1"/>
    </xf>
    <xf numFmtId="49" fontId="2" fillId="0" borderId="0" xfId="0" applyNumberFormat="1" applyFont="1" applyAlignment="1">
      <alignment horizontal="center" shrinkToFit="1"/>
    </xf>
    <xf numFmtId="0" fontId="2" fillId="0" borderId="0" xfId="0" applyFont="1" applyAlignment="1">
      <alignment horizontal="right" shrinkToFit="1"/>
    </xf>
    <xf numFmtId="49" fontId="2" fillId="0" borderId="0" xfId="0" applyNumberFormat="1" applyFont="1" applyAlignment="1">
      <alignment shrinkToFit="1"/>
    </xf>
    <xf numFmtId="0" fontId="2" fillId="0" borderId="0" xfId="0" applyFont="1" applyAlignment="1">
      <alignment horizontal="left" shrinkToFit="1"/>
    </xf>
    <xf numFmtId="0" fontId="2" fillId="0" borderId="0" xfId="0" applyFont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top" shrinkToFit="1"/>
    </xf>
    <xf numFmtId="49" fontId="2" fillId="0" borderId="1" xfId="0" applyNumberFormat="1" applyFont="1" applyBorder="1" applyAlignment="1">
      <alignment shrinkToFit="1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shrinkToFit="1"/>
    </xf>
    <xf numFmtId="0" fontId="2" fillId="0" borderId="3" xfId="0" applyFont="1" applyBorder="1" applyAlignment="1">
      <alignment horizontal="center" shrinkToFit="1"/>
    </xf>
    <xf numFmtId="0" fontId="2" fillId="0" borderId="3" xfId="0" applyFont="1" applyBorder="1" applyAlignment="1">
      <alignment shrinkToFit="1"/>
    </xf>
    <xf numFmtId="0" fontId="2" fillId="0" borderId="4" xfId="0" applyFont="1" applyBorder="1" applyAlignment="1">
      <alignment horizontal="center" shrinkToFit="1"/>
    </xf>
    <xf numFmtId="0" fontId="2" fillId="0" borderId="4" xfId="0" applyFont="1" applyBorder="1" applyAlignment="1">
      <alignment shrinkToFit="1"/>
    </xf>
    <xf numFmtId="49" fontId="2" fillId="0" borderId="3" xfId="0" applyNumberFormat="1" applyFont="1" applyBorder="1" applyAlignment="1">
      <alignment horizontal="center" vertical="center" shrinkToFit="1"/>
    </xf>
    <xf numFmtId="179" fontId="2" fillId="0" borderId="4" xfId="0" applyNumberFormat="1" applyFont="1" applyBorder="1" applyAlignment="1">
      <alignment horizontal="center" vertical="center" shrinkToFit="1"/>
    </xf>
    <xf numFmtId="176" fontId="2" fillId="0" borderId="3" xfId="0" applyNumberFormat="1" applyFont="1" applyBorder="1" applyAlignment="1">
      <alignment shrinkToFit="1"/>
    </xf>
    <xf numFmtId="179" fontId="2" fillId="0" borderId="3" xfId="0" applyNumberFormat="1" applyFont="1" applyBorder="1" applyAlignment="1">
      <alignment horizontal="right" shrinkToFit="1"/>
    </xf>
    <xf numFmtId="49" fontId="2" fillId="0" borderId="3" xfId="0" applyNumberFormat="1" applyFont="1" applyBorder="1" applyAlignment="1">
      <alignment horizontal="right" shrinkToFit="1"/>
    </xf>
    <xf numFmtId="176" fontId="2" fillId="0" borderId="0" xfId="0" applyNumberFormat="1" applyFont="1" applyAlignment="1">
      <alignment shrinkToFit="1"/>
    </xf>
    <xf numFmtId="179" fontId="2" fillId="0" borderId="0" xfId="0" applyNumberFormat="1" applyFont="1" applyAlignment="1">
      <alignment horizontal="right" shrinkToFit="1"/>
    </xf>
    <xf numFmtId="49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 shrinkToFit="1"/>
    </xf>
    <xf numFmtId="49" fontId="10" fillId="0" borderId="0" xfId="0" applyNumberFormat="1" applyFont="1" applyAlignment="1">
      <alignment horizontal="left" shrinkToFit="1"/>
    </xf>
    <xf numFmtId="0" fontId="2" fillId="0" borderId="3" xfId="0" applyFont="1" applyBorder="1" applyAlignment="1">
      <alignment horizontal="center" vertical="center" shrinkToFit="1"/>
    </xf>
    <xf numFmtId="176" fontId="2" fillId="0" borderId="0" xfId="0" applyNumberFormat="1" applyFont="1" applyAlignment="1">
      <alignment horizontal="center" vertical="center" shrinkToFit="1"/>
    </xf>
    <xf numFmtId="0" fontId="2" fillId="0" borderId="3" xfId="1" applyNumberFormat="1" applyFont="1" applyBorder="1" applyAlignment="1">
      <alignment shrinkToFit="1"/>
    </xf>
    <xf numFmtId="176" fontId="2" fillId="0" borderId="3" xfId="0" applyNumberFormat="1" applyFont="1" applyBorder="1" applyAlignment="1">
      <alignment horizontal="center" vertical="center" shrinkToFit="1"/>
    </xf>
    <xf numFmtId="176" fontId="2" fillId="0" borderId="4" xfId="0" applyNumberFormat="1" applyFont="1" applyBorder="1" applyAlignment="1">
      <alignment horizontal="center" vertical="center" shrinkToFit="1"/>
    </xf>
    <xf numFmtId="178" fontId="2" fillId="0" borderId="3" xfId="0" applyNumberFormat="1" applyFont="1" applyBorder="1" applyAlignment="1">
      <alignment shrinkToFit="1"/>
    </xf>
    <xf numFmtId="49" fontId="0" fillId="0" borderId="3" xfId="0" applyNumberFormat="1" applyBorder="1" applyAlignment="1">
      <alignment shrinkToFit="1"/>
    </xf>
    <xf numFmtId="0" fontId="0" fillId="0" borderId="3" xfId="0" applyBorder="1" applyAlignment="1">
      <alignment shrinkToFit="1"/>
    </xf>
    <xf numFmtId="176" fontId="0" fillId="0" borderId="3" xfId="0" applyNumberFormat="1" applyBorder="1" applyAlignment="1">
      <alignment shrinkToFit="1"/>
    </xf>
    <xf numFmtId="0" fontId="0" fillId="0" borderId="0" xfId="0" applyAlignment="1">
      <alignment shrinkToFit="1"/>
    </xf>
    <xf numFmtId="49" fontId="0" fillId="0" borderId="0" xfId="0" applyNumberFormat="1" applyAlignment="1">
      <alignment shrinkToFit="1"/>
    </xf>
    <xf numFmtId="176" fontId="0" fillId="0" borderId="0" xfId="0" applyNumberFormat="1" applyAlignment="1">
      <alignment shrinkToFit="1"/>
    </xf>
    <xf numFmtId="0" fontId="5" fillId="5" borderId="0" xfId="2" applyFill="1" applyAlignment="1">
      <alignment vertical="center"/>
    </xf>
    <xf numFmtId="0" fontId="5" fillId="0" borderId="0" xfId="2" applyAlignment="1">
      <alignment vertical="center"/>
    </xf>
    <xf numFmtId="0" fontId="12" fillId="5" borderId="0" xfId="2" applyFont="1" applyFill="1" applyAlignment="1">
      <alignment horizontal="centerContinuous" vertical="center"/>
    </xf>
    <xf numFmtId="0" fontId="3" fillId="5" borderId="0" xfId="2" applyFont="1" applyFill="1" applyAlignment="1">
      <alignment horizontal="centerContinuous" vertical="center"/>
    </xf>
    <xf numFmtId="0" fontId="3" fillId="0" borderId="0" xfId="2" applyFont="1" applyAlignment="1">
      <alignment vertical="center"/>
    </xf>
    <xf numFmtId="0" fontId="3" fillId="5" borderId="0" xfId="2" applyFont="1" applyFill="1" applyAlignment="1">
      <alignment vertical="center"/>
    </xf>
    <xf numFmtId="0" fontId="13" fillId="5" borderId="0" xfId="2" applyFont="1" applyFill="1" applyAlignment="1">
      <alignment horizontal="centerContinuous" vertical="center"/>
    </xf>
    <xf numFmtId="180" fontId="14" fillId="5" borderId="0" xfId="2" applyNumberFormat="1" applyFont="1" applyFill="1" applyAlignment="1">
      <alignment horizontal="centerContinuous" vertical="center"/>
    </xf>
    <xf numFmtId="0" fontId="14" fillId="5" borderId="0" xfId="2" applyFont="1" applyFill="1" applyAlignment="1">
      <alignment horizontal="centerContinuous" vertical="center"/>
    </xf>
    <xf numFmtId="0" fontId="15" fillId="5" borderId="0" xfId="2" applyFont="1" applyFill="1" applyAlignment="1">
      <alignment horizontal="centerContinuous" vertical="center"/>
    </xf>
    <xf numFmtId="0" fontId="5" fillId="0" borderId="0" xfId="2"/>
    <xf numFmtId="0" fontId="5" fillId="0" borderId="0" xfId="3"/>
    <xf numFmtId="0" fontId="0" fillId="5" borderId="3" xfId="3" applyFont="1" applyFill="1" applyBorder="1" applyAlignment="1">
      <alignment horizontal="center" vertical="center" textRotation="255" shrinkToFit="1"/>
    </xf>
    <xf numFmtId="0" fontId="0" fillId="5" borderId="3" xfId="3" applyFont="1" applyFill="1" applyBorder="1" applyAlignment="1">
      <alignment horizontal="center" vertical="center" textRotation="255" wrapText="1"/>
    </xf>
    <xf numFmtId="0" fontId="0" fillId="5" borderId="3" xfId="3" applyFont="1" applyFill="1" applyBorder="1" applyAlignment="1">
      <alignment horizontal="center" vertical="center" textRotation="255"/>
    </xf>
    <xf numFmtId="0" fontId="5" fillId="5" borderId="12" xfId="3" applyFill="1" applyBorder="1"/>
    <xf numFmtId="0" fontId="5" fillId="5" borderId="0" xfId="3" applyFill="1"/>
    <xf numFmtId="0" fontId="5" fillId="5" borderId="5" xfId="3" applyFill="1" applyBorder="1"/>
    <xf numFmtId="0" fontId="16" fillId="5" borderId="12" xfId="3" applyFont="1" applyFill="1" applyBorder="1"/>
    <xf numFmtId="0" fontId="16" fillId="5" borderId="0" xfId="3" applyFont="1" applyFill="1"/>
    <xf numFmtId="0" fontId="17" fillId="5" borderId="0" xfId="3" applyFont="1" applyFill="1"/>
    <xf numFmtId="0" fontId="16" fillId="5" borderId="5" xfId="3" applyFont="1" applyFill="1" applyBorder="1"/>
    <xf numFmtId="0" fontId="16" fillId="0" borderId="0" xfId="3" applyFont="1"/>
    <xf numFmtId="0" fontId="5" fillId="5" borderId="0" xfId="3" applyFill="1" applyAlignment="1">
      <alignment shrinkToFit="1"/>
    </xf>
    <xf numFmtId="0" fontId="3" fillId="5" borderId="0" xfId="3" applyFont="1" applyFill="1"/>
    <xf numFmtId="14" fontId="5" fillId="0" borderId="0" xfId="3" applyNumberFormat="1"/>
    <xf numFmtId="0" fontId="11" fillId="5" borderId="0" xfId="3" applyFont="1" applyFill="1"/>
    <xf numFmtId="177" fontId="11" fillId="5" borderId="9" xfId="3" applyNumberFormat="1" applyFont="1" applyFill="1" applyBorder="1"/>
    <xf numFmtId="0" fontId="11" fillId="5" borderId="9" xfId="3" applyFont="1" applyFill="1" applyBorder="1"/>
    <xf numFmtId="0" fontId="18" fillId="5" borderId="9" xfId="3" applyFont="1" applyFill="1" applyBorder="1"/>
    <xf numFmtId="0" fontId="18" fillId="5" borderId="0" xfId="3" applyFont="1" applyFill="1"/>
    <xf numFmtId="0" fontId="11" fillId="5" borderId="11" xfId="3" applyFont="1" applyFill="1" applyBorder="1"/>
    <xf numFmtId="0" fontId="17" fillId="5" borderId="9" xfId="3" applyFont="1" applyFill="1" applyBorder="1"/>
    <xf numFmtId="0" fontId="11" fillId="5" borderId="9" xfId="3" applyFont="1" applyFill="1" applyBorder="1" applyAlignment="1">
      <alignment horizontal="left"/>
    </xf>
    <xf numFmtId="0" fontId="5" fillId="5" borderId="9" xfId="3" applyFill="1" applyBorder="1"/>
    <xf numFmtId="0" fontId="19" fillId="5" borderId="0" xfId="3" applyFont="1" applyFill="1" applyAlignment="1">
      <alignment shrinkToFit="1"/>
    </xf>
    <xf numFmtId="182" fontId="11" fillId="5" borderId="0" xfId="3" applyNumberFormat="1" applyFont="1" applyFill="1"/>
    <xf numFmtId="0" fontId="19" fillId="5" borderId="0" xfId="3" applyFont="1" applyFill="1"/>
    <xf numFmtId="0" fontId="20" fillId="5" borderId="0" xfId="3" applyFont="1" applyFill="1"/>
    <xf numFmtId="0" fontId="19" fillId="5" borderId="11" xfId="3" applyFont="1" applyFill="1" applyBorder="1" applyAlignment="1">
      <alignment shrinkToFit="1"/>
    </xf>
    <xf numFmtId="0" fontId="3" fillId="5" borderId="0" xfId="3" applyFont="1" applyFill="1" applyAlignment="1">
      <alignment vertical="center"/>
    </xf>
    <xf numFmtId="0" fontId="5" fillId="5" borderId="10" xfId="3" applyFill="1" applyBorder="1"/>
    <xf numFmtId="0" fontId="5" fillId="5" borderId="0" xfId="3" applyFill="1" applyAlignment="1">
      <alignment horizontal="center" vertical="center"/>
    </xf>
    <xf numFmtId="0" fontId="3" fillId="5" borderId="12" xfId="3" applyFont="1" applyFill="1" applyBorder="1" applyAlignment="1">
      <alignment horizontal="center" vertical="center"/>
    </xf>
    <xf numFmtId="0" fontId="3" fillId="5" borderId="0" xfId="3" applyFont="1" applyFill="1" applyAlignment="1">
      <alignment horizontal="center" vertical="center"/>
    </xf>
    <xf numFmtId="0" fontId="5" fillId="5" borderId="11" xfId="3" applyFill="1" applyBorder="1"/>
    <xf numFmtId="0" fontId="5" fillId="5" borderId="13" xfId="3" applyFill="1" applyBorder="1"/>
    <xf numFmtId="0" fontId="3" fillId="5" borderId="9" xfId="3" applyFont="1" applyFill="1" applyBorder="1" applyAlignment="1">
      <alignment horizontal="center" vertical="center"/>
    </xf>
    <xf numFmtId="0" fontId="3" fillId="5" borderId="9" xfId="3" applyFont="1" applyFill="1" applyBorder="1" applyAlignment="1">
      <alignment vertical="center"/>
    </xf>
    <xf numFmtId="41" fontId="21" fillId="5" borderId="9" xfId="4" applyFont="1" applyFill="1" applyBorder="1" applyAlignment="1">
      <alignment horizontal="center" vertical="center"/>
    </xf>
    <xf numFmtId="41" fontId="3" fillId="5" borderId="9" xfId="4" applyFont="1" applyFill="1" applyBorder="1" applyAlignment="1">
      <alignment horizontal="center" vertical="center"/>
    </xf>
    <xf numFmtId="0" fontId="5" fillId="5" borderId="9" xfId="3" applyFill="1" applyBorder="1" applyAlignment="1">
      <alignment horizontal="center" vertical="center"/>
    </xf>
    <xf numFmtId="0" fontId="5" fillId="5" borderId="6" xfId="3" applyFill="1" applyBorder="1"/>
    <xf numFmtId="183" fontId="5" fillId="0" borderId="0" xfId="3" applyNumberFormat="1"/>
    <xf numFmtId="0" fontId="22" fillId="6" borderId="19" xfId="0" applyFont="1" applyFill="1" applyBorder="1" applyAlignment="1">
      <alignment horizontal="center" vertical="center"/>
    </xf>
    <xf numFmtId="0" fontId="22" fillId="6" borderId="20" xfId="0" applyFont="1" applyFill="1" applyBorder="1" applyAlignment="1">
      <alignment horizontal="left" vertical="center"/>
    </xf>
    <xf numFmtId="0" fontId="22" fillId="6" borderId="2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" fillId="7" borderId="13" xfId="0" applyFont="1" applyFill="1" applyBorder="1" applyAlignment="1">
      <alignment horizontal="centerContinuous" vertical="center"/>
    </xf>
    <xf numFmtId="0" fontId="0" fillId="7" borderId="9" xfId="0" applyFill="1" applyBorder="1" applyAlignment="1">
      <alignment horizontal="centerContinuous" vertical="center"/>
    </xf>
    <xf numFmtId="0" fontId="6" fillId="0" borderId="13" xfId="0" applyFont="1" applyBorder="1" applyAlignment="1">
      <alignment horizontal="center" vertical="center"/>
    </xf>
    <xf numFmtId="0" fontId="0" fillId="8" borderId="3" xfId="0" applyFill="1" applyBorder="1"/>
    <xf numFmtId="184" fontId="23" fillId="8" borderId="3" xfId="5" applyNumberFormat="1" applyFont="1" applyFill="1" applyBorder="1"/>
    <xf numFmtId="0" fontId="0" fillId="9" borderId="17" xfId="0" applyFill="1" applyBorder="1"/>
    <xf numFmtId="0" fontId="22" fillId="9" borderId="17" xfId="0" applyFont="1" applyFill="1" applyBorder="1"/>
    <xf numFmtId="185" fontId="24" fillId="9" borderId="17" xfId="0" applyNumberFormat="1" applyFont="1" applyFill="1" applyBorder="1" applyAlignment="1">
      <alignment horizontal="right" vertical="center"/>
    </xf>
    <xf numFmtId="185" fontId="24" fillId="0" borderId="12" xfId="0" applyNumberFormat="1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186" fontId="25" fillId="0" borderId="3" xfId="0" applyNumberFormat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0" fillId="3" borderId="3" xfId="0" applyFill="1" applyBorder="1"/>
    <xf numFmtId="186" fontId="25" fillId="3" borderId="3" xfId="0" applyNumberFormat="1" applyFont="1" applyFill="1" applyBorder="1" applyAlignment="1">
      <alignment vertical="center"/>
    </xf>
    <xf numFmtId="0" fontId="6" fillId="0" borderId="13" xfId="0" applyFont="1" applyBorder="1" applyAlignment="1">
      <alignment horizontal="left" vertical="center"/>
    </xf>
    <xf numFmtId="0" fontId="0" fillId="9" borderId="17" xfId="0" applyFill="1" applyBorder="1" applyAlignment="1">
      <alignment shrinkToFit="1"/>
    </xf>
    <xf numFmtId="185" fontId="24" fillId="9" borderId="3" xfId="0" applyNumberFormat="1" applyFont="1" applyFill="1" applyBorder="1" applyAlignment="1">
      <alignment horizontal="right" vertical="center"/>
    </xf>
    <xf numFmtId="0" fontId="20" fillId="3" borderId="3" xfId="0" applyFont="1" applyFill="1" applyBorder="1"/>
    <xf numFmtId="0" fontId="0" fillId="10" borderId="3" xfId="0" applyFill="1" applyBorder="1"/>
    <xf numFmtId="186" fontId="25" fillId="10" borderId="3" xfId="0" applyNumberFormat="1" applyFont="1" applyFill="1" applyBorder="1" applyAlignment="1">
      <alignment vertical="center"/>
    </xf>
    <xf numFmtId="0" fontId="0" fillId="11" borderId="3" xfId="0" applyFill="1" applyBorder="1"/>
    <xf numFmtId="186" fontId="25" fillId="11" borderId="3" xfId="0" applyNumberFormat="1" applyFont="1" applyFill="1" applyBorder="1" applyAlignment="1">
      <alignment vertical="center"/>
    </xf>
    <xf numFmtId="0" fontId="22" fillId="0" borderId="3" xfId="0" applyFont="1" applyBorder="1"/>
    <xf numFmtId="187" fontId="26" fillId="0" borderId="3" xfId="0" applyNumberFormat="1" applyFont="1" applyBorder="1" applyAlignment="1">
      <alignment vertical="center"/>
    </xf>
    <xf numFmtId="0" fontId="0" fillId="12" borderId="3" xfId="0" applyFill="1" applyBorder="1"/>
    <xf numFmtId="187" fontId="27" fillId="0" borderId="3" xfId="0" applyNumberFormat="1" applyFont="1" applyBorder="1" applyAlignment="1">
      <alignment vertical="center"/>
    </xf>
    <xf numFmtId="0" fontId="0" fillId="13" borderId="3" xfId="0" applyFill="1" applyBorder="1"/>
    <xf numFmtId="0" fontId="28" fillId="13" borderId="3" xfId="0" applyFont="1" applyFill="1" applyBorder="1"/>
    <xf numFmtId="0" fontId="0" fillId="14" borderId="3" xfId="0" applyFill="1" applyBorder="1"/>
    <xf numFmtId="186" fontId="25" fillId="14" borderId="3" xfId="0" applyNumberFormat="1" applyFont="1" applyFill="1" applyBorder="1" applyAlignment="1">
      <alignment vertical="center"/>
    </xf>
    <xf numFmtId="0" fontId="29" fillId="0" borderId="3" xfId="0" applyFont="1" applyBorder="1"/>
    <xf numFmtId="187" fontId="26" fillId="14" borderId="3" xfId="0" applyNumberFormat="1" applyFont="1" applyFill="1" applyBorder="1" applyAlignment="1">
      <alignment vertical="center"/>
    </xf>
    <xf numFmtId="0" fontId="20" fillId="0" borderId="0" xfId="0" applyFont="1" applyAlignment="1">
      <alignment vertical="center" wrapText="1"/>
    </xf>
    <xf numFmtId="186" fontId="25" fillId="0" borderId="5" xfId="0" applyNumberFormat="1" applyFont="1" applyBorder="1" applyAlignment="1">
      <alignment vertical="center"/>
    </xf>
    <xf numFmtId="0" fontId="22" fillId="0" borderId="8" xfId="0" applyFont="1" applyBorder="1"/>
    <xf numFmtId="0" fontId="20" fillId="0" borderId="9" xfId="0" applyFont="1" applyBorder="1" applyAlignment="1">
      <alignment vertical="center" wrapText="1"/>
    </xf>
    <xf numFmtId="186" fontId="25" fillId="0" borderId="6" xfId="0" applyNumberFormat="1" applyFont="1" applyBorder="1" applyAlignment="1">
      <alignment vertical="center"/>
    </xf>
    <xf numFmtId="184" fontId="28" fillId="13" borderId="3" xfId="5" applyNumberFormat="1" applyFont="1" applyFill="1" applyBorder="1"/>
    <xf numFmtId="178" fontId="28" fillId="0" borderId="3" xfId="0" applyNumberFormat="1" applyFont="1" applyBorder="1" applyAlignment="1">
      <alignment shrinkToFit="1"/>
    </xf>
    <xf numFmtId="0" fontId="0" fillId="0" borderId="11" xfId="0" applyBorder="1"/>
    <xf numFmtId="186" fontId="25" fillId="0" borderId="11" xfId="0" applyNumberFormat="1" applyFont="1" applyBorder="1" applyAlignment="1">
      <alignment vertical="center"/>
    </xf>
    <xf numFmtId="186" fontId="25" fillId="0" borderId="0" xfId="0" applyNumberFormat="1" applyFont="1" applyAlignment="1">
      <alignment vertical="center"/>
    </xf>
    <xf numFmtId="184" fontId="5" fillId="0" borderId="11" xfId="5" applyNumberFormat="1" applyBorder="1"/>
    <xf numFmtId="184" fontId="28" fillId="0" borderId="11" xfId="5" applyNumberFormat="1" applyFont="1" applyBorder="1"/>
    <xf numFmtId="0" fontId="6" fillId="0" borderId="0" xfId="0" applyFont="1" applyAlignment="1">
      <alignment horizontal="left" vertical="center"/>
    </xf>
    <xf numFmtId="0" fontId="20" fillId="0" borderId="0" xfId="0" applyFont="1" applyAlignment="1">
      <alignment horizontal="center" wrapText="1"/>
    </xf>
    <xf numFmtId="185" fontId="24" fillId="0" borderId="0" xfId="0" applyNumberFormat="1" applyFont="1" applyAlignment="1">
      <alignment vertical="center"/>
    </xf>
    <xf numFmtId="185" fontId="26" fillId="0" borderId="0" xfId="0" applyNumberFormat="1" applyFont="1" applyAlignment="1">
      <alignment vertical="center"/>
    </xf>
    <xf numFmtId="0" fontId="28" fillId="0" borderId="0" xfId="0" applyFont="1"/>
    <xf numFmtId="184" fontId="5" fillId="16" borderId="17" xfId="5" applyNumberFormat="1" applyFill="1" applyBorder="1"/>
    <xf numFmtId="184" fontId="28" fillId="16" borderId="3" xfId="5" applyNumberFormat="1" applyFont="1" applyFill="1" applyBorder="1"/>
    <xf numFmtId="0" fontId="22" fillId="0" borderId="3" xfId="0" applyFont="1" applyBorder="1" applyAlignment="1">
      <alignment wrapText="1"/>
    </xf>
    <xf numFmtId="0" fontId="6" fillId="0" borderId="17" xfId="0" applyFont="1" applyBorder="1" applyAlignment="1">
      <alignment horizontal="left" vertical="center"/>
    </xf>
    <xf numFmtId="186" fontId="25" fillId="8" borderId="17" xfId="0" applyNumberFormat="1" applyFont="1" applyFill="1" applyBorder="1" applyAlignment="1">
      <alignment vertical="center"/>
    </xf>
    <xf numFmtId="187" fontId="22" fillId="0" borderId="3" xfId="0" applyNumberFormat="1" applyFont="1" applyBorder="1"/>
    <xf numFmtId="178" fontId="25" fillId="8" borderId="17" xfId="0" applyNumberFormat="1" applyFont="1" applyFill="1" applyBorder="1" applyAlignment="1">
      <alignment horizontal="right" vertical="center"/>
    </xf>
    <xf numFmtId="0" fontId="0" fillId="8" borderId="0" xfId="0" applyFill="1"/>
    <xf numFmtId="188" fontId="24" fillId="8" borderId="0" xfId="0" applyNumberFormat="1" applyFont="1" applyFill="1" applyAlignment="1">
      <alignment vertical="center"/>
    </xf>
    <xf numFmtId="0" fontId="31" fillId="8" borderId="0" xfId="0" applyFont="1" applyFill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188" fontId="24" fillId="8" borderId="3" xfId="0" applyNumberFormat="1" applyFont="1" applyFill="1" applyBorder="1" applyAlignment="1">
      <alignment vertical="center"/>
    </xf>
    <xf numFmtId="0" fontId="22" fillId="0" borderId="11" xfId="0" applyFont="1" applyBorder="1"/>
    <xf numFmtId="0" fontId="31" fillId="8" borderId="17" xfId="0" applyFont="1" applyFill="1" applyBorder="1" applyAlignment="1">
      <alignment horizontal="left" vertical="center"/>
    </xf>
    <xf numFmtId="0" fontId="31" fillId="8" borderId="18" xfId="0" applyFont="1" applyFill="1" applyBorder="1" applyAlignment="1">
      <alignment horizontal="left" vertical="center"/>
    </xf>
    <xf numFmtId="0" fontId="31" fillId="8" borderId="7" xfId="0" applyFont="1" applyFill="1" applyBorder="1" applyAlignment="1">
      <alignment horizontal="left" vertical="center"/>
    </xf>
    <xf numFmtId="0" fontId="22" fillId="0" borderId="0" xfId="0" applyFont="1"/>
    <xf numFmtId="0" fontId="32" fillId="0" borderId="0" xfId="0" applyFont="1" applyAlignment="1">
      <alignment horizontal="left" vertical="center"/>
    </xf>
    <xf numFmtId="0" fontId="22" fillId="0" borderId="0" xfId="0" applyFont="1" applyAlignment="1">
      <alignment wrapText="1"/>
    </xf>
    <xf numFmtId="0" fontId="32" fillId="0" borderId="0" xfId="0" applyFont="1" applyAlignment="1">
      <alignment horizontal="center" vertical="center"/>
    </xf>
    <xf numFmtId="185" fontId="32" fillId="0" borderId="0" xfId="0" applyNumberFormat="1" applyFont="1" applyAlignment="1">
      <alignment horizontal="right" vertical="center"/>
    </xf>
    <xf numFmtId="187" fontId="22" fillId="0" borderId="0" xfId="0" applyNumberFormat="1" applyFont="1"/>
    <xf numFmtId="185" fontId="22" fillId="15" borderId="11" xfId="0" applyNumberFormat="1" applyFont="1" applyFill="1" applyBorder="1"/>
    <xf numFmtId="0" fontId="0" fillId="15" borderId="11" xfId="0" applyFill="1" applyBorder="1"/>
    <xf numFmtId="0" fontId="0" fillId="15" borderId="8" xfId="0" applyFill="1" applyBorder="1"/>
    <xf numFmtId="185" fontId="22" fillId="15" borderId="9" xfId="0" applyNumberFormat="1" applyFont="1" applyFill="1" applyBorder="1"/>
    <xf numFmtId="0" fontId="0" fillId="15" borderId="9" xfId="0" applyFill="1" applyBorder="1"/>
    <xf numFmtId="0" fontId="0" fillId="15" borderId="6" xfId="0" applyFill="1" applyBorder="1"/>
    <xf numFmtId="185" fontId="22" fillId="0" borderId="0" xfId="0" applyNumberFormat="1" applyFont="1"/>
    <xf numFmtId="185" fontId="22" fillId="18" borderId="11" xfId="0" applyNumberFormat="1" applyFont="1" applyFill="1" applyBorder="1"/>
    <xf numFmtId="0" fontId="0" fillId="18" borderId="11" xfId="0" applyFill="1" applyBorder="1"/>
    <xf numFmtId="0" fontId="0" fillId="18" borderId="8" xfId="0" applyFill="1" applyBorder="1"/>
    <xf numFmtId="0" fontId="22" fillId="18" borderId="9" xfId="0" applyFont="1" applyFill="1" applyBorder="1"/>
    <xf numFmtId="0" fontId="0" fillId="18" borderId="9" xfId="0" applyFill="1" applyBorder="1"/>
    <xf numFmtId="0" fontId="0" fillId="18" borderId="6" xfId="0" applyFill="1" applyBorder="1"/>
    <xf numFmtId="0" fontId="13" fillId="5" borderId="0" xfId="2" applyFont="1" applyFill="1" applyAlignment="1">
      <alignment horizontal="center" vertical="center"/>
    </xf>
    <xf numFmtId="0" fontId="15" fillId="5" borderId="0" xfId="3" applyFont="1" applyFill="1" applyAlignment="1">
      <alignment horizontal="center" vertical="top"/>
    </xf>
    <xf numFmtId="0" fontId="15" fillId="5" borderId="9" xfId="3" applyFont="1" applyFill="1" applyBorder="1" applyAlignment="1">
      <alignment horizontal="center" vertical="top"/>
    </xf>
    <xf numFmtId="0" fontId="5" fillId="5" borderId="3" xfId="3" applyFill="1" applyBorder="1" applyAlignment="1">
      <alignment horizontal="center" vertical="top" textRotation="255"/>
    </xf>
    <xf numFmtId="0" fontId="5" fillId="5" borderId="3" xfId="3" applyFill="1" applyBorder="1" applyAlignment="1">
      <alignment horizontal="center" vertical="center" wrapText="1"/>
    </xf>
    <xf numFmtId="0" fontId="5" fillId="5" borderId="3" xfId="3" applyFill="1" applyBorder="1" applyAlignment="1">
      <alignment horizontal="center"/>
    </xf>
    <xf numFmtId="0" fontId="0" fillId="5" borderId="18" xfId="3" applyFont="1" applyFill="1" applyBorder="1" applyAlignment="1">
      <alignment horizontal="center" vertical="center"/>
    </xf>
    <xf numFmtId="0" fontId="5" fillId="5" borderId="18" xfId="3" applyFill="1" applyBorder="1" applyAlignment="1">
      <alignment horizontal="center" vertical="center"/>
    </xf>
    <xf numFmtId="0" fontId="5" fillId="5" borderId="7" xfId="3" applyFill="1" applyBorder="1" applyAlignment="1">
      <alignment horizontal="center" vertical="center"/>
    </xf>
    <xf numFmtId="181" fontId="17" fillId="5" borderId="9" xfId="3" applyNumberFormat="1" applyFont="1" applyFill="1" applyBorder="1" applyAlignment="1">
      <alignment horizontal="center"/>
    </xf>
    <xf numFmtId="0" fontId="17" fillId="5" borderId="0" xfId="3" applyFont="1" applyFill="1" applyAlignment="1">
      <alignment horizontal="center"/>
    </xf>
    <xf numFmtId="182" fontId="11" fillId="5" borderId="9" xfId="3" applyNumberFormat="1" applyFont="1" applyFill="1" applyBorder="1" applyAlignment="1">
      <alignment horizontal="center"/>
    </xf>
    <xf numFmtId="0" fontId="3" fillId="5" borderId="0" xfId="3" applyFont="1" applyFill="1" applyAlignment="1">
      <alignment horizontal="center" vertical="center"/>
    </xf>
    <xf numFmtId="41" fontId="21" fillId="5" borderId="0" xfId="4" applyFont="1" applyFill="1" applyAlignment="1">
      <alignment horizontal="center" vertical="center"/>
    </xf>
    <xf numFmtId="41" fontId="3" fillId="5" borderId="0" xfId="4" applyFont="1" applyFill="1" applyAlignment="1">
      <alignment horizontal="center" vertical="center"/>
    </xf>
    <xf numFmtId="0" fontId="3" fillId="5" borderId="5" xfId="3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185" fontId="24" fillId="9" borderId="17" xfId="0" applyNumberFormat="1" applyFont="1" applyFill="1" applyBorder="1" applyAlignment="1">
      <alignment horizontal="right" vertical="center"/>
    </xf>
    <xf numFmtId="185" fontId="24" fillId="9" borderId="7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22" fillId="6" borderId="22" xfId="0" applyFont="1" applyFill="1" applyBorder="1" applyAlignment="1">
      <alignment horizontal="left" vertical="center"/>
    </xf>
    <xf numFmtId="0" fontId="22" fillId="6" borderId="23" xfId="0" applyFont="1" applyFill="1" applyBorder="1" applyAlignment="1">
      <alignment horizontal="left" vertical="center"/>
    </xf>
    <xf numFmtId="0" fontId="8" fillId="0" borderId="24" xfId="0" applyFont="1" applyBorder="1" applyAlignment="1">
      <alignment horizontal="left" vertical="center" shrinkToFit="1"/>
    </xf>
    <xf numFmtId="0" fontId="8" fillId="0" borderId="24" xfId="0" applyFont="1" applyBorder="1" applyAlignment="1">
      <alignment horizontal="right" vertical="center" shrinkToFit="1"/>
    </xf>
    <xf numFmtId="0" fontId="8" fillId="0" borderId="24" xfId="0" applyFont="1" applyBorder="1" applyAlignment="1">
      <alignment horizontal="right" vertical="center"/>
    </xf>
    <xf numFmtId="0" fontId="0" fillId="7" borderId="13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185" fontId="6" fillId="0" borderId="34" xfId="0" applyNumberFormat="1" applyFont="1" applyBorder="1" applyAlignment="1">
      <alignment horizontal="righ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6" fillId="0" borderId="32" xfId="0" applyFont="1" applyBorder="1" applyAlignment="1">
      <alignment horizontal="center" vertical="center"/>
    </xf>
    <xf numFmtId="185" fontId="6" fillId="0" borderId="32" xfId="0" applyNumberFormat="1" applyFont="1" applyBorder="1" applyAlignment="1">
      <alignment horizontal="right" vertical="center"/>
    </xf>
    <xf numFmtId="0" fontId="6" fillId="0" borderId="32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187" fontId="24" fillId="9" borderId="17" xfId="0" applyNumberFormat="1" applyFont="1" applyFill="1" applyBorder="1" applyAlignment="1">
      <alignment horizontal="right" vertical="center"/>
    </xf>
    <xf numFmtId="187" fontId="24" fillId="9" borderId="7" xfId="0" applyNumberFormat="1" applyFont="1" applyFill="1" applyBorder="1" applyAlignment="1">
      <alignment horizontal="right" vertical="center"/>
    </xf>
    <xf numFmtId="0" fontId="6" fillId="0" borderId="29" xfId="0" applyFont="1" applyBorder="1" applyAlignment="1">
      <alignment horizontal="center" vertical="center"/>
    </xf>
    <xf numFmtId="185" fontId="6" fillId="0" borderId="29" xfId="0" applyNumberFormat="1" applyFont="1" applyBorder="1" applyAlignment="1">
      <alignment horizontal="right" vertical="center"/>
    </xf>
    <xf numFmtId="0" fontId="6" fillId="0" borderId="29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187" fontId="6" fillId="0" borderId="32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 textRotation="255"/>
    </xf>
    <xf numFmtId="0" fontId="6" fillId="0" borderId="8" xfId="0" applyFont="1" applyBorder="1" applyAlignment="1">
      <alignment horizontal="center" vertical="center" textRotation="255"/>
    </xf>
    <xf numFmtId="0" fontId="6" fillId="0" borderId="12" xfId="0" applyFont="1" applyBorder="1" applyAlignment="1">
      <alignment horizontal="center" vertical="center" textRotation="255"/>
    </xf>
    <xf numFmtId="0" fontId="6" fillId="0" borderId="5" xfId="0" applyFont="1" applyBorder="1" applyAlignment="1">
      <alignment horizontal="center" vertical="center" textRotation="255"/>
    </xf>
    <xf numFmtId="0" fontId="6" fillId="0" borderId="13" xfId="0" applyFont="1" applyBorder="1" applyAlignment="1">
      <alignment horizontal="center" vertical="center" textRotation="255"/>
    </xf>
    <xf numFmtId="0" fontId="6" fillId="0" borderId="6" xfId="0" applyFont="1" applyBorder="1" applyAlignment="1">
      <alignment horizontal="center" vertical="center" textRotation="255"/>
    </xf>
    <xf numFmtId="0" fontId="22" fillId="0" borderId="17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185" fontId="24" fillId="12" borderId="17" xfId="0" applyNumberFormat="1" applyFont="1" applyFill="1" applyBorder="1" applyAlignment="1">
      <alignment horizontal="right" vertical="center"/>
    </xf>
    <xf numFmtId="185" fontId="24" fillId="12" borderId="7" xfId="0" applyNumberFormat="1" applyFont="1" applyFill="1" applyBorder="1" applyAlignment="1">
      <alignment horizontal="right" vertical="center"/>
    </xf>
    <xf numFmtId="0" fontId="0" fillId="13" borderId="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15" borderId="32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left" vertical="center" shrinkToFit="1"/>
    </xf>
    <xf numFmtId="0" fontId="30" fillId="15" borderId="32" xfId="0" applyFont="1" applyFill="1" applyBorder="1" applyAlignment="1">
      <alignment horizontal="center" vertical="center" wrapText="1"/>
    </xf>
    <xf numFmtId="0" fontId="30" fillId="15" borderId="32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185" fontId="6" fillId="0" borderId="3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4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 textRotation="255"/>
    </xf>
    <xf numFmtId="0" fontId="6" fillId="0" borderId="31" xfId="0" applyFont="1" applyBorder="1" applyAlignment="1">
      <alignment horizontal="center" vertical="center" textRotation="255"/>
    </xf>
    <xf numFmtId="0" fontId="6" fillId="0" borderId="40" xfId="0" applyFont="1" applyBorder="1" applyAlignment="1">
      <alignment horizontal="center" vertical="center" textRotation="255"/>
    </xf>
    <xf numFmtId="0" fontId="31" fillId="8" borderId="0" xfId="0" applyFont="1" applyFill="1" applyAlignment="1">
      <alignment horizontal="left" vertical="center"/>
    </xf>
    <xf numFmtId="0" fontId="6" fillId="0" borderId="49" xfId="0" applyFont="1" applyBorder="1" applyAlignment="1">
      <alignment horizontal="center" vertical="center"/>
    </xf>
    <xf numFmtId="0" fontId="31" fillId="8" borderId="17" xfId="0" applyFont="1" applyFill="1" applyBorder="1" applyAlignment="1">
      <alignment horizontal="left" vertical="center"/>
    </xf>
    <xf numFmtId="0" fontId="31" fillId="8" borderId="18" xfId="0" applyFont="1" applyFill="1" applyBorder="1" applyAlignment="1">
      <alignment horizontal="left" vertical="center"/>
    </xf>
    <xf numFmtId="0" fontId="31" fillId="8" borderId="7" xfId="0" applyFont="1" applyFill="1" applyBorder="1" applyAlignment="1">
      <alignment horizontal="left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187" fontId="6" fillId="0" borderId="29" xfId="0" applyNumberFormat="1" applyFont="1" applyBorder="1" applyAlignment="1">
      <alignment horizontal="right" vertical="center"/>
    </xf>
    <xf numFmtId="184" fontId="5" fillId="16" borderId="4" xfId="5" applyNumberFormat="1" applyFill="1" applyBorder="1" applyAlignment="1">
      <alignment horizontal="center" vertical="center"/>
    </xf>
    <xf numFmtId="184" fontId="5" fillId="16" borderId="2" xfId="5" applyNumberFormat="1" applyFill="1" applyBorder="1" applyAlignment="1">
      <alignment horizontal="center" vertical="center"/>
    </xf>
    <xf numFmtId="184" fontId="5" fillId="16" borderId="1" xfId="5" applyNumberFormat="1" applyFill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185" fontId="6" fillId="0" borderId="47" xfId="0" applyNumberFormat="1" applyFont="1" applyBorder="1" applyAlignment="1">
      <alignment horizontal="right" vertical="center"/>
    </xf>
    <xf numFmtId="0" fontId="6" fillId="0" borderId="47" xfId="0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 shrinkToFit="1"/>
    </xf>
    <xf numFmtId="0" fontId="0" fillId="13" borderId="3" xfId="0" applyFill="1" applyBorder="1" applyAlignment="1">
      <alignment horizontal="left"/>
    </xf>
    <xf numFmtId="185" fontId="28" fillId="13" borderId="3" xfId="0" applyNumberFormat="1" applyFont="1" applyFill="1" applyBorder="1" applyAlignment="1">
      <alignment horizontal="right"/>
    </xf>
    <xf numFmtId="185" fontId="22" fillId="15" borderId="10" xfId="0" applyNumberFormat="1" applyFont="1" applyFill="1" applyBorder="1" applyAlignment="1">
      <alignment horizontal="left" vertical="center"/>
    </xf>
    <xf numFmtId="185" fontId="22" fillId="15" borderId="13" xfId="0" applyNumberFormat="1" applyFont="1" applyFill="1" applyBorder="1" applyAlignment="1">
      <alignment horizontal="left" vertical="center"/>
    </xf>
    <xf numFmtId="0" fontId="22" fillId="18" borderId="10" xfId="0" applyFont="1" applyFill="1" applyBorder="1" applyAlignment="1">
      <alignment horizontal="left" vertical="center"/>
    </xf>
    <xf numFmtId="0" fontId="22" fillId="18" borderId="13" xfId="0" applyFont="1" applyFill="1" applyBorder="1" applyAlignment="1">
      <alignment horizontal="left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185" fontId="32" fillId="0" borderId="54" xfId="0" applyNumberFormat="1" applyFont="1" applyBorder="1" applyAlignment="1">
      <alignment horizontal="right" vertical="center"/>
    </xf>
    <xf numFmtId="0" fontId="32" fillId="0" borderId="54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0" fillId="17" borderId="3" xfId="0" applyFill="1" applyBorder="1" applyAlignment="1">
      <alignment horizontal="left"/>
    </xf>
    <xf numFmtId="185" fontId="28" fillId="17" borderId="3" xfId="0" applyNumberFormat="1" applyFont="1" applyFill="1" applyBorder="1" applyAlignment="1">
      <alignment horizontal="right"/>
    </xf>
    <xf numFmtId="49" fontId="2" fillId="0" borderId="17" xfId="0" applyNumberFormat="1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7" xfId="0" applyBorder="1" applyAlignment="1">
      <alignment horizontal="left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/>
    </xf>
    <xf numFmtId="49" fontId="0" fillId="0" borderId="9" xfId="0" applyNumberFormat="1" applyBorder="1" applyAlignment="1">
      <alignment horizontal="left"/>
    </xf>
    <xf numFmtId="49" fontId="2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49" fontId="9" fillId="0" borderId="9" xfId="0" applyNumberFormat="1" applyFont="1" applyBorder="1" applyAlignment="1">
      <alignment horizontal="left" shrinkToFit="1"/>
    </xf>
    <xf numFmtId="49" fontId="2" fillId="0" borderId="17" xfId="0" applyNumberFormat="1" applyFont="1" applyBorder="1" applyAlignment="1">
      <alignment horizontal="left" shrinkToFit="1"/>
    </xf>
    <xf numFmtId="0" fontId="0" fillId="0" borderId="18" xfId="0" applyBorder="1" applyAlignment="1">
      <alignment horizontal="left" shrinkToFit="1"/>
    </xf>
    <xf numFmtId="0" fontId="0" fillId="0" borderId="7" xfId="0" applyBorder="1" applyAlignment="1">
      <alignment horizontal="left" shrinkToFit="1"/>
    </xf>
    <xf numFmtId="0" fontId="2" fillId="0" borderId="0" xfId="0" applyFont="1" applyAlignment="1">
      <alignment horizont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176" fontId="2" fillId="0" borderId="3" xfId="0" applyNumberFormat="1" applyFont="1" applyBorder="1" applyAlignment="1">
      <alignment horizontal="center" vertical="center" shrinkToFit="1"/>
    </xf>
    <xf numFmtId="176" fontId="2" fillId="0" borderId="4" xfId="0" applyNumberFormat="1" applyFont="1" applyBorder="1" applyAlignment="1">
      <alignment horizontal="center" vertical="center" shrinkToFit="1"/>
    </xf>
    <xf numFmtId="178" fontId="2" fillId="0" borderId="3" xfId="0" applyNumberFormat="1" applyFont="1" applyBorder="1" applyAlignment="1">
      <alignment horizontal="center" vertical="center" shrinkToFit="1"/>
    </xf>
    <xf numFmtId="178" fontId="2" fillId="0" borderId="4" xfId="0" applyNumberFormat="1" applyFont="1" applyBorder="1" applyAlignment="1">
      <alignment horizontal="center" vertical="center" shrinkToFit="1"/>
    </xf>
    <xf numFmtId="49" fontId="10" fillId="0" borderId="9" xfId="0" applyNumberFormat="1" applyFont="1" applyBorder="1" applyAlignment="1">
      <alignment horizontal="left" shrinkToFit="1"/>
    </xf>
    <xf numFmtId="0" fontId="2" fillId="0" borderId="0" xfId="0" applyFont="1" applyAlignment="1">
      <alignment horizontal="center" vertical="center" shrinkToFit="1"/>
    </xf>
    <xf numFmtId="49" fontId="0" fillId="0" borderId="4" xfId="0" applyNumberFormat="1" applyBorder="1" applyAlignment="1">
      <alignment horizontal="center" vertical="center" shrinkToFit="1"/>
    </xf>
    <xf numFmtId="0" fontId="0" fillId="0" borderId="4" xfId="0" applyBorder="1"/>
    <xf numFmtId="0" fontId="0" fillId="0" borderId="9" xfId="0" applyBorder="1" applyAlignment="1">
      <alignment horizontal="left"/>
    </xf>
    <xf numFmtId="49" fontId="0" fillId="0" borderId="4" xfId="0" applyNumberFormat="1" applyBorder="1"/>
    <xf numFmtId="0" fontId="0" fillId="0" borderId="4" xfId="0" applyBorder="1" applyAlignment="1">
      <alignment horizontal="center"/>
    </xf>
    <xf numFmtId="49" fontId="2" fillId="0" borderId="9" xfId="0" applyNumberFormat="1" applyFont="1" applyBorder="1" applyAlignment="1">
      <alignment horizontal="left" shrinkToFi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shrinkToFit="1"/>
    </xf>
    <xf numFmtId="0" fontId="0" fillId="0" borderId="9" xfId="0" applyBorder="1" applyAlignment="1">
      <alignment horizontal="left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right" vertical="center" shrinkToFit="1"/>
    </xf>
    <xf numFmtId="0" fontId="2" fillId="0" borderId="4" xfId="0" applyFont="1" applyBorder="1" applyAlignment="1">
      <alignment horizontal="right" vertical="center" shrinkToFit="1"/>
    </xf>
    <xf numFmtId="49" fontId="2" fillId="0" borderId="13" xfId="0" applyNumberFormat="1" applyFont="1" applyBorder="1" applyAlignment="1">
      <alignment horizontal="left" shrinkToFit="1"/>
    </xf>
    <xf numFmtId="0" fontId="0" fillId="0" borderId="6" xfId="0" applyBorder="1" applyAlignment="1">
      <alignment horizontal="left" shrinkToFit="1"/>
    </xf>
  </cellXfs>
  <cellStyles count="6">
    <cellStyle name="백분율 2" xfId="5" xr:uid="{00000000-0005-0000-0000-000000000000}"/>
    <cellStyle name="쉼표 [0] 19" xfId="4" xr:uid="{00000000-0005-0000-0000-000001000000}"/>
    <cellStyle name="쉼표 [0] 2" xfId="1" xr:uid="{00000000-0005-0000-0000-000002000000}"/>
    <cellStyle name="표준" xfId="0" builtinId="0"/>
    <cellStyle name="표준_동구보건소(전기)" xfId="3" xr:uid="{00000000-0005-0000-0000-000004000000}"/>
    <cellStyle name="표준_자탐공사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F2BB01B-16BF-494C-8800-EBE5F735763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97878C0-43A1-45A9-BD14-552DB9DF88BE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5B188DE-550E-4C90-A095-53768E8D9C3F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B1991D9B-6964-4EE2-9B37-90930518762C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E49C97B-4210-4D38-9F92-668ACC03278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6DB91C3C-1AB7-46AB-BAE6-0243C5B8BD62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D03DDEA-0D89-4329-B039-D4B4E8D9DAF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9380A47-7B79-4633-A292-07375F6259A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36A03211-E00E-4884-9C64-FDC4B03B3625}"/>
            </a:ext>
          </a:extLst>
        </xdr:cNvPr>
        <xdr:cNvSpPr>
          <a:spLocks noChangeShapeType="1"/>
        </xdr:cNvSpPr>
      </xdr:nvSpPr>
      <xdr:spPr bwMode="auto">
        <a:xfrm>
          <a:off x="933450" y="0"/>
          <a:ext cx="74485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D601CE25-F9AD-4249-A726-D3E83D9E5BA8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DED7FE21-405F-4BC4-85A9-EB5AB9C3BF5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4CBEDE38-39AA-4954-BABE-F5C042D5319E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94498ED3-BBEC-40A8-B2CF-631F81BFABDB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9302469-EE81-4C1B-8FA3-88691B316A2F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08BE848C-88D3-4D86-A41F-7F7F300C744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3B1405DE-0732-4387-B88E-DDB1AD3D80C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C85466A3-06A8-4DFA-B22F-0A5B3EB6E9D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B71A93BA-D7FA-4BC6-8A45-644FDE5E19A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407D447F-2DB2-4896-AB1C-094BE1D15AB4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FED9B162-5A76-4281-A024-30B48E07C5CF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196DF6E3-FFDD-41FF-8344-3E707A3A7B0F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C24AA8A6-4842-49E0-ABFD-AB250829A0A4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28A4B085-FB04-4FE9-9A66-E5E8FD2F4039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E2EFE3AC-5C38-4B1A-8168-DD32BF620C5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E778607D-A27D-4C97-BD9C-A922CE3D84F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F278882F-8169-4B2C-87F8-291EA239CCC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23DB8701-F848-44C3-9CB4-AF6583F7C9EA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5C5AE08B-632E-4B8E-AD02-A7E8E8FE390E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7FA7435F-2721-417E-9AF7-F5E01D51958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924FB19F-7DB9-4091-9921-BAFB6384CF46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CB25E659-A155-48A0-8989-94495A7C1634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D41F10F-5145-4F43-B2B0-809C7B39860C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6EFB1772-D7F0-4489-A95C-B14ED7CFBD3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98DFF16B-6886-4B54-9B03-70639BE239A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D77B290D-119F-4CA2-8C38-F4020704CB0C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DE4B579F-2AD9-47F5-BA8E-BE0BEF9E628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36340174-774D-4818-A471-74C135150BAA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1539B7D3-371B-407E-83E2-639E8A4FBDF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C7021FE4-551A-4991-97A9-27A38B365CCE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1110E226-37A8-4392-9043-D5AC94B2725B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1EC825F4-B1F2-4578-BC98-498A8CADD13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E0CFC763-830B-4155-8338-74AF26AE211A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8ED91689-4231-4629-861C-68C51E11F32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CC9804E3-2FB1-4757-87C5-C5AB45E1FDC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6" name="Line 45">
          <a:extLst>
            <a:ext uri="{FF2B5EF4-FFF2-40B4-BE49-F238E27FC236}">
              <a16:creationId xmlns:a16="http://schemas.microsoft.com/office/drawing/2014/main" id="{40E65EF7-82C7-4FC0-8AD7-D3A0900F448D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47" name="Line 46">
          <a:extLst>
            <a:ext uri="{FF2B5EF4-FFF2-40B4-BE49-F238E27FC236}">
              <a16:creationId xmlns:a16="http://schemas.microsoft.com/office/drawing/2014/main" id="{A52391E1-0E4C-494E-B92B-85F0E838BBE4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8" name="Line 47">
          <a:extLst>
            <a:ext uri="{FF2B5EF4-FFF2-40B4-BE49-F238E27FC236}">
              <a16:creationId xmlns:a16="http://schemas.microsoft.com/office/drawing/2014/main" id="{CE6B1B99-241D-400D-A3E8-FDB7E65E3E4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9" name="Line 48">
          <a:extLst>
            <a:ext uri="{FF2B5EF4-FFF2-40B4-BE49-F238E27FC236}">
              <a16:creationId xmlns:a16="http://schemas.microsoft.com/office/drawing/2014/main" id="{C2F1E3FB-8884-402E-B353-E2EEFF73BD64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0" name="Line 49">
          <a:extLst>
            <a:ext uri="{FF2B5EF4-FFF2-40B4-BE49-F238E27FC236}">
              <a16:creationId xmlns:a16="http://schemas.microsoft.com/office/drawing/2014/main" id="{05B37F2A-9C63-486B-9DEE-650CB06680D5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67CE9978-3530-4AA8-9F00-736C24B48BD8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3AB5D45F-06B5-472C-BDA0-65FD077036A7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5FE761E0-48BF-4CE9-9D1A-81EF478F791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D616B273-0920-4020-86BF-AA66D196D65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BE9DBD12-AEDA-4781-A565-98FD06785541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62D915C1-BE00-492A-8C3A-34454441B4D3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F9744CC4-37BA-40BA-94AE-2365FC6E911E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8" name="Line 57">
          <a:extLst>
            <a:ext uri="{FF2B5EF4-FFF2-40B4-BE49-F238E27FC236}">
              <a16:creationId xmlns:a16="http://schemas.microsoft.com/office/drawing/2014/main" id="{B6504215-6FF5-488C-B3A7-D1ECF0BCEB4F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9" name="Line 58">
          <a:extLst>
            <a:ext uri="{FF2B5EF4-FFF2-40B4-BE49-F238E27FC236}">
              <a16:creationId xmlns:a16="http://schemas.microsoft.com/office/drawing/2014/main" id="{A5F879F8-B58C-443A-B674-B3796A8950CD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E8D76414-3E45-44F8-87C9-7617B687EEBA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65B058D7-8271-46E0-A2B5-A83F8E9B2D9A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16F0D117-9C63-4E0F-B0FF-32AE90DA803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3" name="Line 62">
          <a:extLst>
            <a:ext uri="{FF2B5EF4-FFF2-40B4-BE49-F238E27FC236}">
              <a16:creationId xmlns:a16="http://schemas.microsoft.com/office/drawing/2014/main" id="{91BD9A41-54B3-458C-B1A4-2D6038F7473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4" name="Line 63">
          <a:extLst>
            <a:ext uri="{FF2B5EF4-FFF2-40B4-BE49-F238E27FC236}">
              <a16:creationId xmlns:a16="http://schemas.microsoft.com/office/drawing/2014/main" id="{5B106717-EFD7-4DEA-A8D0-2966AC4BE8B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DC065024-F350-4236-B5DD-E75EAFE50666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37E1B9B5-F0AB-4631-B1FB-F95872E4BB25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2AFA01AA-096C-4484-B4E4-020B40102224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EDF24C03-DD97-4D66-B38C-63F0333840FA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6A44BC6-4F28-48DC-B26A-5F6EA366821E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F072FF74-1A34-46AA-B39B-DABCC3A1761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530BC40-1F40-43C3-A0A4-5E4B7E9B11F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2" name="Line 71">
          <a:extLst>
            <a:ext uri="{FF2B5EF4-FFF2-40B4-BE49-F238E27FC236}">
              <a16:creationId xmlns:a16="http://schemas.microsoft.com/office/drawing/2014/main" id="{E9298638-521A-4048-9A25-5F09FF7B0BED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3" name="Line 72">
          <a:extLst>
            <a:ext uri="{FF2B5EF4-FFF2-40B4-BE49-F238E27FC236}">
              <a16:creationId xmlns:a16="http://schemas.microsoft.com/office/drawing/2014/main" id="{7DAB114D-B65B-473C-91EF-2B026D4B001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74" name="Line 73">
          <a:extLst>
            <a:ext uri="{FF2B5EF4-FFF2-40B4-BE49-F238E27FC236}">
              <a16:creationId xmlns:a16="http://schemas.microsoft.com/office/drawing/2014/main" id="{BE51BFAA-0BC4-4E62-925C-FC3B1794A1A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5" name="Line 74">
          <a:extLst>
            <a:ext uri="{FF2B5EF4-FFF2-40B4-BE49-F238E27FC236}">
              <a16:creationId xmlns:a16="http://schemas.microsoft.com/office/drawing/2014/main" id="{C2BDA715-5EB4-48E1-866C-91C38D681DE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6" name="Line 75">
          <a:extLst>
            <a:ext uri="{FF2B5EF4-FFF2-40B4-BE49-F238E27FC236}">
              <a16:creationId xmlns:a16="http://schemas.microsoft.com/office/drawing/2014/main" id="{C6DD6D76-314C-40D4-AA5B-FE90253CDE2A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244FCF66-AE20-4C78-8019-B0D3C49B0BF3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52F1053-948D-4F22-B76A-2FC4E69669F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DA0A77C1-804E-4B66-913D-5CA02ECB30E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58D1A07A-150A-489E-96D2-8FA339E15AD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25E02F14-22FF-43C7-812A-8C3DA0F90EA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BDE1059D-4B90-4EFF-B027-ACC25A58348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75FCA9E1-0169-4ABA-A25F-F34E6275E123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4" name="Line 83">
          <a:extLst>
            <a:ext uri="{FF2B5EF4-FFF2-40B4-BE49-F238E27FC236}">
              <a16:creationId xmlns:a16="http://schemas.microsoft.com/office/drawing/2014/main" id="{15DADFE7-FBA9-488C-ABBE-46059D4F1E7A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5" name="Line 84">
          <a:extLst>
            <a:ext uri="{FF2B5EF4-FFF2-40B4-BE49-F238E27FC236}">
              <a16:creationId xmlns:a16="http://schemas.microsoft.com/office/drawing/2014/main" id="{F3048637-EC02-4D01-A5E5-9D8D55CB0A9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86" name="Line 85">
          <a:extLst>
            <a:ext uri="{FF2B5EF4-FFF2-40B4-BE49-F238E27FC236}">
              <a16:creationId xmlns:a16="http://schemas.microsoft.com/office/drawing/2014/main" id="{B2D9EBF6-1166-4C87-877A-0BECA7A82DB2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87" name="Line 86">
          <a:extLst>
            <a:ext uri="{FF2B5EF4-FFF2-40B4-BE49-F238E27FC236}">
              <a16:creationId xmlns:a16="http://schemas.microsoft.com/office/drawing/2014/main" id="{F3ADF71B-970A-4329-AC20-19802E8C46F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88" name="Line 87">
          <a:extLst>
            <a:ext uri="{FF2B5EF4-FFF2-40B4-BE49-F238E27FC236}">
              <a16:creationId xmlns:a16="http://schemas.microsoft.com/office/drawing/2014/main" id="{869623D3-9AFF-4D68-9CA3-10152DFFF51E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9" name="Line 88">
          <a:extLst>
            <a:ext uri="{FF2B5EF4-FFF2-40B4-BE49-F238E27FC236}">
              <a16:creationId xmlns:a16="http://schemas.microsoft.com/office/drawing/2014/main" id="{4E00BF4A-D270-451D-B2A1-E1E70A145B6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0" name="Line 89">
          <a:extLst>
            <a:ext uri="{FF2B5EF4-FFF2-40B4-BE49-F238E27FC236}">
              <a16:creationId xmlns:a16="http://schemas.microsoft.com/office/drawing/2014/main" id="{78511064-63CB-4B64-84B9-16441CDA24D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1" name="Line 90">
          <a:extLst>
            <a:ext uri="{FF2B5EF4-FFF2-40B4-BE49-F238E27FC236}">
              <a16:creationId xmlns:a16="http://schemas.microsoft.com/office/drawing/2014/main" id="{C40A20EB-29E5-4BBC-A154-453FB864867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92" name="Line 91">
          <a:extLst>
            <a:ext uri="{FF2B5EF4-FFF2-40B4-BE49-F238E27FC236}">
              <a16:creationId xmlns:a16="http://schemas.microsoft.com/office/drawing/2014/main" id="{E217FD8C-65D5-4487-93EE-3C3B6A0A2C0F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3" name="Line 92">
          <a:extLst>
            <a:ext uri="{FF2B5EF4-FFF2-40B4-BE49-F238E27FC236}">
              <a16:creationId xmlns:a16="http://schemas.microsoft.com/office/drawing/2014/main" id="{74CB3520-001C-4B7D-81C2-22E69FD5EB7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4" name="Line 93">
          <a:extLst>
            <a:ext uri="{FF2B5EF4-FFF2-40B4-BE49-F238E27FC236}">
              <a16:creationId xmlns:a16="http://schemas.microsoft.com/office/drawing/2014/main" id="{67433C8F-12DF-4564-9825-42913373E141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95" name="Line 94">
          <a:extLst>
            <a:ext uri="{FF2B5EF4-FFF2-40B4-BE49-F238E27FC236}">
              <a16:creationId xmlns:a16="http://schemas.microsoft.com/office/drawing/2014/main" id="{D84755E3-4B20-49AE-ABD3-A35BE4707A02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96" name="Line 95">
          <a:extLst>
            <a:ext uri="{FF2B5EF4-FFF2-40B4-BE49-F238E27FC236}">
              <a16:creationId xmlns:a16="http://schemas.microsoft.com/office/drawing/2014/main" id="{46FFB68A-CCE7-4051-83A4-37CAABFC86C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97" name="Line 96">
          <a:extLst>
            <a:ext uri="{FF2B5EF4-FFF2-40B4-BE49-F238E27FC236}">
              <a16:creationId xmlns:a16="http://schemas.microsoft.com/office/drawing/2014/main" id="{5B9FF088-7DA9-4DCD-AD07-5B2F8F9944D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8" name="Line 97">
          <a:extLst>
            <a:ext uri="{FF2B5EF4-FFF2-40B4-BE49-F238E27FC236}">
              <a16:creationId xmlns:a16="http://schemas.microsoft.com/office/drawing/2014/main" id="{6991BF44-79A6-4914-912D-4E0B34258B8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9" name="Line 98">
          <a:extLst>
            <a:ext uri="{FF2B5EF4-FFF2-40B4-BE49-F238E27FC236}">
              <a16:creationId xmlns:a16="http://schemas.microsoft.com/office/drawing/2014/main" id="{9A7D463F-B717-488B-9EF8-BF6614080B4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0" name="Line 99">
          <a:extLst>
            <a:ext uri="{FF2B5EF4-FFF2-40B4-BE49-F238E27FC236}">
              <a16:creationId xmlns:a16="http://schemas.microsoft.com/office/drawing/2014/main" id="{1327CA0C-76D5-4A2B-A2A3-023549A903D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1" name="Line 100">
          <a:extLst>
            <a:ext uri="{FF2B5EF4-FFF2-40B4-BE49-F238E27FC236}">
              <a16:creationId xmlns:a16="http://schemas.microsoft.com/office/drawing/2014/main" id="{6D874A4A-94F1-48C3-BD0C-572480EF8AC9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2" name="Line 101">
          <a:extLst>
            <a:ext uri="{FF2B5EF4-FFF2-40B4-BE49-F238E27FC236}">
              <a16:creationId xmlns:a16="http://schemas.microsoft.com/office/drawing/2014/main" id="{0C1DD4ED-CD43-4207-AEDE-8CD5BCF6B87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03" name="Line 102">
          <a:extLst>
            <a:ext uri="{FF2B5EF4-FFF2-40B4-BE49-F238E27FC236}">
              <a16:creationId xmlns:a16="http://schemas.microsoft.com/office/drawing/2014/main" id="{86B8A208-C24B-4A70-98FD-A277A6261C69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04" name="Line 103">
          <a:extLst>
            <a:ext uri="{FF2B5EF4-FFF2-40B4-BE49-F238E27FC236}">
              <a16:creationId xmlns:a16="http://schemas.microsoft.com/office/drawing/2014/main" id="{AD0A332F-0661-4759-9D49-8DE543D3705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05" name="Line 104">
          <a:extLst>
            <a:ext uri="{FF2B5EF4-FFF2-40B4-BE49-F238E27FC236}">
              <a16:creationId xmlns:a16="http://schemas.microsoft.com/office/drawing/2014/main" id="{9A093980-1EB4-4647-9CA6-B2EB3966544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6" name="Line 105">
          <a:extLst>
            <a:ext uri="{FF2B5EF4-FFF2-40B4-BE49-F238E27FC236}">
              <a16:creationId xmlns:a16="http://schemas.microsoft.com/office/drawing/2014/main" id="{AE309C73-54FC-42BB-8EA0-E1E5C0984B6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7" name="Line 106">
          <a:extLst>
            <a:ext uri="{FF2B5EF4-FFF2-40B4-BE49-F238E27FC236}">
              <a16:creationId xmlns:a16="http://schemas.microsoft.com/office/drawing/2014/main" id="{75F12E64-5017-428F-800F-31E470EC75F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8" name="Line 107">
          <a:extLst>
            <a:ext uri="{FF2B5EF4-FFF2-40B4-BE49-F238E27FC236}">
              <a16:creationId xmlns:a16="http://schemas.microsoft.com/office/drawing/2014/main" id="{FF68A90C-C258-4ADA-ADCB-DE2CBFB613E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9" name="Line 108">
          <a:extLst>
            <a:ext uri="{FF2B5EF4-FFF2-40B4-BE49-F238E27FC236}">
              <a16:creationId xmlns:a16="http://schemas.microsoft.com/office/drawing/2014/main" id="{94C28D8F-5E58-48BB-84C7-CFE7AE07F9F3}"/>
            </a:ext>
          </a:extLst>
        </xdr:cNvPr>
        <xdr:cNvSpPr>
          <a:spLocks noChangeShapeType="1"/>
        </xdr:cNvSpPr>
      </xdr:nvSpPr>
      <xdr:spPr bwMode="auto">
        <a:xfrm>
          <a:off x="933450" y="0"/>
          <a:ext cx="74485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0" name="Line 109">
          <a:extLst>
            <a:ext uri="{FF2B5EF4-FFF2-40B4-BE49-F238E27FC236}">
              <a16:creationId xmlns:a16="http://schemas.microsoft.com/office/drawing/2014/main" id="{E2E66A17-C1D4-4499-8554-341452C6CABC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1" name="Line 110">
          <a:extLst>
            <a:ext uri="{FF2B5EF4-FFF2-40B4-BE49-F238E27FC236}">
              <a16:creationId xmlns:a16="http://schemas.microsoft.com/office/drawing/2014/main" id="{7BF7255A-1A70-4A9B-B5B4-3046260D07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2" name="Line 111">
          <a:extLst>
            <a:ext uri="{FF2B5EF4-FFF2-40B4-BE49-F238E27FC236}">
              <a16:creationId xmlns:a16="http://schemas.microsoft.com/office/drawing/2014/main" id="{92DFAB4F-6AC4-44B2-A098-D5C3BCA906DA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13" name="Line 112">
          <a:extLst>
            <a:ext uri="{FF2B5EF4-FFF2-40B4-BE49-F238E27FC236}">
              <a16:creationId xmlns:a16="http://schemas.microsoft.com/office/drawing/2014/main" id="{B4AE08C0-9F03-4F15-94F9-AC4D2054C57F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14" name="Line 113">
          <a:extLst>
            <a:ext uri="{FF2B5EF4-FFF2-40B4-BE49-F238E27FC236}">
              <a16:creationId xmlns:a16="http://schemas.microsoft.com/office/drawing/2014/main" id="{CC3CA599-177F-4C88-BEE4-E7B0453ED06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15" name="Line 114">
          <a:extLst>
            <a:ext uri="{FF2B5EF4-FFF2-40B4-BE49-F238E27FC236}">
              <a16:creationId xmlns:a16="http://schemas.microsoft.com/office/drawing/2014/main" id="{9C697759-FF7D-4859-8309-D14BECF830E8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6" name="Line 115">
          <a:extLst>
            <a:ext uri="{FF2B5EF4-FFF2-40B4-BE49-F238E27FC236}">
              <a16:creationId xmlns:a16="http://schemas.microsoft.com/office/drawing/2014/main" id="{85E071E3-2988-4F00-808F-534F3CD53BB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7" name="Line 116">
          <a:extLst>
            <a:ext uri="{FF2B5EF4-FFF2-40B4-BE49-F238E27FC236}">
              <a16:creationId xmlns:a16="http://schemas.microsoft.com/office/drawing/2014/main" id="{2400A0B3-4A4A-4553-A419-F7D407CFB90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8" name="Line 117">
          <a:extLst>
            <a:ext uri="{FF2B5EF4-FFF2-40B4-BE49-F238E27FC236}">
              <a16:creationId xmlns:a16="http://schemas.microsoft.com/office/drawing/2014/main" id="{EE132F75-5A9C-40FB-9E8B-F662BE0740C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9" name="Line 118">
          <a:extLst>
            <a:ext uri="{FF2B5EF4-FFF2-40B4-BE49-F238E27FC236}">
              <a16:creationId xmlns:a16="http://schemas.microsoft.com/office/drawing/2014/main" id="{8B5E5F13-E33D-437E-B06E-AE1713501BDB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0" name="Line 119">
          <a:extLst>
            <a:ext uri="{FF2B5EF4-FFF2-40B4-BE49-F238E27FC236}">
              <a16:creationId xmlns:a16="http://schemas.microsoft.com/office/drawing/2014/main" id="{4F12FB49-D89E-4E4D-871E-6AF2F097101E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1" name="Line 120">
          <a:extLst>
            <a:ext uri="{FF2B5EF4-FFF2-40B4-BE49-F238E27FC236}">
              <a16:creationId xmlns:a16="http://schemas.microsoft.com/office/drawing/2014/main" id="{EACD8B28-76A4-4C2B-869D-F92BF7D489E9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22" name="Line 121">
          <a:extLst>
            <a:ext uri="{FF2B5EF4-FFF2-40B4-BE49-F238E27FC236}">
              <a16:creationId xmlns:a16="http://schemas.microsoft.com/office/drawing/2014/main" id="{8FDA7337-F3AE-4ECC-B5EC-74FCEECE26CC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23" name="Line 122">
          <a:extLst>
            <a:ext uri="{FF2B5EF4-FFF2-40B4-BE49-F238E27FC236}">
              <a16:creationId xmlns:a16="http://schemas.microsoft.com/office/drawing/2014/main" id="{6B791B1C-B88C-488F-87AF-891A56A5EEC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24" name="Line 123">
          <a:extLst>
            <a:ext uri="{FF2B5EF4-FFF2-40B4-BE49-F238E27FC236}">
              <a16:creationId xmlns:a16="http://schemas.microsoft.com/office/drawing/2014/main" id="{DD0613A3-DA9E-46CA-861C-930677A7A9E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5" name="Line 124">
          <a:extLst>
            <a:ext uri="{FF2B5EF4-FFF2-40B4-BE49-F238E27FC236}">
              <a16:creationId xmlns:a16="http://schemas.microsoft.com/office/drawing/2014/main" id="{430F6282-218F-4970-86B8-DA8B546D162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6" name="Line 125">
          <a:extLst>
            <a:ext uri="{FF2B5EF4-FFF2-40B4-BE49-F238E27FC236}">
              <a16:creationId xmlns:a16="http://schemas.microsoft.com/office/drawing/2014/main" id="{EA131B69-979E-40C1-9AD7-1A499791AFE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7" name="Line 126">
          <a:extLst>
            <a:ext uri="{FF2B5EF4-FFF2-40B4-BE49-F238E27FC236}">
              <a16:creationId xmlns:a16="http://schemas.microsoft.com/office/drawing/2014/main" id="{F497DBA6-EE3A-4337-B30E-20B480146EE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28" name="Line 127">
          <a:extLst>
            <a:ext uri="{FF2B5EF4-FFF2-40B4-BE49-F238E27FC236}">
              <a16:creationId xmlns:a16="http://schemas.microsoft.com/office/drawing/2014/main" id="{B5318F01-7402-4283-B520-1916EC5EDE98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9" name="Line 128">
          <a:extLst>
            <a:ext uri="{FF2B5EF4-FFF2-40B4-BE49-F238E27FC236}">
              <a16:creationId xmlns:a16="http://schemas.microsoft.com/office/drawing/2014/main" id="{CEB62829-5F61-49FC-B394-04B9040CEC2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0" name="Line 129">
          <a:extLst>
            <a:ext uri="{FF2B5EF4-FFF2-40B4-BE49-F238E27FC236}">
              <a16:creationId xmlns:a16="http://schemas.microsoft.com/office/drawing/2014/main" id="{8731A2E1-714B-4C9C-99DD-4C28B3664901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31" name="Line 130">
          <a:extLst>
            <a:ext uri="{FF2B5EF4-FFF2-40B4-BE49-F238E27FC236}">
              <a16:creationId xmlns:a16="http://schemas.microsoft.com/office/drawing/2014/main" id="{04EE773A-A404-4870-9560-A306AA873EE6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32" name="Line 131">
          <a:extLst>
            <a:ext uri="{FF2B5EF4-FFF2-40B4-BE49-F238E27FC236}">
              <a16:creationId xmlns:a16="http://schemas.microsoft.com/office/drawing/2014/main" id="{F8A9B7D6-E9A3-40AF-910B-7F779A27225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33" name="Line 132">
          <a:extLst>
            <a:ext uri="{FF2B5EF4-FFF2-40B4-BE49-F238E27FC236}">
              <a16:creationId xmlns:a16="http://schemas.microsoft.com/office/drawing/2014/main" id="{1F9D6143-D8E0-4024-A6D1-62D421CAD93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4" name="Line 133">
          <a:extLst>
            <a:ext uri="{FF2B5EF4-FFF2-40B4-BE49-F238E27FC236}">
              <a16:creationId xmlns:a16="http://schemas.microsoft.com/office/drawing/2014/main" id="{46DA7B8D-AB0D-4CB2-BBC1-FE449020ECE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5" name="Line 134">
          <a:extLst>
            <a:ext uri="{FF2B5EF4-FFF2-40B4-BE49-F238E27FC236}">
              <a16:creationId xmlns:a16="http://schemas.microsoft.com/office/drawing/2014/main" id="{9848F100-8715-4FC8-8DC9-9EC7B4C8C58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6" name="Line 135">
          <a:extLst>
            <a:ext uri="{FF2B5EF4-FFF2-40B4-BE49-F238E27FC236}">
              <a16:creationId xmlns:a16="http://schemas.microsoft.com/office/drawing/2014/main" id="{438417FB-3537-4FC2-8FD8-A22E4A2FB8B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137" name="Line 136">
          <a:extLst>
            <a:ext uri="{FF2B5EF4-FFF2-40B4-BE49-F238E27FC236}">
              <a16:creationId xmlns:a16="http://schemas.microsoft.com/office/drawing/2014/main" id="{8C0FBEFE-F847-4403-9083-3862E6243CF8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8" name="Line 137">
          <a:extLst>
            <a:ext uri="{FF2B5EF4-FFF2-40B4-BE49-F238E27FC236}">
              <a16:creationId xmlns:a16="http://schemas.microsoft.com/office/drawing/2014/main" id="{B864F5AE-BB5D-4F8E-B407-7DFCC8EFDB3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9" name="Line 138">
          <a:extLst>
            <a:ext uri="{FF2B5EF4-FFF2-40B4-BE49-F238E27FC236}">
              <a16:creationId xmlns:a16="http://schemas.microsoft.com/office/drawing/2014/main" id="{9AA03826-8D29-4405-BB48-8856172686C9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0" name="Line 139">
          <a:extLst>
            <a:ext uri="{FF2B5EF4-FFF2-40B4-BE49-F238E27FC236}">
              <a16:creationId xmlns:a16="http://schemas.microsoft.com/office/drawing/2014/main" id="{46E83922-34ED-440E-9E99-7A7356C19949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41" name="Line 140">
          <a:extLst>
            <a:ext uri="{FF2B5EF4-FFF2-40B4-BE49-F238E27FC236}">
              <a16:creationId xmlns:a16="http://schemas.microsoft.com/office/drawing/2014/main" id="{CFDF3FB1-0AE6-463A-9B55-F65E20904E1C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2" name="Line 141">
          <a:extLst>
            <a:ext uri="{FF2B5EF4-FFF2-40B4-BE49-F238E27FC236}">
              <a16:creationId xmlns:a16="http://schemas.microsoft.com/office/drawing/2014/main" id="{C31133AD-D5EC-4D80-8B58-668C3F3FDCF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3" name="Line 142">
          <a:extLst>
            <a:ext uri="{FF2B5EF4-FFF2-40B4-BE49-F238E27FC236}">
              <a16:creationId xmlns:a16="http://schemas.microsoft.com/office/drawing/2014/main" id="{54C10000-92F0-4CA4-A021-6982327802B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4" name="Line 143">
          <a:extLst>
            <a:ext uri="{FF2B5EF4-FFF2-40B4-BE49-F238E27FC236}">
              <a16:creationId xmlns:a16="http://schemas.microsoft.com/office/drawing/2014/main" id="{D2175E36-E6FB-4F9B-932D-3777773212F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5" name="Line 144">
          <a:extLst>
            <a:ext uri="{FF2B5EF4-FFF2-40B4-BE49-F238E27FC236}">
              <a16:creationId xmlns:a16="http://schemas.microsoft.com/office/drawing/2014/main" id="{0527FA0D-CC62-48EC-A7D5-5AA897DD023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46" name="Line 145">
          <a:extLst>
            <a:ext uri="{FF2B5EF4-FFF2-40B4-BE49-F238E27FC236}">
              <a16:creationId xmlns:a16="http://schemas.microsoft.com/office/drawing/2014/main" id="{605EC117-0CB1-482F-812F-80B2C3ECFFAC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7" name="Line 146">
          <a:extLst>
            <a:ext uri="{FF2B5EF4-FFF2-40B4-BE49-F238E27FC236}">
              <a16:creationId xmlns:a16="http://schemas.microsoft.com/office/drawing/2014/main" id="{09E066C9-17F9-4A08-AD04-8730A560FE7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8" name="Line 147">
          <a:extLst>
            <a:ext uri="{FF2B5EF4-FFF2-40B4-BE49-F238E27FC236}">
              <a16:creationId xmlns:a16="http://schemas.microsoft.com/office/drawing/2014/main" id="{3A14B470-8B49-4FB5-8408-235B60D988A1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9" name="Line 148">
          <a:extLst>
            <a:ext uri="{FF2B5EF4-FFF2-40B4-BE49-F238E27FC236}">
              <a16:creationId xmlns:a16="http://schemas.microsoft.com/office/drawing/2014/main" id="{645D3336-6440-41DE-8F90-48755EAEAF16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0" name="Line 149">
          <a:extLst>
            <a:ext uri="{FF2B5EF4-FFF2-40B4-BE49-F238E27FC236}">
              <a16:creationId xmlns:a16="http://schemas.microsoft.com/office/drawing/2014/main" id="{9C69EF46-E863-4632-94DC-B70A11B8D3E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51" name="Line 150">
          <a:extLst>
            <a:ext uri="{FF2B5EF4-FFF2-40B4-BE49-F238E27FC236}">
              <a16:creationId xmlns:a16="http://schemas.microsoft.com/office/drawing/2014/main" id="{6D4BF008-37B7-40C0-8928-0C5332167F3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2" name="Line 151">
          <a:extLst>
            <a:ext uri="{FF2B5EF4-FFF2-40B4-BE49-F238E27FC236}">
              <a16:creationId xmlns:a16="http://schemas.microsoft.com/office/drawing/2014/main" id="{0BA5D710-C211-4C24-B58A-295C3785FA0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3" name="Line 152">
          <a:extLst>
            <a:ext uri="{FF2B5EF4-FFF2-40B4-BE49-F238E27FC236}">
              <a16:creationId xmlns:a16="http://schemas.microsoft.com/office/drawing/2014/main" id="{7E390E7A-7431-4005-AAC1-3C2BC2447BE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4" name="Line 153">
          <a:extLst>
            <a:ext uri="{FF2B5EF4-FFF2-40B4-BE49-F238E27FC236}">
              <a16:creationId xmlns:a16="http://schemas.microsoft.com/office/drawing/2014/main" id="{9D6ACA87-CE28-498D-87C3-11632836CC61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5" name="Line 154">
          <a:extLst>
            <a:ext uri="{FF2B5EF4-FFF2-40B4-BE49-F238E27FC236}">
              <a16:creationId xmlns:a16="http://schemas.microsoft.com/office/drawing/2014/main" id="{178835A4-36C5-49EA-AEC5-AB5BEF86D1BA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6" name="Line 155">
          <a:extLst>
            <a:ext uri="{FF2B5EF4-FFF2-40B4-BE49-F238E27FC236}">
              <a16:creationId xmlns:a16="http://schemas.microsoft.com/office/drawing/2014/main" id="{E58B76CE-A492-4490-A6FC-F487AF77CDC7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7" name="Line 156">
          <a:extLst>
            <a:ext uri="{FF2B5EF4-FFF2-40B4-BE49-F238E27FC236}">
              <a16:creationId xmlns:a16="http://schemas.microsoft.com/office/drawing/2014/main" id="{C98A831B-2FC3-4943-A561-365093DD2BC1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58" name="Line 157">
          <a:extLst>
            <a:ext uri="{FF2B5EF4-FFF2-40B4-BE49-F238E27FC236}">
              <a16:creationId xmlns:a16="http://schemas.microsoft.com/office/drawing/2014/main" id="{A2C2A7B7-2103-4F76-BE4E-E9022C804B2C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9" name="Line 158">
          <a:extLst>
            <a:ext uri="{FF2B5EF4-FFF2-40B4-BE49-F238E27FC236}">
              <a16:creationId xmlns:a16="http://schemas.microsoft.com/office/drawing/2014/main" id="{16B246DE-921F-47BD-8432-2032FAFF578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0" name="Line 159">
          <a:extLst>
            <a:ext uri="{FF2B5EF4-FFF2-40B4-BE49-F238E27FC236}">
              <a16:creationId xmlns:a16="http://schemas.microsoft.com/office/drawing/2014/main" id="{27CB8697-B7D5-464D-B4DD-1BBC0E9B3B9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1" name="Line 160">
          <a:extLst>
            <a:ext uri="{FF2B5EF4-FFF2-40B4-BE49-F238E27FC236}">
              <a16:creationId xmlns:a16="http://schemas.microsoft.com/office/drawing/2014/main" id="{1179628C-C65E-400C-A15B-CA8219C4DF2A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2" name="Line 161">
          <a:extLst>
            <a:ext uri="{FF2B5EF4-FFF2-40B4-BE49-F238E27FC236}">
              <a16:creationId xmlns:a16="http://schemas.microsoft.com/office/drawing/2014/main" id="{16CFC8B4-ACCE-44A1-915C-E709D0304AE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3" name="Line 162">
          <a:extLst>
            <a:ext uri="{FF2B5EF4-FFF2-40B4-BE49-F238E27FC236}">
              <a16:creationId xmlns:a16="http://schemas.microsoft.com/office/drawing/2014/main" id="{DA2F3C9C-D174-4129-AAD6-E3B9D4A1D60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4" name="Line 163">
          <a:extLst>
            <a:ext uri="{FF2B5EF4-FFF2-40B4-BE49-F238E27FC236}">
              <a16:creationId xmlns:a16="http://schemas.microsoft.com/office/drawing/2014/main" id="{FCE84E75-03E1-4594-A6B1-2ABA41E4E31F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5" name="Line 164">
          <a:extLst>
            <a:ext uri="{FF2B5EF4-FFF2-40B4-BE49-F238E27FC236}">
              <a16:creationId xmlns:a16="http://schemas.microsoft.com/office/drawing/2014/main" id="{E3B620F4-DCD9-4159-83A7-3F2254FDDA6D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6" name="Line 165">
          <a:extLst>
            <a:ext uri="{FF2B5EF4-FFF2-40B4-BE49-F238E27FC236}">
              <a16:creationId xmlns:a16="http://schemas.microsoft.com/office/drawing/2014/main" id="{6EC140E5-BABB-4E42-8C40-AD981D86E4D3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7" name="Line 166">
          <a:extLst>
            <a:ext uri="{FF2B5EF4-FFF2-40B4-BE49-F238E27FC236}">
              <a16:creationId xmlns:a16="http://schemas.microsoft.com/office/drawing/2014/main" id="{BEEA6BBD-3D5E-4FBA-8CFE-DE258456F47B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68" name="Line 167">
          <a:extLst>
            <a:ext uri="{FF2B5EF4-FFF2-40B4-BE49-F238E27FC236}">
              <a16:creationId xmlns:a16="http://schemas.microsoft.com/office/drawing/2014/main" id="{594A0579-39BE-4B0C-9E25-4D0D8A638C68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9" name="Line 168">
          <a:extLst>
            <a:ext uri="{FF2B5EF4-FFF2-40B4-BE49-F238E27FC236}">
              <a16:creationId xmlns:a16="http://schemas.microsoft.com/office/drawing/2014/main" id="{9BC1E2FB-99AF-4467-B24D-4857CCE6F659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0" name="Line 169">
          <a:extLst>
            <a:ext uri="{FF2B5EF4-FFF2-40B4-BE49-F238E27FC236}">
              <a16:creationId xmlns:a16="http://schemas.microsoft.com/office/drawing/2014/main" id="{472F0D47-EB72-4B5F-BB3D-EC07A20247D2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1" name="Line 170">
          <a:extLst>
            <a:ext uri="{FF2B5EF4-FFF2-40B4-BE49-F238E27FC236}">
              <a16:creationId xmlns:a16="http://schemas.microsoft.com/office/drawing/2014/main" id="{0FBFFBD1-DEDE-492E-8758-0246D4EB9FA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2" name="Line 171">
          <a:extLst>
            <a:ext uri="{FF2B5EF4-FFF2-40B4-BE49-F238E27FC236}">
              <a16:creationId xmlns:a16="http://schemas.microsoft.com/office/drawing/2014/main" id="{BC30D383-BA31-461A-80C0-0991539265A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73" name="Line 172">
          <a:extLst>
            <a:ext uri="{FF2B5EF4-FFF2-40B4-BE49-F238E27FC236}">
              <a16:creationId xmlns:a16="http://schemas.microsoft.com/office/drawing/2014/main" id="{6CD5C5F4-9F57-45A5-8746-5630BEC64813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4" name="Line 173">
          <a:extLst>
            <a:ext uri="{FF2B5EF4-FFF2-40B4-BE49-F238E27FC236}">
              <a16:creationId xmlns:a16="http://schemas.microsoft.com/office/drawing/2014/main" id="{6A57685A-FE24-478D-8471-7A198A0EC1A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5" name="Line 174">
          <a:extLst>
            <a:ext uri="{FF2B5EF4-FFF2-40B4-BE49-F238E27FC236}">
              <a16:creationId xmlns:a16="http://schemas.microsoft.com/office/drawing/2014/main" id="{076BE26C-1543-4558-A995-F36F6B421B6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76" name="Line 175">
          <a:extLst>
            <a:ext uri="{FF2B5EF4-FFF2-40B4-BE49-F238E27FC236}">
              <a16:creationId xmlns:a16="http://schemas.microsoft.com/office/drawing/2014/main" id="{C2C00E02-E38E-4091-8BA2-CD497CB5D2A7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77" name="Line 176">
          <a:extLst>
            <a:ext uri="{FF2B5EF4-FFF2-40B4-BE49-F238E27FC236}">
              <a16:creationId xmlns:a16="http://schemas.microsoft.com/office/drawing/2014/main" id="{5A476949-8911-45F4-B0E5-B319735E4BFF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78" name="Line 177">
          <a:extLst>
            <a:ext uri="{FF2B5EF4-FFF2-40B4-BE49-F238E27FC236}">
              <a16:creationId xmlns:a16="http://schemas.microsoft.com/office/drawing/2014/main" id="{D1DDD15C-5285-4543-83B8-55C32215F44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9" name="Line 178">
          <a:extLst>
            <a:ext uri="{FF2B5EF4-FFF2-40B4-BE49-F238E27FC236}">
              <a16:creationId xmlns:a16="http://schemas.microsoft.com/office/drawing/2014/main" id="{C93B099B-2DD1-42B0-B809-C7A32DDE92E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0" name="Line 179">
          <a:extLst>
            <a:ext uri="{FF2B5EF4-FFF2-40B4-BE49-F238E27FC236}">
              <a16:creationId xmlns:a16="http://schemas.microsoft.com/office/drawing/2014/main" id="{018AB135-CDB0-417B-A59D-0D40240A9D5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1" name="Line 180">
          <a:extLst>
            <a:ext uri="{FF2B5EF4-FFF2-40B4-BE49-F238E27FC236}">
              <a16:creationId xmlns:a16="http://schemas.microsoft.com/office/drawing/2014/main" id="{372D4D8F-ACB7-490E-B4D6-1F446A14665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182" name="Line 181">
          <a:extLst>
            <a:ext uri="{FF2B5EF4-FFF2-40B4-BE49-F238E27FC236}">
              <a16:creationId xmlns:a16="http://schemas.microsoft.com/office/drawing/2014/main" id="{6CCBFAC2-4027-47DF-BBEF-98704F745A31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3" name="Line 182">
          <a:extLst>
            <a:ext uri="{FF2B5EF4-FFF2-40B4-BE49-F238E27FC236}">
              <a16:creationId xmlns:a16="http://schemas.microsoft.com/office/drawing/2014/main" id="{68F87B64-7670-4FF5-9911-1126C380C29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4" name="Line 183">
          <a:extLst>
            <a:ext uri="{FF2B5EF4-FFF2-40B4-BE49-F238E27FC236}">
              <a16:creationId xmlns:a16="http://schemas.microsoft.com/office/drawing/2014/main" id="{08BE2B7C-3A5D-457F-A5FC-0770B1A8DEE1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85" name="Line 184">
          <a:extLst>
            <a:ext uri="{FF2B5EF4-FFF2-40B4-BE49-F238E27FC236}">
              <a16:creationId xmlns:a16="http://schemas.microsoft.com/office/drawing/2014/main" id="{75A9AD37-FA54-4F63-B60E-0A3C305CC6BA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86" name="Line 185">
          <a:extLst>
            <a:ext uri="{FF2B5EF4-FFF2-40B4-BE49-F238E27FC236}">
              <a16:creationId xmlns:a16="http://schemas.microsoft.com/office/drawing/2014/main" id="{E883BDFB-3B25-453A-9DE8-6B0753C92F97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87" name="Line 186">
          <a:extLst>
            <a:ext uri="{FF2B5EF4-FFF2-40B4-BE49-F238E27FC236}">
              <a16:creationId xmlns:a16="http://schemas.microsoft.com/office/drawing/2014/main" id="{01094164-1EEF-4C8B-BBF2-C412C2A3BC5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8" name="Line 187">
          <a:extLst>
            <a:ext uri="{FF2B5EF4-FFF2-40B4-BE49-F238E27FC236}">
              <a16:creationId xmlns:a16="http://schemas.microsoft.com/office/drawing/2014/main" id="{D9443BC4-2F7D-4469-8AF1-5EFDD08707E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9" name="Line 188">
          <a:extLst>
            <a:ext uri="{FF2B5EF4-FFF2-40B4-BE49-F238E27FC236}">
              <a16:creationId xmlns:a16="http://schemas.microsoft.com/office/drawing/2014/main" id="{00DCBFB3-1C8C-4549-8865-A16EF71C7B8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0" name="Line 189">
          <a:extLst>
            <a:ext uri="{FF2B5EF4-FFF2-40B4-BE49-F238E27FC236}">
              <a16:creationId xmlns:a16="http://schemas.microsoft.com/office/drawing/2014/main" id="{4DE11BD3-FECC-4824-8428-599B976387EA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91" name="Line 190">
          <a:extLst>
            <a:ext uri="{FF2B5EF4-FFF2-40B4-BE49-F238E27FC236}">
              <a16:creationId xmlns:a16="http://schemas.microsoft.com/office/drawing/2014/main" id="{94A6C27C-A2E6-423D-80E5-0810C9483A62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2" name="Line 191">
          <a:extLst>
            <a:ext uri="{FF2B5EF4-FFF2-40B4-BE49-F238E27FC236}">
              <a16:creationId xmlns:a16="http://schemas.microsoft.com/office/drawing/2014/main" id="{F3D5EF94-71DF-47E9-81D9-3F8ECE9200CF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3" name="Line 192">
          <a:extLst>
            <a:ext uri="{FF2B5EF4-FFF2-40B4-BE49-F238E27FC236}">
              <a16:creationId xmlns:a16="http://schemas.microsoft.com/office/drawing/2014/main" id="{F86402E3-5D85-42EE-A2FB-BBD753FE3C7A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94" name="Line 193">
          <a:extLst>
            <a:ext uri="{FF2B5EF4-FFF2-40B4-BE49-F238E27FC236}">
              <a16:creationId xmlns:a16="http://schemas.microsoft.com/office/drawing/2014/main" id="{5D3520D5-5FE8-408D-BED7-2B94F6D263B2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95" name="Line 194">
          <a:extLst>
            <a:ext uri="{FF2B5EF4-FFF2-40B4-BE49-F238E27FC236}">
              <a16:creationId xmlns:a16="http://schemas.microsoft.com/office/drawing/2014/main" id="{2DD52C22-59DA-4AEB-B72B-41CF65FC408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96" name="Line 195">
          <a:extLst>
            <a:ext uri="{FF2B5EF4-FFF2-40B4-BE49-F238E27FC236}">
              <a16:creationId xmlns:a16="http://schemas.microsoft.com/office/drawing/2014/main" id="{027E3DD9-360E-4EF0-ACCE-CB2B887EA15E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7" name="Line 196">
          <a:extLst>
            <a:ext uri="{FF2B5EF4-FFF2-40B4-BE49-F238E27FC236}">
              <a16:creationId xmlns:a16="http://schemas.microsoft.com/office/drawing/2014/main" id="{058E8257-9E72-4723-B97E-73230489F8C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8" name="Line 197">
          <a:extLst>
            <a:ext uri="{FF2B5EF4-FFF2-40B4-BE49-F238E27FC236}">
              <a16:creationId xmlns:a16="http://schemas.microsoft.com/office/drawing/2014/main" id="{2E27F30E-D043-476E-95EC-3AF4F963DB1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9" name="Line 198">
          <a:extLst>
            <a:ext uri="{FF2B5EF4-FFF2-40B4-BE49-F238E27FC236}">
              <a16:creationId xmlns:a16="http://schemas.microsoft.com/office/drawing/2014/main" id="{75513B28-EEBC-4BD3-BD9E-37307B7BBFA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95250</xdr:colOff>
      <xdr:row>0</xdr:row>
      <xdr:rowOff>19050</xdr:rowOff>
    </xdr:from>
    <xdr:to>
      <xdr:col>25</xdr:col>
      <xdr:colOff>190500</xdr:colOff>
      <xdr:row>0</xdr:row>
      <xdr:rowOff>323850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DFBCB528-4228-4AE5-86E4-4E1D0F670C38}"/>
            </a:ext>
          </a:extLst>
        </xdr:cNvPr>
        <xdr:cNvSpPr>
          <a:spLocks noChangeArrowheads="1"/>
        </xdr:cNvSpPr>
      </xdr:nvSpPr>
      <xdr:spPr bwMode="auto">
        <a:xfrm>
          <a:off x="3343275" y="19050"/>
          <a:ext cx="2657475" cy="304800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083996EA-69FB-4AC4-B5FF-720B5FFBC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</xdr:row>
      <xdr:rowOff>47625</xdr:rowOff>
    </xdr:from>
    <xdr:to>
      <xdr:col>1</xdr:col>
      <xdr:colOff>5467350</xdr:colOff>
      <xdr:row>15</xdr:row>
      <xdr:rowOff>190500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id="{DACE5934-6CED-4F04-9EE4-630A00B722C1}"/>
            </a:ext>
          </a:extLst>
        </xdr:cNvPr>
        <xdr:cNvSpPr>
          <a:spLocks noChangeArrowheads="1"/>
        </xdr:cNvSpPr>
      </xdr:nvSpPr>
      <xdr:spPr bwMode="auto">
        <a:xfrm>
          <a:off x="942975" y="125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5</xdr:row>
      <xdr:rowOff>133350</xdr:rowOff>
    </xdr:from>
    <xdr:to>
      <xdr:col>1</xdr:col>
      <xdr:colOff>2781300</xdr:colOff>
      <xdr:row>15</xdr:row>
      <xdr:rowOff>133350</xdr:rowOff>
    </xdr:to>
    <xdr:pic>
      <xdr:nvPicPr>
        <xdr:cNvPr id="1032" name="Picture 8" descr="행높이팝업">
          <a:extLst>
            <a:ext uri="{FF2B5EF4-FFF2-40B4-BE49-F238E27FC236}">
              <a16:creationId xmlns:a16="http://schemas.microsoft.com/office/drawing/2014/main" id="{D016DC26-63F6-4B76-A9E1-D4E919A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4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8</xdr:row>
      <xdr:rowOff>104775</xdr:rowOff>
    </xdr:from>
    <xdr:to>
      <xdr:col>1</xdr:col>
      <xdr:colOff>4953000</xdr:colOff>
      <xdr:row>12</xdr:row>
      <xdr:rowOff>66675</xdr:rowOff>
    </xdr:to>
    <xdr:pic>
      <xdr:nvPicPr>
        <xdr:cNvPr id="1033" name="Picture 9" descr="행높이">
          <a:extLst>
            <a:ext uri="{FF2B5EF4-FFF2-40B4-BE49-F238E27FC236}">
              <a16:creationId xmlns:a16="http://schemas.microsoft.com/office/drawing/2014/main" id="{1F8F05D7-9986-4301-BD31-1E84301AE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202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19"/>
  <sheetViews>
    <sheetView zoomScaleNormal="100" zoomScaleSheetLayoutView="85" workbookViewId="0">
      <selection activeCell="J20" sqref="J20"/>
    </sheetView>
  </sheetViews>
  <sheetFormatPr defaultRowHeight="13.5" x14ac:dyDescent="0.1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 x14ac:dyDescent="0.15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 x14ac:dyDescent="0.15">
      <c r="B3" s="128" t="s">
        <v>755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 x14ac:dyDescent="0.15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 x14ac:dyDescent="0.15">
      <c r="B5" s="132"/>
      <c r="C5" s="129"/>
      <c r="D5" s="129"/>
      <c r="E5" s="268" t="s">
        <v>756</v>
      </c>
      <c r="F5" s="268"/>
      <c r="G5" s="268"/>
      <c r="H5" s="268"/>
      <c r="I5" s="268"/>
      <c r="J5" s="268"/>
      <c r="K5" s="129"/>
      <c r="L5" s="129"/>
      <c r="M5" s="129"/>
    </row>
    <row r="6" spans="2:13" s="130" customFormat="1" ht="24" customHeight="1" x14ac:dyDescent="0.15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 x14ac:dyDescent="0.15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 x14ac:dyDescent="0.15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 x14ac:dyDescent="0.15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 x14ac:dyDescent="0.15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 x14ac:dyDescent="0.15">
      <c r="B11" s="133" t="s">
        <v>757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 x14ac:dyDescent="0.15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 x14ac:dyDescent="0.15">
      <c r="B13" s="131"/>
      <c r="C13" s="131"/>
      <c r="D13" s="131"/>
      <c r="E13" s="131"/>
      <c r="F13" s="131"/>
      <c r="G13" s="131"/>
      <c r="H13" s="131" t="s">
        <v>758</v>
      </c>
      <c r="I13" s="131"/>
      <c r="J13" s="131"/>
      <c r="K13" s="131"/>
      <c r="L13" s="131"/>
      <c r="M13" s="131"/>
    </row>
    <row r="14" spans="2:13" s="130" customFormat="1" ht="24" customHeight="1" x14ac:dyDescent="0.15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 x14ac:dyDescent="0.15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 x14ac:dyDescent="0.15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 x14ac:dyDescent="0.15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 x14ac:dyDescent="0.15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 x14ac:dyDescent="0.15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1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F30"/>
  <sheetViews>
    <sheetView view="pageBreakPreview" zoomScaleNormal="100" zoomScaleSheetLayoutView="100" workbookViewId="0">
      <selection activeCell="W22" sqref="W22"/>
    </sheetView>
  </sheetViews>
  <sheetFormatPr defaultRowHeight="13.5" x14ac:dyDescent="0.15"/>
  <cols>
    <col min="1" max="1" width="2.77734375" style="137" customWidth="1"/>
    <col min="2" max="10" width="3.77734375" style="137" customWidth="1"/>
    <col min="11" max="11" width="4.33203125" style="137" customWidth="1"/>
    <col min="12" max="30" width="3.77734375" style="137" customWidth="1"/>
    <col min="31" max="31" width="8.88671875" style="137"/>
    <col min="32" max="32" width="11.44140625" style="137" bestFit="1" customWidth="1"/>
    <col min="33" max="256" width="8.88671875" style="137"/>
    <col min="257" max="257" width="2.77734375" style="137" customWidth="1"/>
    <col min="258" max="266" width="3.77734375" style="137" customWidth="1"/>
    <col min="267" max="267" width="4.33203125" style="137" customWidth="1"/>
    <col min="268" max="286" width="3.77734375" style="137" customWidth="1"/>
    <col min="287" max="287" width="8.88671875" style="137"/>
    <col min="288" max="288" width="11.44140625" style="137" bestFit="1" customWidth="1"/>
    <col min="289" max="512" width="8.88671875" style="137"/>
    <col min="513" max="513" width="2.77734375" style="137" customWidth="1"/>
    <col min="514" max="522" width="3.77734375" style="137" customWidth="1"/>
    <col min="523" max="523" width="4.33203125" style="137" customWidth="1"/>
    <col min="524" max="542" width="3.77734375" style="137" customWidth="1"/>
    <col min="543" max="543" width="8.88671875" style="137"/>
    <col min="544" max="544" width="11.44140625" style="137" bestFit="1" customWidth="1"/>
    <col min="545" max="768" width="8.88671875" style="137"/>
    <col min="769" max="769" width="2.77734375" style="137" customWidth="1"/>
    <col min="770" max="778" width="3.77734375" style="137" customWidth="1"/>
    <col min="779" max="779" width="4.33203125" style="137" customWidth="1"/>
    <col min="780" max="798" width="3.77734375" style="137" customWidth="1"/>
    <col min="799" max="799" width="8.88671875" style="137"/>
    <col min="800" max="800" width="11.44140625" style="137" bestFit="1" customWidth="1"/>
    <col min="801" max="1024" width="8.88671875" style="137"/>
    <col min="1025" max="1025" width="2.77734375" style="137" customWidth="1"/>
    <col min="1026" max="1034" width="3.77734375" style="137" customWidth="1"/>
    <col min="1035" max="1035" width="4.33203125" style="137" customWidth="1"/>
    <col min="1036" max="1054" width="3.77734375" style="137" customWidth="1"/>
    <col min="1055" max="1055" width="8.88671875" style="137"/>
    <col min="1056" max="1056" width="11.44140625" style="137" bestFit="1" customWidth="1"/>
    <col min="1057" max="1280" width="8.88671875" style="137"/>
    <col min="1281" max="1281" width="2.77734375" style="137" customWidth="1"/>
    <col min="1282" max="1290" width="3.77734375" style="137" customWidth="1"/>
    <col min="1291" max="1291" width="4.33203125" style="137" customWidth="1"/>
    <col min="1292" max="1310" width="3.77734375" style="137" customWidth="1"/>
    <col min="1311" max="1311" width="8.88671875" style="137"/>
    <col min="1312" max="1312" width="11.44140625" style="137" bestFit="1" customWidth="1"/>
    <col min="1313" max="1536" width="8.88671875" style="137"/>
    <col min="1537" max="1537" width="2.77734375" style="137" customWidth="1"/>
    <col min="1538" max="1546" width="3.77734375" style="137" customWidth="1"/>
    <col min="1547" max="1547" width="4.33203125" style="137" customWidth="1"/>
    <col min="1548" max="1566" width="3.77734375" style="137" customWidth="1"/>
    <col min="1567" max="1567" width="8.88671875" style="137"/>
    <col min="1568" max="1568" width="11.44140625" style="137" bestFit="1" customWidth="1"/>
    <col min="1569" max="1792" width="8.88671875" style="137"/>
    <col min="1793" max="1793" width="2.77734375" style="137" customWidth="1"/>
    <col min="1794" max="1802" width="3.77734375" style="137" customWidth="1"/>
    <col min="1803" max="1803" width="4.33203125" style="137" customWidth="1"/>
    <col min="1804" max="1822" width="3.77734375" style="137" customWidth="1"/>
    <col min="1823" max="1823" width="8.88671875" style="137"/>
    <col min="1824" max="1824" width="11.44140625" style="137" bestFit="1" customWidth="1"/>
    <col min="1825" max="2048" width="8.88671875" style="137"/>
    <col min="2049" max="2049" width="2.77734375" style="137" customWidth="1"/>
    <col min="2050" max="2058" width="3.77734375" style="137" customWidth="1"/>
    <col min="2059" max="2059" width="4.33203125" style="137" customWidth="1"/>
    <col min="2060" max="2078" width="3.77734375" style="137" customWidth="1"/>
    <col min="2079" max="2079" width="8.88671875" style="137"/>
    <col min="2080" max="2080" width="11.44140625" style="137" bestFit="1" customWidth="1"/>
    <col min="2081" max="2304" width="8.88671875" style="137"/>
    <col min="2305" max="2305" width="2.77734375" style="137" customWidth="1"/>
    <col min="2306" max="2314" width="3.77734375" style="137" customWidth="1"/>
    <col min="2315" max="2315" width="4.33203125" style="137" customWidth="1"/>
    <col min="2316" max="2334" width="3.77734375" style="137" customWidth="1"/>
    <col min="2335" max="2335" width="8.88671875" style="137"/>
    <col min="2336" max="2336" width="11.44140625" style="137" bestFit="1" customWidth="1"/>
    <col min="2337" max="2560" width="8.88671875" style="137"/>
    <col min="2561" max="2561" width="2.77734375" style="137" customWidth="1"/>
    <col min="2562" max="2570" width="3.77734375" style="137" customWidth="1"/>
    <col min="2571" max="2571" width="4.33203125" style="137" customWidth="1"/>
    <col min="2572" max="2590" width="3.77734375" style="137" customWidth="1"/>
    <col min="2591" max="2591" width="8.88671875" style="137"/>
    <col min="2592" max="2592" width="11.44140625" style="137" bestFit="1" customWidth="1"/>
    <col min="2593" max="2816" width="8.88671875" style="137"/>
    <col min="2817" max="2817" width="2.77734375" style="137" customWidth="1"/>
    <col min="2818" max="2826" width="3.77734375" style="137" customWidth="1"/>
    <col min="2827" max="2827" width="4.33203125" style="137" customWidth="1"/>
    <col min="2828" max="2846" width="3.77734375" style="137" customWidth="1"/>
    <col min="2847" max="2847" width="8.88671875" style="137"/>
    <col min="2848" max="2848" width="11.44140625" style="137" bestFit="1" customWidth="1"/>
    <col min="2849" max="3072" width="8.88671875" style="137"/>
    <col min="3073" max="3073" width="2.77734375" style="137" customWidth="1"/>
    <col min="3074" max="3082" width="3.77734375" style="137" customWidth="1"/>
    <col min="3083" max="3083" width="4.33203125" style="137" customWidth="1"/>
    <col min="3084" max="3102" width="3.77734375" style="137" customWidth="1"/>
    <col min="3103" max="3103" width="8.88671875" style="137"/>
    <col min="3104" max="3104" width="11.44140625" style="137" bestFit="1" customWidth="1"/>
    <col min="3105" max="3328" width="8.88671875" style="137"/>
    <col min="3329" max="3329" width="2.77734375" style="137" customWidth="1"/>
    <col min="3330" max="3338" width="3.77734375" style="137" customWidth="1"/>
    <col min="3339" max="3339" width="4.33203125" style="137" customWidth="1"/>
    <col min="3340" max="3358" width="3.77734375" style="137" customWidth="1"/>
    <col min="3359" max="3359" width="8.88671875" style="137"/>
    <col min="3360" max="3360" width="11.44140625" style="137" bestFit="1" customWidth="1"/>
    <col min="3361" max="3584" width="8.88671875" style="137"/>
    <col min="3585" max="3585" width="2.77734375" style="137" customWidth="1"/>
    <col min="3586" max="3594" width="3.77734375" style="137" customWidth="1"/>
    <col min="3595" max="3595" width="4.33203125" style="137" customWidth="1"/>
    <col min="3596" max="3614" width="3.77734375" style="137" customWidth="1"/>
    <col min="3615" max="3615" width="8.88671875" style="137"/>
    <col min="3616" max="3616" width="11.44140625" style="137" bestFit="1" customWidth="1"/>
    <col min="3617" max="3840" width="8.88671875" style="137"/>
    <col min="3841" max="3841" width="2.77734375" style="137" customWidth="1"/>
    <col min="3842" max="3850" width="3.77734375" style="137" customWidth="1"/>
    <col min="3851" max="3851" width="4.33203125" style="137" customWidth="1"/>
    <col min="3852" max="3870" width="3.77734375" style="137" customWidth="1"/>
    <col min="3871" max="3871" width="8.88671875" style="137"/>
    <col min="3872" max="3872" width="11.44140625" style="137" bestFit="1" customWidth="1"/>
    <col min="3873" max="4096" width="8.88671875" style="137"/>
    <col min="4097" max="4097" width="2.77734375" style="137" customWidth="1"/>
    <col min="4098" max="4106" width="3.77734375" style="137" customWidth="1"/>
    <col min="4107" max="4107" width="4.33203125" style="137" customWidth="1"/>
    <col min="4108" max="4126" width="3.77734375" style="137" customWidth="1"/>
    <col min="4127" max="4127" width="8.88671875" style="137"/>
    <col min="4128" max="4128" width="11.44140625" style="137" bestFit="1" customWidth="1"/>
    <col min="4129" max="4352" width="8.88671875" style="137"/>
    <col min="4353" max="4353" width="2.77734375" style="137" customWidth="1"/>
    <col min="4354" max="4362" width="3.77734375" style="137" customWidth="1"/>
    <col min="4363" max="4363" width="4.33203125" style="137" customWidth="1"/>
    <col min="4364" max="4382" width="3.77734375" style="137" customWidth="1"/>
    <col min="4383" max="4383" width="8.88671875" style="137"/>
    <col min="4384" max="4384" width="11.44140625" style="137" bestFit="1" customWidth="1"/>
    <col min="4385" max="4608" width="8.88671875" style="137"/>
    <col min="4609" max="4609" width="2.77734375" style="137" customWidth="1"/>
    <col min="4610" max="4618" width="3.77734375" style="137" customWidth="1"/>
    <col min="4619" max="4619" width="4.33203125" style="137" customWidth="1"/>
    <col min="4620" max="4638" width="3.77734375" style="137" customWidth="1"/>
    <col min="4639" max="4639" width="8.88671875" style="137"/>
    <col min="4640" max="4640" width="11.44140625" style="137" bestFit="1" customWidth="1"/>
    <col min="4641" max="4864" width="8.88671875" style="137"/>
    <col min="4865" max="4865" width="2.77734375" style="137" customWidth="1"/>
    <col min="4866" max="4874" width="3.77734375" style="137" customWidth="1"/>
    <col min="4875" max="4875" width="4.33203125" style="137" customWidth="1"/>
    <col min="4876" max="4894" width="3.77734375" style="137" customWidth="1"/>
    <col min="4895" max="4895" width="8.88671875" style="137"/>
    <col min="4896" max="4896" width="11.44140625" style="137" bestFit="1" customWidth="1"/>
    <col min="4897" max="5120" width="8.88671875" style="137"/>
    <col min="5121" max="5121" width="2.77734375" style="137" customWidth="1"/>
    <col min="5122" max="5130" width="3.77734375" style="137" customWidth="1"/>
    <col min="5131" max="5131" width="4.33203125" style="137" customWidth="1"/>
    <col min="5132" max="5150" width="3.77734375" style="137" customWidth="1"/>
    <col min="5151" max="5151" width="8.88671875" style="137"/>
    <col min="5152" max="5152" width="11.44140625" style="137" bestFit="1" customWidth="1"/>
    <col min="5153" max="5376" width="8.88671875" style="137"/>
    <col min="5377" max="5377" width="2.77734375" style="137" customWidth="1"/>
    <col min="5378" max="5386" width="3.77734375" style="137" customWidth="1"/>
    <col min="5387" max="5387" width="4.33203125" style="137" customWidth="1"/>
    <col min="5388" max="5406" width="3.77734375" style="137" customWidth="1"/>
    <col min="5407" max="5407" width="8.88671875" style="137"/>
    <col min="5408" max="5408" width="11.44140625" style="137" bestFit="1" customWidth="1"/>
    <col min="5409" max="5632" width="8.88671875" style="137"/>
    <col min="5633" max="5633" width="2.77734375" style="137" customWidth="1"/>
    <col min="5634" max="5642" width="3.77734375" style="137" customWidth="1"/>
    <col min="5643" max="5643" width="4.33203125" style="137" customWidth="1"/>
    <col min="5644" max="5662" width="3.77734375" style="137" customWidth="1"/>
    <col min="5663" max="5663" width="8.88671875" style="137"/>
    <col min="5664" max="5664" width="11.44140625" style="137" bestFit="1" customWidth="1"/>
    <col min="5665" max="5888" width="8.88671875" style="137"/>
    <col min="5889" max="5889" width="2.77734375" style="137" customWidth="1"/>
    <col min="5890" max="5898" width="3.77734375" style="137" customWidth="1"/>
    <col min="5899" max="5899" width="4.33203125" style="137" customWidth="1"/>
    <col min="5900" max="5918" width="3.77734375" style="137" customWidth="1"/>
    <col min="5919" max="5919" width="8.88671875" style="137"/>
    <col min="5920" max="5920" width="11.44140625" style="137" bestFit="1" customWidth="1"/>
    <col min="5921" max="6144" width="8.88671875" style="137"/>
    <col min="6145" max="6145" width="2.77734375" style="137" customWidth="1"/>
    <col min="6146" max="6154" width="3.77734375" style="137" customWidth="1"/>
    <col min="6155" max="6155" width="4.33203125" style="137" customWidth="1"/>
    <col min="6156" max="6174" width="3.77734375" style="137" customWidth="1"/>
    <col min="6175" max="6175" width="8.88671875" style="137"/>
    <col min="6176" max="6176" width="11.44140625" style="137" bestFit="1" customWidth="1"/>
    <col min="6177" max="6400" width="8.88671875" style="137"/>
    <col min="6401" max="6401" width="2.77734375" style="137" customWidth="1"/>
    <col min="6402" max="6410" width="3.77734375" style="137" customWidth="1"/>
    <col min="6411" max="6411" width="4.33203125" style="137" customWidth="1"/>
    <col min="6412" max="6430" width="3.77734375" style="137" customWidth="1"/>
    <col min="6431" max="6431" width="8.88671875" style="137"/>
    <col min="6432" max="6432" width="11.44140625" style="137" bestFit="1" customWidth="1"/>
    <col min="6433" max="6656" width="8.88671875" style="137"/>
    <col min="6657" max="6657" width="2.77734375" style="137" customWidth="1"/>
    <col min="6658" max="6666" width="3.77734375" style="137" customWidth="1"/>
    <col min="6667" max="6667" width="4.33203125" style="137" customWidth="1"/>
    <col min="6668" max="6686" width="3.77734375" style="137" customWidth="1"/>
    <col min="6687" max="6687" width="8.88671875" style="137"/>
    <col min="6688" max="6688" width="11.44140625" style="137" bestFit="1" customWidth="1"/>
    <col min="6689" max="6912" width="8.88671875" style="137"/>
    <col min="6913" max="6913" width="2.77734375" style="137" customWidth="1"/>
    <col min="6914" max="6922" width="3.77734375" style="137" customWidth="1"/>
    <col min="6923" max="6923" width="4.33203125" style="137" customWidth="1"/>
    <col min="6924" max="6942" width="3.77734375" style="137" customWidth="1"/>
    <col min="6943" max="6943" width="8.88671875" style="137"/>
    <col min="6944" max="6944" width="11.44140625" style="137" bestFit="1" customWidth="1"/>
    <col min="6945" max="7168" width="8.88671875" style="137"/>
    <col min="7169" max="7169" width="2.77734375" style="137" customWidth="1"/>
    <col min="7170" max="7178" width="3.77734375" style="137" customWidth="1"/>
    <col min="7179" max="7179" width="4.33203125" style="137" customWidth="1"/>
    <col min="7180" max="7198" width="3.77734375" style="137" customWidth="1"/>
    <col min="7199" max="7199" width="8.88671875" style="137"/>
    <col min="7200" max="7200" width="11.44140625" style="137" bestFit="1" customWidth="1"/>
    <col min="7201" max="7424" width="8.88671875" style="137"/>
    <col min="7425" max="7425" width="2.77734375" style="137" customWidth="1"/>
    <col min="7426" max="7434" width="3.77734375" style="137" customWidth="1"/>
    <col min="7435" max="7435" width="4.33203125" style="137" customWidth="1"/>
    <col min="7436" max="7454" width="3.77734375" style="137" customWidth="1"/>
    <col min="7455" max="7455" width="8.88671875" style="137"/>
    <col min="7456" max="7456" width="11.44140625" style="137" bestFit="1" customWidth="1"/>
    <col min="7457" max="7680" width="8.88671875" style="137"/>
    <col min="7681" max="7681" width="2.77734375" style="137" customWidth="1"/>
    <col min="7682" max="7690" width="3.77734375" style="137" customWidth="1"/>
    <col min="7691" max="7691" width="4.33203125" style="137" customWidth="1"/>
    <col min="7692" max="7710" width="3.77734375" style="137" customWidth="1"/>
    <col min="7711" max="7711" width="8.88671875" style="137"/>
    <col min="7712" max="7712" width="11.44140625" style="137" bestFit="1" customWidth="1"/>
    <col min="7713" max="7936" width="8.88671875" style="137"/>
    <col min="7937" max="7937" width="2.77734375" style="137" customWidth="1"/>
    <col min="7938" max="7946" width="3.77734375" style="137" customWidth="1"/>
    <col min="7947" max="7947" width="4.33203125" style="137" customWidth="1"/>
    <col min="7948" max="7966" width="3.77734375" style="137" customWidth="1"/>
    <col min="7967" max="7967" width="8.88671875" style="137"/>
    <col min="7968" max="7968" width="11.44140625" style="137" bestFit="1" customWidth="1"/>
    <col min="7969" max="8192" width="8.88671875" style="137"/>
    <col min="8193" max="8193" width="2.77734375" style="137" customWidth="1"/>
    <col min="8194" max="8202" width="3.77734375" style="137" customWidth="1"/>
    <col min="8203" max="8203" width="4.33203125" style="137" customWidth="1"/>
    <col min="8204" max="8222" width="3.77734375" style="137" customWidth="1"/>
    <col min="8223" max="8223" width="8.88671875" style="137"/>
    <col min="8224" max="8224" width="11.44140625" style="137" bestFit="1" customWidth="1"/>
    <col min="8225" max="8448" width="8.88671875" style="137"/>
    <col min="8449" max="8449" width="2.77734375" style="137" customWidth="1"/>
    <col min="8450" max="8458" width="3.77734375" style="137" customWidth="1"/>
    <col min="8459" max="8459" width="4.33203125" style="137" customWidth="1"/>
    <col min="8460" max="8478" width="3.77734375" style="137" customWidth="1"/>
    <col min="8479" max="8479" width="8.88671875" style="137"/>
    <col min="8480" max="8480" width="11.44140625" style="137" bestFit="1" customWidth="1"/>
    <col min="8481" max="8704" width="8.88671875" style="137"/>
    <col min="8705" max="8705" width="2.77734375" style="137" customWidth="1"/>
    <col min="8706" max="8714" width="3.77734375" style="137" customWidth="1"/>
    <col min="8715" max="8715" width="4.33203125" style="137" customWidth="1"/>
    <col min="8716" max="8734" width="3.77734375" style="137" customWidth="1"/>
    <col min="8735" max="8735" width="8.88671875" style="137"/>
    <col min="8736" max="8736" width="11.44140625" style="137" bestFit="1" customWidth="1"/>
    <col min="8737" max="8960" width="8.88671875" style="137"/>
    <col min="8961" max="8961" width="2.77734375" style="137" customWidth="1"/>
    <col min="8962" max="8970" width="3.77734375" style="137" customWidth="1"/>
    <col min="8971" max="8971" width="4.33203125" style="137" customWidth="1"/>
    <col min="8972" max="8990" width="3.77734375" style="137" customWidth="1"/>
    <col min="8991" max="8991" width="8.88671875" style="137"/>
    <col min="8992" max="8992" width="11.44140625" style="137" bestFit="1" customWidth="1"/>
    <col min="8993" max="9216" width="8.88671875" style="137"/>
    <col min="9217" max="9217" width="2.77734375" style="137" customWidth="1"/>
    <col min="9218" max="9226" width="3.77734375" style="137" customWidth="1"/>
    <col min="9227" max="9227" width="4.33203125" style="137" customWidth="1"/>
    <col min="9228" max="9246" width="3.77734375" style="137" customWidth="1"/>
    <col min="9247" max="9247" width="8.88671875" style="137"/>
    <col min="9248" max="9248" width="11.44140625" style="137" bestFit="1" customWidth="1"/>
    <col min="9249" max="9472" width="8.88671875" style="137"/>
    <col min="9473" max="9473" width="2.77734375" style="137" customWidth="1"/>
    <col min="9474" max="9482" width="3.77734375" style="137" customWidth="1"/>
    <col min="9483" max="9483" width="4.33203125" style="137" customWidth="1"/>
    <col min="9484" max="9502" width="3.77734375" style="137" customWidth="1"/>
    <col min="9503" max="9503" width="8.88671875" style="137"/>
    <col min="9504" max="9504" width="11.44140625" style="137" bestFit="1" customWidth="1"/>
    <col min="9505" max="9728" width="8.88671875" style="137"/>
    <col min="9729" max="9729" width="2.77734375" style="137" customWidth="1"/>
    <col min="9730" max="9738" width="3.77734375" style="137" customWidth="1"/>
    <col min="9739" max="9739" width="4.33203125" style="137" customWidth="1"/>
    <col min="9740" max="9758" width="3.77734375" style="137" customWidth="1"/>
    <col min="9759" max="9759" width="8.88671875" style="137"/>
    <col min="9760" max="9760" width="11.44140625" style="137" bestFit="1" customWidth="1"/>
    <col min="9761" max="9984" width="8.88671875" style="137"/>
    <col min="9985" max="9985" width="2.77734375" style="137" customWidth="1"/>
    <col min="9986" max="9994" width="3.77734375" style="137" customWidth="1"/>
    <col min="9995" max="9995" width="4.33203125" style="137" customWidth="1"/>
    <col min="9996" max="10014" width="3.77734375" style="137" customWidth="1"/>
    <col min="10015" max="10015" width="8.88671875" style="137"/>
    <col min="10016" max="10016" width="11.44140625" style="137" bestFit="1" customWidth="1"/>
    <col min="10017" max="10240" width="8.88671875" style="137"/>
    <col min="10241" max="10241" width="2.77734375" style="137" customWidth="1"/>
    <col min="10242" max="10250" width="3.77734375" style="137" customWidth="1"/>
    <col min="10251" max="10251" width="4.33203125" style="137" customWidth="1"/>
    <col min="10252" max="10270" width="3.77734375" style="137" customWidth="1"/>
    <col min="10271" max="10271" width="8.88671875" style="137"/>
    <col min="10272" max="10272" width="11.44140625" style="137" bestFit="1" customWidth="1"/>
    <col min="10273" max="10496" width="8.88671875" style="137"/>
    <col min="10497" max="10497" width="2.77734375" style="137" customWidth="1"/>
    <col min="10498" max="10506" width="3.77734375" style="137" customWidth="1"/>
    <col min="10507" max="10507" width="4.33203125" style="137" customWidth="1"/>
    <col min="10508" max="10526" width="3.77734375" style="137" customWidth="1"/>
    <col min="10527" max="10527" width="8.88671875" style="137"/>
    <col min="10528" max="10528" width="11.44140625" style="137" bestFit="1" customWidth="1"/>
    <col min="10529" max="10752" width="8.88671875" style="137"/>
    <col min="10753" max="10753" width="2.77734375" style="137" customWidth="1"/>
    <col min="10754" max="10762" width="3.77734375" style="137" customWidth="1"/>
    <col min="10763" max="10763" width="4.33203125" style="137" customWidth="1"/>
    <col min="10764" max="10782" width="3.77734375" style="137" customWidth="1"/>
    <col min="10783" max="10783" width="8.88671875" style="137"/>
    <col min="10784" max="10784" width="11.44140625" style="137" bestFit="1" customWidth="1"/>
    <col min="10785" max="11008" width="8.88671875" style="137"/>
    <col min="11009" max="11009" width="2.77734375" style="137" customWidth="1"/>
    <col min="11010" max="11018" width="3.77734375" style="137" customWidth="1"/>
    <col min="11019" max="11019" width="4.33203125" style="137" customWidth="1"/>
    <col min="11020" max="11038" width="3.77734375" style="137" customWidth="1"/>
    <col min="11039" max="11039" width="8.88671875" style="137"/>
    <col min="11040" max="11040" width="11.44140625" style="137" bestFit="1" customWidth="1"/>
    <col min="11041" max="11264" width="8.88671875" style="137"/>
    <col min="11265" max="11265" width="2.77734375" style="137" customWidth="1"/>
    <col min="11266" max="11274" width="3.77734375" style="137" customWidth="1"/>
    <col min="11275" max="11275" width="4.33203125" style="137" customWidth="1"/>
    <col min="11276" max="11294" width="3.77734375" style="137" customWidth="1"/>
    <col min="11295" max="11295" width="8.88671875" style="137"/>
    <col min="11296" max="11296" width="11.44140625" style="137" bestFit="1" customWidth="1"/>
    <col min="11297" max="11520" width="8.88671875" style="137"/>
    <col min="11521" max="11521" width="2.77734375" style="137" customWidth="1"/>
    <col min="11522" max="11530" width="3.77734375" style="137" customWidth="1"/>
    <col min="11531" max="11531" width="4.33203125" style="137" customWidth="1"/>
    <col min="11532" max="11550" width="3.77734375" style="137" customWidth="1"/>
    <col min="11551" max="11551" width="8.88671875" style="137"/>
    <col min="11552" max="11552" width="11.44140625" style="137" bestFit="1" customWidth="1"/>
    <col min="11553" max="11776" width="8.88671875" style="137"/>
    <col min="11777" max="11777" width="2.77734375" style="137" customWidth="1"/>
    <col min="11778" max="11786" width="3.77734375" style="137" customWidth="1"/>
    <col min="11787" max="11787" width="4.33203125" style="137" customWidth="1"/>
    <col min="11788" max="11806" width="3.77734375" style="137" customWidth="1"/>
    <col min="11807" max="11807" width="8.88671875" style="137"/>
    <col min="11808" max="11808" width="11.44140625" style="137" bestFit="1" customWidth="1"/>
    <col min="11809" max="12032" width="8.88671875" style="137"/>
    <col min="12033" max="12033" width="2.77734375" style="137" customWidth="1"/>
    <col min="12034" max="12042" width="3.77734375" style="137" customWidth="1"/>
    <col min="12043" max="12043" width="4.33203125" style="137" customWidth="1"/>
    <col min="12044" max="12062" width="3.77734375" style="137" customWidth="1"/>
    <col min="12063" max="12063" width="8.88671875" style="137"/>
    <col min="12064" max="12064" width="11.44140625" style="137" bestFit="1" customWidth="1"/>
    <col min="12065" max="12288" width="8.88671875" style="137"/>
    <col min="12289" max="12289" width="2.77734375" style="137" customWidth="1"/>
    <col min="12290" max="12298" width="3.77734375" style="137" customWidth="1"/>
    <col min="12299" max="12299" width="4.33203125" style="137" customWidth="1"/>
    <col min="12300" max="12318" width="3.77734375" style="137" customWidth="1"/>
    <col min="12319" max="12319" width="8.88671875" style="137"/>
    <col min="12320" max="12320" width="11.44140625" style="137" bestFit="1" customWidth="1"/>
    <col min="12321" max="12544" width="8.88671875" style="137"/>
    <col min="12545" max="12545" width="2.77734375" style="137" customWidth="1"/>
    <col min="12546" max="12554" width="3.77734375" style="137" customWidth="1"/>
    <col min="12555" max="12555" width="4.33203125" style="137" customWidth="1"/>
    <col min="12556" max="12574" width="3.77734375" style="137" customWidth="1"/>
    <col min="12575" max="12575" width="8.88671875" style="137"/>
    <col min="12576" max="12576" width="11.44140625" style="137" bestFit="1" customWidth="1"/>
    <col min="12577" max="12800" width="8.88671875" style="137"/>
    <col min="12801" max="12801" width="2.77734375" style="137" customWidth="1"/>
    <col min="12802" max="12810" width="3.77734375" style="137" customWidth="1"/>
    <col min="12811" max="12811" width="4.33203125" style="137" customWidth="1"/>
    <col min="12812" max="12830" width="3.77734375" style="137" customWidth="1"/>
    <col min="12831" max="12831" width="8.88671875" style="137"/>
    <col min="12832" max="12832" width="11.44140625" style="137" bestFit="1" customWidth="1"/>
    <col min="12833" max="13056" width="8.88671875" style="137"/>
    <col min="13057" max="13057" width="2.77734375" style="137" customWidth="1"/>
    <col min="13058" max="13066" width="3.77734375" style="137" customWidth="1"/>
    <col min="13067" max="13067" width="4.33203125" style="137" customWidth="1"/>
    <col min="13068" max="13086" width="3.77734375" style="137" customWidth="1"/>
    <col min="13087" max="13087" width="8.88671875" style="137"/>
    <col min="13088" max="13088" width="11.44140625" style="137" bestFit="1" customWidth="1"/>
    <col min="13089" max="13312" width="8.88671875" style="137"/>
    <col min="13313" max="13313" width="2.77734375" style="137" customWidth="1"/>
    <col min="13314" max="13322" width="3.77734375" style="137" customWidth="1"/>
    <col min="13323" max="13323" width="4.33203125" style="137" customWidth="1"/>
    <col min="13324" max="13342" width="3.77734375" style="137" customWidth="1"/>
    <col min="13343" max="13343" width="8.88671875" style="137"/>
    <col min="13344" max="13344" width="11.44140625" style="137" bestFit="1" customWidth="1"/>
    <col min="13345" max="13568" width="8.88671875" style="137"/>
    <col min="13569" max="13569" width="2.77734375" style="137" customWidth="1"/>
    <col min="13570" max="13578" width="3.77734375" style="137" customWidth="1"/>
    <col min="13579" max="13579" width="4.33203125" style="137" customWidth="1"/>
    <col min="13580" max="13598" width="3.77734375" style="137" customWidth="1"/>
    <col min="13599" max="13599" width="8.88671875" style="137"/>
    <col min="13600" max="13600" width="11.44140625" style="137" bestFit="1" customWidth="1"/>
    <col min="13601" max="13824" width="8.88671875" style="137"/>
    <col min="13825" max="13825" width="2.77734375" style="137" customWidth="1"/>
    <col min="13826" max="13834" width="3.77734375" style="137" customWidth="1"/>
    <col min="13835" max="13835" width="4.33203125" style="137" customWidth="1"/>
    <col min="13836" max="13854" width="3.77734375" style="137" customWidth="1"/>
    <col min="13855" max="13855" width="8.88671875" style="137"/>
    <col min="13856" max="13856" width="11.44140625" style="137" bestFit="1" customWidth="1"/>
    <col min="13857" max="14080" width="8.88671875" style="137"/>
    <col min="14081" max="14081" width="2.77734375" style="137" customWidth="1"/>
    <col min="14082" max="14090" width="3.77734375" style="137" customWidth="1"/>
    <col min="14091" max="14091" width="4.33203125" style="137" customWidth="1"/>
    <col min="14092" max="14110" width="3.77734375" style="137" customWidth="1"/>
    <col min="14111" max="14111" width="8.88671875" style="137"/>
    <col min="14112" max="14112" width="11.44140625" style="137" bestFit="1" customWidth="1"/>
    <col min="14113" max="14336" width="8.88671875" style="137"/>
    <col min="14337" max="14337" width="2.77734375" style="137" customWidth="1"/>
    <col min="14338" max="14346" width="3.77734375" style="137" customWidth="1"/>
    <col min="14347" max="14347" width="4.33203125" style="137" customWidth="1"/>
    <col min="14348" max="14366" width="3.77734375" style="137" customWidth="1"/>
    <col min="14367" max="14367" width="8.88671875" style="137"/>
    <col min="14368" max="14368" width="11.44140625" style="137" bestFit="1" customWidth="1"/>
    <col min="14369" max="14592" width="8.88671875" style="137"/>
    <col min="14593" max="14593" width="2.77734375" style="137" customWidth="1"/>
    <col min="14594" max="14602" width="3.77734375" style="137" customWidth="1"/>
    <col min="14603" max="14603" width="4.33203125" style="137" customWidth="1"/>
    <col min="14604" max="14622" width="3.77734375" style="137" customWidth="1"/>
    <col min="14623" max="14623" width="8.88671875" style="137"/>
    <col min="14624" max="14624" width="11.44140625" style="137" bestFit="1" customWidth="1"/>
    <col min="14625" max="14848" width="8.88671875" style="137"/>
    <col min="14849" max="14849" width="2.77734375" style="137" customWidth="1"/>
    <col min="14850" max="14858" width="3.77734375" style="137" customWidth="1"/>
    <col min="14859" max="14859" width="4.33203125" style="137" customWidth="1"/>
    <col min="14860" max="14878" width="3.77734375" style="137" customWidth="1"/>
    <col min="14879" max="14879" width="8.88671875" style="137"/>
    <col min="14880" max="14880" width="11.44140625" style="137" bestFit="1" customWidth="1"/>
    <col min="14881" max="15104" width="8.88671875" style="137"/>
    <col min="15105" max="15105" width="2.77734375" style="137" customWidth="1"/>
    <col min="15106" max="15114" width="3.77734375" style="137" customWidth="1"/>
    <col min="15115" max="15115" width="4.33203125" style="137" customWidth="1"/>
    <col min="15116" max="15134" width="3.77734375" style="137" customWidth="1"/>
    <col min="15135" max="15135" width="8.88671875" style="137"/>
    <col min="15136" max="15136" width="11.44140625" style="137" bestFit="1" customWidth="1"/>
    <col min="15137" max="15360" width="8.88671875" style="137"/>
    <col min="15361" max="15361" width="2.77734375" style="137" customWidth="1"/>
    <col min="15362" max="15370" width="3.77734375" style="137" customWidth="1"/>
    <col min="15371" max="15371" width="4.33203125" style="137" customWidth="1"/>
    <col min="15372" max="15390" width="3.77734375" style="137" customWidth="1"/>
    <col min="15391" max="15391" width="8.88671875" style="137"/>
    <col min="15392" max="15392" width="11.44140625" style="137" bestFit="1" customWidth="1"/>
    <col min="15393" max="15616" width="8.88671875" style="137"/>
    <col min="15617" max="15617" width="2.77734375" style="137" customWidth="1"/>
    <col min="15618" max="15626" width="3.77734375" style="137" customWidth="1"/>
    <col min="15627" max="15627" width="4.33203125" style="137" customWidth="1"/>
    <col min="15628" max="15646" width="3.77734375" style="137" customWidth="1"/>
    <col min="15647" max="15647" width="8.88671875" style="137"/>
    <col min="15648" max="15648" width="11.44140625" style="137" bestFit="1" customWidth="1"/>
    <col min="15649" max="15872" width="8.88671875" style="137"/>
    <col min="15873" max="15873" width="2.77734375" style="137" customWidth="1"/>
    <col min="15874" max="15882" width="3.77734375" style="137" customWidth="1"/>
    <col min="15883" max="15883" width="4.33203125" style="137" customWidth="1"/>
    <col min="15884" max="15902" width="3.77734375" style="137" customWidth="1"/>
    <col min="15903" max="15903" width="8.88671875" style="137"/>
    <col min="15904" max="15904" width="11.44140625" style="137" bestFit="1" customWidth="1"/>
    <col min="15905" max="16128" width="8.88671875" style="137"/>
    <col min="16129" max="16129" width="2.77734375" style="137" customWidth="1"/>
    <col min="16130" max="16138" width="3.77734375" style="137" customWidth="1"/>
    <col min="16139" max="16139" width="4.33203125" style="137" customWidth="1"/>
    <col min="16140" max="16158" width="3.77734375" style="137" customWidth="1"/>
    <col min="16159" max="16159" width="8.88671875" style="137"/>
    <col min="16160" max="16160" width="11.44140625" style="137" bestFit="1" customWidth="1"/>
    <col min="16161" max="16384" width="8.88671875" style="137"/>
  </cols>
  <sheetData>
    <row r="2" spans="2:32" ht="36.950000000000003" customHeight="1" x14ac:dyDescent="0.15">
      <c r="B2" s="269" t="s">
        <v>759</v>
      </c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  <c r="U2" s="269"/>
      <c r="V2" s="270"/>
      <c r="W2" s="270"/>
      <c r="X2" s="270"/>
      <c r="Y2" s="270"/>
      <c r="Z2" s="270"/>
      <c r="AA2" s="270"/>
      <c r="AB2" s="270"/>
      <c r="AC2" s="270"/>
      <c r="AD2" s="270"/>
    </row>
    <row r="3" spans="2:32" ht="45" customHeight="1" x14ac:dyDescent="0.15">
      <c r="B3" s="138" t="s">
        <v>760</v>
      </c>
      <c r="C3" s="271"/>
      <c r="D3" s="271"/>
      <c r="E3" s="271"/>
      <c r="F3" s="271"/>
      <c r="G3" s="138" t="s">
        <v>761</v>
      </c>
      <c r="H3" s="271"/>
      <c r="I3" s="271"/>
      <c r="J3" s="271"/>
      <c r="K3" s="271"/>
      <c r="L3" s="139" t="s">
        <v>762</v>
      </c>
      <c r="M3" s="272"/>
      <c r="N3" s="272"/>
      <c r="O3" s="272"/>
      <c r="P3" s="272"/>
      <c r="Q3" s="140" t="s">
        <v>763</v>
      </c>
      <c r="R3" s="273"/>
      <c r="S3" s="273"/>
      <c r="T3" s="273"/>
      <c r="U3" s="273"/>
      <c r="V3" s="274" t="s">
        <v>764</v>
      </c>
      <c r="W3" s="275"/>
      <c r="X3" s="275"/>
      <c r="Y3" s="275"/>
      <c r="Z3" s="275"/>
      <c r="AA3" s="275"/>
      <c r="AB3" s="275"/>
      <c r="AC3" s="275"/>
      <c r="AD3" s="276"/>
    </row>
    <row r="4" spans="2:32" ht="20.100000000000001" customHeight="1" x14ac:dyDescent="0.15">
      <c r="B4" s="141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3"/>
    </row>
    <row r="5" spans="2:32" s="148" customFormat="1" ht="20.100000000000001" customHeight="1" x14ac:dyDescent="0.2">
      <c r="B5" s="144"/>
      <c r="C5" s="145"/>
      <c r="D5" s="277">
        <v>2026</v>
      </c>
      <c r="E5" s="277"/>
      <c r="F5" s="277"/>
      <c r="G5" s="278" t="s">
        <v>765</v>
      </c>
      <c r="H5" s="278"/>
      <c r="I5" s="146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7"/>
    </row>
    <row r="6" spans="2:32" ht="20.100000000000001" customHeight="1" x14ac:dyDescent="0.15">
      <c r="B6" s="141"/>
      <c r="C6" s="142"/>
      <c r="D6" s="142"/>
      <c r="E6" s="149"/>
      <c r="F6" s="142"/>
      <c r="G6" s="150"/>
      <c r="H6" s="150"/>
      <c r="I6" s="150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3"/>
      <c r="AF6" s="151"/>
    </row>
    <row r="7" spans="2:32" ht="19.5" customHeight="1" x14ac:dyDescent="0.15">
      <c r="B7" s="141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3"/>
    </row>
    <row r="8" spans="2:32" ht="20.100000000000001" customHeight="1" x14ac:dyDescent="0.2">
      <c r="B8" s="141"/>
      <c r="C8" s="142"/>
      <c r="D8" s="142"/>
      <c r="E8" s="152"/>
      <c r="F8" s="153" t="str">
        <f>표지!B3</f>
        <v>양지리 농어촌취약지역 생활여건 개조사업 통신공사</v>
      </c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5" t="s">
        <v>756</v>
      </c>
      <c r="W8" s="154"/>
      <c r="X8" s="155"/>
      <c r="Y8" s="154"/>
      <c r="Z8" s="156"/>
      <c r="AA8" s="156"/>
      <c r="AB8" s="156"/>
      <c r="AC8" s="156"/>
      <c r="AD8" s="143"/>
    </row>
    <row r="9" spans="2:32" ht="20.100000000000001" customHeight="1" x14ac:dyDescent="0.2">
      <c r="B9" s="141"/>
      <c r="C9" s="142"/>
      <c r="D9" s="142"/>
      <c r="E9" s="152"/>
      <c r="F9" s="157"/>
      <c r="G9" s="157"/>
      <c r="H9" s="157"/>
      <c r="I9" s="157"/>
      <c r="J9" s="157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2"/>
      <c r="AA9" s="156"/>
      <c r="AB9" s="156"/>
      <c r="AC9" s="156"/>
      <c r="AD9" s="143"/>
    </row>
    <row r="10" spans="2:32" ht="19.5" customHeight="1" x14ac:dyDescent="0.15">
      <c r="B10" s="141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3"/>
    </row>
    <row r="11" spans="2:32" ht="20.100000000000001" customHeight="1" x14ac:dyDescent="0.2">
      <c r="B11" s="141"/>
      <c r="C11" s="142"/>
      <c r="D11" s="142"/>
      <c r="E11" s="146"/>
      <c r="F11" s="158" t="s">
        <v>766</v>
      </c>
      <c r="G11" s="158"/>
      <c r="H11" s="158"/>
      <c r="I11" s="158"/>
      <c r="J11" s="158"/>
      <c r="K11" s="158" t="s">
        <v>767</v>
      </c>
      <c r="L11" s="158" t="s">
        <v>768</v>
      </c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46"/>
      <c r="AA11" s="146"/>
      <c r="AB11" s="146"/>
      <c r="AC11" s="146"/>
      <c r="AD11" s="143"/>
    </row>
    <row r="12" spans="2:32" ht="20.100000000000001" customHeight="1" x14ac:dyDescent="0.15">
      <c r="B12" s="141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3"/>
    </row>
    <row r="13" spans="2:32" ht="19.5" customHeight="1" x14ac:dyDescent="0.15">
      <c r="B13" s="141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3"/>
    </row>
    <row r="14" spans="2:32" ht="20.100000000000001" customHeight="1" x14ac:dyDescent="0.25">
      <c r="B14" s="141"/>
      <c r="C14" s="142"/>
      <c r="D14" s="142"/>
      <c r="E14" s="146"/>
      <c r="F14" s="158" t="s">
        <v>769</v>
      </c>
      <c r="G14" s="158"/>
      <c r="H14" s="158"/>
      <c r="I14" s="159"/>
      <c r="J14" s="160"/>
      <c r="K14" s="154" t="str">
        <f>"일금"&amp;NUMBERSTRING(M26,1)&amp;"원정"</f>
        <v>일금일천구백사십팔만오천원정</v>
      </c>
      <c r="L14" s="158"/>
      <c r="M14" s="160"/>
      <c r="N14" s="160"/>
      <c r="O14" s="160"/>
      <c r="P14" s="160"/>
      <c r="Q14" s="160"/>
      <c r="R14" s="160"/>
      <c r="S14" s="160"/>
      <c r="T14" s="160"/>
      <c r="U14" s="279">
        <f>M26</f>
        <v>19485000</v>
      </c>
      <c r="V14" s="279"/>
      <c r="W14" s="279"/>
      <c r="X14" s="279"/>
      <c r="Y14" s="279"/>
      <c r="Z14" s="142"/>
      <c r="AA14" s="161"/>
      <c r="AB14" s="162"/>
      <c r="AC14" s="162"/>
      <c r="AD14" s="143"/>
    </row>
    <row r="15" spans="2:32" ht="19.5" customHeight="1" x14ac:dyDescent="0.25">
      <c r="B15" s="141"/>
      <c r="C15" s="142"/>
      <c r="D15" s="142"/>
      <c r="E15" s="163"/>
      <c r="F15" s="163"/>
      <c r="G15" s="163"/>
      <c r="H15" s="163"/>
      <c r="I15" s="164"/>
      <c r="J15" s="142"/>
      <c r="K15" s="142"/>
      <c r="L15" s="161"/>
      <c r="M15" s="161"/>
      <c r="N15" s="161"/>
      <c r="O15" s="161"/>
      <c r="P15" s="161"/>
      <c r="Q15" s="161"/>
      <c r="R15" s="161"/>
      <c r="S15" s="165"/>
      <c r="T15" s="165"/>
      <c r="U15" s="165"/>
      <c r="V15" s="165"/>
      <c r="W15" s="165"/>
      <c r="X15" s="165"/>
      <c r="Y15" s="165"/>
      <c r="Z15" s="161"/>
      <c r="AA15" s="161"/>
      <c r="AB15" s="161"/>
      <c r="AC15" s="161"/>
      <c r="AD15" s="143"/>
    </row>
    <row r="16" spans="2:32" ht="19.5" customHeight="1" x14ac:dyDescent="0.15">
      <c r="B16" s="141"/>
      <c r="C16" s="142"/>
      <c r="D16" s="142"/>
      <c r="E16" s="142"/>
      <c r="F16" s="142"/>
      <c r="G16" s="142"/>
      <c r="H16" s="142"/>
      <c r="I16" s="280" t="s">
        <v>770</v>
      </c>
      <c r="J16" s="280"/>
      <c r="K16" s="280"/>
      <c r="L16" s="280"/>
      <c r="M16" s="281">
        <f>원가!L32</f>
        <v>19485000</v>
      </c>
      <c r="N16" s="281"/>
      <c r="O16" s="281"/>
      <c r="P16" s="281"/>
      <c r="Q16" s="281"/>
      <c r="R16" s="282" t="s">
        <v>771</v>
      </c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3"/>
    </row>
    <row r="17" spans="2:30" ht="15" customHeight="1" x14ac:dyDescent="0.15">
      <c r="B17" s="141"/>
      <c r="C17" s="142"/>
      <c r="D17" s="142"/>
      <c r="E17" s="142"/>
      <c r="F17" s="166"/>
      <c r="G17" s="166"/>
      <c r="H17" s="167"/>
      <c r="I17" s="280"/>
      <c r="J17" s="280"/>
      <c r="K17" s="280"/>
      <c r="L17" s="280"/>
      <c r="M17" s="281"/>
      <c r="N17" s="281"/>
      <c r="O17" s="281"/>
      <c r="P17" s="281"/>
      <c r="Q17" s="281"/>
      <c r="R17" s="282"/>
      <c r="S17" s="142"/>
      <c r="T17" s="168"/>
      <c r="U17" s="168"/>
      <c r="V17" s="168"/>
      <c r="W17" s="168"/>
      <c r="X17" s="168"/>
      <c r="Y17" s="168"/>
      <c r="Z17" s="168"/>
      <c r="AA17" s="142"/>
      <c r="AB17" s="142"/>
      <c r="AC17" s="142"/>
      <c r="AD17" s="143"/>
    </row>
    <row r="18" spans="2:30" ht="15" hidden="1" customHeight="1" x14ac:dyDescent="0.15">
      <c r="B18" s="141"/>
      <c r="C18" s="142"/>
      <c r="D18" s="142"/>
      <c r="E18" s="166"/>
      <c r="F18" s="280" t="s">
        <v>772</v>
      </c>
      <c r="G18" s="283"/>
      <c r="I18" s="280" t="s">
        <v>773</v>
      </c>
      <c r="J18" s="280"/>
      <c r="K18" s="280"/>
      <c r="L18" s="280"/>
      <c r="M18" s="281">
        <f>원가!L33</f>
        <v>0</v>
      </c>
      <c r="N18" s="281"/>
      <c r="O18" s="281"/>
      <c r="P18" s="281"/>
      <c r="Q18" s="281"/>
      <c r="R18" s="282" t="s">
        <v>771</v>
      </c>
      <c r="S18" s="142"/>
      <c r="T18" s="168"/>
      <c r="U18" s="168"/>
      <c r="V18" s="168"/>
      <c r="W18" s="168"/>
      <c r="X18" s="168"/>
      <c r="Y18" s="168"/>
      <c r="Z18" s="168"/>
      <c r="AA18" s="142"/>
      <c r="AB18" s="142"/>
      <c r="AC18" s="142"/>
      <c r="AD18" s="143"/>
    </row>
    <row r="19" spans="2:30" ht="15" hidden="1" customHeight="1" x14ac:dyDescent="0.15">
      <c r="B19" s="141"/>
      <c r="C19" s="142"/>
      <c r="D19" s="142"/>
      <c r="E19" s="166"/>
      <c r="F19" s="280"/>
      <c r="G19" s="283"/>
      <c r="H19" s="167"/>
      <c r="I19" s="280"/>
      <c r="J19" s="280"/>
      <c r="K19" s="280"/>
      <c r="L19" s="280"/>
      <c r="M19" s="281"/>
      <c r="N19" s="281"/>
      <c r="O19" s="281"/>
      <c r="P19" s="281"/>
      <c r="Q19" s="281"/>
      <c r="R19" s="282"/>
      <c r="S19" s="168"/>
      <c r="T19" s="168"/>
      <c r="U19" s="168"/>
      <c r="V19" s="168"/>
      <c r="W19" s="168"/>
      <c r="X19" s="168"/>
      <c r="Y19" s="168"/>
      <c r="Z19" s="168"/>
      <c r="AA19" s="142"/>
      <c r="AB19" s="142"/>
      <c r="AC19" s="142"/>
      <c r="AD19" s="143"/>
    </row>
    <row r="20" spans="2:30" ht="15" hidden="1" customHeight="1" x14ac:dyDescent="0.15">
      <c r="B20" s="141"/>
      <c r="C20" s="142"/>
      <c r="D20" s="142"/>
      <c r="E20" s="166"/>
      <c r="F20" s="280"/>
      <c r="G20" s="283"/>
      <c r="I20" s="280" t="s">
        <v>774</v>
      </c>
      <c r="J20" s="280"/>
      <c r="K20" s="280"/>
      <c r="L20" s="280"/>
      <c r="M20" s="281">
        <f>원가!L34</f>
        <v>0</v>
      </c>
      <c r="N20" s="281"/>
      <c r="O20" s="281"/>
      <c r="P20" s="281"/>
      <c r="Q20" s="281"/>
      <c r="R20" s="282" t="s">
        <v>771</v>
      </c>
      <c r="S20" s="168"/>
      <c r="T20" s="168"/>
      <c r="U20" s="168"/>
      <c r="V20" s="168"/>
      <c r="W20" s="168"/>
      <c r="X20" s="168"/>
      <c r="Y20" s="168"/>
      <c r="Z20" s="168"/>
      <c r="AA20" s="142"/>
      <c r="AB20" s="142"/>
      <c r="AC20" s="142"/>
      <c r="AD20" s="143"/>
    </row>
    <row r="21" spans="2:30" ht="15" hidden="1" customHeight="1" x14ac:dyDescent="0.15">
      <c r="B21" s="141"/>
      <c r="C21" s="142"/>
      <c r="D21" s="142"/>
      <c r="E21" s="166"/>
      <c r="F21" s="280"/>
      <c r="G21" s="283"/>
      <c r="H21" s="167"/>
      <c r="I21" s="280"/>
      <c r="J21" s="280"/>
      <c r="K21" s="280"/>
      <c r="L21" s="280"/>
      <c r="M21" s="281"/>
      <c r="N21" s="281"/>
      <c r="O21" s="281"/>
      <c r="P21" s="281"/>
      <c r="Q21" s="281"/>
      <c r="R21" s="282"/>
      <c r="S21" s="168"/>
      <c r="T21" s="168"/>
      <c r="U21" s="168"/>
      <c r="V21" s="168"/>
      <c r="W21" s="168"/>
      <c r="X21" s="168"/>
      <c r="Y21" s="168"/>
      <c r="Z21" s="168"/>
      <c r="AA21" s="142"/>
      <c r="AB21" s="142"/>
      <c r="AC21" s="142"/>
      <c r="AD21" s="143"/>
    </row>
    <row r="22" spans="2:30" ht="15" customHeight="1" x14ac:dyDescent="0.15">
      <c r="B22" s="141"/>
      <c r="C22" s="142"/>
      <c r="D22" s="142"/>
      <c r="E22" s="166"/>
      <c r="F22" s="280"/>
      <c r="G22" s="283"/>
      <c r="I22" s="280" t="s">
        <v>775</v>
      </c>
      <c r="J22" s="280"/>
      <c r="K22" s="280"/>
      <c r="L22" s="280"/>
      <c r="M22" s="281">
        <f>원가!L35</f>
        <v>0</v>
      </c>
      <c r="N22" s="281"/>
      <c r="O22" s="281"/>
      <c r="P22" s="281"/>
      <c r="Q22" s="281"/>
      <c r="R22" s="282" t="s">
        <v>771</v>
      </c>
      <c r="S22" s="168"/>
      <c r="T22" s="168"/>
      <c r="U22" s="168"/>
      <c r="V22" s="168"/>
      <c r="W22" s="168"/>
      <c r="X22" s="168"/>
      <c r="Y22" s="168"/>
      <c r="Z22" s="168"/>
      <c r="AA22" s="142"/>
      <c r="AB22" s="142"/>
      <c r="AC22" s="142"/>
      <c r="AD22" s="143"/>
    </row>
    <row r="23" spans="2:30" ht="15" customHeight="1" x14ac:dyDescent="0.15">
      <c r="B23" s="141"/>
      <c r="C23" s="142"/>
      <c r="D23" s="142"/>
      <c r="E23" s="166"/>
      <c r="F23" s="280"/>
      <c r="G23" s="280"/>
      <c r="H23" s="167"/>
      <c r="I23" s="280"/>
      <c r="J23" s="280"/>
      <c r="K23" s="280"/>
      <c r="L23" s="280"/>
      <c r="M23" s="281"/>
      <c r="N23" s="281"/>
      <c r="O23" s="281"/>
      <c r="P23" s="281"/>
      <c r="Q23" s="281"/>
      <c r="R23" s="282"/>
      <c r="S23" s="168"/>
      <c r="T23" s="168"/>
      <c r="U23" s="168"/>
      <c r="V23" s="168"/>
      <c r="W23" s="168"/>
      <c r="X23" s="168"/>
      <c r="Y23" s="168"/>
      <c r="Z23" s="168"/>
      <c r="AA23" s="142"/>
      <c r="AB23" s="142"/>
      <c r="AC23" s="142"/>
      <c r="AD23" s="143"/>
    </row>
    <row r="24" spans="2:30" ht="15" customHeight="1" x14ac:dyDescent="0.15">
      <c r="B24" s="141"/>
      <c r="C24" s="142"/>
      <c r="D24" s="142"/>
      <c r="E24" s="166"/>
      <c r="F24" s="280"/>
      <c r="G24" s="283"/>
      <c r="H24" s="141"/>
      <c r="I24" s="280" t="s">
        <v>776</v>
      </c>
      <c r="J24" s="280"/>
      <c r="K24" s="280"/>
      <c r="L24" s="280"/>
      <c r="M24" s="281">
        <f>원가!L36</f>
        <v>0</v>
      </c>
      <c r="N24" s="281"/>
      <c r="O24" s="281"/>
      <c r="P24" s="281"/>
      <c r="Q24" s="281"/>
      <c r="R24" s="282" t="s">
        <v>771</v>
      </c>
      <c r="S24" s="168"/>
      <c r="T24" s="168"/>
      <c r="U24" s="168"/>
      <c r="V24" s="168"/>
      <c r="W24" s="168"/>
      <c r="X24" s="168"/>
      <c r="Y24" s="168"/>
      <c r="Z24" s="168"/>
      <c r="AA24" s="142"/>
      <c r="AB24" s="142"/>
      <c r="AC24" s="142"/>
      <c r="AD24" s="143"/>
    </row>
    <row r="25" spans="2:30" ht="15" customHeight="1" x14ac:dyDescent="0.15">
      <c r="B25" s="141"/>
      <c r="C25" s="142"/>
      <c r="D25" s="142"/>
      <c r="E25" s="166"/>
      <c r="F25" s="280"/>
      <c r="G25" s="283"/>
      <c r="H25" s="167"/>
      <c r="I25" s="280"/>
      <c r="J25" s="280"/>
      <c r="K25" s="280"/>
      <c r="L25" s="280"/>
      <c r="M25" s="281"/>
      <c r="N25" s="281"/>
      <c r="O25" s="281"/>
      <c r="P25" s="281"/>
      <c r="Q25" s="281"/>
      <c r="R25" s="282"/>
      <c r="S25" s="168"/>
      <c r="T25" s="168"/>
      <c r="U25" s="168"/>
      <c r="V25" s="168"/>
      <c r="W25" s="168"/>
      <c r="X25" s="168"/>
      <c r="Y25" s="168"/>
      <c r="Z25" s="168"/>
      <c r="AA25" s="142"/>
      <c r="AB25" s="142"/>
      <c r="AC25" s="142"/>
      <c r="AD25" s="143"/>
    </row>
    <row r="26" spans="2:30" ht="15" customHeight="1" x14ac:dyDescent="0.15">
      <c r="B26" s="141"/>
      <c r="C26" s="142"/>
      <c r="D26" s="166"/>
      <c r="E26" s="166"/>
      <c r="F26" s="166"/>
      <c r="G26" s="166"/>
      <c r="H26" s="169"/>
      <c r="I26" s="280" t="s">
        <v>777</v>
      </c>
      <c r="J26" s="280"/>
      <c r="K26" s="280"/>
      <c r="L26" s="280"/>
      <c r="M26" s="281">
        <f>M16+M18+M20+M22+M24</f>
        <v>19485000</v>
      </c>
      <c r="N26" s="281"/>
      <c r="O26" s="281"/>
      <c r="P26" s="281"/>
      <c r="Q26" s="281"/>
      <c r="R26" s="282" t="s">
        <v>771</v>
      </c>
      <c r="S26" s="168"/>
      <c r="T26" s="168"/>
      <c r="U26" s="168"/>
      <c r="V26" s="168"/>
      <c r="W26" s="168"/>
      <c r="X26" s="168"/>
      <c r="Y26" s="168"/>
      <c r="Z26" s="168"/>
      <c r="AA26" s="142"/>
      <c r="AB26" s="142"/>
      <c r="AC26" s="142"/>
      <c r="AD26" s="143"/>
    </row>
    <row r="27" spans="2:30" ht="15" customHeight="1" x14ac:dyDescent="0.15">
      <c r="B27" s="141"/>
      <c r="C27" s="142"/>
      <c r="D27" s="170"/>
      <c r="E27" s="142"/>
      <c r="F27" s="142"/>
      <c r="G27" s="142"/>
      <c r="H27" s="171"/>
      <c r="I27" s="280"/>
      <c r="J27" s="280"/>
      <c r="K27" s="280"/>
      <c r="L27" s="280"/>
      <c r="M27" s="281"/>
      <c r="N27" s="281"/>
      <c r="O27" s="281"/>
      <c r="P27" s="281"/>
      <c r="Q27" s="281"/>
      <c r="R27" s="282"/>
      <c r="S27" s="168"/>
      <c r="T27" s="168"/>
      <c r="U27" s="168"/>
      <c r="V27" s="168"/>
      <c r="W27" s="168"/>
      <c r="X27" s="168"/>
      <c r="Y27" s="168"/>
      <c r="Z27" s="168"/>
      <c r="AA27" s="142"/>
      <c r="AB27" s="142"/>
      <c r="AC27" s="142"/>
      <c r="AD27" s="143"/>
    </row>
    <row r="28" spans="2:30" ht="15" customHeight="1" x14ac:dyDescent="0.15">
      <c r="B28" s="172"/>
      <c r="C28" s="160"/>
      <c r="D28" s="173"/>
      <c r="E28" s="160"/>
      <c r="F28" s="160"/>
      <c r="G28" s="160"/>
      <c r="H28" s="174"/>
      <c r="I28" s="173"/>
      <c r="J28" s="173"/>
      <c r="K28" s="173"/>
      <c r="L28" s="173"/>
      <c r="M28" s="175"/>
      <c r="N28" s="175"/>
      <c r="O28" s="175"/>
      <c r="P28" s="175"/>
      <c r="Q28" s="175"/>
      <c r="R28" s="176"/>
      <c r="S28" s="177"/>
      <c r="T28" s="177"/>
      <c r="U28" s="177"/>
      <c r="V28" s="177"/>
      <c r="W28" s="177"/>
      <c r="X28" s="177"/>
      <c r="Y28" s="177"/>
      <c r="Z28" s="177"/>
      <c r="AA28" s="160"/>
      <c r="AB28" s="160"/>
      <c r="AC28" s="160"/>
      <c r="AD28" s="178"/>
    </row>
    <row r="29" spans="2:30" ht="15" customHeight="1" x14ac:dyDescent="0.15"/>
    <row r="30" spans="2:30" x14ac:dyDescent="0.15">
      <c r="K30" s="179"/>
    </row>
  </sheetData>
  <mergeCells count="28">
    <mergeCell ref="I26:L27"/>
    <mergeCell ref="M26:Q27"/>
    <mergeCell ref="R26:R27"/>
    <mergeCell ref="F18:G25"/>
    <mergeCell ref="I18:L19"/>
    <mergeCell ref="M18:Q19"/>
    <mergeCell ref="R18:R19"/>
    <mergeCell ref="I20:L21"/>
    <mergeCell ref="M20:Q21"/>
    <mergeCell ref="R20:R21"/>
    <mergeCell ref="I22:L23"/>
    <mergeCell ref="M22:Q23"/>
    <mergeCell ref="R22:R23"/>
    <mergeCell ref="I24:L25"/>
    <mergeCell ref="M24:Q25"/>
    <mergeCell ref="R24:R25"/>
    <mergeCell ref="D5:F5"/>
    <mergeCell ref="G5:H5"/>
    <mergeCell ref="U14:Y14"/>
    <mergeCell ref="I16:L17"/>
    <mergeCell ref="M16:Q17"/>
    <mergeCell ref="R16:R17"/>
    <mergeCell ref="B2:AD2"/>
    <mergeCell ref="C3:F3"/>
    <mergeCell ref="H3:K3"/>
    <mergeCell ref="M3:P3"/>
    <mergeCell ref="R3:U3"/>
    <mergeCell ref="V3:AD3"/>
  </mergeCells>
  <phoneticPr fontId="1" type="noConversion"/>
  <pageMargins left="1.0629921259842521" right="0.39370078740157483" top="0.94488188976377963" bottom="0.47244094488188981" header="0.51181102362204722" footer="0.27559055118110237"/>
  <pageSetup paperSize="9" scale="9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M19"/>
  <sheetViews>
    <sheetView zoomScaleNormal="100" zoomScaleSheetLayoutView="85" workbookViewId="0">
      <selection activeCell="E17" sqref="E17"/>
    </sheetView>
  </sheetViews>
  <sheetFormatPr defaultRowHeight="13.5" x14ac:dyDescent="0.1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 x14ac:dyDescent="0.15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 x14ac:dyDescent="0.15">
      <c r="B3" s="128" t="str">
        <f>표지!B3</f>
        <v>양지리 농어촌취약지역 생활여건 개조사업 통신공사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 x14ac:dyDescent="0.15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 x14ac:dyDescent="0.15">
      <c r="B5" s="132"/>
      <c r="C5" s="129"/>
      <c r="D5" s="129"/>
      <c r="E5" s="268" t="s">
        <v>778</v>
      </c>
      <c r="F5" s="268"/>
      <c r="G5" s="268"/>
      <c r="H5" s="268"/>
      <c r="I5" s="268"/>
      <c r="J5" s="268"/>
      <c r="K5" s="129"/>
      <c r="L5" s="129"/>
      <c r="M5" s="129"/>
    </row>
    <row r="6" spans="2:13" s="130" customFormat="1" ht="24" customHeight="1" x14ac:dyDescent="0.15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 x14ac:dyDescent="0.15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 x14ac:dyDescent="0.15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 x14ac:dyDescent="0.15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 x14ac:dyDescent="0.15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 x14ac:dyDescent="0.15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 x14ac:dyDescent="0.15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 x14ac:dyDescent="0.15">
      <c r="B13" s="131"/>
      <c r="C13" s="131"/>
      <c r="D13" s="131"/>
      <c r="E13" s="131"/>
      <c r="F13" s="131"/>
      <c r="G13" s="131"/>
      <c r="H13" s="131" t="s">
        <v>758</v>
      </c>
      <c r="I13" s="131"/>
      <c r="J13" s="131"/>
      <c r="K13" s="131"/>
      <c r="L13" s="131"/>
      <c r="M13" s="131"/>
    </row>
    <row r="14" spans="2:13" s="130" customFormat="1" ht="24" customHeight="1" x14ac:dyDescent="0.15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 x14ac:dyDescent="0.15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 x14ac:dyDescent="0.15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 x14ac:dyDescent="0.15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 x14ac:dyDescent="0.15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 x14ac:dyDescent="0.15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1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24"/>
  </sheetPr>
  <dimension ref="A1:BA1249"/>
  <sheetViews>
    <sheetView showZeros="0" tabSelected="1" view="pageBreakPreview" topLeftCell="A6" zoomScale="130" zoomScaleNormal="100" zoomScaleSheetLayoutView="130" workbookViewId="0">
      <selection activeCell="AC13" sqref="AC13:AQ13"/>
    </sheetView>
  </sheetViews>
  <sheetFormatPr defaultRowHeight="13.5" x14ac:dyDescent="0.15"/>
  <cols>
    <col min="1" max="2" width="2.6640625" customWidth="1"/>
    <col min="3" max="4" width="2.77734375" customWidth="1"/>
    <col min="5" max="11" width="2.6640625" customWidth="1"/>
    <col min="12" max="18" width="2.77734375" customWidth="1"/>
    <col min="19" max="21" width="2.109375" customWidth="1"/>
    <col min="22" max="24" width="2.77734375" customWidth="1"/>
    <col min="25" max="28" width="4.109375" customWidth="1"/>
    <col min="29" max="31" width="2.77734375" customWidth="1"/>
    <col min="32" max="33" width="3.21875" customWidth="1"/>
    <col min="34" max="34" width="3" customWidth="1"/>
    <col min="35" max="35" width="2.109375" customWidth="1"/>
    <col min="36" max="36" width="1.77734375" customWidth="1"/>
    <col min="37" max="37" width="2.77734375" customWidth="1"/>
    <col min="38" max="42" width="3" customWidth="1"/>
    <col min="43" max="44" width="1.77734375" customWidth="1"/>
    <col min="45" max="45" width="12.77734375" customWidth="1"/>
    <col min="46" max="46" width="10.77734375" customWidth="1"/>
    <col min="47" max="47" width="16.77734375" customWidth="1"/>
    <col min="48" max="48" width="9.77734375" customWidth="1"/>
    <col min="49" max="49" width="6.33203125" customWidth="1"/>
    <col min="50" max="50" width="2.77734375" customWidth="1"/>
    <col min="51" max="51" width="13.21875" customWidth="1"/>
    <col min="52" max="52" width="10.77734375" customWidth="1"/>
    <col min="53" max="53" width="12.77734375" customWidth="1"/>
    <col min="54" max="142" width="2.77734375" customWidth="1"/>
  </cols>
  <sheetData>
    <row r="1" spans="1:53" ht="27.95" customHeight="1" thickTop="1" thickBot="1" x14ac:dyDescent="0.2">
      <c r="AI1" s="289" t="s">
        <v>779</v>
      </c>
      <c r="AJ1" s="289"/>
      <c r="AK1" s="289"/>
      <c r="AL1" s="289"/>
      <c r="AM1" s="290" t="str">
        <f>IF(AW13=1,AV13,IF(AW14=1,AV14,IF(AW15=1,AV15,IF(AW16=1,AV16))))</f>
        <v>6개월이하</v>
      </c>
      <c r="AN1" s="290"/>
      <c r="AO1" s="290"/>
      <c r="AP1" s="290"/>
      <c r="AS1" s="180" t="s">
        <v>780</v>
      </c>
      <c r="AT1" s="181"/>
      <c r="AU1" s="182" t="s">
        <v>781</v>
      </c>
      <c r="AV1" s="291"/>
      <c r="AW1" s="292"/>
    </row>
    <row r="2" spans="1:53" ht="24.95" customHeight="1" thickTop="1" thickBot="1" x14ac:dyDescent="0.2">
      <c r="A2" s="293" t="str">
        <f>"[공사명] "&amp;표지!B3</f>
        <v>[공사명] 양지리 농어촌취약지역 생활여건 개조사업 통신공사</v>
      </c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4" t="str">
        <f>"금액: "&amp;NUMBERSTRING(L37,1)&amp;" 원정"</f>
        <v>금액: 일천구백사십팔만오천 원정</v>
      </c>
      <c r="W2" s="294"/>
      <c r="X2" s="294"/>
      <c r="Y2" s="294"/>
      <c r="Z2" s="294"/>
      <c r="AA2" s="294"/>
      <c r="AB2" s="294"/>
      <c r="AC2" s="294"/>
      <c r="AD2" s="294"/>
      <c r="AE2" s="294"/>
      <c r="AF2" s="294"/>
      <c r="AG2" s="294"/>
      <c r="AH2" s="294"/>
      <c r="AI2" s="295" t="str">
        <f>"("&amp;"￦"&amp;TEXT(L37,"0,0")&amp;")"</f>
        <v>(￦19,485,000)</v>
      </c>
      <c r="AJ2" s="295"/>
      <c r="AK2" s="295"/>
      <c r="AL2" s="295"/>
      <c r="AM2" s="295"/>
      <c r="AN2" s="295"/>
      <c r="AO2" s="295"/>
      <c r="AP2" s="295"/>
      <c r="AQ2" s="295"/>
      <c r="AR2" s="183"/>
      <c r="AS2" s="184" t="s">
        <v>782</v>
      </c>
      <c r="AT2" s="185"/>
      <c r="AU2" s="185"/>
      <c r="AV2" s="296"/>
      <c r="AW2" s="297"/>
    </row>
    <row r="3" spans="1:53" ht="16.5" customHeight="1" thickTop="1" x14ac:dyDescent="0.15">
      <c r="A3" s="284" t="s">
        <v>38</v>
      </c>
      <c r="B3" s="285"/>
      <c r="C3" s="285" t="s">
        <v>783</v>
      </c>
      <c r="D3" s="285"/>
      <c r="E3" s="285"/>
      <c r="F3" s="285"/>
      <c r="G3" s="285"/>
      <c r="H3" s="285"/>
      <c r="I3" s="285"/>
      <c r="J3" s="285"/>
      <c r="K3" s="285"/>
      <c r="L3" s="285" t="s">
        <v>784</v>
      </c>
      <c r="M3" s="285"/>
      <c r="N3" s="285"/>
      <c r="O3" s="285"/>
      <c r="P3" s="285"/>
      <c r="Q3" s="285"/>
      <c r="R3" s="285"/>
      <c r="S3" s="285" t="s">
        <v>785</v>
      </c>
      <c r="T3" s="285"/>
      <c r="U3" s="285"/>
      <c r="V3" s="285"/>
      <c r="W3" s="285"/>
      <c r="X3" s="285"/>
      <c r="Y3" s="285"/>
      <c r="Z3" s="285"/>
      <c r="AA3" s="285"/>
      <c r="AB3" s="285"/>
      <c r="AC3" s="285" t="s">
        <v>786</v>
      </c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6"/>
      <c r="AR3" s="186"/>
      <c r="AS3" s="187" t="s">
        <v>787</v>
      </c>
      <c r="AT3" s="188">
        <f>IF($AW$13=1,AW17,IF($AW$14=1,AW18,IF($AW$15=1,AW19,IF($AW$16=1,AW21))))</f>
        <v>0.17499999999999999</v>
      </c>
      <c r="AU3" s="189" t="s">
        <v>788</v>
      </c>
      <c r="AV3" s="287">
        <f>총괄표!I29</f>
        <v>2473176</v>
      </c>
      <c r="AW3" s="288"/>
      <c r="AY3" s="190" t="s">
        <v>789</v>
      </c>
      <c r="AZ3" s="191">
        <v>313</v>
      </c>
      <c r="BA3" s="192"/>
    </row>
    <row r="4" spans="1:53" ht="14.65" customHeight="1" x14ac:dyDescent="0.15">
      <c r="A4" s="342" t="s">
        <v>790</v>
      </c>
      <c r="B4" s="314"/>
      <c r="C4" s="313" t="s">
        <v>41</v>
      </c>
      <c r="D4" s="314"/>
      <c r="E4" s="308" t="s">
        <v>791</v>
      </c>
      <c r="F4" s="308"/>
      <c r="G4" s="308"/>
      <c r="H4" s="308"/>
      <c r="I4" s="308"/>
      <c r="J4" s="308"/>
      <c r="K4" s="308"/>
      <c r="L4" s="309">
        <f>AV3</f>
        <v>2473176</v>
      </c>
      <c r="M4" s="309"/>
      <c r="N4" s="309"/>
      <c r="O4" s="309"/>
      <c r="P4" s="309"/>
      <c r="Q4" s="309"/>
      <c r="R4" s="309"/>
      <c r="S4" s="310"/>
      <c r="T4" s="310"/>
      <c r="U4" s="310"/>
      <c r="V4" s="310"/>
      <c r="W4" s="310"/>
      <c r="X4" s="310"/>
      <c r="Y4" s="310"/>
      <c r="Z4" s="310"/>
      <c r="AA4" s="310"/>
      <c r="AB4" s="310"/>
      <c r="AC4" s="310"/>
      <c r="AD4" s="310"/>
      <c r="AE4" s="310"/>
      <c r="AF4" s="310"/>
      <c r="AG4" s="310"/>
      <c r="AH4" s="310"/>
      <c r="AI4" s="310"/>
      <c r="AJ4" s="310"/>
      <c r="AK4" s="310"/>
      <c r="AL4" s="310"/>
      <c r="AM4" s="310"/>
      <c r="AN4" s="310"/>
      <c r="AO4" s="310"/>
      <c r="AP4" s="310"/>
      <c r="AQ4" s="311"/>
      <c r="AR4" s="193"/>
      <c r="AS4" s="62"/>
      <c r="AT4" s="194"/>
      <c r="AU4" s="189" t="s">
        <v>792</v>
      </c>
      <c r="AV4" s="287">
        <f>총괄표!L29</f>
        <v>8661025</v>
      </c>
      <c r="AW4" s="288"/>
      <c r="AY4" s="190" t="s">
        <v>793</v>
      </c>
      <c r="AZ4" s="191"/>
      <c r="BA4" s="192"/>
    </row>
    <row r="5" spans="1:53" ht="14.65" customHeight="1" x14ac:dyDescent="0.15">
      <c r="A5" s="343"/>
      <c r="B5" s="316"/>
      <c r="C5" s="315"/>
      <c r="D5" s="316"/>
      <c r="E5" s="302" t="s">
        <v>794</v>
      </c>
      <c r="F5" s="302"/>
      <c r="G5" s="302"/>
      <c r="H5" s="302"/>
      <c r="I5" s="302"/>
      <c r="J5" s="302"/>
      <c r="K5" s="302"/>
      <c r="L5" s="303"/>
      <c r="M5" s="303"/>
      <c r="N5" s="303"/>
      <c r="O5" s="303"/>
      <c r="P5" s="303"/>
      <c r="Q5" s="303"/>
      <c r="R5" s="303"/>
      <c r="S5" s="304"/>
      <c r="T5" s="304"/>
      <c r="U5" s="304"/>
      <c r="V5" s="304"/>
      <c r="W5" s="304"/>
      <c r="X5" s="304"/>
      <c r="Y5" s="304"/>
      <c r="Z5" s="304"/>
      <c r="AA5" s="304"/>
      <c r="AB5" s="304"/>
      <c r="AC5" s="304"/>
      <c r="AD5" s="304"/>
      <c r="AE5" s="304"/>
      <c r="AF5" s="304"/>
      <c r="AG5" s="304"/>
      <c r="AH5" s="304"/>
      <c r="AI5" s="304"/>
      <c r="AJ5" s="304"/>
      <c r="AK5" s="304"/>
      <c r="AL5" s="304"/>
      <c r="AM5" s="304"/>
      <c r="AN5" s="304"/>
      <c r="AO5" s="304"/>
      <c r="AP5" s="304"/>
      <c r="AQ5" s="305"/>
      <c r="AR5" s="195"/>
      <c r="AS5" s="196" t="s">
        <v>795</v>
      </c>
      <c r="AT5" s="197">
        <v>3.56E-2</v>
      </c>
      <c r="AU5" s="189" t="s">
        <v>796</v>
      </c>
      <c r="AV5" s="306"/>
      <c r="AW5" s="307"/>
      <c r="AY5" s="190" t="s">
        <v>797</v>
      </c>
      <c r="AZ5" s="191"/>
      <c r="BA5" s="192"/>
    </row>
    <row r="6" spans="1:53" ht="14.65" customHeight="1" x14ac:dyDescent="0.15">
      <c r="A6" s="343"/>
      <c r="B6" s="316"/>
      <c r="C6" s="315"/>
      <c r="D6" s="316"/>
      <c r="E6" s="302"/>
      <c r="F6" s="302"/>
      <c r="G6" s="302"/>
      <c r="H6" s="302"/>
      <c r="I6" s="302"/>
      <c r="J6" s="302"/>
      <c r="K6" s="302"/>
      <c r="L6" s="312"/>
      <c r="M6" s="312"/>
      <c r="N6" s="312"/>
      <c r="O6" s="312"/>
      <c r="P6" s="312"/>
      <c r="Q6" s="312"/>
      <c r="R6" s="312"/>
      <c r="S6" s="304"/>
      <c r="T6" s="304"/>
      <c r="U6" s="304"/>
      <c r="V6" s="304"/>
      <c r="W6" s="304"/>
      <c r="X6" s="304"/>
      <c r="Y6" s="304"/>
      <c r="Z6" s="304"/>
      <c r="AA6" s="304"/>
      <c r="AB6" s="304"/>
      <c r="AC6" s="304"/>
      <c r="AD6" s="304"/>
      <c r="AE6" s="304"/>
      <c r="AF6" s="304"/>
      <c r="AG6" s="304"/>
      <c r="AH6" s="304"/>
      <c r="AI6" s="304"/>
      <c r="AJ6" s="304"/>
      <c r="AK6" s="304"/>
      <c r="AL6" s="304"/>
      <c r="AM6" s="304"/>
      <c r="AN6" s="304"/>
      <c r="AO6" s="304"/>
      <c r="AP6" s="304"/>
      <c r="AQ6" s="305"/>
      <c r="AR6" s="195"/>
      <c r="AS6" s="196" t="s">
        <v>798</v>
      </c>
      <c r="AT6" s="197">
        <v>1.01E-2</v>
      </c>
      <c r="AU6" s="189" t="s">
        <v>799</v>
      </c>
      <c r="AV6" s="287">
        <f>총괄표!N29</f>
        <v>40242</v>
      </c>
      <c r="AW6" s="288"/>
      <c r="AY6" s="190" t="s">
        <v>800</v>
      </c>
      <c r="AZ6" s="191"/>
      <c r="BA6" s="192"/>
    </row>
    <row r="7" spans="1:53" ht="14.65" customHeight="1" x14ac:dyDescent="0.15">
      <c r="A7" s="343"/>
      <c r="B7" s="316"/>
      <c r="C7" s="317"/>
      <c r="D7" s="318"/>
      <c r="E7" s="298" t="s">
        <v>801</v>
      </c>
      <c r="F7" s="298"/>
      <c r="G7" s="298"/>
      <c r="H7" s="298"/>
      <c r="I7" s="298"/>
      <c r="J7" s="298"/>
      <c r="K7" s="298"/>
      <c r="L7" s="299">
        <f>SUM(L4:R6)</f>
        <v>2473176</v>
      </c>
      <c r="M7" s="299"/>
      <c r="N7" s="299"/>
      <c r="O7" s="299"/>
      <c r="P7" s="299"/>
      <c r="Q7" s="299"/>
      <c r="R7" s="299"/>
      <c r="S7" s="300"/>
      <c r="T7" s="300"/>
      <c r="U7" s="300"/>
      <c r="V7" s="300"/>
      <c r="W7" s="300"/>
      <c r="X7" s="300"/>
      <c r="Y7" s="300"/>
      <c r="Z7" s="300"/>
      <c r="AA7" s="300"/>
      <c r="AB7" s="300"/>
      <c r="AC7" s="300"/>
      <c r="AD7" s="300"/>
      <c r="AE7" s="300"/>
      <c r="AF7" s="300"/>
      <c r="AG7" s="300"/>
      <c r="AH7" s="300"/>
      <c r="AI7" s="300"/>
      <c r="AJ7" s="300"/>
      <c r="AK7" s="300"/>
      <c r="AL7" s="300"/>
      <c r="AM7" s="300"/>
      <c r="AN7" s="300"/>
      <c r="AO7" s="300"/>
      <c r="AP7" s="300"/>
      <c r="AQ7" s="301"/>
      <c r="AR7" s="198"/>
      <c r="AS7" s="196" t="s">
        <v>802</v>
      </c>
      <c r="AT7" s="197">
        <v>3.5950000000000003E-2</v>
      </c>
      <c r="AU7" s="199" t="s">
        <v>803</v>
      </c>
      <c r="AV7" s="287"/>
      <c r="AW7" s="288"/>
      <c r="AY7" s="190" t="s">
        <v>804</v>
      </c>
      <c r="AZ7" s="200"/>
    </row>
    <row r="8" spans="1:53" ht="14.65" customHeight="1" x14ac:dyDescent="0.15">
      <c r="A8" s="343"/>
      <c r="B8" s="316"/>
      <c r="C8" s="313" t="s">
        <v>42</v>
      </c>
      <c r="D8" s="314"/>
      <c r="E8" s="308" t="s">
        <v>805</v>
      </c>
      <c r="F8" s="308"/>
      <c r="G8" s="308"/>
      <c r="H8" s="308"/>
      <c r="I8" s="308"/>
      <c r="J8" s="308"/>
      <c r="K8" s="308"/>
      <c r="L8" s="309">
        <f>AV4</f>
        <v>8661025</v>
      </c>
      <c r="M8" s="309"/>
      <c r="N8" s="309"/>
      <c r="O8" s="309"/>
      <c r="P8" s="309"/>
      <c r="Q8" s="309"/>
      <c r="R8" s="309"/>
      <c r="S8" s="310"/>
      <c r="T8" s="310"/>
      <c r="U8" s="310"/>
      <c r="V8" s="310"/>
      <c r="W8" s="310"/>
      <c r="X8" s="310"/>
      <c r="Y8" s="310"/>
      <c r="Z8" s="310"/>
      <c r="AA8" s="310"/>
      <c r="AB8" s="310"/>
      <c r="AC8" s="310"/>
      <c r="AD8" s="310"/>
      <c r="AE8" s="310"/>
      <c r="AF8" s="310"/>
      <c r="AG8" s="310"/>
      <c r="AH8" s="310"/>
      <c r="AI8" s="310"/>
      <c r="AJ8" s="310"/>
      <c r="AK8" s="310"/>
      <c r="AL8" s="310"/>
      <c r="AM8" s="310"/>
      <c r="AN8" s="310"/>
      <c r="AO8" s="310"/>
      <c r="AP8" s="310"/>
      <c r="AQ8" s="311"/>
      <c r="AR8" s="193"/>
      <c r="AS8" s="196" t="s">
        <v>806</v>
      </c>
      <c r="AT8" s="197">
        <v>4.7500000000000001E-2</v>
      </c>
      <c r="AU8" s="189" t="s">
        <v>807</v>
      </c>
      <c r="AV8" s="287"/>
      <c r="AW8" s="288"/>
    </row>
    <row r="9" spans="1:53" ht="14.65" customHeight="1" x14ac:dyDescent="0.15">
      <c r="A9" s="343"/>
      <c r="B9" s="316"/>
      <c r="C9" s="315"/>
      <c r="D9" s="316"/>
      <c r="E9" s="302" t="s">
        <v>808</v>
      </c>
      <c r="F9" s="302"/>
      <c r="G9" s="302"/>
      <c r="H9" s="302"/>
      <c r="I9" s="302"/>
      <c r="J9" s="302"/>
      <c r="K9" s="302"/>
      <c r="L9" s="303">
        <f>ROUNDDOWN($L$8*$AT$3,0)</f>
        <v>1515679</v>
      </c>
      <c r="M9" s="303"/>
      <c r="N9" s="303"/>
      <c r="O9" s="303"/>
      <c r="P9" s="303"/>
      <c r="Q9" s="303"/>
      <c r="R9" s="303"/>
      <c r="S9" s="304" t="str">
        <f>CONCATENATE(" (직노)x",AT3*100,"%")</f>
        <v xml:space="preserve"> (직노)x17.5%</v>
      </c>
      <c r="T9" s="304"/>
      <c r="U9" s="304"/>
      <c r="V9" s="304"/>
      <c r="W9" s="304"/>
      <c r="X9" s="304"/>
      <c r="Y9" s="304"/>
      <c r="Z9" s="304"/>
      <c r="AA9" s="304"/>
      <c r="AB9" s="304"/>
      <c r="AC9" s="304"/>
      <c r="AD9" s="304"/>
      <c r="AE9" s="304"/>
      <c r="AF9" s="304"/>
      <c r="AG9" s="304"/>
      <c r="AH9" s="304"/>
      <c r="AI9" s="304"/>
      <c r="AJ9" s="304"/>
      <c r="AK9" s="304"/>
      <c r="AL9" s="304"/>
      <c r="AM9" s="304"/>
      <c r="AN9" s="304"/>
      <c r="AO9" s="304"/>
      <c r="AP9" s="304"/>
      <c r="AQ9" s="305"/>
      <c r="AR9" s="195"/>
      <c r="AS9" s="201" t="s">
        <v>809</v>
      </c>
      <c r="AT9" s="197">
        <v>0.13139999999999999</v>
      </c>
      <c r="AU9" s="189" t="s">
        <v>810</v>
      </c>
      <c r="AV9" s="287"/>
      <c r="AW9" s="288"/>
    </row>
    <row r="10" spans="1:53" ht="14.65" customHeight="1" x14ac:dyDescent="0.15">
      <c r="A10" s="343"/>
      <c r="B10" s="316"/>
      <c r="C10" s="317"/>
      <c r="D10" s="318"/>
      <c r="E10" s="298" t="s">
        <v>801</v>
      </c>
      <c r="F10" s="298"/>
      <c r="G10" s="298"/>
      <c r="H10" s="298"/>
      <c r="I10" s="298"/>
      <c r="J10" s="298"/>
      <c r="K10" s="298"/>
      <c r="L10" s="299">
        <f>SUM(L8:R9)</f>
        <v>10176704</v>
      </c>
      <c r="M10" s="299"/>
      <c r="N10" s="299"/>
      <c r="O10" s="299"/>
      <c r="P10" s="299"/>
      <c r="Q10" s="299"/>
      <c r="R10" s="299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/>
      <c r="AJ10" s="300"/>
      <c r="AK10" s="300"/>
      <c r="AL10" s="300"/>
      <c r="AM10" s="300"/>
      <c r="AN10" s="300"/>
      <c r="AO10" s="300"/>
      <c r="AP10" s="300"/>
      <c r="AQ10" s="301"/>
      <c r="AR10" s="198"/>
      <c r="AS10" s="202" t="s">
        <v>811</v>
      </c>
      <c r="AT10" s="203">
        <f>IF((L7+L10+L24)&gt;10000000000,4.5%,IF((L7+L10+L24)&gt;=3000000000,5%,IF((L7+L10+L24)&gt;=500000000,6.5%,IF((L7+L10+L24)&lt;500000000,8%))))</f>
        <v>0.08</v>
      </c>
      <c r="AU10" s="199" t="s">
        <v>812</v>
      </c>
      <c r="AV10" s="287">
        <f>INT((AV9/1.1)-AZ17)</f>
        <v>0</v>
      </c>
      <c r="AW10" s="288"/>
      <c r="AY10" s="319" t="s">
        <v>813</v>
      </c>
      <c r="AZ10" s="320"/>
    </row>
    <row r="11" spans="1:53" ht="14.65" customHeight="1" x14ac:dyDescent="0.15">
      <c r="A11" s="343"/>
      <c r="B11" s="316"/>
      <c r="C11" s="313" t="s">
        <v>814</v>
      </c>
      <c r="D11" s="314"/>
      <c r="E11" s="308" t="s">
        <v>815</v>
      </c>
      <c r="F11" s="308"/>
      <c r="G11" s="308"/>
      <c r="H11" s="308"/>
      <c r="I11" s="308"/>
      <c r="J11" s="308"/>
      <c r="K11" s="308"/>
      <c r="L11" s="309">
        <f>AV6</f>
        <v>40242</v>
      </c>
      <c r="M11" s="309"/>
      <c r="N11" s="309"/>
      <c r="O11" s="309"/>
      <c r="P11" s="309"/>
      <c r="Q11" s="309"/>
      <c r="R11" s="309"/>
      <c r="S11" s="310"/>
      <c r="T11" s="310"/>
      <c r="U11" s="310"/>
      <c r="V11" s="310"/>
      <c r="W11" s="310"/>
      <c r="X11" s="310"/>
      <c r="Y11" s="310"/>
      <c r="Z11" s="310"/>
      <c r="AA11" s="310"/>
      <c r="AB11" s="310"/>
      <c r="AC11" s="310"/>
      <c r="AD11" s="310"/>
      <c r="AE11" s="310"/>
      <c r="AF11" s="310"/>
      <c r="AG11" s="310"/>
      <c r="AH11" s="310"/>
      <c r="AI11" s="310"/>
      <c r="AJ11" s="310"/>
      <c r="AK11" s="310"/>
      <c r="AL11" s="310"/>
      <c r="AM11" s="310"/>
      <c r="AN11" s="310"/>
      <c r="AO11" s="310"/>
      <c r="AP11" s="310"/>
      <c r="AQ11" s="311"/>
      <c r="AR11" s="193"/>
      <c r="AS11" s="204" t="s">
        <v>816</v>
      </c>
      <c r="AT11" s="205">
        <f>IF($AW$13=1,AW24,IF($AW$14=1,AW25,IF($AW$15=1,AW26,IF($AW$16=1,AW27))))</f>
        <v>0.05</v>
      </c>
      <c r="AU11" s="189" t="s">
        <v>817</v>
      </c>
      <c r="AV11" s="287"/>
      <c r="AW11" s="288"/>
      <c r="AY11" s="206" t="s">
        <v>818</v>
      </c>
      <c r="AZ11" s="207"/>
    </row>
    <row r="12" spans="1:53" ht="14.65" customHeight="1" x14ac:dyDescent="0.15">
      <c r="A12" s="343"/>
      <c r="B12" s="316"/>
      <c r="C12" s="315"/>
      <c r="D12" s="316"/>
      <c r="E12" s="302" t="s">
        <v>819</v>
      </c>
      <c r="F12" s="302"/>
      <c r="G12" s="302"/>
      <c r="H12" s="302"/>
      <c r="I12" s="302"/>
      <c r="J12" s="302"/>
      <c r="K12" s="302"/>
      <c r="L12" s="303">
        <f>ROUNDDOWN($L$10*$AT$5,0)</f>
        <v>362290</v>
      </c>
      <c r="M12" s="303"/>
      <c r="N12" s="303"/>
      <c r="O12" s="303"/>
      <c r="P12" s="303"/>
      <c r="Q12" s="303"/>
      <c r="R12" s="303"/>
      <c r="S12" s="304" t="str">
        <f>CONCATENATE(" (노)x",AT5*100,"%")</f>
        <v xml:space="preserve"> (노)x3.56%</v>
      </c>
      <c r="T12" s="304"/>
      <c r="U12" s="304"/>
      <c r="V12" s="304"/>
      <c r="W12" s="304"/>
      <c r="X12" s="304"/>
      <c r="Y12" s="304"/>
      <c r="Z12" s="304"/>
      <c r="AA12" s="304"/>
      <c r="AB12" s="304"/>
      <c r="AC12" s="304" t="s">
        <v>35</v>
      </c>
      <c r="AD12" s="304"/>
      <c r="AE12" s="304"/>
      <c r="AF12" s="304"/>
      <c r="AG12" s="304"/>
      <c r="AH12" s="304"/>
      <c r="AI12" s="304"/>
      <c r="AJ12" s="304"/>
      <c r="AK12" s="304"/>
      <c r="AL12" s="304"/>
      <c r="AM12" s="304"/>
      <c r="AN12" s="304"/>
      <c r="AO12" s="304"/>
      <c r="AP12" s="304"/>
      <c r="AQ12" s="305"/>
      <c r="AR12" s="195"/>
      <c r="AS12" s="204" t="s">
        <v>820</v>
      </c>
      <c r="AT12" s="205">
        <v>0</v>
      </c>
      <c r="AU12" s="208" t="s">
        <v>821</v>
      </c>
      <c r="AV12" s="321">
        <f>L37</f>
        <v>19485000</v>
      </c>
      <c r="AW12" s="322"/>
      <c r="AY12" s="206" t="s">
        <v>822</v>
      </c>
      <c r="AZ12" s="209">
        <v>15</v>
      </c>
    </row>
    <row r="13" spans="1:53" ht="14.65" customHeight="1" x14ac:dyDescent="0.15">
      <c r="A13" s="343"/>
      <c r="B13" s="316"/>
      <c r="C13" s="315"/>
      <c r="D13" s="316"/>
      <c r="E13" s="302" t="s">
        <v>823</v>
      </c>
      <c r="F13" s="302"/>
      <c r="G13" s="302"/>
      <c r="H13" s="302"/>
      <c r="I13" s="302"/>
      <c r="J13" s="302"/>
      <c r="K13" s="302"/>
      <c r="L13" s="303">
        <f>ROUNDDOWN($L$10*$AT$6,0)</f>
        <v>102784</v>
      </c>
      <c r="M13" s="303"/>
      <c r="N13" s="303"/>
      <c r="O13" s="303"/>
      <c r="P13" s="303"/>
      <c r="Q13" s="303"/>
      <c r="R13" s="303"/>
      <c r="S13" s="304" t="str">
        <f>CONCATENATE(" (노)x",AT6*100,"%")</f>
        <v xml:space="preserve"> (노)x1.01%</v>
      </c>
      <c r="T13" s="304"/>
      <c r="U13" s="304"/>
      <c r="V13" s="304"/>
      <c r="W13" s="304"/>
      <c r="X13" s="304"/>
      <c r="Y13" s="304"/>
      <c r="Z13" s="304"/>
      <c r="AA13" s="304"/>
      <c r="AB13" s="304"/>
      <c r="AC13" s="304" t="s">
        <v>35</v>
      </c>
      <c r="AD13" s="304"/>
      <c r="AE13" s="304"/>
      <c r="AF13" s="304"/>
      <c r="AG13" s="304"/>
      <c r="AH13" s="304"/>
      <c r="AI13" s="304"/>
      <c r="AJ13" s="304"/>
      <c r="AK13" s="304"/>
      <c r="AL13" s="304"/>
      <c r="AM13" s="304"/>
      <c r="AN13" s="304"/>
      <c r="AO13" s="304"/>
      <c r="AP13" s="304"/>
      <c r="AQ13" s="305"/>
      <c r="AR13" s="195"/>
      <c r="AS13" s="204" t="s">
        <v>824</v>
      </c>
      <c r="AT13" s="205"/>
      <c r="AU13" s="323" t="s">
        <v>825</v>
      </c>
      <c r="AV13" s="210" t="s">
        <v>826</v>
      </c>
      <c r="AW13" s="211">
        <v>1</v>
      </c>
      <c r="AY13" s="206" t="s">
        <v>827</v>
      </c>
      <c r="AZ13" s="209">
        <f>IF((L32+L36)&gt;4000000000,BA29,IF((L32+L36)&gt;=2000000000,BA28,IF((L32+L36)&gt;=300000000,BA27,IF((L32+L36)&lt;300000000,BA26))))</f>
        <v>220000</v>
      </c>
    </row>
    <row r="14" spans="1:53" ht="14.65" customHeight="1" x14ac:dyDescent="0.15">
      <c r="A14" s="343"/>
      <c r="B14" s="316"/>
      <c r="C14" s="315"/>
      <c r="D14" s="316"/>
      <c r="E14" s="326" t="s">
        <v>828</v>
      </c>
      <c r="F14" s="327"/>
      <c r="G14" s="327"/>
      <c r="H14" s="327"/>
      <c r="I14" s="327"/>
      <c r="J14" s="327"/>
      <c r="K14" s="328"/>
      <c r="L14" s="303">
        <f>ROUNDDOWN($L$8*$AT$7,0)</f>
        <v>311363</v>
      </c>
      <c r="M14" s="303"/>
      <c r="N14" s="303"/>
      <c r="O14" s="303"/>
      <c r="P14" s="303"/>
      <c r="Q14" s="303"/>
      <c r="R14" s="303"/>
      <c r="S14" s="304" t="str">
        <f>CONCATENATE(" (직노)x",AT7*100,"%")</f>
        <v xml:space="preserve"> (직노)x3.595%</v>
      </c>
      <c r="T14" s="304"/>
      <c r="U14" s="304"/>
      <c r="V14" s="304"/>
      <c r="W14" s="304"/>
      <c r="X14" s="304"/>
      <c r="Y14" s="304"/>
      <c r="Z14" s="304"/>
      <c r="AA14" s="304"/>
      <c r="AB14" s="304"/>
      <c r="AC14" s="326"/>
      <c r="AD14" s="327"/>
      <c r="AE14" s="327"/>
      <c r="AF14" s="327"/>
      <c r="AG14" s="327"/>
      <c r="AH14" s="327"/>
      <c r="AI14" s="327"/>
      <c r="AJ14" s="327"/>
      <c r="AK14" s="327"/>
      <c r="AL14" s="327"/>
      <c r="AM14" s="327"/>
      <c r="AN14" s="327"/>
      <c r="AO14" s="327"/>
      <c r="AP14" s="327"/>
      <c r="AQ14" s="329"/>
      <c r="AR14" s="33"/>
      <c r="AS14" s="212" t="s">
        <v>37</v>
      </c>
      <c r="AT14" s="213">
        <f>IF(L25+L26&gt;=100000000000,9%,IF(L25+L26&gt;=30000000000,10%,IF(L25+L26&gt;=5000000000,12%,IF((L25+L26)&lt;5000000000,15%))))</f>
        <v>0.15</v>
      </c>
      <c r="AU14" s="324"/>
      <c r="AV14" s="210" t="s">
        <v>829</v>
      </c>
      <c r="AW14" s="211"/>
      <c r="AY14" s="214" t="s">
        <v>830</v>
      </c>
      <c r="AZ14" s="215">
        <f>ROUNDDOWN((AZ11/15)*AZ13,0)</f>
        <v>0</v>
      </c>
    </row>
    <row r="15" spans="1:53" ht="14.65" customHeight="1" x14ac:dyDescent="0.15">
      <c r="A15" s="343"/>
      <c r="B15" s="316"/>
      <c r="C15" s="315"/>
      <c r="D15" s="316"/>
      <c r="E15" s="326" t="s">
        <v>831</v>
      </c>
      <c r="F15" s="327"/>
      <c r="G15" s="327"/>
      <c r="H15" s="327"/>
      <c r="I15" s="327"/>
      <c r="J15" s="327"/>
      <c r="K15" s="328"/>
      <c r="L15" s="303">
        <f>ROUNDDOWN($L$8*$AT$8,0)</f>
        <v>411398</v>
      </c>
      <c r="M15" s="303"/>
      <c r="N15" s="303"/>
      <c r="O15" s="303"/>
      <c r="P15" s="303"/>
      <c r="Q15" s="303"/>
      <c r="R15" s="303"/>
      <c r="S15" s="304" t="str">
        <f>CONCATENATE(" (직노)x",AT8*100,"%")</f>
        <v xml:space="preserve"> (직노)x4.75%</v>
      </c>
      <c r="T15" s="304"/>
      <c r="U15" s="304"/>
      <c r="V15" s="304"/>
      <c r="W15" s="304"/>
      <c r="X15" s="304"/>
      <c r="Y15" s="304"/>
      <c r="Z15" s="304"/>
      <c r="AA15" s="304"/>
      <c r="AB15" s="304"/>
      <c r="AC15" s="326"/>
      <c r="AD15" s="327"/>
      <c r="AE15" s="327"/>
      <c r="AF15" s="327"/>
      <c r="AG15" s="327"/>
      <c r="AH15" s="327"/>
      <c r="AI15" s="327"/>
      <c r="AJ15" s="327"/>
      <c r="AK15" s="327"/>
      <c r="AL15" s="327"/>
      <c r="AM15" s="327"/>
      <c r="AN15" s="327"/>
      <c r="AO15" s="327"/>
      <c r="AP15" s="327"/>
      <c r="AQ15" s="329"/>
      <c r="AR15" s="33"/>
      <c r="AS15" s="216"/>
      <c r="AT15" s="217"/>
      <c r="AU15" s="324"/>
      <c r="AV15" s="210" t="s">
        <v>832</v>
      </c>
      <c r="AW15" s="211"/>
      <c r="AY15" s="218" t="s">
        <v>833</v>
      </c>
    </row>
    <row r="16" spans="1:53" ht="14.65" customHeight="1" x14ac:dyDescent="0.15">
      <c r="A16" s="343"/>
      <c r="B16" s="316"/>
      <c r="C16" s="315"/>
      <c r="D16" s="316"/>
      <c r="E16" s="326" t="s">
        <v>809</v>
      </c>
      <c r="F16" s="327"/>
      <c r="G16" s="327"/>
      <c r="H16" s="327"/>
      <c r="I16" s="327"/>
      <c r="J16" s="327"/>
      <c r="K16" s="328"/>
      <c r="L16" s="303">
        <f>ROUNDDOWN($L$14*$AT$9,0)</f>
        <v>40913</v>
      </c>
      <c r="M16" s="303"/>
      <c r="N16" s="303"/>
      <c r="O16" s="303"/>
      <c r="P16" s="303"/>
      <c r="Q16" s="303"/>
      <c r="R16" s="303"/>
      <c r="S16" s="304" t="str">
        <f>CONCATENATE(" (건강보험료)x",AT9*100,"%")</f>
        <v xml:space="preserve"> (건강보험료)x13.14%</v>
      </c>
      <c r="T16" s="304"/>
      <c r="U16" s="304"/>
      <c r="V16" s="304"/>
      <c r="W16" s="304"/>
      <c r="X16" s="304"/>
      <c r="Y16" s="304"/>
      <c r="Z16" s="304"/>
      <c r="AA16" s="304"/>
      <c r="AB16" s="304"/>
      <c r="AC16" s="326"/>
      <c r="AD16" s="327"/>
      <c r="AE16" s="327"/>
      <c r="AF16" s="327"/>
      <c r="AG16" s="327"/>
      <c r="AH16" s="327"/>
      <c r="AI16" s="327"/>
      <c r="AJ16" s="327"/>
      <c r="AK16" s="327"/>
      <c r="AL16" s="327"/>
      <c r="AM16" s="327"/>
      <c r="AN16" s="327"/>
      <c r="AO16" s="327"/>
      <c r="AP16" s="327"/>
      <c r="AQ16" s="329"/>
      <c r="AR16" s="33"/>
      <c r="AS16" s="216"/>
      <c r="AT16" s="217"/>
      <c r="AU16" s="325"/>
      <c r="AV16" s="210" t="s">
        <v>834</v>
      </c>
      <c r="AW16" s="211"/>
    </row>
    <row r="17" spans="1:53" ht="14.65" customHeight="1" x14ac:dyDescent="0.15">
      <c r="A17" s="343"/>
      <c r="B17" s="316"/>
      <c r="C17" s="315"/>
      <c r="D17" s="316"/>
      <c r="E17" s="302" t="s">
        <v>835</v>
      </c>
      <c r="F17" s="302"/>
      <c r="G17" s="302"/>
      <c r="H17" s="302"/>
      <c r="I17" s="302"/>
      <c r="J17" s="302"/>
      <c r="K17" s="302"/>
      <c r="L17" s="303">
        <f>MIN(AT30,AT31)</f>
        <v>0</v>
      </c>
      <c r="M17" s="303"/>
      <c r="N17" s="303"/>
      <c r="O17" s="303"/>
      <c r="P17" s="303"/>
      <c r="Q17" s="303"/>
      <c r="R17" s="303"/>
      <c r="S17" s="331" t="str">
        <f>AU32</f>
        <v xml:space="preserve"> (재＋직노)×0%</v>
      </c>
      <c r="T17" s="331"/>
      <c r="U17" s="331"/>
      <c r="V17" s="331"/>
      <c r="W17" s="331"/>
      <c r="X17" s="331"/>
      <c r="Y17" s="331"/>
      <c r="Z17" s="331"/>
      <c r="AA17" s="331"/>
      <c r="AB17" s="331"/>
      <c r="AC17" s="304" t="s">
        <v>836</v>
      </c>
      <c r="AD17" s="304"/>
      <c r="AE17" s="304"/>
      <c r="AF17" s="304"/>
      <c r="AG17" s="304"/>
      <c r="AH17" s="304"/>
      <c r="AI17" s="304"/>
      <c r="AJ17" s="304"/>
      <c r="AK17" s="304"/>
      <c r="AL17" s="304"/>
      <c r="AM17" s="304"/>
      <c r="AN17" s="304"/>
      <c r="AO17" s="304"/>
      <c r="AP17" s="304"/>
      <c r="AQ17" s="305"/>
      <c r="AR17" s="195"/>
      <c r="AS17" s="219"/>
      <c r="AT17" s="220"/>
      <c r="AU17" s="323" t="s">
        <v>837</v>
      </c>
      <c r="AV17" s="210" t="s">
        <v>826</v>
      </c>
      <c r="AW17" s="221">
        <v>0.17499999999999999</v>
      </c>
      <c r="AY17" s="121" t="s">
        <v>838</v>
      </c>
      <c r="AZ17" s="222"/>
    </row>
    <row r="18" spans="1:53" ht="14.65" customHeight="1" x14ac:dyDescent="0.15">
      <c r="A18" s="343"/>
      <c r="B18" s="316"/>
      <c r="C18" s="315"/>
      <c r="D18" s="316"/>
      <c r="E18" s="302" t="s">
        <v>839</v>
      </c>
      <c r="F18" s="302"/>
      <c r="G18" s="302"/>
      <c r="H18" s="302"/>
      <c r="I18" s="302"/>
      <c r="J18" s="302"/>
      <c r="K18" s="302"/>
      <c r="L18" s="303">
        <f>ROUNDDOWN(($L$7+$L$10)*$AT$11,0)</f>
        <v>632494</v>
      </c>
      <c r="M18" s="303"/>
      <c r="N18" s="303"/>
      <c r="O18" s="303"/>
      <c r="P18" s="303"/>
      <c r="Q18" s="303"/>
      <c r="R18" s="303"/>
      <c r="S18" s="304" t="str">
        <f>CONCATENATE(" (재+노)x",AT11*100,"%")</f>
        <v xml:space="preserve"> (재+노)x5%</v>
      </c>
      <c r="T18" s="304"/>
      <c r="U18" s="304"/>
      <c r="V18" s="304"/>
      <c r="W18" s="304"/>
      <c r="X18" s="304"/>
      <c r="Y18" s="304"/>
      <c r="Z18" s="304"/>
      <c r="AA18" s="304"/>
      <c r="AB18" s="304"/>
      <c r="AC18" s="304"/>
      <c r="AD18" s="304"/>
      <c r="AE18" s="304"/>
      <c r="AF18" s="304"/>
      <c r="AG18" s="304"/>
      <c r="AH18" s="304"/>
      <c r="AI18" s="304"/>
      <c r="AJ18" s="304"/>
      <c r="AK18" s="304"/>
      <c r="AL18" s="304"/>
      <c r="AM18" s="304"/>
      <c r="AN18" s="304"/>
      <c r="AO18" s="304"/>
      <c r="AP18" s="304"/>
      <c r="AQ18" s="305"/>
      <c r="AR18" s="195"/>
      <c r="AS18" s="204" t="s">
        <v>840</v>
      </c>
      <c r="AT18" s="205">
        <v>6.0000000000000002E-5</v>
      </c>
      <c r="AU18" s="324"/>
      <c r="AV18" s="210" t="s">
        <v>829</v>
      </c>
      <c r="AW18" s="221">
        <v>0.17899999999999999</v>
      </c>
    </row>
    <row r="19" spans="1:53" ht="14.65" customHeight="1" x14ac:dyDescent="0.15">
      <c r="A19" s="343"/>
      <c r="B19" s="316"/>
      <c r="C19" s="315"/>
      <c r="D19" s="316"/>
      <c r="E19" s="302" t="s">
        <v>824</v>
      </c>
      <c r="F19" s="302"/>
      <c r="G19" s="302"/>
      <c r="H19" s="302"/>
      <c r="I19" s="302"/>
      <c r="J19" s="302"/>
      <c r="K19" s="302"/>
      <c r="L19" s="303">
        <f>ROUNDDOWN($L$8*$AT$13,0)</f>
        <v>0</v>
      </c>
      <c r="M19" s="303"/>
      <c r="N19" s="303"/>
      <c r="O19" s="303"/>
      <c r="P19" s="303"/>
      <c r="Q19" s="303"/>
      <c r="R19" s="303"/>
      <c r="S19" s="304" t="str">
        <f>CONCATENATE(" (직노)x",AT13*100,"%")</f>
        <v xml:space="preserve"> (직노)x0%</v>
      </c>
      <c r="T19" s="304"/>
      <c r="U19" s="304"/>
      <c r="V19" s="304"/>
      <c r="W19" s="304"/>
      <c r="X19" s="304"/>
      <c r="Y19" s="304"/>
      <c r="Z19" s="304"/>
      <c r="AA19" s="304"/>
      <c r="AB19" s="304"/>
      <c r="AC19" s="304" t="s">
        <v>841</v>
      </c>
      <c r="AD19" s="304"/>
      <c r="AE19" s="304"/>
      <c r="AF19" s="304"/>
      <c r="AG19" s="304"/>
      <c r="AH19" s="304"/>
      <c r="AI19" s="304"/>
      <c r="AJ19" s="304"/>
      <c r="AK19" s="304"/>
      <c r="AL19" s="304"/>
      <c r="AM19" s="304"/>
      <c r="AN19" s="304"/>
      <c r="AO19" s="304"/>
      <c r="AP19" s="304"/>
      <c r="AQ19" s="305"/>
      <c r="AR19" s="195"/>
      <c r="AS19" s="204" t="s">
        <v>842</v>
      </c>
      <c r="AT19" s="205">
        <v>8.9999999999999998E-4</v>
      </c>
      <c r="AU19" s="324"/>
      <c r="AV19" s="210" t="s">
        <v>832</v>
      </c>
      <c r="AW19" s="221">
        <v>0.182</v>
      </c>
    </row>
    <row r="20" spans="1:53" ht="14.65" hidden="1" customHeight="1" x14ac:dyDescent="0.15">
      <c r="A20" s="343"/>
      <c r="B20" s="316"/>
      <c r="C20" s="315"/>
      <c r="D20" s="316"/>
      <c r="E20" s="330" t="s">
        <v>843</v>
      </c>
      <c r="F20" s="330"/>
      <c r="G20" s="330"/>
      <c r="H20" s="330"/>
      <c r="I20" s="330"/>
      <c r="J20" s="330"/>
      <c r="K20" s="330"/>
      <c r="L20" s="303">
        <f>ROUNDDOWN((($L$7+$L$8+$L$11)*$AT$12),0)</f>
        <v>0</v>
      </c>
      <c r="M20" s="303"/>
      <c r="N20" s="303"/>
      <c r="O20" s="303"/>
      <c r="P20" s="303"/>
      <c r="Q20" s="303"/>
      <c r="R20" s="303"/>
      <c r="S20" s="304" t="str">
        <f>CONCATENATE(" (재+직노+산경)x",AT12*100,"%")</f>
        <v xml:space="preserve"> (재+직노+산경)x0%</v>
      </c>
      <c r="T20" s="304"/>
      <c r="U20" s="304"/>
      <c r="V20" s="304"/>
      <c r="W20" s="304"/>
      <c r="X20" s="304"/>
      <c r="Y20" s="304"/>
      <c r="Z20" s="304"/>
      <c r="AA20" s="304"/>
      <c r="AB20" s="304"/>
      <c r="AC20" s="304"/>
      <c r="AD20" s="304"/>
      <c r="AE20" s="304"/>
      <c r="AF20" s="304"/>
      <c r="AG20" s="304"/>
      <c r="AH20" s="304"/>
      <c r="AI20" s="304"/>
      <c r="AJ20" s="304"/>
      <c r="AK20" s="304"/>
      <c r="AL20" s="304"/>
      <c r="AM20" s="304"/>
      <c r="AN20" s="304"/>
      <c r="AO20" s="304"/>
      <c r="AP20" s="304"/>
      <c r="AQ20" s="305"/>
      <c r="AR20" s="195"/>
      <c r="AS20" s="223"/>
      <c r="AT20" s="224"/>
      <c r="AU20" s="325"/>
      <c r="AV20" s="210" t="s">
        <v>834</v>
      </c>
      <c r="AW20" s="221">
        <v>0.19400000000000001</v>
      </c>
    </row>
    <row r="21" spans="1:53" ht="14.65" hidden="1" customHeight="1" x14ac:dyDescent="0.15">
      <c r="A21" s="343"/>
      <c r="B21" s="316"/>
      <c r="C21" s="315"/>
      <c r="D21" s="316"/>
      <c r="E21" s="332" t="s">
        <v>844</v>
      </c>
      <c r="F21" s="333"/>
      <c r="G21" s="333"/>
      <c r="H21" s="333"/>
      <c r="I21" s="333"/>
      <c r="J21" s="333"/>
      <c r="K21" s="333"/>
      <c r="L21" s="303">
        <f>ROUNDDOWN((($L$7+$L$8+$L$11)*$AT$15),0)</f>
        <v>0</v>
      </c>
      <c r="M21" s="303"/>
      <c r="N21" s="303"/>
      <c r="O21" s="303"/>
      <c r="P21" s="303"/>
      <c r="Q21" s="303"/>
      <c r="R21" s="303"/>
      <c r="S21" s="304" t="str">
        <f>CONCATENATE(" (재+직노+산경)x",AT15*100,"%")</f>
        <v xml:space="preserve"> (재+직노+산경)x0%</v>
      </c>
      <c r="T21" s="304"/>
      <c r="U21" s="304"/>
      <c r="V21" s="304"/>
      <c r="W21" s="304"/>
      <c r="X21" s="304"/>
      <c r="Y21" s="304"/>
      <c r="Z21" s="304"/>
      <c r="AA21" s="304"/>
      <c r="AB21" s="304"/>
      <c r="AC21" s="304"/>
      <c r="AD21" s="304"/>
      <c r="AE21" s="304"/>
      <c r="AF21" s="304"/>
      <c r="AG21" s="304"/>
      <c r="AH21" s="304"/>
      <c r="AI21" s="304"/>
      <c r="AJ21" s="304"/>
      <c r="AK21" s="304"/>
      <c r="AL21" s="304"/>
      <c r="AM21" s="304"/>
      <c r="AN21" s="304"/>
      <c r="AO21" s="304"/>
      <c r="AP21" s="304"/>
      <c r="AQ21" s="305"/>
      <c r="AR21" s="195"/>
      <c r="AT21" s="225"/>
      <c r="AV21" s="226"/>
      <c r="AW21" s="227"/>
    </row>
    <row r="22" spans="1:53" ht="14.65" customHeight="1" x14ac:dyDescent="0.15">
      <c r="A22" s="343"/>
      <c r="B22" s="316"/>
      <c r="C22" s="315"/>
      <c r="D22" s="316"/>
      <c r="E22" s="302" t="s">
        <v>845</v>
      </c>
      <c r="F22" s="302"/>
      <c r="G22" s="302"/>
      <c r="H22" s="302"/>
      <c r="I22" s="302"/>
      <c r="J22" s="302"/>
      <c r="K22" s="302"/>
      <c r="L22" s="303">
        <f>ROUNDDOWN($L$10*$AT$18,0)</f>
        <v>610</v>
      </c>
      <c r="M22" s="303"/>
      <c r="N22" s="303"/>
      <c r="O22" s="303"/>
      <c r="P22" s="303"/>
      <c r="Q22" s="303"/>
      <c r="R22" s="303"/>
      <c r="S22" s="304" t="str">
        <f>CONCATENATE(" (노)x",AT18*100,"%")</f>
        <v xml:space="preserve"> (노)x0.006%</v>
      </c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4"/>
      <c r="AM22" s="304"/>
      <c r="AN22" s="304"/>
      <c r="AO22" s="304"/>
      <c r="AP22" s="304"/>
      <c r="AQ22" s="305"/>
      <c r="AR22" s="228"/>
      <c r="AS22" s="229"/>
      <c r="AT22" s="225"/>
      <c r="AV22" s="230"/>
      <c r="AW22" s="231"/>
    </row>
    <row r="23" spans="1:53" ht="14.65" customHeight="1" x14ac:dyDescent="0.15">
      <c r="A23" s="343"/>
      <c r="B23" s="316"/>
      <c r="C23" s="315"/>
      <c r="D23" s="316"/>
      <c r="E23" s="302" t="s">
        <v>842</v>
      </c>
      <c r="F23" s="302"/>
      <c r="G23" s="302"/>
      <c r="H23" s="302"/>
      <c r="I23" s="302"/>
      <c r="J23" s="302"/>
      <c r="K23" s="302"/>
      <c r="L23" s="303">
        <f>ROUNDDOWN($L$10*$AT$19,0)</f>
        <v>9159</v>
      </c>
      <c r="M23" s="303"/>
      <c r="N23" s="303"/>
      <c r="O23" s="303"/>
      <c r="P23" s="303"/>
      <c r="Q23" s="303"/>
      <c r="R23" s="303"/>
      <c r="S23" s="304" t="str">
        <f>CONCATENATE(" (노)x",AT19*100,"%")</f>
        <v xml:space="preserve"> (노)x0.09%</v>
      </c>
      <c r="T23" s="304"/>
      <c r="U23" s="304"/>
      <c r="V23" s="304"/>
      <c r="W23" s="304"/>
      <c r="X23" s="304"/>
      <c r="Y23" s="304"/>
      <c r="Z23" s="304"/>
      <c r="AA23" s="304"/>
      <c r="AB23" s="304"/>
      <c r="AC23" s="304"/>
      <c r="AD23" s="304"/>
      <c r="AE23" s="304"/>
      <c r="AF23" s="304"/>
      <c r="AG23" s="304"/>
      <c r="AH23" s="304"/>
      <c r="AI23" s="304"/>
      <c r="AJ23" s="304"/>
      <c r="AK23" s="304"/>
      <c r="AL23" s="304"/>
      <c r="AM23" s="304"/>
      <c r="AN23" s="304"/>
      <c r="AO23" s="304"/>
      <c r="AP23" s="304"/>
      <c r="AQ23" s="305"/>
      <c r="AR23" s="228"/>
      <c r="AT23" s="225"/>
      <c r="AW23" s="232"/>
    </row>
    <row r="24" spans="1:53" ht="14.65" customHeight="1" x14ac:dyDescent="0.15">
      <c r="A24" s="343"/>
      <c r="B24" s="316"/>
      <c r="C24" s="317"/>
      <c r="D24" s="318"/>
      <c r="E24" s="298" t="s">
        <v>801</v>
      </c>
      <c r="F24" s="298"/>
      <c r="G24" s="298"/>
      <c r="H24" s="298"/>
      <c r="I24" s="298"/>
      <c r="J24" s="298"/>
      <c r="K24" s="298"/>
      <c r="L24" s="299">
        <f>SUM(L11:R23)</f>
        <v>1911253</v>
      </c>
      <c r="M24" s="299"/>
      <c r="N24" s="299"/>
      <c r="O24" s="299"/>
      <c r="P24" s="299"/>
      <c r="Q24" s="299"/>
      <c r="R24" s="299"/>
      <c r="S24" s="300"/>
      <c r="T24" s="300"/>
      <c r="U24" s="300"/>
      <c r="V24" s="300"/>
      <c r="W24" s="300"/>
      <c r="X24" s="300"/>
      <c r="Y24" s="300"/>
      <c r="Z24" s="300"/>
      <c r="AA24" s="300"/>
      <c r="AB24" s="300"/>
      <c r="AC24" s="300"/>
      <c r="AD24" s="300"/>
      <c r="AE24" s="300"/>
      <c r="AF24" s="300"/>
      <c r="AG24" s="300"/>
      <c r="AH24" s="300"/>
      <c r="AI24" s="300"/>
      <c r="AJ24" s="300"/>
      <c r="AK24" s="300"/>
      <c r="AL24" s="300"/>
      <c r="AM24" s="300"/>
      <c r="AN24" s="300"/>
      <c r="AO24" s="300"/>
      <c r="AP24" s="300"/>
      <c r="AQ24" s="301"/>
      <c r="AR24" s="228"/>
      <c r="AT24" s="217"/>
      <c r="AU24" s="354" t="s">
        <v>846</v>
      </c>
      <c r="AV24" s="233" t="s">
        <v>847</v>
      </c>
      <c r="AW24" s="234">
        <v>0.05</v>
      </c>
      <c r="AY24" s="319" t="s">
        <v>848</v>
      </c>
      <c r="AZ24" s="334"/>
      <c r="BA24" s="320"/>
    </row>
    <row r="25" spans="1:53" ht="14.65" customHeight="1" x14ac:dyDescent="0.15">
      <c r="A25" s="344"/>
      <c r="B25" s="318"/>
      <c r="C25" s="335" t="s">
        <v>12</v>
      </c>
      <c r="D25" s="335"/>
      <c r="E25" s="335"/>
      <c r="F25" s="335"/>
      <c r="G25" s="335"/>
      <c r="H25" s="335"/>
      <c r="I25" s="335"/>
      <c r="J25" s="335"/>
      <c r="K25" s="335"/>
      <c r="L25" s="336">
        <f>L7+L10+L24</f>
        <v>14561133</v>
      </c>
      <c r="M25" s="336"/>
      <c r="N25" s="336"/>
      <c r="O25" s="336"/>
      <c r="P25" s="336"/>
      <c r="Q25" s="336"/>
      <c r="R25" s="336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37"/>
      <c r="AF25" s="337"/>
      <c r="AG25" s="337"/>
      <c r="AH25" s="337"/>
      <c r="AI25" s="337"/>
      <c r="AJ25" s="337"/>
      <c r="AK25" s="337"/>
      <c r="AL25" s="337"/>
      <c r="AM25" s="337"/>
      <c r="AN25" s="337"/>
      <c r="AO25" s="337"/>
      <c r="AP25" s="337"/>
      <c r="AQ25" s="338"/>
      <c r="AR25" s="228"/>
      <c r="AU25" s="355"/>
      <c r="AV25" s="233" t="s">
        <v>849</v>
      </c>
      <c r="AW25" s="234">
        <v>5.1999999999999998E-2</v>
      </c>
      <c r="AY25" s="206" t="s">
        <v>850</v>
      </c>
      <c r="AZ25" s="206" t="s">
        <v>851</v>
      </c>
      <c r="BA25" s="235" t="s">
        <v>852</v>
      </c>
    </row>
    <row r="26" spans="1:53" ht="14.65" customHeight="1" x14ac:dyDescent="0.15">
      <c r="A26" s="339" t="s">
        <v>853</v>
      </c>
      <c r="B26" s="340"/>
      <c r="C26" s="340"/>
      <c r="D26" s="340"/>
      <c r="E26" s="340"/>
      <c r="F26" s="340"/>
      <c r="G26" s="340"/>
      <c r="H26" s="340"/>
      <c r="I26" s="340"/>
      <c r="J26" s="340"/>
      <c r="K26" s="341"/>
      <c r="L26" s="336">
        <f>ROUNDDOWN($L$25*$AT$10,0)</f>
        <v>1164890</v>
      </c>
      <c r="M26" s="336"/>
      <c r="N26" s="336"/>
      <c r="O26" s="336"/>
      <c r="P26" s="336"/>
      <c r="Q26" s="336"/>
      <c r="R26" s="336"/>
      <c r="S26" s="337" t="str">
        <f>CONCATENATE(" (재+노+경)x",AT10*100,"%")</f>
        <v xml:space="preserve"> (재+노+경)x8%</v>
      </c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37"/>
      <c r="AF26" s="337"/>
      <c r="AG26" s="337"/>
      <c r="AH26" s="337"/>
      <c r="AI26" s="337"/>
      <c r="AJ26" s="337"/>
      <c r="AK26" s="337"/>
      <c r="AL26" s="337"/>
      <c r="AM26" s="337"/>
      <c r="AN26" s="337"/>
      <c r="AO26" s="337"/>
      <c r="AP26" s="337"/>
      <c r="AQ26" s="338"/>
      <c r="AR26" s="236"/>
      <c r="AS26" s="187" t="s">
        <v>854</v>
      </c>
      <c r="AT26" s="237"/>
      <c r="AU26" s="355"/>
      <c r="AV26" s="233" t="s">
        <v>855</v>
      </c>
      <c r="AW26" s="234">
        <v>5.5E-2</v>
      </c>
      <c r="AY26" s="206" t="s">
        <v>856</v>
      </c>
      <c r="AZ26" s="238">
        <v>200000</v>
      </c>
      <c r="BA26" s="238">
        <f>INT(AZ26*1.1)</f>
        <v>220000</v>
      </c>
    </row>
    <row r="27" spans="1:53" ht="14.65" customHeight="1" x14ac:dyDescent="0.15">
      <c r="A27" s="339" t="s">
        <v>857</v>
      </c>
      <c r="B27" s="340"/>
      <c r="C27" s="340"/>
      <c r="D27" s="340"/>
      <c r="E27" s="340"/>
      <c r="F27" s="340"/>
      <c r="G27" s="340"/>
      <c r="H27" s="340"/>
      <c r="I27" s="340"/>
      <c r="J27" s="340"/>
      <c r="K27" s="341"/>
      <c r="L27" s="336">
        <f>INT(SUM($L$10,$L$24,$L$26)*$AT$14-$AZ$3)</f>
        <v>1987614</v>
      </c>
      <c r="M27" s="336"/>
      <c r="N27" s="336"/>
      <c r="O27" s="336"/>
      <c r="P27" s="336"/>
      <c r="Q27" s="336"/>
      <c r="R27" s="336"/>
      <c r="S27" s="337" t="str">
        <f>CONCATENATE(" (노+경+일관)x",AT14*100,"%")</f>
        <v xml:space="preserve"> (노+경+일관)x15%</v>
      </c>
      <c r="T27" s="337"/>
      <c r="U27" s="337"/>
      <c r="V27" s="337"/>
      <c r="W27" s="337"/>
      <c r="X27" s="337"/>
      <c r="Y27" s="337"/>
      <c r="Z27" s="337"/>
      <c r="AA27" s="337"/>
      <c r="AB27" s="337"/>
      <c r="AC27" s="337"/>
      <c r="AD27" s="337"/>
      <c r="AE27" s="337"/>
      <c r="AF27" s="337"/>
      <c r="AG27" s="337"/>
      <c r="AH27" s="337"/>
      <c r="AI27" s="337"/>
      <c r="AJ27" s="337"/>
      <c r="AK27" s="337"/>
      <c r="AL27" s="337"/>
      <c r="AM27" s="337"/>
      <c r="AN27" s="337"/>
      <c r="AO27" s="337"/>
      <c r="AP27" s="337"/>
      <c r="AQ27" s="338"/>
      <c r="AR27" s="236"/>
      <c r="AS27" s="187" t="s">
        <v>858</v>
      </c>
      <c r="AT27" s="239">
        <f>IF(($L$4+$L$8+$AV$10)&gt;=5000000000,0,IF(($L$4+$L$8+$AV$10)&gt;=500000000,4325000,IF(($L$4+$L$8+$AV$10)&lt;500000000,0)))</f>
        <v>0</v>
      </c>
      <c r="AU27" s="356"/>
      <c r="AV27" s="233" t="s">
        <v>859</v>
      </c>
      <c r="AW27" s="234">
        <v>6.0999999999999999E-2</v>
      </c>
      <c r="AY27" s="206" t="s">
        <v>860</v>
      </c>
      <c r="AZ27" s="238">
        <v>220000</v>
      </c>
      <c r="BA27" s="238">
        <f t="shared" ref="BA27:BA29" si="0">INT(AZ27*1.1)</f>
        <v>242000</v>
      </c>
    </row>
    <row r="28" spans="1:53" ht="14.65" hidden="1" customHeight="1" x14ac:dyDescent="0.15">
      <c r="A28" s="350" t="s">
        <v>861</v>
      </c>
      <c r="B28" s="351"/>
      <c r="C28" s="351"/>
      <c r="D28" s="351"/>
      <c r="E28" s="351"/>
      <c r="F28" s="351"/>
      <c r="G28" s="351"/>
      <c r="H28" s="351"/>
      <c r="I28" s="351"/>
      <c r="J28" s="351"/>
      <c r="K28" s="352"/>
      <c r="L28" s="353">
        <f>AV5</f>
        <v>0</v>
      </c>
      <c r="M28" s="353"/>
      <c r="N28" s="353"/>
      <c r="O28" s="353"/>
      <c r="P28" s="353"/>
      <c r="Q28" s="353"/>
      <c r="R28" s="353"/>
      <c r="S28" s="310"/>
      <c r="T28" s="310"/>
      <c r="U28" s="310"/>
      <c r="V28" s="310"/>
      <c r="W28" s="310"/>
      <c r="X28" s="310"/>
      <c r="Y28" s="310"/>
      <c r="Z28" s="310"/>
      <c r="AA28" s="310"/>
      <c r="AB28" s="310"/>
      <c r="AC28" s="310"/>
      <c r="AD28" s="310"/>
      <c r="AE28" s="310"/>
      <c r="AF28" s="310"/>
      <c r="AG28" s="310"/>
      <c r="AH28" s="310"/>
      <c r="AI28" s="310"/>
      <c r="AJ28" s="310"/>
      <c r="AK28" s="310"/>
      <c r="AL28" s="310"/>
      <c r="AM28" s="310"/>
      <c r="AN28" s="310"/>
      <c r="AO28" s="310"/>
      <c r="AP28" s="310"/>
      <c r="AQ28" s="311"/>
      <c r="AR28" s="195"/>
      <c r="AS28" s="240"/>
      <c r="AT28" s="241"/>
      <c r="AU28" s="242"/>
      <c r="AV28" s="242"/>
      <c r="AW28" s="242"/>
      <c r="AY28" s="206" t="s">
        <v>862</v>
      </c>
      <c r="AZ28" s="238">
        <v>280000</v>
      </c>
      <c r="BA28" s="238">
        <f t="shared" si="0"/>
        <v>308000</v>
      </c>
    </row>
    <row r="29" spans="1:53" ht="14.65" hidden="1" customHeight="1" x14ac:dyDescent="0.15">
      <c r="A29" s="360" t="s">
        <v>863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  <c r="L29" s="362">
        <f>AV7</f>
        <v>0</v>
      </c>
      <c r="M29" s="362"/>
      <c r="N29" s="362"/>
      <c r="O29" s="362"/>
      <c r="P29" s="362"/>
      <c r="Q29" s="362"/>
      <c r="R29" s="362"/>
      <c r="S29" s="363"/>
      <c r="T29" s="363"/>
      <c r="U29" s="363"/>
      <c r="V29" s="363"/>
      <c r="W29" s="363"/>
      <c r="X29" s="363"/>
      <c r="Y29" s="363"/>
      <c r="Z29" s="363"/>
      <c r="AA29" s="363"/>
      <c r="AB29" s="363"/>
      <c r="AC29" s="363"/>
      <c r="AD29" s="363"/>
      <c r="AE29" s="363"/>
      <c r="AF29" s="363"/>
      <c r="AG29" s="363"/>
      <c r="AH29" s="363"/>
      <c r="AI29" s="363"/>
      <c r="AJ29" s="363"/>
      <c r="AK29" s="363"/>
      <c r="AL29" s="363"/>
      <c r="AM29" s="363"/>
      <c r="AN29" s="363"/>
      <c r="AO29" s="363"/>
      <c r="AP29" s="363"/>
      <c r="AQ29" s="364"/>
      <c r="AR29" s="243"/>
      <c r="AS29" s="240"/>
      <c r="AT29" s="241"/>
      <c r="AU29" s="345"/>
      <c r="AV29" s="345"/>
      <c r="AW29" s="345"/>
      <c r="AY29" s="206" t="s">
        <v>864</v>
      </c>
      <c r="AZ29" s="238">
        <v>453000</v>
      </c>
      <c r="BA29" s="238">
        <f t="shared" si="0"/>
        <v>498300</v>
      </c>
    </row>
    <row r="30" spans="1:53" ht="14.65" customHeight="1" x14ac:dyDescent="0.15">
      <c r="A30" s="346" t="s">
        <v>865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8"/>
      <c r="L30" s="303">
        <f>SUM(L25:R29)</f>
        <v>17713637</v>
      </c>
      <c r="M30" s="303"/>
      <c r="N30" s="303"/>
      <c r="O30" s="303"/>
      <c r="P30" s="303"/>
      <c r="Q30" s="303"/>
      <c r="R30" s="303"/>
      <c r="S30" s="304"/>
      <c r="T30" s="304"/>
      <c r="U30" s="304"/>
      <c r="V30" s="304"/>
      <c r="W30" s="304"/>
      <c r="X30" s="304"/>
      <c r="Y30" s="304"/>
      <c r="Z30" s="304"/>
      <c r="AA30" s="304"/>
      <c r="AB30" s="304"/>
      <c r="AC30" s="304"/>
      <c r="AD30" s="304"/>
      <c r="AE30" s="304"/>
      <c r="AF30" s="304"/>
      <c r="AG30" s="304"/>
      <c r="AH30" s="304"/>
      <c r="AI30" s="304"/>
      <c r="AJ30" s="304"/>
      <c r="AK30" s="304"/>
      <c r="AL30" s="304"/>
      <c r="AM30" s="304"/>
      <c r="AN30" s="304"/>
      <c r="AO30" s="304"/>
      <c r="AP30" s="304"/>
      <c r="AQ30" s="305"/>
      <c r="AR30" s="195"/>
      <c r="AS30" s="187" t="s">
        <v>866</v>
      </c>
      <c r="AT30" s="244">
        <f>ROUNDDOWN((($L$7+$L$8)*$AT$26+$AT$27)*1.2,0)</f>
        <v>0</v>
      </c>
      <c r="AU30" s="347" t="str">
        <f>IF(AT27=0," ((재＋직노)×"&amp;AT26*100&amp;"%)x1.2"," ((재＋직노)×"&amp;AT26*100&amp;"%＋"&amp;TEXT(AT27,"#,###")&amp;")x1.2")</f>
        <v xml:space="preserve"> ((재＋직노)×0%)x1.2</v>
      </c>
      <c r="AV30" s="348"/>
      <c r="AW30" s="349"/>
      <c r="AY30" s="245" t="s">
        <v>867</v>
      </c>
      <c r="AZ30" s="245"/>
      <c r="BA30" s="245"/>
    </row>
    <row r="31" spans="1:53" ht="14.65" customHeight="1" x14ac:dyDescent="0.15">
      <c r="A31" s="357" t="s">
        <v>868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9"/>
      <c r="L31" s="299">
        <f>INT(L30*10%)</f>
        <v>1771363</v>
      </c>
      <c r="M31" s="299"/>
      <c r="N31" s="299"/>
      <c r="O31" s="299"/>
      <c r="P31" s="299"/>
      <c r="Q31" s="299"/>
      <c r="R31" s="299"/>
      <c r="S31" s="300" t="s">
        <v>869</v>
      </c>
      <c r="T31" s="300"/>
      <c r="U31" s="300"/>
      <c r="V31" s="300"/>
      <c r="W31" s="300"/>
      <c r="X31" s="300"/>
      <c r="Y31" s="300"/>
      <c r="Z31" s="300"/>
      <c r="AA31" s="300"/>
      <c r="AB31" s="300"/>
      <c r="AC31" s="300"/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0"/>
      <c r="AO31" s="300"/>
      <c r="AP31" s="300"/>
      <c r="AQ31" s="301"/>
      <c r="AR31" s="228"/>
      <c r="AS31" s="187" t="s">
        <v>870</v>
      </c>
      <c r="AT31" s="244">
        <f>ROUNDDOWN((($L$7+$L$8+$AV$10)*$AT$26+$AT$27),0)</f>
        <v>0</v>
      </c>
      <c r="AU31" s="246" t="str">
        <f>IF(AT27=0," (재＋직노+도급자관급)×"&amp;AT26*100&amp;"%"," (재＋직노+도급자관급)×"&amp;AT26*100&amp;"%＋"&amp;TEXT(AT27,"#,###"))</f>
        <v xml:space="preserve"> (재＋직노+도급자관급)×0%</v>
      </c>
      <c r="AV31" s="247"/>
      <c r="AW31" s="248"/>
    </row>
    <row r="32" spans="1:53" ht="14.65" customHeight="1" x14ac:dyDescent="0.15">
      <c r="A32" s="350" t="s">
        <v>871</v>
      </c>
      <c r="B32" s="351"/>
      <c r="C32" s="351"/>
      <c r="D32" s="351"/>
      <c r="E32" s="351"/>
      <c r="F32" s="351"/>
      <c r="G32" s="351"/>
      <c r="H32" s="351"/>
      <c r="I32" s="351"/>
      <c r="J32" s="351"/>
      <c r="K32" s="352"/>
      <c r="L32" s="309">
        <f>SUM(L30:R31)</f>
        <v>19485000</v>
      </c>
      <c r="M32" s="309"/>
      <c r="N32" s="309"/>
      <c r="O32" s="309"/>
      <c r="P32" s="309"/>
      <c r="Q32" s="309"/>
      <c r="R32" s="309"/>
      <c r="S32" s="310"/>
      <c r="T32" s="310"/>
      <c r="U32" s="310"/>
      <c r="V32" s="310"/>
      <c r="W32" s="310"/>
      <c r="X32" s="310"/>
      <c r="Y32" s="310"/>
      <c r="Z32" s="310"/>
      <c r="AA32" s="310"/>
      <c r="AB32" s="310"/>
      <c r="AC32" s="310"/>
      <c r="AD32" s="310"/>
      <c r="AE32" s="310"/>
      <c r="AF32" s="310"/>
      <c r="AG32" s="310"/>
      <c r="AH32" s="310"/>
      <c r="AI32" s="310"/>
      <c r="AJ32" s="310"/>
      <c r="AK32" s="310"/>
      <c r="AL32" s="310"/>
      <c r="AM32" s="310"/>
      <c r="AN32" s="310"/>
      <c r="AO32" s="310"/>
      <c r="AP32" s="310"/>
      <c r="AQ32" s="311"/>
      <c r="AR32" s="228"/>
      <c r="AS32" s="187" t="s">
        <v>872</v>
      </c>
      <c r="AT32" s="244">
        <f>ROUNDDOWN((($L$7+$L$8)*$AT$26+$AT$27),0)</f>
        <v>0</v>
      </c>
      <c r="AU32" s="246" t="str">
        <f>IF(AT27=0," (재＋직노)×"&amp;AT26*100&amp;"%"," (재＋직노)×"&amp;AT26*100&amp;"%＋"&amp;TEXT(AT27,"#,###")&amp;"")</f>
        <v xml:space="preserve"> (재＋직노)×0%</v>
      </c>
      <c r="AV32" s="247"/>
      <c r="AW32" s="248"/>
    </row>
    <row r="33" spans="1:53" ht="14.65" hidden="1" customHeight="1" x14ac:dyDescent="0.15">
      <c r="A33" s="346" t="s">
        <v>773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8"/>
      <c r="L33" s="303">
        <f>AV11-AZ4</f>
        <v>0</v>
      </c>
      <c r="M33" s="303"/>
      <c r="N33" s="303"/>
      <c r="O33" s="303"/>
      <c r="P33" s="303"/>
      <c r="Q33" s="303"/>
      <c r="R33" s="303"/>
      <c r="S33" s="304" t="s">
        <v>873</v>
      </c>
      <c r="T33" s="304"/>
      <c r="U33" s="304"/>
      <c r="V33" s="304"/>
      <c r="W33" s="304"/>
      <c r="X33" s="304"/>
      <c r="Y33" s="304"/>
      <c r="Z33" s="304"/>
      <c r="AA33" s="304"/>
      <c r="AB33" s="304"/>
      <c r="AC33" s="304" t="s">
        <v>874</v>
      </c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5"/>
      <c r="AR33" s="228"/>
      <c r="AU33" s="249"/>
      <c r="AV33" s="230"/>
      <c r="AW33" s="230"/>
    </row>
    <row r="34" spans="1:53" ht="14.65" hidden="1" customHeight="1" x14ac:dyDescent="0.15">
      <c r="A34" s="346" t="s">
        <v>875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8"/>
      <c r="L34" s="303">
        <f>AZ14-AZ7</f>
        <v>0</v>
      </c>
      <c r="M34" s="303"/>
      <c r="N34" s="303"/>
      <c r="O34" s="303"/>
      <c r="P34" s="303"/>
      <c r="Q34" s="303"/>
      <c r="R34" s="303"/>
      <c r="S34" s="331" t="str">
        <f>CONCATENATE(" [(공사일수=",AZ11,"일)÷","(실수일수=",AZ12,"일)]x","(회당기술비=",AZ13,"원)")</f>
        <v xml:space="preserve"> [(공사일수=일)÷(실수일수=15일)]x(회당기술비=220000원)</v>
      </c>
      <c r="T34" s="331"/>
      <c r="U34" s="331"/>
      <c r="V34" s="331"/>
      <c r="W34" s="331"/>
      <c r="X34" s="331"/>
      <c r="Y34" s="331"/>
      <c r="Z34" s="331"/>
      <c r="AA34" s="331"/>
      <c r="AB34" s="331"/>
      <c r="AC34" s="331" t="s">
        <v>876</v>
      </c>
      <c r="AD34" s="331"/>
      <c r="AE34" s="331"/>
      <c r="AF34" s="331"/>
      <c r="AG34" s="331"/>
      <c r="AH34" s="331"/>
      <c r="AI34" s="331"/>
      <c r="AJ34" s="331"/>
      <c r="AK34" s="331"/>
      <c r="AL34" s="331"/>
      <c r="AM34" s="331"/>
      <c r="AN34" s="331"/>
      <c r="AO34" s="331"/>
      <c r="AP34" s="331"/>
      <c r="AQ34" s="365"/>
      <c r="AR34" s="228"/>
      <c r="AU34" s="249"/>
      <c r="AV34" s="230"/>
      <c r="AW34" s="230"/>
    </row>
    <row r="35" spans="1:53" ht="14.65" customHeight="1" x14ac:dyDescent="0.15">
      <c r="A35" s="346" t="s">
        <v>775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8"/>
      <c r="L35" s="303">
        <f>AV8-AZ5</f>
        <v>0</v>
      </c>
      <c r="M35" s="303"/>
      <c r="N35" s="303"/>
      <c r="O35" s="303"/>
      <c r="P35" s="303"/>
      <c r="Q35" s="303"/>
      <c r="R35" s="303"/>
      <c r="S35" s="304"/>
      <c r="T35" s="304"/>
      <c r="U35" s="304"/>
      <c r="V35" s="304"/>
      <c r="W35" s="304"/>
      <c r="X35" s="304"/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4"/>
      <c r="AQ35" s="305"/>
      <c r="AR35" s="228"/>
      <c r="AU35" s="249"/>
      <c r="AV35" s="230"/>
      <c r="AW35" s="230"/>
    </row>
    <row r="36" spans="1:53" ht="14.65" customHeight="1" x14ac:dyDescent="0.15">
      <c r="A36" s="357" t="s">
        <v>776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9"/>
      <c r="L36" s="303">
        <f>AV9-AZ6</f>
        <v>0</v>
      </c>
      <c r="M36" s="303"/>
      <c r="N36" s="303"/>
      <c r="O36" s="303"/>
      <c r="P36" s="303"/>
      <c r="Q36" s="303"/>
      <c r="R36" s="303"/>
      <c r="S36" s="304"/>
      <c r="T36" s="304"/>
      <c r="U36" s="304"/>
      <c r="V36" s="304"/>
      <c r="W36" s="304"/>
      <c r="X36" s="304"/>
      <c r="Y36" s="304"/>
      <c r="Z36" s="304"/>
      <c r="AA36" s="304"/>
      <c r="AB36" s="304"/>
      <c r="AC36" s="300"/>
      <c r="AD36" s="300"/>
      <c r="AE36" s="300"/>
      <c r="AF36" s="300"/>
      <c r="AG36" s="300"/>
      <c r="AH36" s="300"/>
      <c r="AI36" s="300"/>
      <c r="AJ36" s="300"/>
      <c r="AK36" s="300"/>
      <c r="AL36" s="300"/>
      <c r="AM36" s="300"/>
      <c r="AN36" s="300"/>
      <c r="AO36" s="300"/>
      <c r="AP36" s="300"/>
      <c r="AQ36" s="301"/>
      <c r="AR36" s="228"/>
      <c r="AU36" s="249"/>
      <c r="AV36" s="230"/>
      <c r="AW36" s="230"/>
      <c r="AY36" s="249"/>
      <c r="AZ36" s="249"/>
      <c r="BA36" s="249"/>
    </row>
    <row r="37" spans="1:53" ht="24.95" customHeight="1" thickBot="1" x14ac:dyDescent="0.2">
      <c r="A37" s="372" t="s">
        <v>877</v>
      </c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4">
        <f>ROUNDDOWN((L32+L33+L34+L35+L36),)</f>
        <v>19485000</v>
      </c>
      <c r="M37" s="374"/>
      <c r="N37" s="374"/>
      <c r="O37" s="374"/>
      <c r="P37" s="374"/>
      <c r="Q37" s="374"/>
      <c r="R37" s="374"/>
      <c r="S37" s="375" t="s">
        <v>35</v>
      </c>
      <c r="T37" s="375"/>
      <c r="U37" s="375"/>
      <c r="V37" s="375"/>
      <c r="W37" s="375"/>
      <c r="X37" s="375"/>
      <c r="Y37" s="375"/>
      <c r="Z37" s="375"/>
      <c r="AA37" s="375"/>
      <c r="AB37" s="375"/>
      <c r="AC37" s="375"/>
      <c r="AD37" s="375"/>
      <c r="AE37" s="375"/>
      <c r="AF37" s="375"/>
      <c r="AG37" s="375"/>
      <c r="AH37" s="375"/>
      <c r="AI37" s="375"/>
      <c r="AJ37" s="375"/>
      <c r="AK37" s="375"/>
      <c r="AL37" s="375"/>
      <c r="AM37" s="375"/>
      <c r="AN37" s="375"/>
      <c r="AO37" s="375"/>
      <c r="AP37" s="375"/>
      <c r="AQ37" s="376"/>
      <c r="AR37" s="250"/>
      <c r="AU37" s="249"/>
      <c r="AV37" s="230"/>
      <c r="AW37" s="230"/>
      <c r="AY37" s="249"/>
      <c r="AZ37" s="249"/>
      <c r="BA37" s="251"/>
    </row>
    <row r="38" spans="1:53" ht="24.95" customHeight="1" thickTop="1" x14ac:dyDescent="0.15">
      <c r="A38" s="252"/>
      <c r="B38" s="252"/>
      <c r="C38" s="252"/>
      <c r="D38" s="252"/>
      <c r="E38" s="252"/>
      <c r="F38" s="252"/>
      <c r="G38" s="252"/>
      <c r="H38" s="252"/>
      <c r="I38" s="252"/>
      <c r="J38" s="252"/>
      <c r="K38" s="252"/>
      <c r="L38" s="253"/>
      <c r="M38" s="253"/>
      <c r="N38" s="253"/>
      <c r="O38" s="253"/>
      <c r="P38" s="253"/>
      <c r="Q38" s="253"/>
      <c r="R38" s="253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0"/>
      <c r="AE38" s="250"/>
      <c r="AF38" s="250"/>
      <c r="AG38" s="250"/>
      <c r="AH38" s="250"/>
      <c r="AI38" s="250"/>
      <c r="AJ38" s="250"/>
      <c r="AK38" s="250"/>
      <c r="AL38" s="250"/>
      <c r="AM38" s="250"/>
      <c r="AN38" s="250"/>
      <c r="AO38" s="250"/>
      <c r="AP38" s="250"/>
      <c r="AQ38" s="250"/>
      <c r="AR38" s="250"/>
      <c r="AY38" s="249"/>
      <c r="AZ38" s="254"/>
      <c r="BA38" s="254"/>
    </row>
    <row r="39" spans="1:53" ht="18" customHeight="1" x14ac:dyDescent="0.15">
      <c r="AS39" s="377" t="s">
        <v>878</v>
      </c>
      <c r="AT39" s="377"/>
      <c r="AU39" s="378">
        <f>SUM($L$32,$L$36)</f>
        <v>19485000</v>
      </c>
      <c r="AV39" s="378"/>
      <c r="AY39" s="249"/>
      <c r="AZ39" s="254"/>
      <c r="BA39" s="254"/>
    </row>
    <row r="40" spans="1:53" ht="18" customHeight="1" x14ac:dyDescent="0.15">
      <c r="AS40" s="366" t="s">
        <v>879</v>
      </c>
      <c r="AT40" s="366"/>
      <c r="AU40" s="367">
        <f>SUM($L$32,$L$36)</f>
        <v>19485000</v>
      </c>
      <c r="AV40" s="367"/>
      <c r="AY40" s="249"/>
      <c r="AZ40" s="254"/>
      <c r="BA40" s="254"/>
    </row>
    <row r="41" spans="1:53" ht="18" customHeight="1" x14ac:dyDescent="0.15">
      <c r="AY41" s="249"/>
      <c r="AZ41" s="254"/>
      <c r="BA41" s="254"/>
    </row>
    <row r="42" spans="1:53" ht="18" customHeight="1" x14ac:dyDescent="0.15">
      <c r="AS42" s="368" t="s">
        <v>880</v>
      </c>
      <c r="AT42" s="255" t="s">
        <v>881</v>
      </c>
      <c r="AU42" s="256"/>
      <c r="AV42" s="257"/>
      <c r="AY42" s="249"/>
      <c r="AZ42" s="249"/>
      <c r="BA42" s="249"/>
    </row>
    <row r="43" spans="1:53" ht="18" customHeight="1" x14ac:dyDescent="0.15">
      <c r="AS43" s="369"/>
      <c r="AT43" s="258" t="s">
        <v>882</v>
      </c>
      <c r="AU43" s="259"/>
      <c r="AV43" s="260"/>
    </row>
    <row r="44" spans="1:53" ht="18" customHeight="1" x14ac:dyDescent="0.15">
      <c r="AT44" s="261"/>
    </row>
    <row r="45" spans="1:53" ht="18" customHeight="1" x14ac:dyDescent="0.15">
      <c r="AS45" s="370" t="s">
        <v>883</v>
      </c>
      <c r="AT45" s="262" t="s">
        <v>884</v>
      </c>
      <c r="AU45" s="263"/>
      <c r="AV45" s="264"/>
    </row>
    <row r="46" spans="1:53" ht="18" customHeight="1" x14ac:dyDescent="0.15">
      <c r="AS46" s="371"/>
      <c r="AT46" s="265" t="s">
        <v>885</v>
      </c>
      <c r="AU46" s="266"/>
      <c r="AV46" s="267"/>
    </row>
    <row r="47" spans="1:53" ht="18" customHeight="1" x14ac:dyDescent="0.15"/>
    <row r="48" spans="1:53" ht="18" customHeight="1" x14ac:dyDescent="0.15">
      <c r="AS48" s="249"/>
      <c r="AT48" s="249"/>
      <c r="AU48" s="249"/>
    </row>
    <row r="49" spans="45:47" ht="24" customHeight="1" x14ac:dyDescent="0.15">
      <c r="AS49" s="249"/>
      <c r="AT49" s="249"/>
      <c r="AU49" s="251"/>
    </row>
    <row r="50" spans="45:47" ht="18" customHeight="1" x14ac:dyDescent="0.15">
      <c r="AS50" s="249"/>
      <c r="AT50" s="254"/>
      <c r="AU50" s="254"/>
    </row>
    <row r="51" spans="45:47" ht="18" customHeight="1" x14ac:dyDescent="0.15">
      <c r="AS51" s="249"/>
      <c r="AT51" s="254"/>
      <c r="AU51" s="254"/>
    </row>
    <row r="52" spans="45:47" ht="18" customHeight="1" x14ac:dyDescent="0.15">
      <c r="AS52" s="249"/>
      <c r="AT52" s="254"/>
      <c r="AU52" s="254"/>
    </row>
    <row r="53" spans="45:47" ht="18" customHeight="1" x14ac:dyDescent="0.15">
      <c r="AS53" s="249"/>
      <c r="AT53" s="254"/>
      <c r="AU53" s="254"/>
    </row>
    <row r="54" spans="45:47" ht="18" customHeight="1" x14ac:dyDescent="0.15">
      <c r="AS54" s="249"/>
      <c r="AT54" s="249"/>
      <c r="AU54" s="249"/>
    </row>
    <row r="55" spans="45:47" ht="18" customHeight="1" x14ac:dyDescent="0.15"/>
    <row r="56" spans="45:47" ht="18" customHeight="1" x14ac:dyDescent="0.15"/>
    <row r="57" spans="45:47" ht="18" customHeight="1" x14ac:dyDescent="0.15"/>
    <row r="58" spans="45:47" ht="18" customHeight="1" x14ac:dyDescent="0.15"/>
    <row r="59" spans="45:47" ht="18" customHeight="1" x14ac:dyDescent="0.15"/>
    <row r="60" spans="45:47" ht="18" customHeight="1" x14ac:dyDescent="0.15"/>
    <row r="61" spans="45:47" ht="18" customHeight="1" x14ac:dyDescent="0.15"/>
    <row r="62" spans="45:47" ht="18" customHeight="1" x14ac:dyDescent="0.15"/>
    <row r="63" spans="45:47" ht="18" customHeight="1" x14ac:dyDescent="0.15"/>
    <row r="64" spans="45:47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  <row r="1239" ht="18" customHeight="1" x14ac:dyDescent="0.15"/>
    <row r="1240" ht="18" customHeight="1" x14ac:dyDescent="0.15"/>
    <row r="1241" ht="18" customHeight="1" x14ac:dyDescent="0.15"/>
    <row r="1242" ht="18" customHeight="1" x14ac:dyDescent="0.15"/>
    <row r="1243" ht="18" customHeight="1" x14ac:dyDescent="0.15"/>
    <row r="1244" ht="18" customHeight="1" x14ac:dyDescent="0.15"/>
    <row r="1245" ht="18" customHeight="1" x14ac:dyDescent="0.15"/>
    <row r="1246" ht="18" customHeight="1" x14ac:dyDescent="0.15"/>
    <row r="1247" ht="18" customHeight="1" x14ac:dyDescent="0.15"/>
    <row r="1248" ht="18" customHeight="1" x14ac:dyDescent="0.15"/>
    <row r="1249" ht="18" customHeight="1" x14ac:dyDescent="0.15"/>
  </sheetData>
  <mergeCells count="175">
    <mergeCell ref="AS40:AT40"/>
    <mergeCell ref="AU40:AV40"/>
    <mergeCell ref="AS42:AS43"/>
    <mergeCell ref="AS45:AS46"/>
    <mergeCell ref="A37:K37"/>
    <mergeCell ref="L37:R37"/>
    <mergeCell ref="S37:AB37"/>
    <mergeCell ref="AC37:AQ37"/>
    <mergeCell ref="AS39:AT39"/>
    <mergeCell ref="AU39:AV39"/>
    <mergeCell ref="A35:K35"/>
    <mergeCell ref="L35:R35"/>
    <mergeCell ref="S35:AB35"/>
    <mergeCell ref="AC35:AQ35"/>
    <mergeCell ref="A36:K36"/>
    <mergeCell ref="L36:R36"/>
    <mergeCell ref="S36:AB36"/>
    <mergeCell ref="AC36:AQ36"/>
    <mergeCell ref="A33:K33"/>
    <mergeCell ref="L33:R33"/>
    <mergeCell ref="S33:AB33"/>
    <mergeCell ref="AC33:AQ33"/>
    <mergeCell ref="A34:K34"/>
    <mergeCell ref="L34:R34"/>
    <mergeCell ref="S34:AB34"/>
    <mergeCell ref="AC34:AQ34"/>
    <mergeCell ref="A31:K31"/>
    <mergeCell ref="L31:R31"/>
    <mergeCell ref="S31:AB31"/>
    <mergeCell ref="AC31:AQ31"/>
    <mergeCell ref="A32:K32"/>
    <mergeCell ref="L32:R32"/>
    <mergeCell ref="S32:AB32"/>
    <mergeCell ref="AC32:AQ32"/>
    <mergeCell ref="A29:K29"/>
    <mergeCell ref="L29:R29"/>
    <mergeCell ref="S29:AB29"/>
    <mergeCell ref="AC29:AQ29"/>
    <mergeCell ref="AU29:AW29"/>
    <mergeCell ref="A30:K30"/>
    <mergeCell ref="L30:R30"/>
    <mergeCell ref="S30:AB30"/>
    <mergeCell ref="AC30:AQ30"/>
    <mergeCell ref="AU30:AW30"/>
    <mergeCell ref="A27:K27"/>
    <mergeCell ref="L27:R27"/>
    <mergeCell ref="S27:AB27"/>
    <mergeCell ref="AC27:AQ27"/>
    <mergeCell ref="A28:K28"/>
    <mergeCell ref="L28:R28"/>
    <mergeCell ref="S28:AB28"/>
    <mergeCell ref="AC28:AQ28"/>
    <mergeCell ref="AU24:AU27"/>
    <mergeCell ref="AY24:BA24"/>
    <mergeCell ref="C25:K25"/>
    <mergeCell ref="L25:R25"/>
    <mergeCell ref="S25:AB25"/>
    <mergeCell ref="AC25:AQ25"/>
    <mergeCell ref="A26:K26"/>
    <mergeCell ref="L26:R26"/>
    <mergeCell ref="S26:AB26"/>
    <mergeCell ref="AC26:AQ26"/>
    <mergeCell ref="A4:B25"/>
    <mergeCell ref="C4:D7"/>
    <mergeCell ref="E24:K24"/>
    <mergeCell ref="L24:R24"/>
    <mergeCell ref="S24:AB24"/>
    <mergeCell ref="AC24:AQ24"/>
    <mergeCell ref="E21:K21"/>
    <mergeCell ref="L21:R21"/>
    <mergeCell ref="S21:AB21"/>
    <mergeCell ref="AC21:AQ21"/>
    <mergeCell ref="E22:K22"/>
    <mergeCell ref="L22:R22"/>
    <mergeCell ref="S22:AB22"/>
    <mergeCell ref="AC22:AQ22"/>
    <mergeCell ref="E20:K20"/>
    <mergeCell ref="L20:R20"/>
    <mergeCell ref="S20:AB20"/>
    <mergeCell ref="AC20:AQ20"/>
    <mergeCell ref="E17:K17"/>
    <mergeCell ref="L17:R17"/>
    <mergeCell ref="S17:AB17"/>
    <mergeCell ref="AC17:AQ17"/>
    <mergeCell ref="E23:K23"/>
    <mergeCell ref="L23:R23"/>
    <mergeCell ref="S23:AB23"/>
    <mergeCell ref="AC23:AQ23"/>
    <mergeCell ref="AC18:AQ18"/>
    <mergeCell ref="E19:K19"/>
    <mergeCell ref="AC14:AQ14"/>
    <mergeCell ref="E15:K15"/>
    <mergeCell ref="L15:R15"/>
    <mergeCell ref="S15:AB15"/>
    <mergeCell ref="AC15:AQ15"/>
    <mergeCell ref="E16:K16"/>
    <mergeCell ref="L16:R16"/>
    <mergeCell ref="S16:AB16"/>
    <mergeCell ref="AC16:AQ16"/>
    <mergeCell ref="L19:R19"/>
    <mergeCell ref="S19:AB19"/>
    <mergeCell ref="AC19:AQ19"/>
    <mergeCell ref="AY10:AZ10"/>
    <mergeCell ref="C11:D24"/>
    <mergeCell ref="E11:K11"/>
    <mergeCell ref="L11:R11"/>
    <mergeCell ref="S11:AB11"/>
    <mergeCell ref="AC11:AQ11"/>
    <mergeCell ref="AV11:AW11"/>
    <mergeCell ref="E12:K12"/>
    <mergeCell ref="L12:R12"/>
    <mergeCell ref="S12:AB12"/>
    <mergeCell ref="AC12:AQ12"/>
    <mergeCell ref="AV12:AW12"/>
    <mergeCell ref="E13:K13"/>
    <mergeCell ref="L13:R13"/>
    <mergeCell ref="S13:AB13"/>
    <mergeCell ref="AC13:AQ13"/>
    <mergeCell ref="AU13:AU16"/>
    <mergeCell ref="E14:K14"/>
    <mergeCell ref="L14:R14"/>
    <mergeCell ref="S14:AB14"/>
    <mergeCell ref="AU17:AU20"/>
    <mergeCell ref="E18:K18"/>
    <mergeCell ref="L18:R18"/>
    <mergeCell ref="S18:AB18"/>
    <mergeCell ref="AV9:AW9"/>
    <mergeCell ref="E10:K10"/>
    <mergeCell ref="L10:R10"/>
    <mergeCell ref="S10:AB10"/>
    <mergeCell ref="AC10:AQ10"/>
    <mergeCell ref="AV10:AW10"/>
    <mergeCell ref="C8:D10"/>
    <mergeCell ref="E8:K8"/>
    <mergeCell ref="L8:R8"/>
    <mergeCell ref="S8:AB8"/>
    <mergeCell ref="AC8:AQ8"/>
    <mergeCell ref="AV8:AW8"/>
    <mergeCell ref="E9:K9"/>
    <mergeCell ref="L9:R9"/>
    <mergeCell ref="S9:AB9"/>
    <mergeCell ref="AC9:AQ9"/>
    <mergeCell ref="AV6:AW6"/>
    <mergeCell ref="E7:K7"/>
    <mergeCell ref="L7:R7"/>
    <mergeCell ref="S7:AB7"/>
    <mergeCell ref="AC7:AQ7"/>
    <mergeCell ref="AV7:AW7"/>
    <mergeCell ref="AV4:AW4"/>
    <mergeCell ref="E5:K5"/>
    <mergeCell ref="L5:R5"/>
    <mergeCell ref="S5:AB5"/>
    <mergeCell ref="AC5:AQ5"/>
    <mergeCell ref="AV5:AW5"/>
    <mergeCell ref="E4:K4"/>
    <mergeCell ref="L4:R4"/>
    <mergeCell ref="S4:AB4"/>
    <mergeCell ref="AC4:AQ4"/>
    <mergeCell ref="E6:K6"/>
    <mergeCell ref="L6:R6"/>
    <mergeCell ref="S6:AB6"/>
    <mergeCell ref="AC6:AQ6"/>
    <mergeCell ref="A3:B3"/>
    <mergeCell ref="C3:K3"/>
    <mergeCell ref="L3:R3"/>
    <mergeCell ref="S3:AB3"/>
    <mergeCell ref="AC3:AQ3"/>
    <mergeCell ref="AV3:AW3"/>
    <mergeCell ref="AI1:AL1"/>
    <mergeCell ref="AM1:AP1"/>
    <mergeCell ref="AV1:AW1"/>
    <mergeCell ref="A2:U2"/>
    <mergeCell ref="V2:AH2"/>
    <mergeCell ref="AI2:AQ2"/>
    <mergeCell ref="AV2:AW2"/>
  </mergeCells>
  <phoneticPr fontId="1" type="noConversion"/>
  <pageMargins left="0.62992125984251968" right="0" top="0.59055118110236227" bottom="0.39370078740157483" header="0.51181102362204722" footer="0.51181102362204722"/>
  <pageSetup paperSize="9" scale="95" orientation="landscape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81"/>
  <sheetViews>
    <sheetView view="pageBreakPreview" topLeftCell="D1" zoomScale="115" zoomScaleNormal="100" zoomScaleSheetLayoutView="115" workbookViewId="0">
      <pane ySplit="3" topLeftCell="A7" activePane="bottomLeft" state="frozen"/>
      <selection activeCell="J20" sqref="J20"/>
      <selection pane="bottomLeft" activeCell="D59" sqref="D59"/>
    </sheetView>
  </sheetViews>
  <sheetFormatPr defaultRowHeight="20.45" customHeight="1" x14ac:dyDescent="0.15"/>
  <cols>
    <col min="1" max="1" width="5.77734375" style="1" hidden="1" customWidth="1"/>
    <col min="2" max="2" width="6.5546875" style="14" hidden="1" customWidth="1"/>
    <col min="3" max="3" width="13.6640625" style="14" hidden="1" customWidth="1"/>
    <col min="4" max="4" width="36.21875" style="14" customWidth="1"/>
    <col min="5" max="5" width="9.109375" style="1" hidden="1" customWidth="1"/>
    <col min="6" max="6" width="4.21875" style="2" customWidth="1"/>
    <col min="7" max="7" width="4.6640625" style="51" customWidth="1"/>
    <col min="8" max="8" width="13" style="51" customWidth="1"/>
    <col min="9" max="9" width="13.109375" style="51" customWidth="1"/>
    <col min="10" max="10" width="5.109375" style="51" hidden="1" customWidth="1"/>
    <col min="11" max="11" width="11.21875" style="51" bestFit="1" customWidth="1"/>
    <col min="12" max="12" width="11.5546875" style="51" customWidth="1"/>
    <col min="13" max="14" width="9.44140625" style="51" customWidth="1"/>
    <col min="15" max="15" width="8.77734375" style="51" hidden="1" customWidth="1"/>
    <col min="16" max="16" width="13.21875" style="51" customWidth="1"/>
    <col min="17" max="17" width="10.44140625" style="14" customWidth="1"/>
    <col min="18" max="16384" width="8.88671875" style="1"/>
  </cols>
  <sheetData>
    <row r="1" spans="1:27" ht="20.45" customHeight="1" x14ac:dyDescent="0.15">
      <c r="A1" s="1" t="s">
        <v>125</v>
      </c>
      <c r="B1" s="14" t="s">
        <v>729</v>
      </c>
      <c r="C1" s="14" t="s">
        <v>411</v>
      </c>
      <c r="D1" s="386" t="s">
        <v>749</v>
      </c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AA1" s="1" t="s">
        <v>39</v>
      </c>
    </row>
    <row r="2" spans="1:27" s="3" customFormat="1" ht="20.45" customHeight="1" x14ac:dyDescent="0.15">
      <c r="A2" s="388" t="s">
        <v>1</v>
      </c>
      <c r="B2" s="388" t="s">
        <v>2</v>
      </c>
      <c r="C2" s="388" t="s">
        <v>0</v>
      </c>
      <c r="D2" s="384" t="s">
        <v>40</v>
      </c>
      <c r="E2" s="389" t="s">
        <v>4</v>
      </c>
      <c r="F2" s="389" t="s">
        <v>5</v>
      </c>
      <c r="G2" s="382" t="s">
        <v>9</v>
      </c>
      <c r="H2" s="382" t="s">
        <v>41</v>
      </c>
      <c r="I2" s="382"/>
      <c r="J2" s="382" t="s">
        <v>42</v>
      </c>
      <c r="K2" s="382"/>
      <c r="L2" s="382"/>
      <c r="M2" s="382" t="s">
        <v>43</v>
      </c>
      <c r="N2" s="382"/>
      <c r="O2" s="49"/>
      <c r="P2" s="382" t="s">
        <v>12</v>
      </c>
      <c r="Q2" s="384" t="s">
        <v>44</v>
      </c>
    </row>
    <row r="3" spans="1:27" s="3" customFormat="1" ht="20.45" customHeight="1" x14ac:dyDescent="0.15">
      <c r="A3" s="388"/>
      <c r="B3" s="388"/>
      <c r="C3" s="388"/>
      <c r="D3" s="385"/>
      <c r="E3" s="390"/>
      <c r="F3" s="390"/>
      <c r="G3" s="383"/>
      <c r="H3" s="68" t="s">
        <v>45</v>
      </c>
      <c r="I3" s="68" t="s">
        <v>36</v>
      </c>
      <c r="J3" s="68" t="s">
        <v>9</v>
      </c>
      <c r="K3" s="68" t="s">
        <v>45</v>
      </c>
      <c r="L3" s="68" t="s">
        <v>36</v>
      </c>
      <c r="M3" s="68" t="s">
        <v>45</v>
      </c>
      <c r="N3" s="68" t="s">
        <v>36</v>
      </c>
      <c r="O3" s="68" t="s">
        <v>45</v>
      </c>
      <c r="P3" s="383"/>
      <c r="Q3" s="385"/>
    </row>
    <row r="4" spans="1:27" ht="20.45" customHeight="1" x14ac:dyDescent="0.15">
      <c r="B4" s="14" t="s">
        <v>126</v>
      </c>
      <c r="D4" s="379" t="s">
        <v>748</v>
      </c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1"/>
    </row>
    <row r="5" spans="1:27" ht="20.45" customHeight="1" x14ac:dyDescent="0.15">
      <c r="B5" s="14" t="s">
        <v>743</v>
      </c>
      <c r="D5" s="23" t="s">
        <v>744</v>
      </c>
      <c r="E5" s="24"/>
      <c r="F5" s="13" t="s">
        <v>112</v>
      </c>
      <c r="G5" s="50">
        <v>1</v>
      </c>
      <c r="H5" s="50">
        <f>총괄표!I55</f>
        <v>2473176</v>
      </c>
      <c r="I5" s="50">
        <f t="shared" ref="I5:I28" si="0">G5*H5</f>
        <v>2473176</v>
      </c>
      <c r="J5" s="50"/>
      <c r="K5" s="50">
        <f>총괄표!L55</f>
        <v>8661025</v>
      </c>
      <c r="L5" s="50">
        <f t="shared" ref="L5:L28" si="1">G5*K5</f>
        <v>8661025</v>
      </c>
      <c r="M5" s="50">
        <f>총괄표!N55</f>
        <v>40242</v>
      </c>
      <c r="N5" s="50">
        <f t="shared" ref="N5:N28" si="2">G5*M5</f>
        <v>40242</v>
      </c>
      <c r="O5" s="50"/>
      <c r="P5" s="50">
        <f t="shared" ref="P5:P28" si="3">SUM(I5,L5,N5)</f>
        <v>11174443</v>
      </c>
      <c r="Q5" s="23"/>
    </row>
    <row r="6" spans="1:27" ht="20.45" customHeight="1" x14ac:dyDescent="0.15">
      <c r="D6" s="23"/>
      <c r="E6" s="24"/>
      <c r="F6" s="13"/>
      <c r="G6" s="50"/>
      <c r="H6" s="50"/>
      <c r="I6" s="50">
        <f t="shared" si="0"/>
        <v>0</v>
      </c>
      <c r="J6" s="50"/>
      <c r="K6" s="50"/>
      <c r="L6" s="50">
        <f t="shared" si="1"/>
        <v>0</v>
      </c>
      <c r="M6" s="50"/>
      <c r="N6" s="50">
        <f t="shared" si="2"/>
        <v>0</v>
      </c>
      <c r="O6" s="50"/>
      <c r="P6" s="50">
        <f t="shared" si="3"/>
        <v>0</v>
      </c>
      <c r="Q6" s="23"/>
    </row>
    <row r="7" spans="1:27" ht="20.45" customHeight="1" x14ac:dyDescent="0.15">
      <c r="D7" s="23"/>
      <c r="E7" s="24"/>
      <c r="F7" s="13"/>
      <c r="G7" s="50"/>
      <c r="H7" s="50"/>
      <c r="I7" s="50">
        <f t="shared" si="0"/>
        <v>0</v>
      </c>
      <c r="J7" s="50"/>
      <c r="K7" s="50"/>
      <c r="L7" s="50">
        <f t="shared" si="1"/>
        <v>0</v>
      </c>
      <c r="M7" s="50"/>
      <c r="N7" s="50">
        <f t="shared" si="2"/>
        <v>0</v>
      </c>
      <c r="O7" s="50"/>
      <c r="P7" s="50">
        <f t="shared" si="3"/>
        <v>0</v>
      </c>
      <c r="Q7" s="23"/>
    </row>
    <row r="8" spans="1:27" ht="20.45" customHeight="1" x14ac:dyDescent="0.15">
      <c r="D8" s="23"/>
      <c r="E8" s="24"/>
      <c r="F8" s="13"/>
      <c r="G8" s="50"/>
      <c r="H8" s="50"/>
      <c r="I8" s="50">
        <f t="shared" si="0"/>
        <v>0</v>
      </c>
      <c r="J8" s="50"/>
      <c r="K8" s="50"/>
      <c r="L8" s="50">
        <f t="shared" si="1"/>
        <v>0</v>
      </c>
      <c r="M8" s="50"/>
      <c r="N8" s="50">
        <f t="shared" si="2"/>
        <v>0</v>
      </c>
      <c r="O8" s="50"/>
      <c r="P8" s="50">
        <f t="shared" si="3"/>
        <v>0</v>
      </c>
      <c r="Q8" s="23"/>
    </row>
    <row r="9" spans="1:27" ht="20.45" customHeight="1" x14ac:dyDescent="0.15">
      <c r="D9" s="23"/>
      <c r="E9" s="24"/>
      <c r="F9" s="13"/>
      <c r="G9" s="50"/>
      <c r="H9" s="50"/>
      <c r="I9" s="50">
        <f t="shared" si="0"/>
        <v>0</v>
      </c>
      <c r="J9" s="50"/>
      <c r="K9" s="50"/>
      <c r="L9" s="50">
        <f t="shared" si="1"/>
        <v>0</v>
      </c>
      <c r="M9" s="50"/>
      <c r="N9" s="50">
        <f t="shared" si="2"/>
        <v>0</v>
      </c>
      <c r="O9" s="50"/>
      <c r="P9" s="50">
        <f t="shared" si="3"/>
        <v>0</v>
      </c>
      <c r="Q9" s="23"/>
    </row>
    <row r="10" spans="1:27" ht="20.45" customHeight="1" x14ac:dyDescent="0.15">
      <c r="D10" s="23"/>
      <c r="E10" s="24"/>
      <c r="F10" s="13"/>
      <c r="G10" s="50"/>
      <c r="H10" s="50"/>
      <c r="I10" s="50">
        <f t="shared" si="0"/>
        <v>0</v>
      </c>
      <c r="J10" s="50"/>
      <c r="K10" s="50"/>
      <c r="L10" s="50">
        <f t="shared" si="1"/>
        <v>0</v>
      </c>
      <c r="M10" s="50"/>
      <c r="N10" s="50">
        <f t="shared" si="2"/>
        <v>0</v>
      </c>
      <c r="O10" s="50"/>
      <c r="P10" s="50">
        <f t="shared" si="3"/>
        <v>0</v>
      </c>
      <c r="Q10" s="23"/>
    </row>
    <row r="11" spans="1:27" ht="20.45" customHeight="1" x14ac:dyDescent="0.15">
      <c r="D11" s="23"/>
      <c r="E11" s="24"/>
      <c r="F11" s="13"/>
      <c r="G11" s="50"/>
      <c r="H11" s="50"/>
      <c r="I11" s="50">
        <f t="shared" si="0"/>
        <v>0</v>
      </c>
      <c r="J11" s="50"/>
      <c r="K11" s="50"/>
      <c r="L11" s="50">
        <f t="shared" si="1"/>
        <v>0</v>
      </c>
      <c r="M11" s="50"/>
      <c r="N11" s="50">
        <f t="shared" si="2"/>
        <v>0</v>
      </c>
      <c r="O11" s="50"/>
      <c r="P11" s="50">
        <f t="shared" si="3"/>
        <v>0</v>
      </c>
      <c r="Q11" s="23"/>
    </row>
    <row r="12" spans="1:27" ht="20.45" customHeight="1" x14ac:dyDescent="0.15">
      <c r="D12" s="23"/>
      <c r="E12" s="24"/>
      <c r="F12" s="13"/>
      <c r="G12" s="50"/>
      <c r="H12" s="50"/>
      <c r="I12" s="50">
        <f t="shared" si="0"/>
        <v>0</v>
      </c>
      <c r="J12" s="50"/>
      <c r="K12" s="50"/>
      <c r="L12" s="50">
        <f t="shared" si="1"/>
        <v>0</v>
      </c>
      <c r="M12" s="50"/>
      <c r="N12" s="50">
        <f t="shared" si="2"/>
        <v>0</v>
      </c>
      <c r="O12" s="50"/>
      <c r="P12" s="50">
        <f t="shared" si="3"/>
        <v>0</v>
      </c>
      <c r="Q12" s="23"/>
    </row>
    <row r="13" spans="1:27" ht="20.45" customHeight="1" x14ac:dyDescent="0.15">
      <c r="D13" s="23"/>
      <c r="E13" s="24"/>
      <c r="F13" s="13"/>
      <c r="G13" s="50"/>
      <c r="H13" s="50"/>
      <c r="I13" s="50">
        <f t="shared" si="0"/>
        <v>0</v>
      </c>
      <c r="J13" s="50"/>
      <c r="K13" s="50"/>
      <c r="L13" s="50">
        <f t="shared" si="1"/>
        <v>0</v>
      </c>
      <c r="M13" s="50"/>
      <c r="N13" s="50">
        <f t="shared" si="2"/>
        <v>0</v>
      </c>
      <c r="O13" s="50"/>
      <c r="P13" s="50">
        <f t="shared" si="3"/>
        <v>0</v>
      </c>
      <c r="Q13" s="23"/>
    </row>
    <row r="14" spans="1:27" ht="20.45" customHeight="1" x14ac:dyDescent="0.15">
      <c r="D14" s="23"/>
      <c r="E14" s="24"/>
      <c r="F14" s="13"/>
      <c r="G14" s="50"/>
      <c r="H14" s="50"/>
      <c r="I14" s="50">
        <f t="shared" si="0"/>
        <v>0</v>
      </c>
      <c r="J14" s="50"/>
      <c r="K14" s="50"/>
      <c r="L14" s="50">
        <f t="shared" si="1"/>
        <v>0</v>
      </c>
      <c r="M14" s="50"/>
      <c r="N14" s="50">
        <f t="shared" si="2"/>
        <v>0</v>
      </c>
      <c r="O14" s="50"/>
      <c r="P14" s="50">
        <f t="shared" si="3"/>
        <v>0</v>
      </c>
      <c r="Q14" s="23"/>
    </row>
    <row r="15" spans="1:27" ht="20.45" customHeight="1" x14ac:dyDescent="0.15">
      <c r="D15" s="23"/>
      <c r="E15" s="24"/>
      <c r="F15" s="13"/>
      <c r="G15" s="50"/>
      <c r="H15" s="50"/>
      <c r="I15" s="50">
        <f t="shared" si="0"/>
        <v>0</v>
      </c>
      <c r="J15" s="50"/>
      <c r="K15" s="50"/>
      <c r="L15" s="50">
        <f t="shared" si="1"/>
        <v>0</v>
      </c>
      <c r="M15" s="50"/>
      <c r="N15" s="50">
        <f t="shared" si="2"/>
        <v>0</v>
      </c>
      <c r="O15" s="50"/>
      <c r="P15" s="50">
        <f t="shared" si="3"/>
        <v>0</v>
      </c>
      <c r="Q15" s="23"/>
    </row>
    <row r="16" spans="1:27" ht="20.45" customHeight="1" x14ac:dyDescent="0.15">
      <c r="D16" s="23"/>
      <c r="E16" s="24"/>
      <c r="F16" s="13"/>
      <c r="G16" s="50"/>
      <c r="H16" s="50"/>
      <c r="I16" s="50">
        <f t="shared" si="0"/>
        <v>0</v>
      </c>
      <c r="J16" s="50"/>
      <c r="K16" s="50"/>
      <c r="L16" s="50">
        <f t="shared" si="1"/>
        <v>0</v>
      </c>
      <c r="M16" s="50"/>
      <c r="N16" s="50">
        <f t="shared" si="2"/>
        <v>0</v>
      </c>
      <c r="O16" s="50"/>
      <c r="P16" s="50">
        <f t="shared" si="3"/>
        <v>0</v>
      </c>
      <c r="Q16" s="23"/>
    </row>
    <row r="17" spans="2:17" ht="20.45" customHeight="1" x14ac:dyDescent="0.15">
      <c r="D17" s="23"/>
      <c r="E17" s="24"/>
      <c r="F17" s="13"/>
      <c r="G17" s="50"/>
      <c r="H17" s="50"/>
      <c r="I17" s="50">
        <f t="shared" si="0"/>
        <v>0</v>
      </c>
      <c r="J17" s="50"/>
      <c r="K17" s="50"/>
      <c r="L17" s="50">
        <f t="shared" si="1"/>
        <v>0</v>
      </c>
      <c r="M17" s="50"/>
      <c r="N17" s="50">
        <f t="shared" si="2"/>
        <v>0</v>
      </c>
      <c r="O17" s="50"/>
      <c r="P17" s="50">
        <f t="shared" si="3"/>
        <v>0</v>
      </c>
      <c r="Q17" s="23"/>
    </row>
    <row r="18" spans="2:17" ht="20.45" customHeight="1" x14ac:dyDescent="0.15">
      <c r="D18" s="23"/>
      <c r="E18" s="24"/>
      <c r="F18" s="13"/>
      <c r="G18" s="50"/>
      <c r="H18" s="50"/>
      <c r="I18" s="50">
        <f t="shared" si="0"/>
        <v>0</v>
      </c>
      <c r="J18" s="50"/>
      <c r="K18" s="50"/>
      <c r="L18" s="50">
        <f t="shared" si="1"/>
        <v>0</v>
      </c>
      <c r="M18" s="50"/>
      <c r="N18" s="50">
        <f t="shared" si="2"/>
        <v>0</v>
      </c>
      <c r="O18" s="50"/>
      <c r="P18" s="50">
        <f t="shared" si="3"/>
        <v>0</v>
      </c>
      <c r="Q18" s="23"/>
    </row>
    <row r="19" spans="2:17" ht="20.45" customHeight="1" x14ac:dyDescent="0.15">
      <c r="D19" s="23"/>
      <c r="E19" s="24"/>
      <c r="F19" s="13"/>
      <c r="G19" s="50"/>
      <c r="H19" s="50"/>
      <c r="I19" s="50">
        <f t="shared" si="0"/>
        <v>0</v>
      </c>
      <c r="J19" s="50"/>
      <c r="K19" s="50"/>
      <c r="L19" s="50">
        <f t="shared" si="1"/>
        <v>0</v>
      </c>
      <c r="M19" s="50"/>
      <c r="N19" s="50">
        <f t="shared" si="2"/>
        <v>0</v>
      </c>
      <c r="O19" s="50"/>
      <c r="P19" s="50">
        <f t="shared" si="3"/>
        <v>0</v>
      </c>
      <c r="Q19" s="23"/>
    </row>
    <row r="20" spans="2:17" ht="20.45" customHeight="1" x14ac:dyDescent="0.15">
      <c r="D20" s="23"/>
      <c r="E20" s="24"/>
      <c r="F20" s="13"/>
      <c r="G20" s="50"/>
      <c r="H20" s="50"/>
      <c r="I20" s="50">
        <f t="shared" si="0"/>
        <v>0</v>
      </c>
      <c r="J20" s="50"/>
      <c r="K20" s="50"/>
      <c r="L20" s="50">
        <f t="shared" si="1"/>
        <v>0</v>
      </c>
      <c r="M20" s="50"/>
      <c r="N20" s="50">
        <f t="shared" si="2"/>
        <v>0</v>
      </c>
      <c r="O20" s="50"/>
      <c r="P20" s="50">
        <f t="shared" si="3"/>
        <v>0</v>
      </c>
      <c r="Q20" s="23"/>
    </row>
    <row r="21" spans="2:17" ht="20.45" customHeight="1" x14ac:dyDescent="0.15">
      <c r="D21" s="23"/>
      <c r="E21" s="24"/>
      <c r="F21" s="13"/>
      <c r="G21" s="50"/>
      <c r="H21" s="50"/>
      <c r="I21" s="50">
        <f t="shared" si="0"/>
        <v>0</v>
      </c>
      <c r="J21" s="50"/>
      <c r="K21" s="50"/>
      <c r="L21" s="50">
        <f t="shared" si="1"/>
        <v>0</v>
      </c>
      <c r="M21" s="50"/>
      <c r="N21" s="50">
        <f t="shared" si="2"/>
        <v>0</v>
      </c>
      <c r="O21" s="50"/>
      <c r="P21" s="50">
        <f t="shared" si="3"/>
        <v>0</v>
      </c>
      <c r="Q21" s="23"/>
    </row>
    <row r="22" spans="2:17" ht="20.45" customHeight="1" x14ac:dyDescent="0.15">
      <c r="D22" s="23"/>
      <c r="E22" s="24"/>
      <c r="F22" s="13"/>
      <c r="G22" s="50"/>
      <c r="H22" s="50"/>
      <c r="I22" s="50">
        <f t="shared" si="0"/>
        <v>0</v>
      </c>
      <c r="J22" s="50"/>
      <c r="K22" s="50"/>
      <c r="L22" s="50">
        <f t="shared" si="1"/>
        <v>0</v>
      </c>
      <c r="M22" s="50"/>
      <c r="N22" s="50">
        <f t="shared" si="2"/>
        <v>0</v>
      </c>
      <c r="O22" s="50"/>
      <c r="P22" s="50">
        <f t="shared" si="3"/>
        <v>0</v>
      </c>
      <c r="Q22" s="23"/>
    </row>
    <row r="23" spans="2:17" ht="20.45" customHeight="1" x14ac:dyDescent="0.15">
      <c r="D23" s="23"/>
      <c r="E23" s="24"/>
      <c r="F23" s="13"/>
      <c r="G23" s="50"/>
      <c r="H23" s="50"/>
      <c r="I23" s="50">
        <f t="shared" si="0"/>
        <v>0</v>
      </c>
      <c r="J23" s="50"/>
      <c r="K23" s="50"/>
      <c r="L23" s="50">
        <f t="shared" si="1"/>
        <v>0</v>
      </c>
      <c r="M23" s="50"/>
      <c r="N23" s="50">
        <f t="shared" si="2"/>
        <v>0</v>
      </c>
      <c r="O23" s="50"/>
      <c r="P23" s="50">
        <f t="shared" si="3"/>
        <v>0</v>
      </c>
      <c r="Q23" s="23"/>
    </row>
    <row r="24" spans="2:17" ht="20.45" customHeight="1" x14ac:dyDescent="0.15">
      <c r="D24" s="23"/>
      <c r="E24" s="24"/>
      <c r="F24" s="13"/>
      <c r="G24" s="50"/>
      <c r="H24" s="50"/>
      <c r="I24" s="50">
        <f t="shared" si="0"/>
        <v>0</v>
      </c>
      <c r="J24" s="50"/>
      <c r="K24" s="50"/>
      <c r="L24" s="50">
        <f t="shared" si="1"/>
        <v>0</v>
      </c>
      <c r="M24" s="50"/>
      <c r="N24" s="50">
        <f t="shared" si="2"/>
        <v>0</v>
      </c>
      <c r="O24" s="50"/>
      <c r="P24" s="50">
        <f t="shared" si="3"/>
        <v>0</v>
      </c>
      <c r="Q24" s="23"/>
    </row>
    <row r="25" spans="2:17" ht="20.45" customHeight="1" x14ac:dyDescent="0.15">
      <c r="D25" s="23"/>
      <c r="E25" s="24"/>
      <c r="F25" s="13"/>
      <c r="G25" s="50"/>
      <c r="H25" s="50"/>
      <c r="I25" s="50">
        <f t="shared" si="0"/>
        <v>0</v>
      </c>
      <c r="J25" s="50"/>
      <c r="K25" s="50"/>
      <c r="L25" s="50">
        <f t="shared" si="1"/>
        <v>0</v>
      </c>
      <c r="M25" s="50"/>
      <c r="N25" s="50">
        <f t="shared" si="2"/>
        <v>0</v>
      </c>
      <c r="O25" s="50"/>
      <c r="P25" s="50">
        <f t="shared" si="3"/>
        <v>0</v>
      </c>
      <c r="Q25" s="23"/>
    </row>
    <row r="26" spans="2:17" ht="20.45" customHeight="1" x14ac:dyDescent="0.15">
      <c r="D26" s="23"/>
      <c r="E26" s="24"/>
      <c r="F26" s="13"/>
      <c r="G26" s="50"/>
      <c r="H26" s="50"/>
      <c r="I26" s="50">
        <f t="shared" si="0"/>
        <v>0</v>
      </c>
      <c r="J26" s="50"/>
      <c r="K26" s="50"/>
      <c r="L26" s="50">
        <f t="shared" si="1"/>
        <v>0</v>
      </c>
      <c r="M26" s="50"/>
      <c r="N26" s="50">
        <f t="shared" si="2"/>
        <v>0</v>
      </c>
      <c r="O26" s="50"/>
      <c r="P26" s="50">
        <f t="shared" si="3"/>
        <v>0</v>
      </c>
      <c r="Q26" s="23"/>
    </row>
    <row r="27" spans="2:17" ht="20.45" customHeight="1" x14ac:dyDescent="0.15">
      <c r="D27" s="23"/>
      <c r="E27" s="24"/>
      <c r="F27" s="13"/>
      <c r="G27" s="50"/>
      <c r="H27" s="50"/>
      <c r="I27" s="50">
        <f t="shared" si="0"/>
        <v>0</v>
      </c>
      <c r="J27" s="50"/>
      <c r="K27" s="50"/>
      <c r="L27" s="50">
        <f t="shared" si="1"/>
        <v>0</v>
      </c>
      <c r="M27" s="50"/>
      <c r="N27" s="50">
        <f t="shared" si="2"/>
        <v>0</v>
      </c>
      <c r="O27" s="50"/>
      <c r="P27" s="50">
        <f t="shared" si="3"/>
        <v>0</v>
      </c>
      <c r="Q27" s="23"/>
    </row>
    <row r="28" spans="2:17" ht="20.45" customHeight="1" x14ac:dyDescent="0.15">
      <c r="D28" s="23"/>
      <c r="E28" s="24"/>
      <c r="F28" s="13"/>
      <c r="G28" s="50"/>
      <c r="H28" s="50"/>
      <c r="I28" s="50">
        <f t="shared" si="0"/>
        <v>0</v>
      </c>
      <c r="J28" s="50"/>
      <c r="K28" s="50"/>
      <c r="L28" s="50">
        <f t="shared" si="1"/>
        <v>0</v>
      </c>
      <c r="M28" s="50"/>
      <c r="N28" s="50">
        <f t="shared" si="2"/>
        <v>0</v>
      </c>
      <c r="O28" s="50"/>
      <c r="P28" s="50">
        <f t="shared" si="3"/>
        <v>0</v>
      </c>
      <c r="Q28" s="23"/>
    </row>
    <row r="29" spans="2:17" ht="20.45" customHeight="1" x14ac:dyDescent="0.15">
      <c r="C29" s="14" t="s">
        <v>745</v>
      </c>
      <c r="D29" s="23" t="s">
        <v>677</v>
      </c>
      <c r="E29" s="24"/>
      <c r="F29" s="13"/>
      <c r="G29" s="50"/>
      <c r="H29" s="50"/>
      <c r="I29" s="50">
        <f>TRUNC(SUM(I4:I28))</f>
        <v>2473176</v>
      </c>
      <c r="J29" s="50"/>
      <c r="K29" s="50"/>
      <c r="L29" s="50">
        <f>TRUNC(SUM(L4:L28))</f>
        <v>8661025</v>
      </c>
      <c r="M29" s="50"/>
      <c r="N29" s="50">
        <f>TRUNC(SUM(N4:N28))</f>
        <v>40242</v>
      </c>
      <c r="O29" s="50"/>
      <c r="P29" s="50">
        <f>TRUNC(SUM(P4:P28))</f>
        <v>11174443</v>
      </c>
      <c r="Q29" s="23"/>
    </row>
    <row r="30" spans="2:17" ht="20.45" customHeight="1" x14ac:dyDescent="0.15">
      <c r="B30" s="14" t="s">
        <v>126</v>
      </c>
      <c r="D30" s="379" t="s">
        <v>744</v>
      </c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1"/>
    </row>
    <row r="31" spans="2:17" ht="20.45" customHeight="1" x14ac:dyDescent="0.15">
      <c r="B31" s="14" t="s">
        <v>746</v>
      </c>
      <c r="D31" s="23" t="s">
        <v>899</v>
      </c>
      <c r="E31" s="24"/>
      <c r="F31" s="13" t="s">
        <v>112</v>
      </c>
      <c r="G31" s="50">
        <v>1</v>
      </c>
      <c r="H31" s="50">
        <f>총괄표!I81</f>
        <v>2473176</v>
      </c>
      <c r="I31" s="50">
        <f t="shared" ref="I31:I54" si="4">G31*H31</f>
        <v>2473176</v>
      </c>
      <c r="J31" s="50"/>
      <c r="K31" s="50">
        <f>총괄표!L81</f>
        <v>8661025</v>
      </c>
      <c r="L31" s="50">
        <f t="shared" ref="L31:L54" si="5">G31*K31</f>
        <v>8661025</v>
      </c>
      <c r="M31" s="50">
        <f>총괄표!N81</f>
        <v>40242</v>
      </c>
      <c r="N31" s="50">
        <f t="shared" ref="N31:N54" si="6">G31*M31</f>
        <v>40242</v>
      </c>
      <c r="O31" s="50"/>
      <c r="P31" s="50">
        <f t="shared" ref="P31:P54" si="7">SUM(I31,L31,N31)</f>
        <v>11174443</v>
      </c>
      <c r="Q31" s="23"/>
    </row>
    <row r="32" spans="2:17" ht="20.45" customHeight="1" x14ac:dyDescent="0.15">
      <c r="D32" s="23"/>
      <c r="E32" s="24"/>
      <c r="F32" s="13"/>
      <c r="G32" s="50"/>
      <c r="H32" s="50"/>
      <c r="I32" s="50">
        <f t="shared" si="4"/>
        <v>0</v>
      </c>
      <c r="J32" s="50"/>
      <c r="K32" s="50"/>
      <c r="L32" s="50">
        <f t="shared" si="5"/>
        <v>0</v>
      </c>
      <c r="M32" s="50"/>
      <c r="N32" s="50">
        <f t="shared" si="6"/>
        <v>0</v>
      </c>
      <c r="O32" s="50"/>
      <c r="P32" s="50">
        <f t="shared" si="7"/>
        <v>0</v>
      </c>
      <c r="Q32" s="23"/>
    </row>
    <row r="33" spans="4:17" ht="20.45" customHeight="1" x14ac:dyDescent="0.15">
      <c r="D33" s="23"/>
      <c r="E33" s="24"/>
      <c r="F33" s="13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23"/>
    </row>
    <row r="34" spans="4:17" ht="20.45" customHeight="1" x14ac:dyDescent="0.15">
      <c r="D34" s="23"/>
      <c r="E34" s="24"/>
      <c r="F34" s="13"/>
      <c r="G34" s="50"/>
      <c r="H34" s="50"/>
      <c r="I34" s="50">
        <f t="shared" si="4"/>
        <v>0</v>
      </c>
      <c r="J34" s="50"/>
      <c r="K34" s="50"/>
      <c r="L34" s="50">
        <f t="shared" si="5"/>
        <v>0</v>
      </c>
      <c r="M34" s="50"/>
      <c r="N34" s="50">
        <f t="shared" si="6"/>
        <v>0</v>
      </c>
      <c r="O34" s="50"/>
      <c r="P34" s="50">
        <f t="shared" si="7"/>
        <v>0</v>
      </c>
      <c r="Q34" s="23"/>
    </row>
    <row r="35" spans="4:17" ht="20.45" customHeight="1" x14ac:dyDescent="0.15">
      <c r="D35" s="23"/>
      <c r="E35" s="24"/>
      <c r="F35" s="13"/>
      <c r="G35" s="50"/>
      <c r="H35" s="50"/>
      <c r="I35" s="50">
        <f t="shared" si="4"/>
        <v>0</v>
      </c>
      <c r="J35" s="50"/>
      <c r="K35" s="50"/>
      <c r="L35" s="50">
        <f t="shared" si="5"/>
        <v>0</v>
      </c>
      <c r="M35" s="50"/>
      <c r="N35" s="50">
        <f t="shared" si="6"/>
        <v>0</v>
      </c>
      <c r="O35" s="50"/>
      <c r="P35" s="50">
        <f t="shared" si="7"/>
        <v>0</v>
      </c>
      <c r="Q35" s="23"/>
    </row>
    <row r="36" spans="4:17" ht="20.45" customHeight="1" x14ac:dyDescent="0.15">
      <c r="D36" s="23"/>
      <c r="E36" s="24"/>
      <c r="F36" s="13"/>
      <c r="G36" s="50"/>
      <c r="H36" s="50"/>
      <c r="I36" s="50">
        <f t="shared" si="4"/>
        <v>0</v>
      </c>
      <c r="J36" s="50"/>
      <c r="K36" s="50"/>
      <c r="L36" s="50">
        <f t="shared" si="5"/>
        <v>0</v>
      </c>
      <c r="M36" s="50"/>
      <c r="N36" s="50">
        <f t="shared" si="6"/>
        <v>0</v>
      </c>
      <c r="O36" s="50"/>
      <c r="P36" s="50">
        <f t="shared" si="7"/>
        <v>0</v>
      </c>
      <c r="Q36" s="23"/>
    </row>
    <row r="37" spans="4:17" ht="20.45" customHeight="1" x14ac:dyDescent="0.15">
      <c r="D37" s="23"/>
      <c r="E37" s="24"/>
      <c r="F37" s="13"/>
      <c r="G37" s="50"/>
      <c r="H37" s="50"/>
      <c r="I37" s="50">
        <f t="shared" si="4"/>
        <v>0</v>
      </c>
      <c r="J37" s="50"/>
      <c r="K37" s="50"/>
      <c r="L37" s="50">
        <f t="shared" si="5"/>
        <v>0</v>
      </c>
      <c r="M37" s="50"/>
      <c r="N37" s="50">
        <f t="shared" si="6"/>
        <v>0</v>
      </c>
      <c r="O37" s="50"/>
      <c r="P37" s="50">
        <f t="shared" si="7"/>
        <v>0</v>
      </c>
      <c r="Q37" s="23"/>
    </row>
    <row r="38" spans="4:17" ht="20.45" customHeight="1" x14ac:dyDescent="0.15">
      <c r="D38" s="23"/>
      <c r="E38" s="24"/>
      <c r="F38" s="13"/>
      <c r="G38" s="50"/>
      <c r="H38" s="50"/>
      <c r="I38" s="50">
        <f t="shared" si="4"/>
        <v>0</v>
      </c>
      <c r="J38" s="50"/>
      <c r="K38" s="50"/>
      <c r="L38" s="50">
        <f t="shared" si="5"/>
        <v>0</v>
      </c>
      <c r="M38" s="50"/>
      <c r="N38" s="50">
        <f t="shared" si="6"/>
        <v>0</v>
      </c>
      <c r="O38" s="50"/>
      <c r="P38" s="50">
        <f t="shared" si="7"/>
        <v>0</v>
      </c>
      <c r="Q38" s="23"/>
    </row>
    <row r="39" spans="4:17" ht="20.45" customHeight="1" x14ac:dyDescent="0.15">
      <c r="D39" s="23"/>
      <c r="E39" s="24"/>
      <c r="F39" s="13"/>
      <c r="G39" s="50"/>
      <c r="H39" s="50"/>
      <c r="I39" s="50">
        <f t="shared" si="4"/>
        <v>0</v>
      </c>
      <c r="J39" s="50"/>
      <c r="K39" s="50"/>
      <c r="L39" s="50">
        <f t="shared" si="5"/>
        <v>0</v>
      </c>
      <c r="M39" s="50"/>
      <c r="N39" s="50">
        <f t="shared" si="6"/>
        <v>0</v>
      </c>
      <c r="O39" s="50"/>
      <c r="P39" s="50">
        <f t="shared" si="7"/>
        <v>0</v>
      </c>
      <c r="Q39" s="23"/>
    </row>
    <row r="40" spans="4:17" ht="20.45" customHeight="1" x14ac:dyDescent="0.15">
      <c r="D40" s="23"/>
      <c r="E40" s="24"/>
      <c r="F40" s="13"/>
      <c r="G40" s="50"/>
      <c r="H40" s="50"/>
      <c r="I40" s="50">
        <f t="shared" si="4"/>
        <v>0</v>
      </c>
      <c r="J40" s="50"/>
      <c r="K40" s="50"/>
      <c r="L40" s="50">
        <f t="shared" si="5"/>
        <v>0</v>
      </c>
      <c r="M40" s="50"/>
      <c r="N40" s="50">
        <f t="shared" si="6"/>
        <v>0</v>
      </c>
      <c r="O40" s="50"/>
      <c r="P40" s="50">
        <f t="shared" si="7"/>
        <v>0</v>
      </c>
      <c r="Q40" s="23"/>
    </row>
    <row r="41" spans="4:17" ht="20.45" customHeight="1" x14ac:dyDescent="0.15">
      <c r="D41" s="23"/>
      <c r="E41" s="24"/>
      <c r="F41" s="13"/>
      <c r="G41" s="50"/>
      <c r="H41" s="50"/>
      <c r="I41" s="50">
        <f t="shared" si="4"/>
        <v>0</v>
      </c>
      <c r="J41" s="50"/>
      <c r="K41" s="50"/>
      <c r="L41" s="50">
        <f t="shared" si="5"/>
        <v>0</v>
      </c>
      <c r="M41" s="50"/>
      <c r="N41" s="50">
        <f t="shared" si="6"/>
        <v>0</v>
      </c>
      <c r="O41" s="50"/>
      <c r="P41" s="50">
        <f t="shared" si="7"/>
        <v>0</v>
      </c>
      <c r="Q41" s="23"/>
    </row>
    <row r="42" spans="4:17" ht="20.45" customHeight="1" x14ac:dyDescent="0.15">
      <c r="D42" s="23"/>
      <c r="E42" s="24"/>
      <c r="F42" s="13"/>
      <c r="G42" s="50"/>
      <c r="H42" s="50"/>
      <c r="I42" s="50">
        <f t="shared" si="4"/>
        <v>0</v>
      </c>
      <c r="J42" s="50"/>
      <c r="K42" s="50"/>
      <c r="L42" s="50">
        <f t="shared" si="5"/>
        <v>0</v>
      </c>
      <c r="M42" s="50"/>
      <c r="N42" s="50">
        <f t="shared" si="6"/>
        <v>0</v>
      </c>
      <c r="O42" s="50"/>
      <c r="P42" s="50">
        <f t="shared" si="7"/>
        <v>0</v>
      </c>
      <c r="Q42" s="23"/>
    </row>
    <row r="43" spans="4:17" ht="20.45" customHeight="1" x14ac:dyDescent="0.15">
      <c r="D43" s="23"/>
      <c r="E43" s="24"/>
      <c r="F43" s="13"/>
      <c r="G43" s="50"/>
      <c r="H43" s="50"/>
      <c r="I43" s="50">
        <f t="shared" si="4"/>
        <v>0</v>
      </c>
      <c r="J43" s="50"/>
      <c r="K43" s="50"/>
      <c r="L43" s="50">
        <f t="shared" si="5"/>
        <v>0</v>
      </c>
      <c r="M43" s="50"/>
      <c r="N43" s="50">
        <f t="shared" si="6"/>
        <v>0</v>
      </c>
      <c r="O43" s="50"/>
      <c r="P43" s="50">
        <f t="shared" si="7"/>
        <v>0</v>
      </c>
      <c r="Q43" s="23"/>
    </row>
    <row r="44" spans="4:17" ht="20.45" customHeight="1" x14ac:dyDescent="0.15">
      <c r="D44" s="23"/>
      <c r="E44" s="24"/>
      <c r="F44" s="13"/>
      <c r="G44" s="50"/>
      <c r="H44" s="50"/>
      <c r="I44" s="50">
        <f t="shared" si="4"/>
        <v>0</v>
      </c>
      <c r="J44" s="50"/>
      <c r="K44" s="50"/>
      <c r="L44" s="50">
        <f t="shared" si="5"/>
        <v>0</v>
      </c>
      <c r="M44" s="50"/>
      <c r="N44" s="50">
        <f t="shared" si="6"/>
        <v>0</v>
      </c>
      <c r="O44" s="50"/>
      <c r="P44" s="50">
        <f t="shared" si="7"/>
        <v>0</v>
      </c>
      <c r="Q44" s="23"/>
    </row>
    <row r="45" spans="4:17" ht="20.45" customHeight="1" x14ac:dyDescent="0.15">
      <c r="D45" s="23"/>
      <c r="E45" s="24"/>
      <c r="F45" s="13"/>
      <c r="G45" s="50"/>
      <c r="H45" s="50"/>
      <c r="I45" s="50">
        <f t="shared" si="4"/>
        <v>0</v>
      </c>
      <c r="J45" s="50"/>
      <c r="K45" s="50"/>
      <c r="L45" s="50">
        <f t="shared" si="5"/>
        <v>0</v>
      </c>
      <c r="M45" s="50"/>
      <c r="N45" s="50">
        <f t="shared" si="6"/>
        <v>0</v>
      </c>
      <c r="O45" s="50"/>
      <c r="P45" s="50">
        <f t="shared" si="7"/>
        <v>0</v>
      </c>
      <c r="Q45" s="23"/>
    </row>
    <row r="46" spans="4:17" ht="20.45" customHeight="1" x14ac:dyDescent="0.15">
      <c r="D46" s="23"/>
      <c r="E46" s="24"/>
      <c r="F46" s="13"/>
      <c r="G46" s="50"/>
      <c r="H46" s="50"/>
      <c r="I46" s="50">
        <f t="shared" si="4"/>
        <v>0</v>
      </c>
      <c r="J46" s="50"/>
      <c r="K46" s="50"/>
      <c r="L46" s="50">
        <f t="shared" si="5"/>
        <v>0</v>
      </c>
      <c r="M46" s="50"/>
      <c r="N46" s="50">
        <f t="shared" si="6"/>
        <v>0</v>
      </c>
      <c r="O46" s="50"/>
      <c r="P46" s="50">
        <f t="shared" si="7"/>
        <v>0</v>
      </c>
      <c r="Q46" s="23"/>
    </row>
    <row r="47" spans="4:17" ht="20.45" customHeight="1" x14ac:dyDescent="0.15">
      <c r="D47" s="23"/>
      <c r="E47" s="24"/>
      <c r="F47" s="13"/>
      <c r="G47" s="50"/>
      <c r="H47" s="50"/>
      <c r="I47" s="50">
        <f t="shared" si="4"/>
        <v>0</v>
      </c>
      <c r="J47" s="50"/>
      <c r="K47" s="50"/>
      <c r="L47" s="50">
        <f t="shared" si="5"/>
        <v>0</v>
      </c>
      <c r="M47" s="50"/>
      <c r="N47" s="50">
        <f t="shared" si="6"/>
        <v>0</v>
      </c>
      <c r="O47" s="50"/>
      <c r="P47" s="50">
        <f t="shared" si="7"/>
        <v>0</v>
      </c>
      <c r="Q47" s="23"/>
    </row>
    <row r="48" spans="4:17" ht="20.45" customHeight="1" x14ac:dyDescent="0.15">
      <c r="D48" s="23"/>
      <c r="E48" s="24"/>
      <c r="F48" s="13"/>
      <c r="G48" s="50"/>
      <c r="H48" s="50"/>
      <c r="I48" s="50">
        <f t="shared" si="4"/>
        <v>0</v>
      </c>
      <c r="J48" s="50"/>
      <c r="K48" s="50"/>
      <c r="L48" s="50">
        <f t="shared" si="5"/>
        <v>0</v>
      </c>
      <c r="M48" s="50"/>
      <c r="N48" s="50">
        <f t="shared" si="6"/>
        <v>0</v>
      </c>
      <c r="O48" s="50"/>
      <c r="P48" s="50">
        <f t="shared" si="7"/>
        <v>0</v>
      </c>
      <c r="Q48" s="23"/>
    </row>
    <row r="49" spans="2:17" ht="20.45" customHeight="1" x14ac:dyDescent="0.15">
      <c r="D49" s="23"/>
      <c r="E49" s="24"/>
      <c r="F49" s="13"/>
      <c r="G49" s="50"/>
      <c r="H49" s="50"/>
      <c r="I49" s="50">
        <f t="shared" si="4"/>
        <v>0</v>
      </c>
      <c r="J49" s="50"/>
      <c r="K49" s="50"/>
      <c r="L49" s="50">
        <f t="shared" si="5"/>
        <v>0</v>
      </c>
      <c r="M49" s="50"/>
      <c r="N49" s="50">
        <f t="shared" si="6"/>
        <v>0</v>
      </c>
      <c r="O49" s="50"/>
      <c r="P49" s="50">
        <f t="shared" si="7"/>
        <v>0</v>
      </c>
      <c r="Q49" s="23"/>
    </row>
    <row r="50" spans="2:17" ht="20.45" customHeight="1" x14ac:dyDescent="0.15">
      <c r="D50" s="23"/>
      <c r="E50" s="24"/>
      <c r="F50" s="13"/>
      <c r="G50" s="50"/>
      <c r="H50" s="50"/>
      <c r="I50" s="50">
        <f t="shared" si="4"/>
        <v>0</v>
      </c>
      <c r="J50" s="50"/>
      <c r="K50" s="50"/>
      <c r="L50" s="50">
        <f t="shared" si="5"/>
        <v>0</v>
      </c>
      <c r="M50" s="50"/>
      <c r="N50" s="50">
        <f t="shared" si="6"/>
        <v>0</v>
      </c>
      <c r="O50" s="50"/>
      <c r="P50" s="50">
        <f t="shared" si="7"/>
        <v>0</v>
      </c>
      <c r="Q50" s="23"/>
    </row>
    <row r="51" spans="2:17" ht="20.45" customHeight="1" x14ac:dyDescent="0.15">
      <c r="D51" s="23"/>
      <c r="E51" s="24"/>
      <c r="F51" s="13"/>
      <c r="G51" s="50"/>
      <c r="H51" s="50"/>
      <c r="I51" s="50">
        <f t="shared" si="4"/>
        <v>0</v>
      </c>
      <c r="J51" s="50"/>
      <c r="K51" s="50"/>
      <c r="L51" s="50">
        <f t="shared" si="5"/>
        <v>0</v>
      </c>
      <c r="M51" s="50"/>
      <c r="N51" s="50">
        <f t="shared" si="6"/>
        <v>0</v>
      </c>
      <c r="O51" s="50"/>
      <c r="P51" s="50">
        <f t="shared" si="7"/>
        <v>0</v>
      </c>
      <c r="Q51" s="23"/>
    </row>
    <row r="52" spans="2:17" ht="20.45" customHeight="1" x14ac:dyDescent="0.15">
      <c r="D52" s="23"/>
      <c r="E52" s="24"/>
      <c r="F52" s="13"/>
      <c r="G52" s="50"/>
      <c r="H52" s="50"/>
      <c r="I52" s="50">
        <f t="shared" si="4"/>
        <v>0</v>
      </c>
      <c r="J52" s="50"/>
      <c r="K52" s="50"/>
      <c r="L52" s="50">
        <f t="shared" si="5"/>
        <v>0</v>
      </c>
      <c r="M52" s="50"/>
      <c r="N52" s="50">
        <f t="shared" si="6"/>
        <v>0</v>
      </c>
      <c r="O52" s="50"/>
      <c r="P52" s="50">
        <f t="shared" si="7"/>
        <v>0</v>
      </c>
      <c r="Q52" s="23"/>
    </row>
    <row r="53" spans="2:17" ht="20.45" customHeight="1" x14ac:dyDescent="0.15">
      <c r="D53" s="23"/>
      <c r="E53" s="24"/>
      <c r="F53" s="13"/>
      <c r="G53" s="50"/>
      <c r="H53" s="50"/>
      <c r="I53" s="50">
        <f t="shared" si="4"/>
        <v>0</v>
      </c>
      <c r="J53" s="50"/>
      <c r="K53" s="50"/>
      <c r="L53" s="50">
        <f t="shared" si="5"/>
        <v>0</v>
      </c>
      <c r="M53" s="50"/>
      <c r="N53" s="50">
        <f t="shared" si="6"/>
        <v>0</v>
      </c>
      <c r="O53" s="50"/>
      <c r="P53" s="50">
        <f t="shared" si="7"/>
        <v>0</v>
      </c>
      <c r="Q53" s="23"/>
    </row>
    <row r="54" spans="2:17" ht="20.45" customHeight="1" x14ac:dyDescent="0.15">
      <c r="D54" s="23"/>
      <c r="E54" s="24"/>
      <c r="F54" s="13"/>
      <c r="G54" s="50"/>
      <c r="H54" s="50"/>
      <c r="I54" s="50">
        <f t="shared" si="4"/>
        <v>0</v>
      </c>
      <c r="J54" s="50"/>
      <c r="K54" s="50"/>
      <c r="L54" s="50">
        <f t="shared" si="5"/>
        <v>0</v>
      </c>
      <c r="M54" s="50"/>
      <c r="N54" s="50">
        <f t="shared" si="6"/>
        <v>0</v>
      </c>
      <c r="O54" s="50"/>
      <c r="P54" s="50">
        <f t="shared" si="7"/>
        <v>0</v>
      </c>
      <c r="Q54" s="23"/>
    </row>
    <row r="55" spans="2:17" ht="20.45" customHeight="1" x14ac:dyDescent="0.15">
      <c r="B55" s="14" t="s">
        <v>743</v>
      </c>
      <c r="C55" s="14" t="s">
        <v>745</v>
      </c>
      <c r="D55" s="23" t="s">
        <v>677</v>
      </c>
      <c r="E55" s="24"/>
      <c r="F55" s="13"/>
      <c r="G55" s="50"/>
      <c r="H55" s="50"/>
      <c r="I55" s="50">
        <f>TRUNC(SUM(I30:I54))</f>
        <v>2473176</v>
      </c>
      <c r="J55" s="50"/>
      <c r="K55" s="50"/>
      <c r="L55" s="50">
        <f>TRUNC(SUM(L30:L54))</f>
        <v>8661025</v>
      </c>
      <c r="M55" s="50"/>
      <c r="N55" s="50">
        <f>TRUNC(SUM(N30:N54))</f>
        <v>40242</v>
      </c>
      <c r="O55" s="50"/>
      <c r="P55" s="50">
        <f>TRUNC(SUM(P30:P54))</f>
        <v>11174443</v>
      </c>
      <c r="Q55" s="23"/>
    </row>
    <row r="56" spans="2:17" ht="20.45" customHeight="1" x14ac:dyDescent="0.15">
      <c r="B56" s="14" t="s">
        <v>126</v>
      </c>
      <c r="D56" s="379" t="s">
        <v>900</v>
      </c>
      <c r="E56" s="380"/>
      <c r="F56" s="380"/>
      <c r="G56" s="380"/>
      <c r="H56" s="380"/>
      <c r="I56" s="380"/>
      <c r="J56" s="380"/>
      <c r="K56" s="380"/>
      <c r="L56" s="380"/>
      <c r="M56" s="380"/>
      <c r="N56" s="380"/>
      <c r="O56" s="380"/>
      <c r="P56" s="380"/>
      <c r="Q56" s="381"/>
    </row>
    <row r="57" spans="2:17" ht="20.45" customHeight="1" x14ac:dyDescent="0.15">
      <c r="B57" s="14" t="s">
        <v>732</v>
      </c>
      <c r="D57" s="23" t="s">
        <v>901</v>
      </c>
      <c r="E57" s="24"/>
      <c r="F57" s="13" t="s">
        <v>112</v>
      </c>
      <c r="G57" s="50">
        <v>1</v>
      </c>
      <c r="H57" s="50">
        <f>내역서!I55</f>
        <v>2273811</v>
      </c>
      <c r="I57" s="50">
        <f t="shared" ref="I57:I80" si="8">G57*H57</f>
        <v>2273811</v>
      </c>
      <c r="J57" s="50"/>
      <c r="K57" s="50">
        <f>내역서!L55</f>
        <v>6616016</v>
      </c>
      <c r="L57" s="50">
        <f t="shared" ref="L57:L80" si="9">G57*K57</f>
        <v>6616016</v>
      </c>
      <c r="M57" s="50">
        <f>내역서!N55</f>
        <v>40242</v>
      </c>
      <c r="N57" s="50">
        <f t="shared" ref="N57:N80" si="10">G57*M57</f>
        <v>40242</v>
      </c>
      <c r="O57" s="50"/>
      <c r="P57" s="50">
        <f t="shared" ref="P57:P80" si="11">SUM(I57,L57,N57)</f>
        <v>8930069</v>
      </c>
      <c r="Q57" s="23"/>
    </row>
    <row r="58" spans="2:17" ht="20.45" customHeight="1" x14ac:dyDescent="0.15">
      <c r="B58" s="14" t="s">
        <v>735</v>
      </c>
      <c r="D58" s="23" t="s">
        <v>902</v>
      </c>
      <c r="E58" s="24"/>
      <c r="F58" s="13" t="s">
        <v>112</v>
      </c>
      <c r="G58" s="50">
        <v>1</v>
      </c>
      <c r="H58" s="50">
        <f>내역서!I81</f>
        <v>199365</v>
      </c>
      <c r="I58" s="50">
        <f t="shared" si="8"/>
        <v>199365</v>
      </c>
      <c r="J58" s="50"/>
      <c r="K58" s="50">
        <f>내역서!L81</f>
        <v>2045009</v>
      </c>
      <c r="L58" s="50">
        <f t="shared" si="9"/>
        <v>2045009</v>
      </c>
      <c r="M58" s="50">
        <f>내역서!N81</f>
        <v>0</v>
      </c>
      <c r="N58" s="50">
        <f t="shared" si="10"/>
        <v>0</v>
      </c>
      <c r="O58" s="50"/>
      <c r="P58" s="50">
        <f t="shared" si="11"/>
        <v>2244374</v>
      </c>
      <c r="Q58" s="23"/>
    </row>
    <row r="59" spans="2:17" ht="20.45" customHeight="1" x14ac:dyDescent="0.15">
      <c r="D59" s="23"/>
      <c r="E59" s="24"/>
      <c r="F59" s="13"/>
      <c r="G59" s="50"/>
      <c r="H59" s="50"/>
      <c r="I59" s="50">
        <f t="shared" si="8"/>
        <v>0</v>
      </c>
      <c r="J59" s="50"/>
      <c r="K59" s="50"/>
      <c r="L59" s="50">
        <f t="shared" si="9"/>
        <v>0</v>
      </c>
      <c r="M59" s="50"/>
      <c r="N59" s="50">
        <f t="shared" si="10"/>
        <v>0</v>
      </c>
      <c r="O59" s="50"/>
      <c r="P59" s="50">
        <f t="shared" si="11"/>
        <v>0</v>
      </c>
      <c r="Q59" s="23"/>
    </row>
    <row r="60" spans="2:17" ht="20.45" customHeight="1" x14ac:dyDescent="0.15">
      <c r="D60" s="23"/>
      <c r="E60" s="24"/>
      <c r="F60" s="13"/>
      <c r="G60" s="50"/>
      <c r="H60" s="50"/>
      <c r="I60" s="50">
        <f t="shared" si="8"/>
        <v>0</v>
      </c>
      <c r="J60" s="50"/>
      <c r="K60" s="50"/>
      <c r="L60" s="50">
        <f t="shared" si="9"/>
        <v>0</v>
      </c>
      <c r="M60" s="50"/>
      <c r="N60" s="50">
        <f t="shared" si="10"/>
        <v>0</v>
      </c>
      <c r="O60" s="50"/>
      <c r="P60" s="50">
        <f t="shared" si="11"/>
        <v>0</v>
      </c>
      <c r="Q60" s="23"/>
    </row>
    <row r="61" spans="2:17" ht="20.45" customHeight="1" x14ac:dyDescent="0.15">
      <c r="D61" s="23"/>
      <c r="E61" s="24"/>
      <c r="F61" s="13"/>
      <c r="G61" s="50"/>
      <c r="H61" s="50"/>
      <c r="I61" s="50">
        <f t="shared" si="8"/>
        <v>0</v>
      </c>
      <c r="J61" s="50"/>
      <c r="K61" s="50"/>
      <c r="L61" s="50">
        <f t="shared" si="9"/>
        <v>0</v>
      </c>
      <c r="M61" s="50"/>
      <c r="N61" s="50">
        <f t="shared" si="10"/>
        <v>0</v>
      </c>
      <c r="O61" s="50"/>
      <c r="P61" s="50">
        <f t="shared" si="11"/>
        <v>0</v>
      </c>
      <c r="Q61" s="23"/>
    </row>
    <row r="62" spans="2:17" ht="20.45" customHeight="1" x14ac:dyDescent="0.15">
      <c r="D62" s="23"/>
      <c r="E62" s="24"/>
      <c r="F62" s="13"/>
      <c r="G62" s="50"/>
      <c r="H62" s="50"/>
      <c r="I62" s="50">
        <f t="shared" si="8"/>
        <v>0</v>
      </c>
      <c r="J62" s="50"/>
      <c r="K62" s="50"/>
      <c r="L62" s="50">
        <f t="shared" si="9"/>
        <v>0</v>
      </c>
      <c r="M62" s="50"/>
      <c r="N62" s="50">
        <f t="shared" si="10"/>
        <v>0</v>
      </c>
      <c r="O62" s="50"/>
      <c r="P62" s="50">
        <f t="shared" si="11"/>
        <v>0</v>
      </c>
      <c r="Q62" s="23"/>
    </row>
    <row r="63" spans="2:17" ht="20.45" customHeight="1" x14ac:dyDescent="0.15">
      <c r="D63" s="23"/>
      <c r="E63" s="24"/>
      <c r="F63" s="13"/>
      <c r="G63" s="50"/>
      <c r="H63" s="50"/>
      <c r="I63" s="50">
        <f t="shared" si="8"/>
        <v>0</v>
      </c>
      <c r="J63" s="50"/>
      <c r="K63" s="50"/>
      <c r="L63" s="50">
        <f t="shared" si="9"/>
        <v>0</v>
      </c>
      <c r="M63" s="50"/>
      <c r="N63" s="50">
        <f t="shared" si="10"/>
        <v>0</v>
      </c>
      <c r="O63" s="50"/>
      <c r="P63" s="50">
        <f t="shared" si="11"/>
        <v>0</v>
      </c>
      <c r="Q63" s="23"/>
    </row>
    <row r="64" spans="2:17" ht="20.45" customHeight="1" x14ac:dyDescent="0.15">
      <c r="D64" s="23"/>
      <c r="E64" s="24"/>
      <c r="F64" s="13"/>
      <c r="G64" s="50"/>
      <c r="H64" s="50"/>
      <c r="I64" s="50">
        <f t="shared" si="8"/>
        <v>0</v>
      </c>
      <c r="J64" s="50"/>
      <c r="K64" s="50"/>
      <c r="L64" s="50">
        <f t="shared" si="9"/>
        <v>0</v>
      </c>
      <c r="M64" s="50"/>
      <c r="N64" s="50">
        <f t="shared" si="10"/>
        <v>0</v>
      </c>
      <c r="O64" s="50"/>
      <c r="P64" s="50">
        <f t="shared" si="11"/>
        <v>0</v>
      </c>
      <c r="Q64" s="23"/>
    </row>
    <row r="65" spans="4:17" ht="20.45" customHeight="1" x14ac:dyDescent="0.15">
      <c r="D65" s="23"/>
      <c r="E65" s="24"/>
      <c r="F65" s="13"/>
      <c r="G65" s="50"/>
      <c r="H65" s="50"/>
      <c r="I65" s="50">
        <f t="shared" si="8"/>
        <v>0</v>
      </c>
      <c r="J65" s="50"/>
      <c r="K65" s="50"/>
      <c r="L65" s="50">
        <f t="shared" si="9"/>
        <v>0</v>
      </c>
      <c r="M65" s="50"/>
      <c r="N65" s="50">
        <f t="shared" si="10"/>
        <v>0</v>
      </c>
      <c r="O65" s="50"/>
      <c r="P65" s="50">
        <f t="shared" si="11"/>
        <v>0</v>
      </c>
      <c r="Q65" s="23"/>
    </row>
    <row r="66" spans="4:17" ht="20.45" customHeight="1" x14ac:dyDescent="0.15">
      <c r="D66" s="23"/>
      <c r="E66" s="24"/>
      <c r="F66" s="13"/>
      <c r="G66" s="50"/>
      <c r="H66" s="50"/>
      <c r="I66" s="50">
        <f t="shared" si="8"/>
        <v>0</v>
      </c>
      <c r="J66" s="50"/>
      <c r="K66" s="50"/>
      <c r="L66" s="50">
        <f t="shared" si="9"/>
        <v>0</v>
      </c>
      <c r="M66" s="50"/>
      <c r="N66" s="50">
        <f t="shared" si="10"/>
        <v>0</v>
      </c>
      <c r="O66" s="50"/>
      <c r="P66" s="50">
        <f t="shared" si="11"/>
        <v>0</v>
      </c>
      <c r="Q66" s="23"/>
    </row>
    <row r="67" spans="4:17" ht="20.45" customHeight="1" x14ac:dyDescent="0.15">
      <c r="D67" s="23"/>
      <c r="E67" s="24"/>
      <c r="F67" s="13"/>
      <c r="G67" s="50"/>
      <c r="H67" s="50"/>
      <c r="I67" s="50">
        <f t="shared" si="8"/>
        <v>0</v>
      </c>
      <c r="J67" s="50"/>
      <c r="K67" s="50"/>
      <c r="L67" s="50">
        <f t="shared" si="9"/>
        <v>0</v>
      </c>
      <c r="M67" s="50"/>
      <c r="N67" s="50">
        <f t="shared" si="10"/>
        <v>0</v>
      </c>
      <c r="O67" s="50"/>
      <c r="P67" s="50">
        <f t="shared" si="11"/>
        <v>0</v>
      </c>
      <c r="Q67" s="23"/>
    </row>
    <row r="68" spans="4:17" ht="20.45" customHeight="1" x14ac:dyDescent="0.15">
      <c r="D68" s="23"/>
      <c r="E68" s="24"/>
      <c r="F68" s="13"/>
      <c r="G68" s="50"/>
      <c r="H68" s="50"/>
      <c r="I68" s="50">
        <f t="shared" si="8"/>
        <v>0</v>
      </c>
      <c r="J68" s="50"/>
      <c r="K68" s="50"/>
      <c r="L68" s="50">
        <f t="shared" si="9"/>
        <v>0</v>
      </c>
      <c r="M68" s="50"/>
      <c r="N68" s="50">
        <f t="shared" si="10"/>
        <v>0</v>
      </c>
      <c r="O68" s="50"/>
      <c r="P68" s="50">
        <f t="shared" si="11"/>
        <v>0</v>
      </c>
      <c r="Q68" s="23"/>
    </row>
    <row r="69" spans="4:17" ht="20.45" customHeight="1" x14ac:dyDescent="0.15">
      <c r="D69" s="23"/>
      <c r="E69" s="24"/>
      <c r="F69" s="13"/>
      <c r="G69" s="50"/>
      <c r="H69" s="50"/>
      <c r="I69" s="50">
        <f t="shared" si="8"/>
        <v>0</v>
      </c>
      <c r="J69" s="50"/>
      <c r="K69" s="50"/>
      <c r="L69" s="50">
        <f t="shared" si="9"/>
        <v>0</v>
      </c>
      <c r="M69" s="50"/>
      <c r="N69" s="50">
        <f t="shared" si="10"/>
        <v>0</v>
      </c>
      <c r="O69" s="50"/>
      <c r="P69" s="50">
        <f t="shared" si="11"/>
        <v>0</v>
      </c>
      <c r="Q69" s="23"/>
    </row>
    <row r="70" spans="4:17" ht="20.45" customHeight="1" x14ac:dyDescent="0.15">
      <c r="D70" s="23"/>
      <c r="E70" s="24"/>
      <c r="F70" s="13"/>
      <c r="G70" s="50"/>
      <c r="H70" s="50"/>
      <c r="I70" s="50">
        <f t="shared" si="8"/>
        <v>0</v>
      </c>
      <c r="J70" s="50"/>
      <c r="K70" s="50"/>
      <c r="L70" s="50">
        <f t="shared" si="9"/>
        <v>0</v>
      </c>
      <c r="M70" s="50"/>
      <c r="N70" s="50">
        <f t="shared" si="10"/>
        <v>0</v>
      </c>
      <c r="O70" s="50"/>
      <c r="P70" s="50">
        <f t="shared" si="11"/>
        <v>0</v>
      </c>
      <c r="Q70" s="23"/>
    </row>
    <row r="71" spans="4:17" ht="20.45" customHeight="1" x14ac:dyDescent="0.15">
      <c r="D71" s="23"/>
      <c r="E71" s="24"/>
      <c r="F71" s="13"/>
      <c r="G71" s="50"/>
      <c r="H71" s="50"/>
      <c r="I71" s="50">
        <f t="shared" si="8"/>
        <v>0</v>
      </c>
      <c r="J71" s="50"/>
      <c r="K71" s="50"/>
      <c r="L71" s="50">
        <f t="shared" si="9"/>
        <v>0</v>
      </c>
      <c r="M71" s="50"/>
      <c r="N71" s="50">
        <f t="shared" si="10"/>
        <v>0</v>
      </c>
      <c r="O71" s="50"/>
      <c r="P71" s="50">
        <f t="shared" si="11"/>
        <v>0</v>
      </c>
      <c r="Q71" s="23"/>
    </row>
    <row r="72" spans="4:17" ht="20.45" customHeight="1" x14ac:dyDescent="0.15">
      <c r="D72" s="23"/>
      <c r="E72" s="24"/>
      <c r="F72" s="13"/>
      <c r="G72" s="50"/>
      <c r="H72" s="50"/>
      <c r="I72" s="50">
        <f t="shared" si="8"/>
        <v>0</v>
      </c>
      <c r="J72" s="50"/>
      <c r="K72" s="50"/>
      <c r="L72" s="50">
        <f t="shared" si="9"/>
        <v>0</v>
      </c>
      <c r="M72" s="50"/>
      <c r="N72" s="50">
        <f t="shared" si="10"/>
        <v>0</v>
      </c>
      <c r="O72" s="50"/>
      <c r="P72" s="50">
        <f t="shared" si="11"/>
        <v>0</v>
      </c>
      <c r="Q72" s="23"/>
    </row>
    <row r="73" spans="4:17" ht="20.45" customHeight="1" x14ac:dyDescent="0.15">
      <c r="D73" s="23"/>
      <c r="E73" s="24"/>
      <c r="F73" s="13"/>
      <c r="G73" s="50"/>
      <c r="H73" s="50"/>
      <c r="I73" s="50">
        <f t="shared" si="8"/>
        <v>0</v>
      </c>
      <c r="J73" s="50"/>
      <c r="K73" s="50"/>
      <c r="L73" s="50">
        <f t="shared" si="9"/>
        <v>0</v>
      </c>
      <c r="M73" s="50"/>
      <c r="N73" s="50">
        <f t="shared" si="10"/>
        <v>0</v>
      </c>
      <c r="O73" s="50"/>
      <c r="P73" s="50">
        <f t="shared" si="11"/>
        <v>0</v>
      </c>
      <c r="Q73" s="23"/>
    </row>
    <row r="74" spans="4:17" ht="20.45" customHeight="1" x14ac:dyDescent="0.15">
      <c r="D74" s="23"/>
      <c r="E74" s="24"/>
      <c r="F74" s="13"/>
      <c r="G74" s="50"/>
      <c r="H74" s="50"/>
      <c r="I74" s="50">
        <f t="shared" si="8"/>
        <v>0</v>
      </c>
      <c r="J74" s="50"/>
      <c r="K74" s="50"/>
      <c r="L74" s="50">
        <f t="shared" si="9"/>
        <v>0</v>
      </c>
      <c r="M74" s="50"/>
      <c r="N74" s="50">
        <f t="shared" si="10"/>
        <v>0</v>
      </c>
      <c r="O74" s="50"/>
      <c r="P74" s="50">
        <f t="shared" si="11"/>
        <v>0</v>
      </c>
      <c r="Q74" s="23"/>
    </row>
    <row r="75" spans="4:17" ht="20.45" customHeight="1" x14ac:dyDescent="0.15">
      <c r="D75" s="23"/>
      <c r="E75" s="24"/>
      <c r="F75" s="13"/>
      <c r="G75" s="50"/>
      <c r="H75" s="50"/>
      <c r="I75" s="50">
        <f t="shared" si="8"/>
        <v>0</v>
      </c>
      <c r="J75" s="50"/>
      <c r="K75" s="50"/>
      <c r="L75" s="50">
        <f t="shared" si="9"/>
        <v>0</v>
      </c>
      <c r="M75" s="50"/>
      <c r="N75" s="50">
        <f t="shared" si="10"/>
        <v>0</v>
      </c>
      <c r="O75" s="50"/>
      <c r="P75" s="50">
        <f t="shared" si="11"/>
        <v>0</v>
      </c>
      <c r="Q75" s="23"/>
    </row>
    <row r="76" spans="4:17" ht="20.45" customHeight="1" x14ac:dyDescent="0.15">
      <c r="D76" s="23"/>
      <c r="E76" s="24"/>
      <c r="F76" s="13"/>
      <c r="G76" s="50"/>
      <c r="H76" s="50"/>
      <c r="I76" s="50">
        <f t="shared" si="8"/>
        <v>0</v>
      </c>
      <c r="J76" s="50"/>
      <c r="K76" s="50"/>
      <c r="L76" s="50">
        <f t="shared" si="9"/>
        <v>0</v>
      </c>
      <c r="M76" s="50"/>
      <c r="N76" s="50">
        <f t="shared" si="10"/>
        <v>0</v>
      </c>
      <c r="O76" s="50"/>
      <c r="P76" s="50">
        <f t="shared" si="11"/>
        <v>0</v>
      </c>
      <c r="Q76" s="23"/>
    </row>
    <row r="77" spans="4:17" ht="20.45" customHeight="1" x14ac:dyDescent="0.15">
      <c r="D77" s="23"/>
      <c r="E77" s="24"/>
      <c r="F77" s="13"/>
      <c r="G77" s="50"/>
      <c r="H77" s="50"/>
      <c r="I77" s="50">
        <f t="shared" si="8"/>
        <v>0</v>
      </c>
      <c r="J77" s="50"/>
      <c r="K77" s="50"/>
      <c r="L77" s="50">
        <f t="shared" si="9"/>
        <v>0</v>
      </c>
      <c r="M77" s="50"/>
      <c r="N77" s="50">
        <f t="shared" si="10"/>
        <v>0</v>
      </c>
      <c r="O77" s="50"/>
      <c r="P77" s="50">
        <f t="shared" si="11"/>
        <v>0</v>
      </c>
      <c r="Q77" s="23"/>
    </row>
    <row r="78" spans="4:17" ht="20.45" customHeight="1" x14ac:dyDescent="0.15">
      <c r="D78" s="23"/>
      <c r="E78" s="24"/>
      <c r="F78" s="13"/>
      <c r="G78" s="50"/>
      <c r="H78" s="50"/>
      <c r="I78" s="50">
        <f t="shared" si="8"/>
        <v>0</v>
      </c>
      <c r="J78" s="50"/>
      <c r="K78" s="50"/>
      <c r="L78" s="50">
        <f t="shared" si="9"/>
        <v>0</v>
      </c>
      <c r="M78" s="50"/>
      <c r="N78" s="50">
        <f t="shared" si="10"/>
        <v>0</v>
      </c>
      <c r="O78" s="50"/>
      <c r="P78" s="50">
        <f t="shared" si="11"/>
        <v>0</v>
      </c>
      <c r="Q78" s="23"/>
    </row>
    <row r="79" spans="4:17" ht="20.45" customHeight="1" x14ac:dyDescent="0.15">
      <c r="D79" s="23"/>
      <c r="E79" s="24"/>
      <c r="F79" s="13"/>
      <c r="G79" s="50"/>
      <c r="H79" s="50"/>
      <c r="I79" s="50">
        <f t="shared" si="8"/>
        <v>0</v>
      </c>
      <c r="J79" s="50"/>
      <c r="K79" s="50"/>
      <c r="L79" s="50">
        <f t="shared" si="9"/>
        <v>0</v>
      </c>
      <c r="M79" s="50"/>
      <c r="N79" s="50">
        <f t="shared" si="10"/>
        <v>0</v>
      </c>
      <c r="O79" s="50"/>
      <c r="P79" s="50">
        <f t="shared" si="11"/>
        <v>0</v>
      </c>
      <c r="Q79" s="23"/>
    </row>
    <row r="80" spans="4:17" ht="20.45" customHeight="1" x14ac:dyDescent="0.15">
      <c r="D80" s="23"/>
      <c r="E80" s="24"/>
      <c r="F80" s="13"/>
      <c r="G80" s="50"/>
      <c r="H80" s="50"/>
      <c r="I80" s="50">
        <f t="shared" si="8"/>
        <v>0</v>
      </c>
      <c r="J80" s="50"/>
      <c r="K80" s="50"/>
      <c r="L80" s="50">
        <f t="shared" si="9"/>
        <v>0</v>
      </c>
      <c r="M80" s="50"/>
      <c r="N80" s="50">
        <f t="shared" si="10"/>
        <v>0</v>
      </c>
      <c r="O80" s="50"/>
      <c r="P80" s="50">
        <f t="shared" si="11"/>
        <v>0</v>
      </c>
      <c r="Q80" s="23"/>
    </row>
    <row r="81" spans="2:17" ht="20.45" customHeight="1" x14ac:dyDescent="0.15">
      <c r="B81" s="14" t="s">
        <v>746</v>
      </c>
      <c r="C81" s="14" t="s">
        <v>745</v>
      </c>
      <c r="D81" s="23" t="s">
        <v>677</v>
      </c>
      <c r="E81" s="24"/>
      <c r="F81" s="13"/>
      <c r="G81" s="50"/>
      <c r="H81" s="50"/>
      <c r="I81" s="50">
        <f>TRUNC(SUM(I56:I80))</f>
        <v>2473176</v>
      </c>
      <c r="J81" s="50"/>
      <c r="K81" s="50"/>
      <c r="L81" s="50">
        <f>TRUNC(SUM(L56:L80))</f>
        <v>8661025</v>
      </c>
      <c r="M81" s="50"/>
      <c r="N81" s="50">
        <f>TRUNC(SUM(N56:N80))</f>
        <v>40242</v>
      </c>
      <c r="O81" s="50"/>
      <c r="P81" s="50">
        <f>TRUNC(SUM(P56:P80))</f>
        <v>11174443</v>
      </c>
      <c r="Q81" s="23"/>
    </row>
  </sheetData>
  <mergeCells count="16">
    <mergeCell ref="D1:Q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D4:Q4"/>
    <mergeCell ref="D30:Q30"/>
    <mergeCell ref="D56:Q56"/>
    <mergeCell ref="M2:N2"/>
    <mergeCell ref="P2:P3"/>
    <mergeCell ref="Q2:Q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81"/>
  <sheetViews>
    <sheetView topLeftCell="D1" workbookViewId="0">
      <pane ySplit="3" topLeftCell="A4" activePane="bottomLeft" state="frozen"/>
      <selection activeCell="J20" sqref="J20"/>
      <selection pane="bottomLeft" activeCell="D57" sqref="D57"/>
    </sheetView>
  </sheetViews>
  <sheetFormatPr defaultRowHeight="23.1" customHeight="1" x14ac:dyDescent="0.15"/>
  <cols>
    <col min="1" max="1" width="12.109375" style="86" hidden="1" customWidth="1"/>
    <col min="2" max="2" width="17.44140625" style="86" hidden="1" customWidth="1"/>
    <col min="3" max="3" width="20.6640625" style="86" hidden="1" customWidth="1"/>
    <col min="4" max="4" width="24.33203125" style="86" customWidth="1"/>
    <col min="5" max="5" width="25.33203125" style="86" customWidth="1"/>
    <col min="6" max="6" width="4.21875" style="73" customWidth="1"/>
    <col min="7" max="7" width="10" style="70" customWidth="1"/>
    <col min="8" max="8" width="13" style="109" customWidth="1"/>
    <col min="9" max="9" width="13.21875" style="109" customWidth="1"/>
    <col min="10" max="10" width="5.5546875" style="109" hidden="1" customWidth="1"/>
    <col min="11" max="11" width="10.44140625" style="109" customWidth="1"/>
    <col min="12" max="12" width="11.77734375" style="109" customWidth="1"/>
    <col min="13" max="13" width="8.44140625" style="109" customWidth="1"/>
    <col min="14" max="14" width="9.109375" style="109" customWidth="1"/>
    <col min="15" max="15" width="6" style="109" hidden="1" customWidth="1"/>
    <col min="16" max="16" width="13" style="109" customWidth="1"/>
    <col min="17" max="17" width="11.109375" style="86" customWidth="1"/>
    <col min="18" max="26" width="8.88671875" style="70"/>
    <col min="27" max="31" width="11.77734375" style="109" customWidth="1"/>
    <col min="32" max="16384" width="8.88671875" style="70"/>
  </cols>
  <sheetData>
    <row r="1" spans="1:31" ht="23.1" customHeight="1" x14ac:dyDescent="0.15">
      <c r="A1" s="86" t="s">
        <v>125</v>
      </c>
      <c r="B1" s="86" t="s">
        <v>729</v>
      </c>
      <c r="C1" s="86" t="s">
        <v>411</v>
      </c>
      <c r="D1" s="394" t="s">
        <v>749</v>
      </c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W1" s="398" t="s">
        <v>46</v>
      </c>
      <c r="X1" s="398"/>
      <c r="Y1" s="398"/>
      <c r="Z1" s="73"/>
      <c r="AA1" s="73" t="s">
        <v>47</v>
      </c>
      <c r="AB1" s="73"/>
      <c r="AC1" s="73"/>
      <c r="AD1" s="73"/>
      <c r="AE1" s="73"/>
    </row>
    <row r="2" spans="1:31" s="112" customFormat="1" ht="23.1" customHeight="1" x14ac:dyDescent="0.15">
      <c r="A2" s="391" t="s">
        <v>1</v>
      </c>
      <c r="B2" s="391" t="s">
        <v>2</v>
      </c>
      <c r="C2" s="391" t="s">
        <v>18</v>
      </c>
      <c r="D2" s="392" t="s">
        <v>48</v>
      </c>
      <c r="E2" s="392" t="s">
        <v>49</v>
      </c>
      <c r="F2" s="399" t="s">
        <v>5</v>
      </c>
      <c r="G2" s="399" t="s">
        <v>9</v>
      </c>
      <c r="H2" s="401" t="s">
        <v>41</v>
      </c>
      <c r="I2" s="401"/>
      <c r="J2" s="401" t="s">
        <v>42</v>
      </c>
      <c r="K2" s="401"/>
      <c r="L2" s="401"/>
      <c r="M2" s="401" t="s">
        <v>43</v>
      </c>
      <c r="N2" s="401"/>
      <c r="O2" s="117"/>
      <c r="P2" s="401" t="s">
        <v>12</v>
      </c>
      <c r="Q2" s="392" t="s">
        <v>44</v>
      </c>
      <c r="W2" s="112" t="s">
        <v>50</v>
      </c>
      <c r="X2" s="112" t="s">
        <v>51</v>
      </c>
      <c r="Y2" s="112" t="s">
        <v>52</v>
      </c>
      <c r="Z2" s="112" t="s">
        <v>53</v>
      </c>
      <c r="AA2" s="115" t="s">
        <v>54</v>
      </c>
      <c r="AB2" s="115" t="s">
        <v>55</v>
      </c>
      <c r="AC2" s="115" t="s">
        <v>56</v>
      </c>
      <c r="AD2" s="115" t="s">
        <v>57</v>
      </c>
      <c r="AE2" s="115" t="s">
        <v>50</v>
      </c>
    </row>
    <row r="3" spans="1:31" s="112" customFormat="1" ht="23.1" customHeight="1" x14ac:dyDescent="0.15">
      <c r="A3" s="391"/>
      <c r="B3" s="391"/>
      <c r="C3" s="391"/>
      <c r="D3" s="393"/>
      <c r="E3" s="393"/>
      <c r="F3" s="400"/>
      <c r="G3" s="400"/>
      <c r="H3" s="118" t="s">
        <v>45</v>
      </c>
      <c r="I3" s="118" t="s">
        <v>36</v>
      </c>
      <c r="J3" s="118" t="s">
        <v>9</v>
      </c>
      <c r="K3" s="118" t="s">
        <v>45</v>
      </c>
      <c r="L3" s="118" t="s">
        <v>36</v>
      </c>
      <c r="M3" s="118" t="s">
        <v>45</v>
      </c>
      <c r="N3" s="118" t="s">
        <v>36</v>
      </c>
      <c r="O3" s="118" t="s">
        <v>45</v>
      </c>
      <c r="P3" s="402"/>
      <c r="Q3" s="393"/>
      <c r="W3" s="70"/>
      <c r="X3" s="70"/>
      <c r="Y3" s="70"/>
      <c r="Z3" s="70"/>
      <c r="AA3" s="109"/>
      <c r="AB3" s="109"/>
      <c r="AC3" s="109"/>
      <c r="AD3" s="109">
        <f>IF(옵션!$C$11 =0, "1", 옵션!$C$11)</f>
        <v>1</v>
      </c>
      <c r="AE3" s="109">
        <f>IF(옵션!$C$12 =0, "1", 옵션!$C$12)</f>
        <v>1</v>
      </c>
    </row>
    <row r="4" spans="1:31" ht="23.1" customHeight="1" x14ac:dyDescent="0.15">
      <c r="B4" s="86" t="s">
        <v>126</v>
      </c>
      <c r="D4" s="395" t="s">
        <v>897</v>
      </c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7"/>
    </row>
    <row r="5" spans="1:31" ht="23.1" customHeight="1" x14ac:dyDescent="0.15">
      <c r="A5" s="86" t="s">
        <v>172</v>
      </c>
      <c r="B5" s="86" t="s">
        <v>732</v>
      </c>
      <c r="C5" s="86" t="s">
        <v>437</v>
      </c>
      <c r="D5" s="53" t="s">
        <v>173</v>
      </c>
      <c r="E5" s="53" t="s">
        <v>174</v>
      </c>
      <c r="F5" s="100" t="s">
        <v>438</v>
      </c>
      <c r="G5" s="101">
        <f>산출집계!H5</f>
        <v>9</v>
      </c>
      <c r="H5" s="106">
        <f>합산자재!H4</f>
        <v>5134</v>
      </c>
      <c r="I5" s="106">
        <f t="shared" ref="I5:I30" si="0">TRUNC(G5*H5)</f>
        <v>46206</v>
      </c>
      <c r="J5" s="106">
        <f>산출집계!J5</f>
        <v>8</v>
      </c>
      <c r="K5" s="106">
        <f>합산자재!I4</f>
        <v>0</v>
      </c>
      <c r="L5" s="106">
        <f t="shared" ref="L5:L36" si="1">TRUNC(G5*K5)</f>
        <v>0</v>
      </c>
      <c r="M5" s="106">
        <f>합산자재!J4</f>
        <v>0</v>
      </c>
      <c r="N5" s="106">
        <f t="shared" ref="N5:N36" si="2">TRUNC(G5*M5)</f>
        <v>0</v>
      </c>
      <c r="O5" s="106"/>
      <c r="P5" s="106">
        <f t="shared" ref="P5:P36" si="3">SUM(I5,L5,N5)</f>
        <v>46206</v>
      </c>
      <c r="Q5" s="53"/>
      <c r="AB5" s="109">
        <f>J5*H5</f>
        <v>41072</v>
      </c>
      <c r="AC5" s="109">
        <f t="shared" ref="AC5:AC10" si="4">J5*H5</f>
        <v>41072</v>
      </c>
    </row>
    <row r="6" spans="1:31" ht="23.1" customHeight="1" x14ac:dyDescent="0.15">
      <c r="A6" s="86" t="s">
        <v>186</v>
      </c>
      <c r="B6" s="86" t="s">
        <v>732</v>
      </c>
      <c r="C6" s="86" t="s">
        <v>441</v>
      </c>
      <c r="D6" s="53" t="s">
        <v>187</v>
      </c>
      <c r="E6" s="53" t="s">
        <v>181</v>
      </c>
      <c r="F6" s="100" t="s">
        <v>438</v>
      </c>
      <c r="G6" s="101">
        <f>산출집계!H6</f>
        <v>31</v>
      </c>
      <c r="H6" s="106">
        <f>합산자재!H5</f>
        <v>1007</v>
      </c>
      <c r="I6" s="106">
        <f t="shared" si="0"/>
        <v>31217</v>
      </c>
      <c r="J6" s="106">
        <f>산출집계!J6</f>
        <v>28</v>
      </c>
      <c r="K6" s="106">
        <f>합산자재!I5</f>
        <v>0</v>
      </c>
      <c r="L6" s="106">
        <f t="shared" si="1"/>
        <v>0</v>
      </c>
      <c r="M6" s="106">
        <f>합산자재!J5</f>
        <v>0</v>
      </c>
      <c r="N6" s="106">
        <f t="shared" si="2"/>
        <v>0</v>
      </c>
      <c r="O6" s="106"/>
      <c r="P6" s="106">
        <f t="shared" si="3"/>
        <v>31217</v>
      </c>
      <c r="Q6" s="53"/>
      <c r="AB6" s="109">
        <f>J6*H6</f>
        <v>28196</v>
      </c>
      <c r="AC6" s="109">
        <f t="shared" si="4"/>
        <v>28196</v>
      </c>
    </row>
    <row r="7" spans="1:31" ht="23.1" customHeight="1" x14ac:dyDescent="0.15">
      <c r="A7" s="86" t="s">
        <v>223</v>
      </c>
      <c r="B7" s="86" t="s">
        <v>732</v>
      </c>
      <c r="C7" s="86" t="s">
        <v>444</v>
      </c>
      <c r="D7" s="53" t="s">
        <v>180</v>
      </c>
      <c r="E7" s="53" t="s">
        <v>224</v>
      </c>
      <c r="F7" s="100" t="s">
        <v>438</v>
      </c>
      <c r="G7" s="101">
        <f>산출집계!H7</f>
        <v>22</v>
      </c>
      <c r="H7" s="106">
        <f>합산자재!H6</f>
        <v>294</v>
      </c>
      <c r="I7" s="106">
        <f t="shared" si="0"/>
        <v>6468</v>
      </c>
      <c r="J7" s="106">
        <f>산출집계!J7</f>
        <v>21</v>
      </c>
      <c r="K7" s="106">
        <f>합산자재!I6</f>
        <v>0</v>
      </c>
      <c r="L7" s="106">
        <f t="shared" si="1"/>
        <v>0</v>
      </c>
      <c r="M7" s="106">
        <f>합산자재!J6</f>
        <v>0</v>
      </c>
      <c r="N7" s="106">
        <f t="shared" si="2"/>
        <v>0</v>
      </c>
      <c r="O7" s="106"/>
      <c r="P7" s="106">
        <f t="shared" si="3"/>
        <v>6468</v>
      </c>
      <c r="Q7" s="53"/>
      <c r="AB7" s="109">
        <f>J7*H7</f>
        <v>6174</v>
      </c>
      <c r="AC7" s="109">
        <f t="shared" si="4"/>
        <v>6174</v>
      </c>
    </row>
    <row r="8" spans="1:31" ht="23.1" customHeight="1" x14ac:dyDescent="0.15">
      <c r="A8" s="86" t="s">
        <v>179</v>
      </c>
      <c r="B8" s="86" t="s">
        <v>732</v>
      </c>
      <c r="C8" s="86" t="s">
        <v>445</v>
      </c>
      <c r="D8" s="53" t="s">
        <v>180</v>
      </c>
      <c r="E8" s="53" t="s">
        <v>181</v>
      </c>
      <c r="F8" s="100" t="s">
        <v>438</v>
      </c>
      <c r="G8" s="101">
        <f>산출집계!H8</f>
        <v>84</v>
      </c>
      <c r="H8" s="106">
        <f>합산자재!H7</f>
        <v>1007</v>
      </c>
      <c r="I8" s="106">
        <f t="shared" si="0"/>
        <v>84588</v>
      </c>
      <c r="J8" s="106">
        <f>산출집계!J8</f>
        <v>80</v>
      </c>
      <c r="K8" s="106">
        <f>합산자재!I7</f>
        <v>0</v>
      </c>
      <c r="L8" s="106">
        <f t="shared" si="1"/>
        <v>0</v>
      </c>
      <c r="M8" s="106">
        <f>합산자재!J7</f>
        <v>0</v>
      </c>
      <c r="N8" s="106">
        <f t="shared" si="2"/>
        <v>0</v>
      </c>
      <c r="O8" s="106"/>
      <c r="P8" s="106">
        <f t="shared" si="3"/>
        <v>84588</v>
      </c>
      <c r="Q8" s="53"/>
      <c r="AB8" s="109">
        <f>J8*H8</f>
        <v>80560</v>
      </c>
      <c r="AC8" s="109">
        <f t="shared" si="4"/>
        <v>80560</v>
      </c>
    </row>
    <row r="9" spans="1:31" ht="23.1" customHeight="1" x14ac:dyDescent="0.15">
      <c r="A9" s="86" t="s">
        <v>262</v>
      </c>
      <c r="B9" s="86" t="s">
        <v>732</v>
      </c>
      <c r="C9" s="86" t="s">
        <v>446</v>
      </c>
      <c r="D9" s="53" t="s">
        <v>263</v>
      </c>
      <c r="E9" s="53" t="s">
        <v>264</v>
      </c>
      <c r="F9" s="100" t="s">
        <v>438</v>
      </c>
      <c r="G9" s="101">
        <f>산출집계!H9</f>
        <v>13</v>
      </c>
      <c r="H9" s="106">
        <f>합산자재!H8</f>
        <v>170</v>
      </c>
      <c r="I9" s="106">
        <f t="shared" si="0"/>
        <v>2210</v>
      </c>
      <c r="J9" s="106">
        <f>산출집계!J9</f>
        <v>11</v>
      </c>
      <c r="K9" s="106">
        <f>합산자재!I8</f>
        <v>0</v>
      </c>
      <c r="L9" s="106">
        <f t="shared" si="1"/>
        <v>0</v>
      </c>
      <c r="M9" s="106">
        <f>합산자재!J8</f>
        <v>0</v>
      </c>
      <c r="N9" s="106">
        <f t="shared" si="2"/>
        <v>0</v>
      </c>
      <c r="O9" s="106"/>
      <c r="P9" s="106">
        <f t="shared" si="3"/>
        <v>2210</v>
      </c>
      <c r="Q9" s="53"/>
      <c r="AA9" s="109">
        <f>J9*H9</f>
        <v>1870</v>
      </c>
      <c r="AC9" s="109">
        <f t="shared" si="4"/>
        <v>1870</v>
      </c>
    </row>
    <row r="10" spans="1:31" ht="23.1" customHeight="1" x14ac:dyDescent="0.15">
      <c r="A10" s="86" t="s">
        <v>271</v>
      </c>
      <c r="B10" s="86" t="s">
        <v>732</v>
      </c>
      <c r="C10" s="86" t="s">
        <v>448</v>
      </c>
      <c r="D10" s="53" t="s">
        <v>263</v>
      </c>
      <c r="E10" s="53" t="s">
        <v>272</v>
      </c>
      <c r="F10" s="100" t="s">
        <v>438</v>
      </c>
      <c r="G10" s="101">
        <f>산출집계!H10</f>
        <v>26</v>
      </c>
      <c r="H10" s="106">
        <f>합산자재!H9</f>
        <v>255</v>
      </c>
      <c r="I10" s="106">
        <f t="shared" si="0"/>
        <v>6630</v>
      </c>
      <c r="J10" s="106">
        <f>산출집계!J10</f>
        <v>23</v>
      </c>
      <c r="K10" s="106">
        <f>합산자재!I9</f>
        <v>0</v>
      </c>
      <c r="L10" s="106">
        <f t="shared" si="1"/>
        <v>0</v>
      </c>
      <c r="M10" s="106">
        <f>합산자재!J9</f>
        <v>0</v>
      </c>
      <c r="N10" s="106">
        <f t="shared" si="2"/>
        <v>0</v>
      </c>
      <c r="O10" s="106"/>
      <c r="P10" s="106">
        <f t="shared" si="3"/>
        <v>6630</v>
      </c>
      <c r="Q10" s="53"/>
      <c r="AA10" s="109">
        <f>J10*H10</f>
        <v>5865</v>
      </c>
      <c r="AC10" s="109">
        <f t="shared" si="4"/>
        <v>5865</v>
      </c>
    </row>
    <row r="11" spans="1:31" ht="23.1" customHeight="1" x14ac:dyDescent="0.15">
      <c r="A11" s="86" t="s">
        <v>736</v>
      </c>
      <c r="B11" s="86" t="s">
        <v>732</v>
      </c>
      <c r="C11" s="86" t="s">
        <v>737</v>
      </c>
      <c r="D11" s="53" t="s">
        <v>738</v>
      </c>
      <c r="E11" s="53" t="s">
        <v>739</v>
      </c>
      <c r="F11" s="100" t="s">
        <v>112</v>
      </c>
      <c r="G11" s="101">
        <v>1</v>
      </c>
      <c r="H11" s="106">
        <f>TRUNC(AA11*옵션!$D$32/100)</f>
        <v>3094</v>
      </c>
      <c r="I11" s="106">
        <f t="shared" si="0"/>
        <v>3094</v>
      </c>
      <c r="J11" s="106">
        <v>1</v>
      </c>
      <c r="K11" s="106"/>
      <c r="L11" s="106">
        <f t="shared" si="1"/>
        <v>0</v>
      </c>
      <c r="M11" s="106"/>
      <c r="N11" s="106">
        <f t="shared" si="2"/>
        <v>0</v>
      </c>
      <c r="O11" s="106"/>
      <c r="P11" s="106">
        <f t="shared" si="3"/>
        <v>3094</v>
      </c>
      <c r="Q11" s="53"/>
      <c r="AA11" s="109">
        <f>TRUNC(SUM(AA4:AA10))</f>
        <v>7735</v>
      </c>
    </row>
    <row r="12" spans="1:31" ht="23.1" customHeight="1" x14ac:dyDescent="0.15">
      <c r="A12" s="86" t="s">
        <v>740</v>
      </c>
      <c r="B12" s="86" t="s">
        <v>732</v>
      </c>
      <c r="C12" s="86" t="s">
        <v>741</v>
      </c>
      <c r="D12" s="53" t="s">
        <v>738</v>
      </c>
      <c r="E12" s="53" t="s">
        <v>742</v>
      </c>
      <c r="F12" s="100" t="s">
        <v>112</v>
      </c>
      <c r="G12" s="101">
        <v>1</v>
      </c>
      <c r="H12" s="106">
        <f>TRUNC(AB12*옵션!$D$31/100)</f>
        <v>31200</v>
      </c>
      <c r="I12" s="106">
        <f t="shared" si="0"/>
        <v>31200</v>
      </c>
      <c r="J12" s="106">
        <v>1</v>
      </c>
      <c r="K12" s="106"/>
      <c r="L12" s="106">
        <f t="shared" si="1"/>
        <v>0</v>
      </c>
      <c r="M12" s="106"/>
      <c r="N12" s="106">
        <f t="shared" si="2"/>
        <v>0</v>
      </c>
      <c r="O12" s="106"/>
      <c r="P12" s="106">
        <f t="shared" si="3"/>
        <v>31200</v>
      </c>
      <c r="Q12" s="53"/>
      <c r="AB12" s="109">
        <f>TRUNC(SUM(AB4:AB11))</f>
        <v>156002</v>
      </c>
    </row>
    <row r="13" spans="1:31" ht="23.1" customHeight="1" x14ac:dyDescent="0.15">
      <c r="A13" s="86" t="s">
        <v>198</v>
      </c>
      <c r="B13" s="86" t="s">
        <v>732</v>
      </c>
      <c r="C13" s="86" t="s">
        <v>449</v>
      </c>
      <c r="D13" s="53" t="s">
        <v>199</v>
      </c>
      <c r="E13" s="53" t="s">
        <v>200</v>
      </c>
      <c r="F13" s="100" t="s">
        <v>145</v>
      </c>
      <c r="G13" s="101">
        <f>산출집계!H11</f>
        <v>2</v>
      </c>
      <c r="H13" s="106">
        <f>합산자재!H10</f>
        <v>4392</v>
      </c>
      <c r="I13" s="106">
        <f t="shared" si="0"/>
        <v>8784</v>
      </c>
      <c r="J13" s="106">
        <f>산출집계!J11</f>
        <v>2</v>
      </c>
      <c r="K13" s="106">
        <f>합산자재!I10</f>
        <v>0</v>
      </c>
      <c r="L13" s="106">
        <f t="shared" si="1"/>
        <v>0</v>
      </c>
      <c r="M13" s="106">
        <f>합산자재!J10</f>
        <v>0</v>
      </c>
      <c r="N13" s="106">
        <f t="shared" si="2"/>
        <v>0</v>
      </c>
      <c r="O13" s="106"/>
      <c r="P13" s="106">
        <f t="shared" si="3"/>
        <v>8784</v>
      </c>
      <c r="Q13" s="53"/>
    </row>
    <row r="14" spans="1:31" ht="23.1" customHeight="1" x14ac:dyDescent="0.15">
      <c r="A14" s="86" t="s">
        <v>204</v>
      </c>
      <c r="B14" s="86" t="s">
        <v>732</v>
      </c>
      <c r="C14" s="86" t="s">
        <v>451</v>
      </c>
      <c r="D14" s="53" t="s">
        <v>205</v>
      </c>
      <c r="E14" s="53" t="s">
        <v>206</v>
      </c>
      <c r="F14" s="100" t="s">
        <v>145</v>
      </c>
      <c r="G14" s="101">
        <f>산출집계!H12</f>
        <v>4</v>
      </c>
      <c r="H14" s="106">
        <f>합산자재!H11</f>
        <v>956</v>
      </c>
      <c r="I14" s="106">
        <f t="shared" si="0"/>
        <v>3824</v>
      </c>
      <c r="J14" s="106">
        <f>산출집계!J12</f>
        <v>4</v>
      </c>
      <c r="K14" s="106">
        <f>합산자재!I11</f>
        <v>0</v>
      </c>
      <c r="L14" s="106">
        <f t="shared" si="1"/>
        <v>0</v>
      </c>
      <c r="M14" s="106">
        <f>합산자재!J11</f>
        <v>0</v>
      </c>
      <c r="N14" s="106">
        <f t="shared" si="2"/>
        <v>0</v>
      </c>
      <c r="O14" s="106"/>
      <c r="P14" s="106">
        <f t="shared" si="3"/>
        <v>3824</v>
      </c>
      <c r="Q14" s="53"/>
    </row>
    <row r="15" spans="1:31" ht="23.1" customHeight="1" x14ac:dyDescent="0.15">
      <c r="A15" s="86" t="s">
        <v>282</v>
      </c>
      <c r="B15" s="86" t="s">
        <v>732</v>
      </c>
      <c r="C15" s="86" t="s">
        <v>452</v>
      </c>
      <c r="D15" s="53" t="s">
        <v>283</v>
      </c>
      <c r="E15" s="53" t="s">
        <v>284</v>
      </c>
      <c r="F15" s="100" t="s">
        <v>145</v>
      </c>
      <c r="G15" s="101">
        <f>산출집계!H13</f>
        <v>4</v>
      </c>
      <c r="H15" s="106">
        <f>합산자재!H12</f>
        <v>591</v>
      </c>
      <c r="I15" s="106">
        <f t="shared" si="0"/>
        <v>2364</v>
      </c>
      <c r="J15" s="106">
        <f>산출집계!J13</f>
        <v>4</v>
      </c>
      <c r="K15" s="106">
        <f>합산자재!I12</f>
        <v>0</v>
      </c>
      <c r="L15" s="106">
        <f t="shared" si="1"/>
        <v>0</v>
      </c>
      <c r="M15" s="106">
        <f>합산자재!J12</f>
        <v>0</v>
      </c>
      <c r="N15" s="106">
        <f t="shared" si="2"/>
        <v>0</v>
      </c>
      <c r="O15" s="106"/>
      <c r="P15" s="106">
        <f t="shared" si="3"/>
        <v>2364</v>
      </c>
      <c r="Q15" s="53"/>
    </row>
    <row r="16" spans="1:31" ht="23.1" customHeight="1" x14ac:dyDescent="0.15">
      <c r="A16" s="86" t="s">
        <v>292</v>
      </c>
      <c r="B16" s="86" t="s">
        <v>732</v>
      </c>
      <c r="C16" s="86" t="s">
        <v>455</v>
      </c>
      <c r="D16" s="53" t="s">
        <v>283</v>
      </c>
      <c r="E16" s="53" t="s">
        <v>293</v>
      </c>
      <c r="F16" s="100" t="s">
        <v>145</v>
      </c>
      <c r="G16" s="101">
        <f>산출집계!H14</f>
        <v>2</v>
      </c>
      <c r="H16" s="106">
        <f>합산자재!H13</f>
        <v>726</v>
      </c>
      <c r="I16" s="106">
        <f t="shared" si="0"/>
        <v>1452</v>
      </c>
      <c r="J16" s="106">
        <f>산출집계!J14</f>
        <v>2</v>
      </c>
      <c r="K16" s="106">
        <f>합산자재!I13</f>
        <v>0</v>
      </c>
      <c r="L16" s="106">
        <f t="shared" si="1"/>
        <v>0</v>
      </c>
      <c r="M16" s="106">
        <f>합산자재!J13</f>
        <v>0</v>
      </c>
      <c r="N16" s="106">
        <f t="shared" si="2"/>
        <v>0</v>
      </c>
      <c r="O16" s="106"/>
      <c r="P16" s="106">
        <f t="shared" si="3"/>
        <v>1452</v>
      </c>
      <c r="Q16" s="53"/>
    </row>
    <row r="17" spans="1:31" ht="23.1" customHeight="1" x14ac:dyDescent="0.15">
      <c r="A17" s="86" t="s">
        <v>296</v>
      </c>
      <c r="B17" s="86" t="s">
        <v>732</v>
      </c>
      <c r="C17" s="86" t="s">
        <v>456</v>
      </c>
      <c r="D17" s="53" t="s">
        <v>297</v>
      </c>
      <c r="E17" s="53" t="s">
        <v>298</v>
      </c>
      <c r="F17" s="100" t="s">
        <v>145</v>
      </c>
      <c r="G17" s="101">
        <f>산출집계!H15</f>
        <v>2</v>
      </c>
      <c r="H17" s="106">
        <f>합산자재!H14</f>
        <v>343</v>
      </c>
      <c r="I17" s="106">
        <f t="shared" si="0"/>
        <v>686</v>
      </c>
      <c r="J17" s="106">
        <f>산출집계!J15</f>
        <v>2</v>
      </c>
      <c r="K17" s="106">
        <f>합산자재!I14</f>
        <v>0</v>
      </c>
      <c r="L17" s="106">
        <f t="shared" si="1"/>
        <v>0</v>
      </c>
      <c r="M17" s="106">
        <f>합산자재!J14</f>
        <v>0</v>
      </c>
      <c r="N17" s="106">
        <f t="shared" si="2"/>
        <v>0</v>
      </c>
      <c r="O17" s="106"/>
      <c r="P17" s="106">
        <f t="shared" si="3"/>
        <v>686</v>
      </c>
      <c r="Q17" s="53"/>
    </row>
    <row r="18" spans="1:31" ht="23.1" customHeight="1" x14ac:dyDescent="0.15">
      <c r="A18" s="86" t="s">
        <v>209</v>
      </c>
      <c r="B18" s="86" t="s">
        <v>732</v>
      </c>
      <c r="C18" s="86" t="s">
        <v>458</v>
      </c>
      <c r="D18" s="53" t="s">
        <v>210</v>
      </c>
      <c r="E18" s="53" t="s">
        <v>211</v>
      </c>
      <c r="F18" s="100" t="s">
        <v>145</v>
      </c>
      <c r="G18" s="101">
        <f>산출집계!H16</f>
        <v>2</v>
      </c>
      <c r="H18" s="106">
        <f>합산자재!H15</f>
        <v>7675</v>
      </c>
      <c r="I18" s="106">
        <f t="shared" si="0"/>
        <v>15350</v>
      </c>
      <c r="J18" s="106">
        <f>산출집계!J16</f>
        <v>2</v>
      </c>
      <c r="K18" s="106">
        <f>합산자재!I15</f>
        <v>0</v>
      </c>
      <c r="L18" s="106">
        <f t="shared" si="1"/>
        <v>0</v>
      </c>
      <c r="M18" s="106">
        <f>합산자재!J15</f>
        <v>0</v>
      </c>
      <c r="N18" s="106">
        <f t="shared" si="2"/>
        <v>0</v>
      </c>
      <c r="O18" s="106"/>
      <c r="P18" s="106">
        <f t="shared" si="3"/>
        <v>15350</v>
      </c>
      <c r="Q18" s="53"/>
    </row>
    <row r="19" spans="1:31" ht="23.1" customHeight="1" x14ac:dyDescent="0.15">
      <c r="A19" s="86" t="s">
        <v>226</v>
      </c>
      <c r="B19" s="86" t="s">
        <v>732</v>
      </c>
      <c r="C19" s="86" t="s">
        <v>470</v>
      </c>
      <c r="D19" s="53" t="s">
        <v>227</v>
      </c>
      <c r="E19" s="53" t="s">
        <v>228</v>
      </c>
      <c r="F19" s="100" t="s">
        <v>438</v>
      </c>
      <c r="G19" s="101">
        <f>산출집계!H17</f>
        <v>27</v>
      </c>
      <c r="H19" s="106">
        <f>합산자재!H19</f>
        <v>1106</v>
      </c>
      <c r="I19" s="106">
        <f t="shared" si="0"/>
        <v>29862</v>
      </c>
      <c r="J19" s="106">
        <f>산출집계!J17</f>
        <v>24</v>
      </c>
      <c r="K19" s="106">
        <f>합산자재!I19</f>
        <v>0</v>
      </c>
      <c r="L19" s="106">
        <f t="shared" si="1"/>
        <v>0</v>
      </c>
      <c r="M19" s="106">
        <f>합산자재!J19</f>
        <v>0</v>
      </c>
      <c r="N19" s="106">
        <f t="shared" si="2"/>
        <v>0</v>
      </c>
      <c r="O19" s="106"/>
      <c r="P19" s="106">
        <f t="shared" si="3"/>
        <v>29862</v>
      </c>
      <c r="Q19" s="53"/>
      <c r="AC19" s="109">
        <f>J19*H19</f>
        <v>26544</v>
      </c>
    </row>
    <row r="20" spans="1:31" ht="23.1" customHeight="1" x14ac:dyDescent="0.15">
      <c r="A20" s="86" t="s">
        <v>302</v>
      </c>
      <c r="B20" s="86" t="s">
        <v>732</v>
      </c>
      <c r="C20" s="86" t="s">
        <v>510</v>
      </c>
      <c r="D20" s="53" t="s">
        <v>303</v>
      </c>
      <c r="E20" s="53" t="s">
        <v>304</v>
      </c>
      <c r="F20" s="100" t="s">
        <v>438</v>
      </c>
      <c r="G20" s="101">
        <f>산출집계!H20</f>
        <v>21</v>
      </c>
      <c r="H20" s="106">
        <f>합산자재!H33</f>
        <v>1200</v>
      </c>
      <c r="I20" s="106">
        <f t="shared" si="0"/>
        <v>25200</v>
      </c>
      <c r="J20" s="106">
        <f>산출집계!J20</f>
        <v>19</v>
      </c>
      <c r="K20" s="106">
        <f>합산자재!I33</f>
        <v>0</v>
      </c>
      <c r="L20" s="106">
        <f t="shared" si="1"/>
        <v>0</v>
      </c>
      <c r="M20" s="106">
        <f>합산자재!J33</f>
        <v>0</v>
      </c>
      <c r="N20" s="106">
        <f t="shared" si="2"/>
        <v>0</v>
      </c>
      <c r="O20" s="106"/>
      <c r="P20" s="106">
        <f t="shared" si="3"/>
        <v>25200</v>
      </c>
      <c r="Q20" s="53"/>
      <c r="Z20" s="70" t="s">
        <v>678</v>
      </c>
      <c r="AC20" s="109">
        <f>J20*H20</f>
        <v>22800</v>
      </c>
    </row>
    <row r="21" spans="1:31" ht="23.1" customHeight="1" x14ac:dyDescent="0.15">
      <c r="A21" s="86" t="s">
        <v>310</v>
      </c>
      <c r="B21" s="86" t="s">
        <v>732</v>
      </c>
      <c r="C21" s="86" t="s">
        <v>511</v>
      </c>
      <c r="D21" s="53" t="s">
        <v>311</v>
      </c>
      <c r="E21" s="53" t="s">
        <v>312</v>
      </c>
      <c r="F21" s="100" t="s">
        <v>145</v>
      </c>
      <c r="G21" s="101">
        <f>산출집계!H21</f>
        <v>2</v>
      </c>
      <c r="H21" s="106">
        <f>합산자재!H34</f>
        <v>17000</v>
      </c>
      <c r="I21" s="106">
        <f t="shared" si="0"/>
        <v>34000</v>
      </c>
      <c r="J21" s="106">
        <f>산출집계!J21</f>
        <v>2</v>
      </c>
      <c r="K21" s="106">
        <f>합산자재!I34</f>
        <v>0</v>
      </c>
      <c r="L21" s="106">
        <f t="shared" si="1"/>
        <v>0</v>
      </c>
      <c r="M21" s="106">
        <f>합산자재!J34</f>
        <v>0</v>
      </c>
      <c r="N21" s="106">
        <f t="shared" si="2"/>
        <v>0</v>
      </c>
      <c r="O21" s="106"/>
      <c r="P21" s="106">
        <f t="shared" si="3"/>
        <v>34000</v>
      </c>
      <c r="Q21" s="53"/>
    </row>
    <row r="22" spans="1:31" ht="23.1" customHeight="1" x14ac:dyDescent="0.15">
      <c r="A22" s="86" t="s">
        <v>287</v>
      </c>
      <c r="B22" s="86" t="s">
        <v>732</v>
      </c>
      <c r="C22" s="86" t="s">
        <v>486</v>
      </c>
      <c r="D22" s="53" t="s">
        <v>143</v>
      </c>
      <c r="E22" s="53" t="s">
        <v>288</v>
      </c>
      <c r="F22" s="100" t="s">
        <v>145</v>
      </c>
      <c r="G22" s="101">
        <f>산출집계!H18</f>
        <v>4</v>
      </c>
      <c r="H22" s="106">
        <f>합산자재!H24</f>
        <v>5460</v>
      </c>
      <c r="I22" s="106">
        <f t="shared" si="0"/>
        <v>21840</v>
      </c>
      <c r="J22" s="106">
        <f>산출집계!J18</f>
        <v>4</v>
      </c>
      <c r="K22" s="106">
        <f>합산자재!I24</f>
        <v>0</v>
      </c>
      <c r="L22" s="106">
        <f t="shared" si="1"/>
        <v>0</v>
      </c>
      <c r="M22" s="106">
        <f>합산자재!J24</f>
        <v>0</v>
      </c>
      <c r="N22" s="106">
        <f t="shared" si="2"/>
        <v>0</v>
      </c>
      <c r="O22" s="106"/>
      <c r="P22" s="106">
        <f t="shared" si="3"/>
        <v>21840</v>
      </c>
      <c r="Q22" s="53"/>
    </row>
    <row r="23" spans="1:31" ht="23.1" customHeight="1" x14ac:dyDescent="0.15">
      <c r="A23" s="86" t="s">
        <v>242</v>
      </c>
      <c r="B23" s="86" t="s">
        <v>732</v>
      </c>
      <c r="C23" s="86" t="s">
        <v>654</v>
      </c>
      <c r="D23" s="53" t="s">
        <v>243</v>
      </c>
      <c r="E23" s="53" t="s">
        <v>244</v>
      </c>
      <c r="F23" s="100" t="s">
        <v>245</v>
      </c>
      <c r="G23" s="101">
        <f>산출집계!H26</f>
        <v>17</v>
      </c>
      <c r="H23" s="106">
        <f>일대목차!I6</f>
        <v>397</v>
      </c>
      <c r="I23" s="106">
        <f t="shared" si="0"/>
        <v>6749</v>
      </c>
      <c r="J23" s="106">
        <f>산출집계!J26</f>
        <v>17</v>
      </c>
      <c r="K23" s="106">
        <f>일대목차!L6</f>
        <v>4659</v>
      </c>
      <c r="L23" s="106">
        <f t="shared" si="1"/>
        <v>79203</v>
      </c>
      <c r="M23" s="106">
        <f>일대목차!N6</f>
        <v>483</v>
      </c>
      <c r="N23" s="106">
        <f t="shared" si="2"/>
        <v>8211</v>
      </c>
      <c r="O23" s="106"/>
      <c r="P23" s="106">
        <f t="shared" si="3"/>
        <v>94163</v>
      </c>
      <c r="Q23" s="53" t="s">
        <v>655</v>
      </c>
    </row>
    <row r="24" spans="1:31" ht="23.1" customHeight="1" x14ac:dyDescent="0.15">
      <c r="A24" s="86" t="s">
        <v>248</v>
      </c>
      <c r="B24" s="86" t="s">
        <v>732</v>
      </c>
      <c r="C24" s="86" t="s">
        <v>656</v>
      </c>
      <c r="D24" s="53" t="s">
        <v>249</v>
      </c>
      <c r="E24" s="53" t="s">
        <v>244</v>
      </c>
      <c r="F24" s="100" t="s">
        <v>245</v>
      </c>
      <c r="G24" s="101">
        <f>산출집계!H27</f>
        <v>17</v>
      </c>
      <c r="H24" s="106">
        <f>일대목차!I7</f>
        <v>397</v>
      </c>
      <c r="I24" s="106">
        <f t="shared" si="0"/>
        <v>6749</v>
      </c>
      <c r="J24" s="106">
        <f>산출집계!J27</f>
        <v>17</v>
      </c>
      <c r="K24" s="106">
        <f>일대목차!L7</f>
        <v>2939</v>
      </c>
      <c r="L24" s="106">
        <f t="shared" si="1"/>
        <v>49963</v>
      </c>
      <c r="M24" s="106">
        <f>일대목차!N7</f>
        <v>483</v>
      </c>
      <c r="N24" s="106">
        <f t="shared" si="2"/>
        <v>8211</v>
      </c>
      <c r="O24" s="106"/>
      <c r="P24" s="106">
        <f t="shared" si="3"/>
        <v>64923</v>
      </c>
      <c r="Q24" s="53" t="s">
        <v>657</v>
      </c>
    </row>
    <row r="25" spans="1:31" ht="23.1" customHeight="1" x14ac:dyDescent="0.15">
      <c r="A25" s="86" t="s">
        <v>235</v>
      </c>
      <c r="B25" s="86" t="s">
        <v>732</v>
      </c>
      <c r="C25" s="86" t="s">
        <v>658</v>
      </c>
      <c r="D25" s="53" t="s">
        <v>236</v>
      </c>
      <c r="E25" s="53" t="s">
        <v>237</v>
      </c>
      <c r="F25" s="100" t="s">
        <v>193</v>
      </c>
      <c r="G25" s="101">
        <f>산출집계!H24</f>
        <v>1</v>
      </c>
      <c r="H25" s="106">
        <f>일대목차!I8</f>
        <v>21776</v>
      </c>
      <c r="I25" s="106">
        <f t="shared" si="0"/>
        <v>21776</v>
      </c>
      <c r="J25" s="106">
        <f>산출집계!J24</f>
        <v>1</v>
      </c>
      <c r="K25" s="106">
        <f>일대목차!L8</f>
        <v>223599</v>
      </c>
      <c r="L25" s="106">
        <f t="shared" si="1"/>
        <v>223599</v>
      </c>
      <c r="M25" s="106">
        <f>일대목차!N8</f>
        <v>0</v>
      </c>
      <c r="N25" s="106">
        <f t="shared" si="2"/>
        <v>0</v>
      </c>
      <c r="O25" s="106"/>
      <c r="P25" s="106">
        <f t="shared" si="3"/>
        <v>245375</v>
      </c>
      <c r="Q25" s="53" t="s">
        <v>659</v>
      </c>
    </row>
    <row r="26" spans="1:31" ht="23.1" customHeight="1" x14ac:dyDescent="0.15">
      <c r="A26" s="86" t="s">
        <v>214</v>
      </c>
      <c r="B26" s="86" t="s">
        <v>732</v>
      </c>
      <c r="C26" s="86" t="s">
        <v>660</v>
      </c>
      <c r="D26" s="53" t="s">
        <v>215</v>
      </c>
      <c r="E26" s="53" t="s">
        <v>216</v>
      </c>
      <c r="F26" s="100" t="s">
        <v>112</v>
      </c>
      <c r="G26" s="101">
        <f>산출집계!H25</f>
        <v>1</v>
      </c>
      <c r="H26" s="106">
        <f>일대목차!I9</f>
        <v>399168</v>
      </c>
      <c r="I26" s="106">
        <f t="shared" si="0"/>
        <v>399168</v>
      </c>
      <c r="J26" s="106">
        <f>산출집계!J25</f>
        <v>1</v>
      </c>
      <c r="K26" s="106">
        <f>일대목차!L9</f>
        <v>334814</v>
      </c>
      <c r="L26" s="106">
        <f t="shared" si="1"/>
        <v>334814</v>
      </c>
      <c r="M26" s="106">
        <f>일대목차!N9</f>
        <v>23820</v>
      </c>
      <c r="N26" s="106">
        <f t="shared" si="2"/>
        <v>23820</v>
      </c>
      <c r="O26" s="106"/>
      <c r="P26" s="106">
        <f t="shared" si="3"/>
        <v>757802</v>
      </c>
      <c r="Q26" s="53" t="s">
        <v>661</v>
      </c>
    </row>
    <row r="27" spans="1:31" ht="23.1" customHeight="1" x14ac:dyDescent="0.15">
      <c r="A27" s="86" t="s">
        <v>190</v>
      </c>
      <c r="B27" s="86" t="s">
        <v>732</v>
      </c>
      <c r="C27" s="86" t="s">
        <v>662</v>
      </c>
      <c r="D27" s="53" t="s">
        <v>191</v>
      </c>
      <c r="E27" s="53" t="s">
        <v>192</v>
      </c>
      <c r="F27" s="100" t="s">
        <v>193</v>
      </c>
      <c r="G27" s="101">
        <f>산출집계!H19</f>
        <v>13</v>
      </c>
      <c r="H27" s="106">
        <f>일대목차!I10</f>
        <v>2178</v>
      </c>
      <c r="I27" s="106">
        <f t="shared" si="0"/>
        <v>28314</v>
      </c>
      <c r="J27" s="106">
        <f>산출집계!J19</f>
        <v>13</v>
      </c>
      <c r="K27" s="106">
        <f>일대목차!L10</f>
        <v>17092</v>
      </c>
      <c r="L27" s="106">
        <f t="shared" si="1"/>
        <v>222196</v>
      </c>
      <c r="M27" s="106">
        <f>일대목차!N10</f>
        <v>0</v>
      </c>
      <c r="N27" s="106">
        <f t="shared" si="2"/>
        <v>0</v>
      </c>
      <c r="O27" s="106"/>
      <c r="P27" s="106">
        <f t="shared" si="3"/>
        <v>250510</v>
      </c>
      <c r="Q27" s="53" t="s">
        <v>663</v>
      </c>
    </row>
    <row r="28" spans="1:31" ht="23.1" customHeight="1" x14ac:dyDescent="0.15">
      <c r="A28" s="86" t="s">
        <v>664</v>
      </c>
      <c r="B28" s="86" t="s">
        <v>732</v>
      </c>
      <c r="C28" s="86" t="s">
        <v>665</v>
      </c>
      <c r="D28" s="53" t="s">
        <v>254</v>
      </c>
      <c r="E28" s="53"/>
      <c r="F28" s="100" t="s">
        <v>255</v>
      </c>
      <c r="G28" s="101">
        <f>산출집계!H28</f>
        <v>1</v>
      </c>
      <c r="H28" s="106">
        <f>일대목차!I11</f>
        <v>1269526</v>
      </c>
      <c r="I28" s="106">
        <f t="shared" si="0"/>
        <v>1269526</v>
      </c>
      <c r="J28" s="106">
        <f>산출집계!J28</f>
        <v>1</v>
      </c>
      <c r="K28" s="106">
        <f>일대목차!L11</f>
        <v>1000888</v>
      </c>
      <c r="L28" s="106">
        <f t="shared" si="1"/>
        <v>1000888</v>
      </c>
      <c r="M28" s="106">
        <f>일대목차!N11</f>
        <v>0</v>
      </c>
      <c r="N28" s="106">
        <f t="shared" si="2"/>
        <v>0</v>
      </c>
      <c r="O28" s="106"/>
      <c r="P28" s="106">
        <f t="shared" si="3"/>
        <v>2270414</v>
      </c>
      <c r="Q28" s="53" t="s">
        <v>666</v>
      </c>
    </row>
    <row r="29" spans="1:31" ht="23.1" customHeight="1" x14ac:dyDescent="0.15">
      <c r="A29" s="86" t="s">
        <v>266</v>
      </c>
      <c r="B29" s="86" t="s">
        <v>732</v>
      </c>
      <c r="C29" s="86" t="s">
        <v>667</v>
      </c>
      <c r="D29" s="53" t="s">
        <v>267</v>
      </c>
      <c r="E29" s="53" t="s">
        <v>268</v>
      </c>
      <c r="F29" s="100" t="s">
        <v>438</v>
      </c>
      <c r="G29" s="101">
        <f>산출집계!H22</f>
        <v>22</v>
      </c>
      <c r="H29" s="106">
        <f>일대목차!I12</f>
        <v>800</v>
      </c>
      <c r="I29" s="106">
        <f t="shared" si="0"/>
        <v>17600</v>
      </c>
      <c r="J29" s="106">
        <f>산출집계!J22</f>
        <v>22</v>
      </c>
      <c r="K29" s="106">
        <f>일대목차!L12</f>
        <v>5889</v>
      </c>
      <c r="L29" s="106">
        <f t="shared" si="1"/>
        <v>129558</v>
      </c>
      <c r="M29" s="106">
        <f>일대목차!N12</f>
        <v>0</v>
      </c>
      <c r="N29" s="106">
        <f t="shared" si="2"/>
        <v>0</v>
      </c>
      <c r="O29" s="106"/>
      <c r="P29" s="106">
        <f t="shared" si="3"/>
        <v>147158</v>
      </c>
      <c r="Q29" s="53" t="s">
        <v>668</v>
      </c>
    </row>
    <row r="30" spans="1:31" ht="23.1" customHeight="1" x14ac:dyDescent="0.15">
      <c r="A30" s="86" t="s">
        <v>274</v>
      </c>
      <c r="B30" s="86" t="s">
        <v>732</v>
      </c>
      <c r="C30" s="86" t="s">
        <v>669</v>
      </c>
      <c r="D30" s="53" t="s">
        <v>267</v>
      </c>
      <c r="E30" s="53" t="s">
        <v>275</v>
      </c>
      <c r="F30" s="100" t="s">
        <v>438</v>
      </c>
      <c r="G30" s="101">
        <f>산출집계!H23</f>
        <v>44</v>
      </c>
      <c r="H30" s="106">
        <f>일대목차!I13</f>
        <v>790</v>
      </c>
      <c r="I30" s="106">
        <f t="shared" si="0"/>
        <v>34760</v>
      </c>
      <c r="J30" s="106">
        <f>산출집계!J23</f>
        <v>44</v>
      </c>
      <c r="K30" s="106">
        <f>일대목차!L13</f>
        <v>5561</v>
      </c>
      <c r="L30" s="106">
        <f t="shared" si="1"/>
        <v>244684</v>
      </c>
      <c r="M30" s="106">
        <f>일대목차!N13</f>
        <v>0</v>
      </c>
      <c r="N30" s="106">
        <f t="shared" si="2"/>
        <v>0</v>
      </c>
      <c r="O30" s="106"/>
      <c r="P30" s="106">
        <f t="shared" si="3"/>
        <v>279444</v>
      </c>
      <c r="Q30" s="53" t="s">
        <v>670</v>
      </c>
    </row>
    <row r="31" spans="1:31" ht="23.1" customHeight="1" x14ac:dyDescent="0.15">
      <c r="A31" s="86" t="s">
        <v>699</v>
      </c>
      <c r="B31" s="86" t="s">
        <v>732</v>
      </c>
      <c r="C31" s="86" t="s">
        <v>700</v>
      </c>
      <c r="D31" s="53" t="s">
        <v>701</v>
      </c>
      <c r="E31" s="53" t="s">
        <v>702</v>
      </c>
      <c r="F31" s="100" t="s">
        <v>112</v>
      </c>
      <c r="G31" s="101">
        <v>1</v>
      </c>
      <c r="H31" s="106">
        <f>IF(TRUNC((AD31+AC31)/$AD$3)*$AD$3-AD31 &lt;0, AC31, TRUNC((AD31+AC31)/$AD$3)*$AD$3-AD31)</f>
        <v>4261</v>
      </c>
      <c r="I31" s="106">
        <f>H31</f>
        <v>4261</v>
      </c>
      <c r="J31" s="106">
        <v>1</v>
      </c>
      <c r="K31" s="106"/>
      <c r="L31" s="106">
        <f t="shared" si="1"/>
        <v>0</v>
      </c>
      <c r="M31" s="106"/>
      <c r="N31" s="106">
        <f t="shared" si="2"/>
        <v>0</v>
      </c>
      <c r="O31" s="106"/>
      <c r="P31" s="106">
        <f t="shared" si="3"/>
        <v>4261</v>
      </c>
      <c r="Q31" s="53"/>
      <c r="AC31" s="109">
        <f>TRUNC(TRUNC(SUM(AC4:AC30))*옵션!$B$33/100)</f>
        <v>4261</v>
      </c>
      <c r="AD31" s="109">
        <f>TRUNC(SUM(I4:I30))+TRUNC(SUM(N4:N30))</f>
        <v>2179859</v>
      </c>
    </row>
    <row r="32" spans="1:31" ht="23.1" customHeight="1" x14ac:dyDescent="0.15">
      <c r="A32" s="86" t="s">
        <v>623</v>
      </c>
      <c r="B32" s="86" t="s">
        <v>732</v>
      </c>
      <c r="C32" s="86" t="s">
        <v>576</v>
      </c>
      <c r="D32" s="53" t="s">
        <v>577</v>
      </c>
      <c r="E32" s="53" t="s">
        <v>578</v>
      </c>
      <c r="F32" s="100" t="s">
        <v>579</v>
      </c>
      <c r="G32" s="101">
        <f>노임근거!G20</f>
        <v>14.27</v>
      </c>
      <c r="H32" s="106">
        <f>합산자재!H56</f>
        <v>0</v>
      </c>
      <c r="I32" s="106">
        <f>TRUNC(G32*H32)</f>
        <v>0</v>
      </c>
      <c r="J32" s="106">
        <f>노임근거!G20</f>
        <v>14.27</v>
      </c>
      <c r="K32" s="106">
        <f>합산자재!I56</f>
        <v>284880</v>
      </c>
      <c r="L32" s="106">
        <f t="shared" si="1"/>
        <v>4065237</v>
      </c>
      <c r="M32" s="106">
        <f>합산자재!J56</f>
        <v>0</v>
      </c>
      <c r="N32" s="106">
        <f t="shared" si="2"/>
        <v>0</v>
      </c>
      <c r="O32" s="106"/>
      <c r="P32" s="106">
        <f t="shared" si="3"/>
        <v>4065237</v>
      </c>
      <c r="Q32" s="53"/>
      <c r="AE32" s="109">
        <f>L32</f>
        <v>4065237</v>
      </c>
    </row>
    <row r="33" spans="1:31" ht="23.1" customHeight="1" x14ac:dyDescent="0.15">
      <c r="A33" s="86" t="s">
        <v>616</v>
      </c>
      <c r="B33" s="86" t="s">
        <v>732</v>
      </c>
      <c r="C33" s="86" t="s">
        <v>584</v>
      </c>
      <c r="D33" s="53" t="s">
        <v>577</v>
      </c>
      <c r="E33" s="53" t="s">
        <v>585</v>
      </c>
      <c r="F33" s="100" t="s">
        <v>579</v>
      </c>
      <c r="G33" s="101">
        <f>노임근거!G21</f>
        <v>0.36</v>
      </c>
      <c r="H33" s="106">
        <f>합산자재!H59</f>
        <v>0</v>
      </c>
      <c r="I33" s="106">
        <f>TRUNC(G33*H33)</f>
        <v>0</v>
      </c>
      <c r="J33" s="106">
        <f>노임근거!G21</f>
        <v>0.36</v>
      </c>
      <c r="K33" s="106">
        <f>합산자재!I59</f>
        <v>408942</v>
      </c>
      <c r="L33" s="106">
        <f t="shared" si="1"/>
        <v>147219</v>
      </c>
      <c r="M33" s="106">
        <f>합산자재!J59</f>
        <v>0</v>
      </c>
      <c r="N33" s="106">
        <f t="shared" si="2"/>
        <v>0</v>
      </c>
      <c r="O33" s="106"/>
      <c r="P33" s="106">
        <f t="shared" si="3"/>
        <v>147219</v>
      </c>
      <c r="Q33" s="53"/>
      <c r="AE33" s="109">
        <f>L33</f>
        <v>147219</v>
      </c>
    </row>
    <row r="34" spans="1:31" ht="23.1" customHeight="1" x14ac:dyDescent="0.15">
      <c r="A34" s="86" t="s">
        <v>634</v>
      </c>
      <c r="B34" s="86" t="s">
        <v>732</v>
      </c>
      <c r="C34" s="86" t="s">
        <v>586</v>
      </c>
      <c r="D34" s="53" t="s">
        <v>577</v>
      </c>
      <c r="E34" s="53" t="s">
        <v>587</v>
      </c>
      <c r="F34" s="100" t="s">
        <v>579</v>
      </c>
      <c r="G34" s="101">
        <f>노임근거!G22</f>
        <v>0.21</v>
      </c>
      <c r="H34" s="106">
        <f>합산자재!H60</f>
        <v>0</v>
      </c>
      <c r="I34" s="106">
        <f>TRUNC(G34*H34)</f>
        <v>0</v>
      </c>
      <c r="J34" s="106">
        <f>노임근거!G22</f>
        <v>0.21</v>
      </c>
      <c r="K34" s="106">
        <f>합산자재!I60</f>
        <v>471349</v>
      </c>
      <c r="L34" s="106">
        <f t="shared" si="1"/>
        <v>98983</v>
      </c>
      <c r="M34" s="106">
        <f>합산자재!J60</f>
        <v>0</v>
      </c>
      <c r="N34" s="106">
        <f t="shared" si="2"/>
        <v>0</v>
      </c>
      <c r="O34" s="106"/>
      <c r="P34" s="106">
        <f t="shared" si="3"/>
        <v>98983</v>
      </c>
      <c r="Q34" s="53"/>
      <c r="AE34" s="109">
        <f>L34</f>
        <v>98983</v>
      </c>
    </row>
    <row r="35" spans="1:31" ht="23.1" customHeight="1" x14ac:dyDescent="0.15">
      <c r="A35" s="86" t="s">
        <v>620</v>
      </c>
      <c r="B35" s="86" t="s">
        <v>732</v>
      </c>
      <c r="C35" s="86" t="s">
        <v>590</v>
      </c>
      <c r="D35" s="53" t="s">
        <v>577</v>
      </c>
      <c r="E35" s="53" t="s">
        <v>591</v>
      </c>
      <c r="F35" s="100" t="s">
        <v>579</v>
      </c>
      <c r="G35" s="101">
        <f>노임근거!G23</f>
        <v>8.6999999999999994E-2</v>
      </c>
      <c r="H35" s="106">
        <f>합산자재!H62</f>
        <v>0</v>
      </c>
      <c r="I35" s="106">
        <f>TRUNC(G35*H35)</f>
        <v>0</v>
      </c>
      <c r="J35" s="106">
        <f>노임근거!G23</f>
        <v>8.6999999999999994E-2</v>
      </c>
      <c r="K35" s="106">
        <f>합산자재!I62</f>
        <v>226122</v>
      </c>
      <c r="L35" s="106">
        <f t="shared" si="1"/>
        <v>19672</v>
      </c>
      <c r="M35" s="106">
        <f>합산자재!J62</f>
        <v>0</v>
      </c>
      <c r="N35" s="106">
        <f t="shared" si="2"/>
        <v>0</v>
      </c>
      <c r="O35" s="106"/>
      <c r="P35" s="106">
        <f t="shared" si="3"/>
        <v>19672</v>
      </c>
      <c r="Q35" s="53"/>
      <c r="AE35" s="109">
        <f>L35</f>
        <v>19672</v>
      </c>
    </row>
    <row r="36" spans="1:31" ht="23.1" customHeight="1" x14ac:dyDescent="0.15">
      <c r="A36" s="86" t="s">
        <v>689</v>
      </c>
      <c r="B36" s="86" t="s">
        <v>732</v>
      </c>
      <c r="C36" s="86" t="s">
        <v>690</v>
      </c>
      <c r="D36" s="53" t="s">
        <v>691</v>
      </c>
      <c r="E36" s="53" t="s">
        <v>692</v>
      </c>
      <c r="F36" s="100" t="s">
        <v>112</v>
      </c>
      <c r="G36" s="101">
        <v>1</v>
      </c>
      <c r="H36" s="106">
        <f>IF(TRUNC((AD37+AC37)/$AE$3)*$AE$3-AD37 &lt;0, AC37, TRUNC((AD37+AC37)/$AE$3)*$AE$3-AD37)</f>
        <v>129933</v>
      </c>
      <c r="I36" s="106">
        <f>H36</f>
        <v>129933</v>
      </c>
      <c r="J36" s="106">
        <v>1</v>
      </c>
      <c r="K36" s="106"/>
      <c r="L36" s="106">
        <f t="shared" si="1"/>
        <v>0</v>
      </c>
      <c r="M36" s="106"/>
      <c r="N36" s="106">
        <f t="shared" si="2"/>
        <v>0</v>
      </c>
      <c r="O36" s="106"/>
      <c r="P36" s="106">
        <f t="shared" si="3"/>
        <v>129933</v>
      </c>
      <c r="Q36" s="53"/>
    </row>
    <row r="37" spans="1:31" ht="23.1" customHeight="1" x14ac:dyDescent="0.15">
      <c r="D37" s="53"/>
      <c r="E37" s="53"/>
      <c r="F37" s="100"/>
      <c r="G37" s="101"/>
      <c r="H37" s="106"/>
      <c r="I37" s="106">
        <f t="shared" ref="I37:I54" si="5">TRUNC(G37*H37)</f>
        <v>0</v>
      </c>
      <c r="J37" s="106"/>
      <c r="K37" s="106"/>
      <c r="L37" s="106">
        <f t="shared" ref="L37:L54" si="6">TRUNC(G37*K37)</f>
        <v>0</v>
      </c>
      <c r="M37" s="106"/>
      <c r="N37" s="106">
        <f t="shared" ref="N37:N54" si="7">TRUNC(G37*M37)</f>
        <v>0</v>
      </c>
      <c r="O37" s="106"/>
      <c r="P37" s="106">
        <f t="shared" ref="P37:P54" si="8">SUM(I37,L37,N37)</f>
        <v>0</v>
      </c>
      <c r="Q37" s="53"/>
      <c r="AC37" s="109">
        <f>TRUNC(AE37*옵션!$B$36/100)</f>
        <v>129933</v>
      </c>
      <c r="AD37" s="109">
        <f>TRUNC(SUM(L4:L35))</f>
        <v>6616016</v>
      </c>
      <c r="AE37" s="109">
        <f>TRUNC(SUM(AE4:AE36))</f>
        <v>4331111</v>
      </c>
    </row>
    <row r="38" spans="1:31" ht="23.1" customHeight="1" x14ac:dyDescent="0.15">
      <c r="D38" s="53"/>
      <c r="E38" s="53"/>
      <c r="F38" s="100"/>
      <c r="G38" s="101"/>
      <c r="H38" s="106"/>
      <c r="I38" s="106">
        <f t="shared" si="5"/>
        <v>0</v>
      </c>
      <c r="J38" s="106"/>
      <c r="K38" s="106"/>
      <c r="L38" s="106">
        <f t="shared" si="6"/>
        <v>0</v>
      </c>
      <c r="M38" s="106"/>
      <c r="N38" s="106">
        <f t="shared" si="7"/>
        <v>0</v>
      </c>
      <c r="O38" s="106"/>
      <c r="P38" s="106">
        <f t="shared" si="8"/>
        <v>0</v>
      </c>
      <c r="Q38" s="53"/>
      <c r="Z38" s="70" t="s">
        <v>678</v>
      </c>
    </row>
    <row r="39" spans="1:31" ht="23.1" customHeight="1" x14ac:dyDescent="0.15">
      <c r="D39" s="53"/>
      <c r="E39" s="53"/>
      <c r="F39" s="100"/>
      <c r="G39" s="101"/>
      <c r="H39" s="106"/>
      <c r="I39" s="106">
        <f t="shared" si="5"/>
        <v>0</v>
      </c>
      <c r="J39" s="106"/>
      <c r="K39" s="106"/>
      <c r="L39" s="106">
        <f t="shared" si="6"/>
        <v>0</v>
      </c>
      <c r="M39" s="106"/>
      <c r="N39" s="106">
        <f t="shared" si="7"/>
        <v>0</v>
      </c>
      <c r="O39" s="106"/>
      <c r="P39" s="106">
        <f t="shared" si="8"/>
        <v>0</v>
      </c>
      <c r="Q39" s="53"/>
    </row>
    <row r="40" spans="1:31" ht="23.1" customHeight="1" x14ac:dyDescent="0.15">
      <c r="D40" s="53"/>
      <c r="E40" s="53"/>
      <c r="F40" s="100"/>
      <c r="G40" s="101"/>
      <c r="H40" s="106"/>
      <c r="I40" s="106">
        <f t="shared" si="5"/>
        <v>0</v>
      </c>
      <c r="J40" s="106"/>
      <c r="K40" s="106"/>
      <c r="L40" s="106">
        <f t="shared" si="6"/>
        <v>0</v>
      </c>
      <c r="M40" s="106"/>
      <c r="N40" s="106">
        <f t="shared" si="7"/>
        <v>0</v>
      </c>
      <c r="O40" s="106"/>
      <c r="P40" s="106">
        <f t="shared" si="8"/>
        <v>0</v>
      </c>
      <c r="Q40" s="53"/>
    </row>
    <row r="41" spans="1:31" ht="23.1" customHeight="1" x14ac:dyDescent="0.15">
      <c r="D41" s="53"/>
      <c r="E41" s="53"/>
      <c r="F41" s="100"/>
      <c r="G41" s="101"/>
      <c r="H41" s="106"/>
      <c r="I41" s="106">
        <f t="shared" si="5"/>
        <v>0</v>
      </c>
      <c r="J41" s="106"/>
      <c r="K41" s="106"/>
      <c r="L41" s="106">
        <f t="shared" si="6"/>
        <v>0</v>
      </c>
      <c r="M41" s="106"/>
      <c r="N41" s="106">
        <f t="shared" si="7"/>
        <v>0</v>
      </c>
      <c r="O41" s="106"/>
      <c r="P41" s="106">
        <f t="shared" si="8"/>
        <v>0</v>
      </c>
      <c r="Q41" s="53"/>
    </row>
    <row r="42" spans="1:31" ht="23.1" customHeight="1" x14ac:dyDescent="0.15">
      <c r="D42" s="53"/>
      <c r="E42" s="53"/>
      <c r="F42" s="100"/>
      <c r="G42" s="101"/>
      <c r="H42" s="106"/>
      <c r="I42" s="106">
        <f t="shared" si="5"/>
        <v>0</v>
      </c>
      <c r="J42" s="106"/>
      <c r="K42" s="106"/>
      <c r="L42" s="106">
        <f t="shared" si="6"/>
        <v>0</v>
      </c>
      <c r="M42" s="106"/>
      <c r="N42" s="106">
        <f t="shared" si="7"/>
        <v>0</v>
      </c>
      <c r="O42" s="106"/>
      <c r="P42" s="106">
        <f t="shared" si="8"/>
        <v>0</v>
      </c>
      <c r="Q42" s="53"/>
    </row>
    <row r="43" spans="1:31" ht="23.1" customHeight="1" x14ac:dyDescent="0.15">
      <c r="D43" s="53"/>
      <c r="E43" s="53"/>
      <c r="F43" s="100"/>
      <c r="G43" s="101"/>
      <c r="H43" s="106"/>
      <c r="I43" s="106">
        <f t="shared" si="5"/>
        <v>0</v>
      </c>
      <c r="J43" s="106"/>
      <c r="K43" s="106"/>
      <c r="L43" s="106">
        <f t="shared" si="6"/>
        <v>0</v>
      </c>
      <c r="M43" s="106"/>
      <c r="N43" s="106">
        <f t="shared" si="7"/>
        <v>0</v>
      </c>
      <c r="O43" s="106"/>
      <c r="P43" s="106">
        <f t="shared" si="8"/>
        <v>0</v>
      </c>
      <c r="Q43" s="53"/>
    </row>
    <row r="44" spans="1:31" ht="23.1" customHeight="1" x14ac:dyDescent="0.15">
      <c r="D44" s="53"/>
      <c r="E44" s="53"/>
      <c r="F44" s="100"/>
      <c r="G44" s="101"/>
      <c r="H44" s="106"/>
      <c r="I44" s="106">
        <f t="shared" si="5"/>
        <v>0</v>
      </c>
      <c r="J44" s="106"/>
      <c r="K44" s="106"/>
      <c r="L44" s="106">
        <f t="shared" si="6"/>
        <v>0</v>
      </c>
      <c r="M44" s="106"/>
      <c r="N44" s="106">
        <f t="shared" si="7"/>
        <v>0</v>
      </c>
      <c r="O44" s="106"/>
      <c r="P44" s="106">
        <f t="shared" si="8"/>
        <v>0</v>
      </c>
      <c r="Q44" s="53"/>
    </row>
    <row r="45" spans="1:31" ht="23.1" customHeight="1" x14ac:dyDescent="0.15">
      <c r="D45" s="53"/>
      <c r="E45" s="53"/>
      <c r="F45" s="100"/>
      <c r="G45" s="101"/>
      <c r="H45" s="106"/>
      <c r="I45" s="106">
        <f t="shared" si="5"/>
        <v>0</v>
      </c>
      <c r="J45" s="106"/>
      <c r="K45" s="106"/>
      <c r="L45" s="106">
        <f t="shared" si="6"/>
        <v>0</v>
      </c>
      <c r="M45" s="106"/>
      <c r="N45" s="106">
        <f t="shared" si="7"/>
        <v>0</v>
      </c>
      <c r="O45" s="106"/>
      <c r="P45" s="106">
        <f t="shared" si="8"/>
        <v>0</v>
      </c>
      <c r="Q45" s="53"/>
    </row>
    <row r="46" spans="1:31" ht="23.1" customHeight="1" x14ac:dyDescent="0.15">
      <c r="D46" s="53"/>
      <c r="E46" s="53"/>
      <c r="F46" s="100"/>
      <c r="G46" s="101"/>
      <c r="H46" s="106"/>
      <c r="I46" s="106">
        <f t="shared" si="5"/>
        <v>0</v>
      </c>
      <c r="J46" s="106"/>
      <c r="K46" s="106"/>
      <c r="L46" s="106">
        <f t="shared" si="6"/>
        <v>0</v>
      </c>
      <c r="M46" s="106"/>
      <c r="N46" s="106">
        <f t="shared" si="7"/>
        <v>0</v>
      </c>
      <c r="O46" s="106"/>
      <c r="P46" s="106">
        <f t="shared" si="8"/>
        <v>0</v>
      </c>
      <c r="Q46" s="53"/>
    </row>
    <row r="47" spans="1:31" ht="23.1" customHeight="1" x14ac:dyDescent="0.15">
      <c r="D47" s="53"/>
      <c r="E47" s="53"/>
      <c r="F47" s="100"/>
      <c r="G47" s="101"/>
      <c r="H47" s="106"/>
      <c r="I47" s="106">
        <f t="shared" si="5"/>
        <v>0</v>
      </c>
      <c r="J47" s="106"/>
      <c r="K47" s="106"/>
      <c r="L47" s="106">
        <f t="shared" si="6"/>
        <v>0</v>
      </c>
      <c r="M47" s="106"/>
      <c r="N47" s="106">
        <f t="shared" si="7"/>
        <v>0</v>
      </c>
      <c r="O47" s="106"/>
      <c r="P47" s="106">
        <f t="shared" si="8"/>
        <v>0</v>
      </c>
      <c r="Q47" s="53"/>
    </row>
    <row r="48" spans="1:31" ht="23.1" customHeight="1" x14ac:dyDescent="0.15">
      <c r="D48" s="53"/>
      <c r="E48" s="53"/>
      <c r="F48" s="100"/>
      <c r="G48" s="101"/>
      <c r="H48" s="106"/>
      <c r="I48" s="106">
        <f t="shared" si="5"/>
        <v>0</v>
      </c>
      <c r="J48" s="106"/>
      <c r="K48" s="106"/>
      <c r="L48" s="106">
        <f t="shared" si="6"/>
        <v>0</v>
      </c>
      <c r="M48" s="106"/>
      <c r="N48" s="106">
        <f t="shared" si="7"/>
        <v>0</v>
      </c>
      <c r="O48" s="106"/>
      <c r="P48" s="106">
        <f t="shared" si="8"/>
        <v>0</v>
      </c>
      <c r="Q48" s="53"/>
    </row>
    <row r="49" spans="1:29" ht="23.1" customHeight="1" x14ac:dyDescent="0.15">
      <c r="D49" s="53"/>
      <c r="E49" s="53"/>
      <c r="F49" s="100"/>
      <c r="G49" s="101"/>
      <c r="H49" s="106"/>
      <c r="I49" s="106">
        <f t="shared" si="5"/>
        <v>0</v>
      </c>
      <c r="J49" s="106"/>
      <c r="K49" s="106"/>
      <c r="L49" s="106">
        <f t="shared" si="6"/>
        <v>0</v>
      </c>
      <c r="M49" s="106"/>
      <c r="N49" s="106">
        <f t="shared" si="7"/>
        <v>0</v>
      </c>
      <c r="O49" s="106"/>
      <c r="P49" s="106">
        <f t="shared" si="8"/>
        <v>0</v>
      </c>
      <c r="Q49" s="53"/>
    </row>
    <row r="50" spans="1:29" ht="23.1" customHeight="1" x14ac:dyDescent="0.15">
      <c r="D50" s="53"/>
      <c r="E50" s="53"/>
      <c r="F50" s="100"/>
      <c r="G50" s="101"/>
      <c r="H50" s="106"/>
      <c r="I50" s="106">
        <f t="shared" si="5"/>
        <v>0</v>
      </c>
      <c r="J50" s="106"/>
      <c r="K50" s="106"/>
      <c r="L50" s="106">
        <f t="shared" si="6"/>
        <v>0</v>
      </c>
      <c r="M50" s="106"/>
      <c r="N50" s="106">
        <f t="shared" si="7"/>
        <v>0</v>
      </c>
      <c r="O50" s="106"/>
      <c r="P50" s="106">
        <f t="shared" si="8"/>
        <v>0</v>
      </c>
      <c r="Q50" s="53"/>
    </row>
    <row r="51" spans="1:29" ht="23.1" customHeight="1" x14ac:dyDescent="0.15">
      <c r="D51" s="53"/>
      <c r="E51" s="53"/>
      <c r="F51" s="100"/>
      <c r="G51" s="101"/>
      <c r="H51" s="106"/>
      <c r="I51" s="106">
        <f t="shared" si="5"/>
        <v>0</v>
      </c>
      <c r="J51" s="106"/>
      <c r="K51" s="106"/>
      <c r="L51" s="106">
        <f t="shared" si="6"/>
        <v>0</v>
      </c>
      <c r="M51" s="106"/>
      <c r="N51" s="106">
        <f t="shared" si="7"/>
        <v>0</v>
      </c>
      <c r="O51" s="106"/>
      <c r="P51" s="106">
        <f t="shared" si="8"/>
        <v>0</v>
      </c>
      <c r="Q51" s="53"/>
    </row>
    <row r="52" spans="1:29" ht="23.1" customHeight="1" x14ac:dyDescent="0.15">
      <c r="D52" s="53"/>
      <c r="E52" s="53"/>
      <c r="F52" s="100"/>
      <c r="G52" s="101"/>
      <c r="H52" s="106"/>
      <c r="I52" s="106">
        <f t="shared" si="5"/>
        <v>0</v>
      </c>
      <c r="J52" s="106"/>
      <c r="K52" s="106"/>
      <c r="L52" s="106">
        <f t="shared" si="6"/>
        <v>0</v>
      </c>
      <c r="M52" s="106"/>
      <c r="N52" s="106">
        <f t="shared" si="7"/>
        <v>0</v>
      </c>
      <c r="O52" s="106"/>
      <c r="P52" s="106">
        <f t="shared" si="8"/>
        <v>0</v>
      </c>
      <c r="Q52" s="53"/>
    </row>
    <row r="53" spans="1:29" ht="23.1" customHeight="1" x14ac:dyDescent="0.15">
      <c r="D53" s="53"/>
      <c r="E53" s="53"/>
      <c r="F53" s="100"/>
      <c r="G53" s="101"/>
      <c r="H53" s="106"/>
      <c r="I53" s="106">
        <f t="shared" si="5"/>
        <v>0</v>
      </c>
      <c r="J53" s="106"/>
      <c r="K53" s="106"/>
      <c r="L53" s="106">
        <f t="shared" si="6"/>
        <v>0</v>
      </c>
      <c r="M53" s="106"/>
      <c r="N53" s="106">
        <f t="shared" si="7"/>
        <v>0</v>
      </c>
      <c r="O53" s="106"/>
      <c r="P53" s="106">
        <f t="shared" si="8"/>
        <v>0</v>
      </c>
      <c r="Q53" s="53"/>
    </row>
    <row r="54" spans="1:29" ht="23.1" customHeight="1" x14ac:dyDescent="0.15">
      <c r="D54" s="53"/>
      <c r="E54" s="53"/>
      <c r="F54" s="100"/>
      <c r="G54" s="101"/>
      <c r="H54" s="106"/>
      <c r="I54" s="106">
        <f t="shared" si="5"/>
        <v>0</v>
      </c>
      <c r="J54" s="106"/>
      <c r="K54" s="106"/>
      <c r="L54" s="106">
        <f t="shared" si="6"/>
        <v>0</v>
      </c>
      <c r="M54" s="106"/>
      <c r="N54" s="106">
        <f t="shared" si="7"/>
        <v>0</v>
      </c>
      <c r="O54" s="106"/>
      <c r="P54" s="106">
        <f t="shared" si="8"/>
        <v>0</v>
      </c>
      <c r="Q54" s="53"/>
    </row>
    <row r="55" spans="1:29" ht="23.1" customHeight="1" x14ac:dyDescent="0.15">
      <c r="B55" s="86" t="s">
        <v>676</v>
      </c>
      <c r="D55" s="53" t="s">
        <v>677</v>
      </c>
      <c r="E55" s="53"/>
      <c r="F55" s="100"/>
      <c r="G55" s="101"/>
      <c r="H55" s="106"/>
      <c r="I55" s="106">
        <f>TRUNC(SUM(I4:I54))</f>
        <v>2273811</v>
      </c>
      <c r="J55" s="106"/>
      <c r="K55" s="106"/>
      <c r="L55" s="106">
        <f>TRUNC(SUM(L4:L54))</f>
        <v>6616016</v>
      </c>
      <c r="M55" s="106"/>
      <c r="N55" s="106">
        <f>TRUNC(SUM(N4:N54))</f>
        <v>40242</v>
      </c>
      <c r="O55" s="106"/>
      <c r="P55" s="106">
        <f>TRUNC(SUM(P4:P54))</f>
        <v>8930069</v>
      </c>
      <c r="Q55" s="53"/>
    </row>
    <row r="56" spans="1:29" ht="23.1" customHeight="1" x14ac:dyDescent="0.15">
      <c r="B56" s="86" t="s">
        <v>126</v>
      </c>
      <c r="D56" s="395" t="s">
        <v>898</v>
      </c>
      <c r="E56" s="396"/>
      <c r="F56" s="396"/>
      <c r="G56" s="396"/>
      <c r="H56" s="396"/>
      <c r="I56" s="396"/>
      <c r="J56" s="396"/>
      <c r="K56" s="396"/>
      <c r="L56" s="396"/>
      <c r="M56" s="396"/>
      <c r="N56" s="396"/>
      <c r="O56" s="396"/>
      <c r="P56" s="396"/>
      <c r="Q56" s="397"/>
    </row>
    <row r="57" spans="1:29" ht="23.1" customHeight="1" x14ac:dyDescent="0.15">
      <c r="A57" s="86" t="s">
        <v>172</v>
      </c>
      <c r="B57" s="86" t="s">
        <v>735</v>
      </c>
      <c r="C57" s="86" t="s">
        <v>437</v>
      </c>
      <c r="D57" s="53" t="s">
        <v>173</v>
      </c>
      <c r="E57" s="53" t="s">
        <v>174</v>
      </c>
      <c r="F57" s="100" t="s">
        <v>438</v>
      </c>
      <c r="G57" s="101">
        <f>산출집계!H42</f>
        <v>5</v>
      </c>
      <c r="H57" s="106">
        <f>합산자재!H4</f>
        <v>5134</v>
      </c>
      <c r="I57" s="106">
        <f t="shared" ref="I57:I68" si="9">TRUNC(G57*H57)</f>
        <v>25670</v>
      </c>
      <c r="J57" s="106">
        <f>산출집계!J42</f>
        <v>4</v>
      </c>
      <c r="K57" s="106">
        <f>합산자재!I4</f>
        <v>0</v>
      </c>
      <c r="L57" s="106">
        <f t="shared" ref="L57:L80" si="10">TRUNC(G57*K57)</f>
        <v>0</v>
      </c>
      <c r="M57" s="106">
        <f>합산자재!J4</f>
        <v>0</v>
      </c>
      <c r="N57" s="106">
        <f t="shared" ref="N57:N80" si="11">TRUNC(G57*M57)</f>
        <v>0</v>
      </c>
      <c r="O57" s="106"/>
      <c r="P57" s="106">
        <f t="shared" ref="P57:P80" si="12">SUM(I57,L57,N57)</f>
        <v>25670</v>
      </c>
      <c r="Q57" s="53"/>
      <c r="AB57" s="109">
        <f>J57*H57</f>
        <v>20536</v>
      </c>
      <c r="AC57" s="109">
        <f>J57*H57</f>
        <v>20536</v>
      </c>
    </row>
    <row r="58" spans="1:29" ht="23.1" customHeight="1" x14ac:dyDescent="0.15">
      <c r="A58" s="86" t="s">
        <v>186</v>
      </c>
      <c r="B58" s="86" t="s">
        <v>735</v>
      </c>
      <c r="C58" s="86" t="s">
        <v>441</v>
      </c>
      <c r="D58" s="53" t="s">
        <v>187</v>
      </c>
      <c r="E58" s="53" t="s">
        <v>181</v>
      </c>
      <c r="F58" s="100" t="s">
        <v>438</v>
      </c>
      <c r="G58" s="101">
        <f>산출집계!H43</f>
        <v>16</v>
      </c>
      <c r="H58" s="106">
        <f>합산자재!H5</f>
        <v>1007</v>
      </c>
      <c r="I58" s="106">
        <f t="shared" si="9"/>
        <v>16112</v>
      </c>
      <c r="J58" s="106">
        <f>산출집계!J43</f>
        <v>14</v>
      </c>
      <c r="K58" s="106">
        <f>합산자재!I5</f>
        <v>0</v>
      </c>
      <c r="L58" s="106">
        <f t="shared" si="10"/>
        <v>0</v>
      </c>
      <c r="M58" s="106">
        <f>합산자재!J5</f>
        <v>0</v>
      </c>
      <c r="N58" s="106">
        <f t="shared" si="11"/>
        <v>0</v>
      </c>
      <c r="O58" s="106"/>
      <c r="P58" s="106">
        <f t="shared" si="12"/>
        <v>16112</v>
      </c>
      <c r="Q58" s="53"/>
      <c r="AB58" s="109">
        <f>J58*H58</f>
        <v>14098</v>
      </c>
      <c r="AC58" s="109">
        <f>J58*H58</f>
        <v>14098</v>
      </c>
    </row>
    <row r="59" spans="1:29" ht="23.1" customHeight="1" x14ac:dyDescent="0.15">
      <c r="A59" s="86" t="s">
        <v>179</v>
      </c>
      <c r="B59" s="86" t="s">
        <v>735</v>
      </c>
      <c r="C59" s="86" t="s">
        <v>445</v>
      </c>
      <c r="D59" s="53" t="s">
        <v>180</v>
      </c>
      <c r="E59" s="53" t="s">
        <v>181</v>
      </c>
      <c r="F59" s="100" t="s">
        <v>438</v>
      </c>
      <c r="G59" s="101">
        <f>산출집계!H44</f>
        <v>42</v>
      </c>
      <c r="H59" s="106">
        <f>합산자재!H7</f>
        <v>1007</v>
      </c>
      <c r="I59" s="106">
        <f t="shared" si="9"/>
        <v>42294</v>
      </c>
      <c r="J59" s="106">
        <f>산출집계!J44</f>
        <v>40</v>
      </c>
      <c r="K59" s="106">
        <f>합산자재!I7</f>
        <v>0</v>
      </c>
      <c r="L59" s="106">
        <f t="shared" si="10"/>
        <v>0</v>
      </c>
      <c r="M59" s="106">
        <f>합산자재!J7</f>
        <v>0</v>
      </c>
      <c r="N59" s="106">
        <f t="shared" si="11"/>
        <v>0</v>
      </c>
      <c r="O59" s="106"/>
      <c r="P59" s="106">
        <f t="shared" si="12"/>
        <v>42294</v>
      </c>
      <c r="Q59" s="53"/>
      <c r="AB59" s="109">
        <f>J59*H59</f>
        <v>40280</v>
      </c>
      <c r="AC59" s="109">
        <f>J59*H59</f>
        <v>40280</v>
      </c>
    </row>
    <row r="60" spans="1:29" ht="23.1" customHeight="1" x14ac:dyDescent="0.15">
      <c r="A60" s="86" t="s">
        <v>262</v>
      </c>
      <c r="B60" s="86" t="s">
        <v>735</v>
      </c>
      <c r="C60" s="86" t="s">
        <v>446</v>
      </c>
      <c r="D60" s="53" t="s">
        <v>263</v>
      </c>
      <c r="E60" s="53" t="s">
        <v>264</v>
      </c>
      <c r="F60" s="100" t="s">
        <v>438</v>
      </c>
      <c r="G60" s="101">
        <f>산출집계!H45</f>
        <v>17</v>
      </c>
      <c r="H60" s="106">
        <f>합산자재!H8</f>
        <v>170</v>
      </c>
      <c r="I60" s="106">
        <f t="shared" si="9"/>
        <v>2890</v>
      </c>
      <c r="J60" s="106">
        <f>산출집계!J45</f>
        <v>15</v>
      </c>
      <c r="K60" s="106">
        <f>합산자재!I8</f>
        <v>0</v>
      </c>
      <c r="L60" s="106">
        <f t="shared" si="10"/>
        <v>0</v>
      </c>
      <c r="M60" s="106">
        <f>합산자재!J8</f>
        <v>0</v>
      </c>
      <c r="N60" s="106">
        <f t="shared" si="11"/>
        <v>0</v>
      </c>
      <c r="O60" s="106"/>
      <c r="P60" s="106">
        <f t="shared" si="12"/>
        <v>2890</v>
      </c>
      <c r="Q60" s="53"/>
      <c r="AA60" s="109">
        <f>J60*H60</f>
        <v>2550</v>
      </c>
      <c r="AC60" s="109">
        <f>J60*H60</f>
        <v>2550</v>
      </c>
    </row>
    <row r="61" spans="1:29" ht="23.1" customHeight="1" x14ac:dyDescent="0.15">
      <c r="A61" s="86" t="s">
        <v>736</v>
      </c>
      <c r="B61" s="86" t="s">
        <v>735</v>
      </c>
      <c r="C61" s="86" t="s">
        <v>737</v>
      </c>
      <c r="D61" s="53" t="s">
        <v>738</v>
      </c>
      <c r="E61" s="53" t="s">
        <v>739</v>
      </c>
      <c r="F61" s="100" t="s">
        <v>112</v>
      </c>
      <c r="G61" s="101">
        <v>1</v>
      </c>
      <c r="H61" s="106">
        <f>TRUNC(AA61*옵션!$D$32/100)</f>
        <v>1020</v>
      </c>
      <c r="I61" s="106">
        <f t="shared" si="9"/>
        <v>1020</v>
      </c>
      <c r="J61" s="106">
        <v>1</v>
      </c>
      <c r="K61" s="106"/>
      <c r="L61" s="106">
        <f t="shared" si="10"/>
        <v>0</v>
      </c>
      <c r="M61" s="106"/>
      <c r="N61" s="106">
        <f t="shared" si="11"/>
        <v>0</v>
      </c>
      <c r="O61" s="106"/>
      <c r="P61" s="106">
        <f t="shared" si="12"/>
        <v>1020</v>
      </c>
      <c r="Q61" s="53"/>
      <c r="AA61" s="109">
        <f>TRUNC(SUM(AA56:AA60))</f>
        <v>2550</v>
      </c>
    </row>
    <row r="62" spans="1:29" ht="23.1" customHeight="1" x14ac:dyDescent="0.15">
      <c r="A62" s="86" t="s">
        <v>740</v>
      </c>
      <c r="B62" s="86" t="s">
        <v>735</v>
      </c>
      <c r="C62" s="86" t="s">
        <v>741</v>
      </c>
      <c r="D62" s="53" t="s">
        <v>738</v>
      </c>
      <c r="E62" s="53" t="s">
        <v>742</v>
      </c>
      <c r="F62" s="100" t="s">
        <v>112</v>
      </c>
      <c r="G62" s="101">
        <v>1</v>
      </c>
      <c r="H62" s="106">
        <f>TRUNC(AB62*옵션!$D$31/100)</f>
        <v>14982</v>
      </c>
      <c r="I62" s="106">
        <f t="shared" si="9"/>
        <v>14982</v>
      </c>
      <c r="J62" s="106">
        <v>1</v>
      </c>
      <c r="K62" s="106"/>
      <c r="L62" s="106">
        <f t="shared" si="10"/>
        <v>0</v>
      </c>
      <c r="M62" s="106"/>
      <c r="N62" s="106">
        <f t="shared" si="11"/>
        <v>0</v>
      </c>
      <c r="O62" s="106"/>
      <c r="P62" s="106">
        <f t="shared" si="12"/>
        <v>14982</v>
      </c>
      <c r="Q62" s="53"/>
      <c r="AB62" s="109">
        <f>TRUNC(SUM(AB56:AB61))</f>
        <v>74914</v>
      </c>
    </row>
    <row r="63" spans="1:29" ht="23.1" customHeight="1" x14ac:dyDescent="0.15">
      <c r="A63" s="86" t="s">
        <v>198</v>
      </c>
      <c r="B63" s="86" t="s">
        <v>735</v>
      </c>
      <c r="C63" s="86" t="s">
        <v>449</v>
      </c>
      <c r="D63" s="53" t="s">
        <v>199</v>
      </c>
      <c r="E63" s="53" t="s">
        <v>200</v>
      </c>
      <c r="F63" s="100" t="s">
        <v>145</v>
      </c>
      <c r="G63" s="101">
        <f>산출집계!H46</f>
        <v>1</v>
      </c>
      <c r="H63" s="106">
        <f>합산자재!H10</f>
        <v>4392</v>
      </c>
      <c r="I63" s="106">
        <f t="shared" si="9"/>
        <v>4392</v>
      </c>
      <c r="J63" s="106">
        <f>산출집계!J46</f>
        <v>1</v>
      </c>
      <c r="K63" s="106">
        <f>합산자재!I10</f>
        <v>0</v>
      </c>
      <c r="L63" s="106">
        <f t="shared" si="10"/>
        <v>0</v>
      </c>
      <c r="M63" s="106">
        <f>합산자재!J10</f>
        <v>0</v>
      </c>
      <c r="N63" s="106">
        <f t="shared" si="11"/>
        <v>0</v>
      </c>
      <c r="O63" s="106"/>
      <c r="P63" s="106">
        <f t="shared" si="12"/>
        <v>4392</v>
      </c>
      <c r="Q63" s="53"/>
    </row>
    <row r="64" spans="1:29" ht="23.1" customHeight="1" x14ac:dyDescent="0.15">
      <c r="A64" s="86" t="s">
        <v>204</v>
      </c>
      <c r="B64" s="86" t="s">
        <v>735</v>
      </c>
      <c r="C64" s="86" t="s">
        <v>451</v>
      </c>
      <c r="D64" s="53" t="s">
        <v>205</v>
      </c>
      <c r="E64" s="53" t="s">
        <v>206</v>
      </c>
      <c r="F64" s="100" t="s">
        <v>145</v>
      </c>
      <c r="G64" s="101">
        <f>산출집계!H47</f>
        <v>2</v>
      </c>
      <c r="H64" s="106">
        <f>합산자재!H11</f>
        <v>956</v>
      </c>
      <c r="I64" s="106">
        <f t="shared" si="9"/>
        <v>1912</v>
      </c>
      <c r="J64" s="106">
        <f>산출집계!J47</f>
        <v>2</v>
      </c>
      <c r="K64" s="106">
        <f>합산자재!I11</f>
        <v>0</v>
      </c>
      <c r="L64" s="106">
        <f t="shared" si="10"/>
        <v>0</v>
      </c>
      <c r="M64" s="106">
        <f>합산자재!J11</f>
        <v>0</v>
      </c>
      <c r="N64" s="106">
        <f t="shared" si="11"/>
        <v>0</v>
      </c>
      <c r="O64" s="106"/>
      <c r="P64" s="106">
        <f t="shared" si="12"/>
        <v>1912</v>
      </c>
      <c r="Q64" s="53"/>
    </row>
    <row r="65" spans="1:31" ht="23.1" customHeight="1" x14ac:dyDescent="0.15">
      <c r="A65" s="86" t="s">
        <v>282</v>
      </c>
      <c r="B65" s="86" t="s">
        <v>735</v>
      </c>
      <c r="C65" s="86" t="s">
        <v>452</v>
      </c>
      <c r="D65" s="53" t="s">
        <v>283</v>
      </c>
      <c r="E65" s="53" t="s">
        <v>284</v>
      </c>
      <c r="F65" s="100" t="s">
        <v>145</v>
      </c>
      <c r="G65" s="101">
        <f>산출집계!H48</f>
        <v>2</v>
      </c>
      <c r="H65" s="106">
        <f>합산자재!H12</f>
        <v>591</v>
      </c>
      <c r="I65" s="106">
        <f t="shared" si="9"/>
        <v>1182</v>
      </c>
      <c r="J65" s="106">
        <f>산출집계!J48</f>
        <v>2</v>
      </c>
      <c r="K65" s="106">
        <f>합산자재!I12</f>
        <v>0</v>
      </c>
      <c r="L65" s="106">
        <f t="shared" si="10"/>
        <v>0</v>
      </c>
      <c r="M65" s="106">
        <f>합산자재!J12</f>
        <v>0</v>
      </c>
      <c r="N65" s="106">
        <f t="shared" si="11"/>
        <v>0</v>
      </c>
      <c r="O65" s="106"/>
      <c r="P65" s="106">
        <f t="shared" si="12"/>
        <v>1182</v>
      </c>
      <c r="Q65" s="53"/>
    </row>
    <row r="66" spans="1:31" ht="23.1" customHeight="1" x14ac:dyDescent="0.15">
      <c r="A66" s="86" t="s">
        <v>335</v>
      </c>
      <c r="B66" s="86" t="s">
        <v>735</v>
      </c>
      <c r="C66" s="86" t="s">
        <v>487</v>
      </c>
      <c r="D66" s="53" t="s">
        <v>147</v>
      </c>
      <c r="E66" s="53" t="s">
        <v>336</v>
      </c>
      <c r="F66" s="100" t="s">
        <v>145</v>
      </c>
      <c r="G66" s="101">
        <f>산출집계!H49</f>
        <v>2</v>
      </c>
      <c r="H66" s="106">
        <f>합산자재!H25</f>
        <v>2304</v>
      </c>
      <c r="I66" s="106">
        <f t="shared" si="9"/>
        <v>4608</v>
      </c>
      <c r="J66" s="106">
        <f>산출집계!J49</f>
        <v>2</v>
      </c>
      <c r="K66" s="106">
        <f>합산자재!I25</f>
        <v>0</v>
      </c>
      <c r="L66" s="106">
        <f t="shared" si="10"/>
        <v>0</v>
      </c>
      <c r="M66" s="106">
        <f>합산자재!J25</f>
        <v>0</v>
      </c>
      <c r="N66" s="106">
        <f t="shared" si="11"/>
        <v>0</v>
      </c>
      <c r="O66" s="106"/>
      <c r="P66" s="106">
        <f t="shared" si="12"/>
        <v>4608</v>
      </c>
      <c r="Q66" s="53"/>
    </row>
    <row r="67" spans="1:31" ht="23.1" customHeight="1" x14ac:dyDescent="0.15">
      <c r="A67" s="86" t="s">
        <v>190</v>
      </c>
      <c r="B67" s="86" t="s">
        <v>735</v>
      </c>
      <c r="C67" s="86" t="s">
        <v>662</v>
      </c>
      <c r="D67" s="53" t="s">
        <v>191</v>
      </c>
      <c r="E67" s="53" t="s">
        <v>192</v>
      </c>
      <c r="F67" s="100" t="s">
        <v>193</v>
      </c>
      <c r="G67" s="101">
        <f>산출집계!H50</f>
        <v>7</v>
      </c>
      <c r="H67" s="106">
        <f>일대목차!I10</f>
        <v>2178</v>
      </c>
      <c r="I67" s="106">
        <f t="shared" si="9"/>
        <v>15246</v>
      </c>
      <c r="J67" s="106">
        <f>산출집계!J50</f>
        <v>7</v>
      </c>
      <c r="K67" s="106">
        <f>일대목차!L10</f>
        <v>17092</v>
      </c>
      <c r="L67" s="106">
        <f t="shared" si="10"/>
        <v>119644</v>
      </c>
      <c r="M67" s="106">
        <f>일대목차!N10</f>
        <v>0</v>
      </c>
      <c r="N67" s="106">
        <f t="shared" si="11"/>
        <v>0</v>
      </c>
      <c r="O67" s="106"/>
      <c r="P67" s="106">
        <f t="shared" si="12"/>
        <v>134890</v>
      </c>
      <c r="Q67" s="53" t="s">
        <v>663</v>
      </c>
    </row>
    <row r="68" spans="1:31" ht="23.1" customHeight="1" x14ac:dyDescent="0.15">
      <c r="A68" s="86" t="s">
        <v>327</v>
      </c>
      <c r="B68" s="86" t="s">
        <v>735</v>
      </c>
      <c r="C68" s="86" t="s">
        <v>671</v>
      </c>
      <c r="D68" s="53" t="s">
        <v>328</v>
      </c>
      <c r="E68" s="53" t="s">
        <v>329</v>
      </c>
      <c r="F68" s="100" t="s">
        <v>438</v>
      </c>
      <c r="G68" s="101">
        <f>산출집계!H51</f>
        <v>18</v>
      </c>
      <c r="H68" s="106">
        <f>일대목차!I14</f>
        <v>764</v>
      </c>
      <c r="I68" s="106">
        <f t="shared" si="9"/>
        <v>13752</v>
      </c>
      <c r="J68" s="106">
        <f>산출집계!J51</f>
        <v>18</v>
      </c>
      <c r="K68" s="106">
        <f>일대목차!L14</f>
        <v>7415</v>
      </c>
      <c r="L68" s="106">
        <f t="shared" si="10"/>
        <v>133470</v>
      </c>
      <c r="M68" s="106">
        <f>일대목차!N14</f>
        <v>0</v>
      </c>
      <c r="N68" s="106">
        <f t="shared" si="11"/>
        <v>0</v>
      </c>
      <c r="O68" s="106"/>
      <c r="P68" s="106">
        <f t="shared" si="12"/>
        <v>147222</v>
      </c>
      <c r="Q68" s="53" t="s">
        <v>672</v>
      </c>
    </row>
    <row r="69" spans="1:31" ht="23.1" customHeight="1" x14ac:dyDescent="0.15">
      <c r="A69" s="86" t="s">
        <v>699</v>
      </c>
      <c r="B69" s="86" t="s">
        <v>735</v>
      </c>
      <c r="C69" s="86" t="s">
        <v>700</v>
      </c>
      <c r="D69" s="53" t="s">
        <v>701</v>
      </c>
      <c r="E69" s="53" t="s">
        <v>702</v>
      </c>
      <c r="F69" s="100" t="s">
        <v>112</v>
      </c>
      <c r="G69" s="101">
        <v>1</v>
      </c>
      <c r="H69" s="106">
        <f>IF(TRUNC((AD69+AC69)/$AD$3)*$AD$3-AD69 &lt;0, AC69, TRUNC((AD69+AC69)/$AD$3)*$AD$3-AD69)</f>
        <v>1549</v>
      </c>
      <c r="I69" s="106">
        <f>H69</f>
        <v>1549</v>
      </c>
      <c r="J69" s="106">
        <v>1</v>
      </c>
      <c r="K69" s="106"/>
      <c r="L69" s="106">
        <f t="shared" si="10"/>
        <v>0</v>
      </c>
      <c r="M69" s="106"/>
      <c r="N69" s="106">
        <f t="shared" si="11"/>
        <v>0</v>
      </c>
      <c r="O69" s="106"/>
      <c r="P69" s="106">
        <f t="shared" si="12"/>
        <v>1549</v>
      </c>
      <c r="Q69" s="53"/>
      <c r="AC69" s="109">
        <f>TRUNC(TRUNC(SUM(AC56:AC68))*옵션!$B$33/100)</f>
        <v>1549</v>
      </c>
      <c r="AD69" s="109">
        <f>TRUNC(SUM(I56:I68))+TRUNC(SUM(N56:N68))</f>
        <v>144060</v>
      </c>
    </row>
    <row r="70" spans="1:31" ht="23.1" customHeight="1" x14ac:dyDescent="0.15">
      <c r="A70" s="86" t="s">
        <v>623</v>
      </c>
      <c r="B70" s="86" t="s">
        <v>735</v>
      </c>
      <c r="C70" s="86" t="s">
        <v>576</v>
      </c>
      <c r="D70" s="53" t="s">
        <v>577</v>
      </c>
      <c r="E70" s="53" t="s">
        <v>578</v>
      </c>
      <c r="F70" s="100" t="s">
        <v>579</v>
      </c>
      <c r="G70" s="101">
        <f>노임근거!G38</f>
        <v>6.29</v>
      </c>
      <c r="H70" s="106">
        <f>합산자재!H56</f>
        <v>0</v>
      </c>
      <c r="I70" s="106">
        <f>TRUNC(G70*H70)</f>
        <v>0</v>
      </c>
      <c r="J70" s="106">
        <f>노임근거!G38</f>
        <v>6.29</v>
      </c>
      <c r="K70" s="106">
        <f>합산자재!I56</f>
        <v>284880</v>
      </c>
      <c r="L70" s="106">
        <f t="shared" si="10"/>
        <v>1791895</v>
      </c>
      <c r="M70" s="106">
        <f>합산자재!J56</f>
        <v>0</v>
      </c>
      <c r="N70" s="106">
        <f t="shared" si="11"/>
        <v>0</v>
      </c>
      <c r="O70" s="106"/>
      <c r="P70" s="106">
        <f t="shared" si="12"/>
        <v>1791895</v>
      </c>
      <c r="Q70" s="53"/>
      <c r="AE70" s="109">
        <f>L70</f>
        <v>1791895</v>
      </c>
    </row>
    <row r="71" spans="1:31" ht="23.1" customHeight="1" x14ac:dyDescent="0.15">
      <c r="A71" s="86" t="s">
        <v>689</v>
      </c>
      <c r="B71" s="86" t="s">
        <v>735</v>
      </c>
      <c r="C71" s="86" t="s">
        <v>690</v>
      </c>
      <c r="D71" s="53" t="s">
        <v>691</v>
      </c>
      <c r="E71" s="53" t="s">
        <v>692</v>
      </c>
      <c r="F71" s="100" t="s">
        <v>112</v>
      </c>
      <c r="G71" s="101">
        <v>1</v>
      </c>
      <c r="H71" s="106">
        <f>IF(TRUNC((AD72+AC72)/$AE$3)*$AE$3-AD72 &lt;0, AC72, TRUNC((AD72+AC72)/$AE$3)*$AE$3-AD72)</f>
        <v>53756</v>
      </c>
      <c r="I71" s="106">
        <f>H71</f>
        <v>53756</v>
      </c>
      <c r="J71" s="106">
        <v>1</v>
      </c>
      <c r="K71" s="106"/>
      <c r="L71" s="106">
        <f t="shared" si="10"/>
        <v>0</v>
      </c>
      <c r="M71" s="106"/>
      <c r="N71" s="106">
        <f t="shared" si="11"/>
        <v>0</v>
      </c>
      <c r="O71" s="106"/>
      <c r="P71" s="106">
        <f t="shared" si="12"/>
        <v>53756</v>
      </c>
      <c r="Q71" s="53"/>
    </row>
    <row r="72" spans="1:31" ht="23.1" customHeight="1" x14ac:dyDescent="0.15">
      <c r="D72" s="53"/>
      <c r="E72" s="53"/>
      <c r="F72" s="100"/>
      <c r="G72" s="101"/>
      <c r="H72" s="106"/>
      <c r="I72" s="106">
        <f t="shared" ref="I72:I80" si="13">TRUNC(G72*H72)</f>
        <v>0</v>
      </c>
      <c r="J72" s="106"/>
      <c r="K72" s="106"/>
      <c r="L72" s="106">
        <f t="shared" si="10"/>
        <v>0</v>
      </c>
      <c r="M72" s="106"/>
      <c r="N72" s="106">
        <f t="shared" si="11"/>
        <v>0</v>
      </c>
      <c r="O72" s="106"/>
      <c r="P72" s="106">
        <f t="shared" si="12"/>
        <v>0</v>
      </c>
      <c r="Q72" s="53"/>
      <c r="AC72" s="109">
        <f>TRUNC(AE72*옵션!$B$36/100)</f>
        <v>53756</v>
      </c>
      <c r="AD72" s="109">
        <f>TRUNC(SUM(L56:L70))</f>
        <v>2045009</v>
      </c>
      <c r="AE72" s="109">
        <f>TRUNC(SUM(AE56:AE71))</f>
        <v>1791895</v>
      </c>
    </row>
    <row r="73" spans="1:31" ht="23.1" customHeight="1" x14ac:dyDescent="0.15">
      <c r="D73" s="53"/>
      <c r="E73" s="53"/>
      <c r="F73" s="100"/>
      <c r="G73" s="101"/>
      <c r="H73" s="106"/>
      <c r="I73" s="106">
        <f t="shared" si="13"/>
        <v>0</v>
      </c>
      <c r="J73" s="106"/>
      <c r="K73" s="106"/>
      <c r="L73" s="106">
        <f t="shared" si="10"/>
        <v>0</v>
      </c>
      <c r="M73" s="106"/>
      <c r="N73" s="106">
        <f t="shared" si="11"/>
        <v>0</v>
      </c>
      <c r="O73" s="106"/>
      <c r="P73" s="106">
        <f t="shared" si="12"/>
        <v>0</v>
      </c>
      <c r="Q73" s="53"/>
    </row>
    <row r="74" spans="1:31" ht="23.1" customHeight="1" x14ac:dyDescent="0.15">
      <c r="D74" s="53"/>
      <c r="E74" s="53"/>
      <c r="F74" s="100"/>
      <c r="G74" s="101"/>
      <c r="H74" s="106"/>
      <c r="I74" s="106">
        <f t="shared" si="13"/>
        <v>0</v>
      </c>
      <c r="J74" s="106"/>
      <c r="K74" s="106"/>
      <c r="L74" s="106">
        <f t="shared" si="10"/>
        <v>0</v>
      </c>
      <c r="M74" s="106"/>
      <c r="N74" s="106">
        <f t="shared" si="11"/>
        <v>0</v>
      </c>
      <c r="O74" s="106"/>
      <c r="P74" s="106">
        <f t="shared" si="12"/>
        <v>0</v>
      </c>
      <c r="Q74" s="53"/>
    </row>
    <row r="75" spans="1:31" ht="23.1" customHeight="1" x14ac:dyDescent="0.15">
      <c r="D75" s="53"/>
      <c r="E75" s="53"/>
      <c r="F75" s="100"/>
      <c r="G75" s="101"/>
      <c r="H75" s="106"/>
      <c r="I75" s="106">
        <f t="shared" si="13"/>
        <v>0</v>
      </c>
      <c r="J75" s="106"/>
      <c r="K75" s="106"/>
      <c r="L75" s="106">
        <f t="shared" si="10"/>
        <v>0</v>
      </c>
      <c r="M75" s="106"/>
      <c r="N75" s="106">
        <f t="shared" si="11"/>
        <v>0</v>
      </c>
      <c r="O75" s="106"/>
      <c r="P75" s="106">
        <f t="shared" si="12"/>
        <v>0</v>
      </c>
      <c r="Q75" s="53"/>
    </row>
    <row r="76" spans="1:31" ht="23.1" customHeight="1" x14ac:dyDescent="0.15">
      <c r="D76" s="53"/>
      <c r="E76" s="53"/>
      <c r="F76" s="100"/>
      <c r="G76" s="101"/>
      <c r="H76" s="106"/>
      <c r="I76" s="106">
        <f t="shared" si="13"/>
        <v>0</v>
      </c>
      <c r="J76" s="106"/>
      <c r="K76" s="106"/>
      <c r="L76" s="106">
        <f t="shared" si="10"/>
        <v>0</v>
      </c>
      <c r="M76" s="106"/>
      <c r="N76" s="106">
        <f t="shared" si="11"/>
        <v>0</v>
      </c>
      <c r="O76" s="106"/>
      <c r="P76" s="106">
        <f t="shared" si="12"/>
        <v>0</v>
      </c>
      <c r="Q76" s="53"/>
    </row>
    <row r="77" spans="1:31" ht="23.1" customHeight="1" x14ac:dyDescent="0.15">
      <c r="D77" s="53"/>
      <c r="E77" s="53"/>
      <c r="F77" s="100"/>
      <c r="G77" s="101"/>
      <c r="H77" s="106"/>
      <c r="I77" s="106">
        <f t="shared" si="13"/>
        <v>0</v>
      </c>
      <c r="J77" s="106"/>
      <c r="K77" s="106"/>
      <c r="L77" s="106">
        <f t="shared" si="10"/>
        <v>0</v>
      </c>
      <c r="M77" s="106"/>
      <c r="N77" s="106">
        <f t="shared" si="11"/>
        <v>0</v>
      </c>
      <c r="O77" s="106"/>
      <c r="P77" s="106">
        <f t="shared" si="12"/>
        <v>0</v>
      </c>
      <c r="Q77" s="53"/>
    </row>
    <row r="78" spans="1:31" ht="23.1" customHeight="1" x14ac:dyDescent="0.15">
      <c r="D78" s="53"/>
      <c r="E78" s="53"/>
      <c r="F78" s="100"/>
      <c r="G78" s="101"/>
      <c r="H78" s="106"/>
      <c r="I78" s="106">
        <f t="shared" si="13"/>
        <v>0</v>
      </c>
      <c r="J78" s="106"/>
      <c r="K78" s="106"/>
      <c r="L78" s="106">
        <f t="shared" si="10"/>
        <v>0</v>
      </c>
      <c r="M78" s="106"/>
      <c r="N78" s="106">
        <f t="shared" si="11"/>
        <v>0</v>
      </c>
      <c r="O78" s="106"/>
      <c r="P78" s="106">
        <f t="shared" si="12"/>
        <v>0</v>
      </c>
      <c r="Q78" s="53"/>
    </row>
    <row r="79" spans="1:31" ht="23.1" customHeight="1" x14ac:dyDescent="0.15">
      <c r="D79" s="53"/>
      <c r="E79" s="53"/>
      <c r="F79" s="100"/>
      <c r="G79" s="101"/>
      <c r="H79" s="106"/>
      <c r="I79" s="106">
        <f t="shared" si="13"/>
        <v>0</v>
      </c>
      <c r="J79" s="106"/>
      <c r="K79" s="106"/>
      <c r="L79" s="106">
        <f t="shared" si="10"/>
        <v>0</v>
      </c>
      <c r="M79" s="106"/>
      <c r="N79" s="106">
        <f t="shared" si="11"/>
        <v>0</v>
      </c>
      <c r="O79" s="106"/>
      <c r="P79" s="106">
        <f t="shared" si="12"/>
        <v>0</v>
      </c>
      <c r="Q79" s="53"/>
    </row>
    <row r="80" spans="1:31" ht="23.1" customHeight="1" x14ac:dyDescent="0.15">
      <c r="D80" s="53"/>
      <c r="E80" s="53"/>
      <c r="F80" s="100"/>
      <c r="G80" s="101"/>
      <c r="H80" s="106"/>
      <c r="I80" s="106">
        <f t="shared" si="13"/>
        <v>0</v>
      </c>
      <c r="J80" s="106"/>
      <c r="K80" s="106"/>
      <c r="L80" s="106">
        <f t="shared" si="10"/>
        <v>0</v>
      </c>
      <c r="M80" s="106"/>
      <c r="N80" s="106">
        <f t="shared" si="11"/>
        <v>0</v>
      </c>
      <c r="O80" s="106"/>
      <c r="P80" s="106">
        <f t="shared" si="12"/>
        <v>0</v>
      </c>
      <c r="Q80" s="53"/>
    </row>
    <row r="81" spans="2:17" ht="23.1" customHeight="1" x14ac:dyDescent="0.15">
      <c r="B81" s="86" t="s">
        <v>676</v>
      </c>
      <c r="D81" s="53" t="s">
        <v>677</v>
      </c>
      <c r="E81" s="53"/>
      <c r="F81" s="100"/>
      <c r="G81" s="101"/>
      <c r="H81" s="106"/>
      <c r="I81" s="106">
        <f>TRUNC(SUM(I56:I80))</f>
        <v>199365</v>
      </c>
      <c r="J81" s="106"/>
      <c r="K81" s="106"/>
      <c r="L81" s="106">
        <f>TRUNC(SUM(L56:L80))</f>
        <v>2045009</v>
      </c>
      <c r="M81" s="106"/>
      <c r="N81" s="106">
        <f>TRUNC(SUM(N56:N80))</f>
        <v>0</v>
      </c>
      <c r="O81" s="106"/>
      <c r="P81" s="106">
        <f>TRUNC(SUM(P56:P80))</f>
        <v>2244374</v>
      </c>
      <c r="Q81" s="53"/>
    </row>
  </sheetData>
  <mergeCells count="16">
    <mergeCell ref="D1:Q1"/>
    <mergeCell ref="D4:Q4"/>
    <mergeCell ref="D56:Q56"/>
    <mergeCell ref="W1:Y1"/>
    <mergeCell ref="F2:F3"/>
    <mergeCell ref="G2:G3"/>
    <mergeCell ref="H2:I2"/>
    <mergeCell ref="J2:L2"/>
    <mergeCell ref="M2:N2"/>
    <mergeCell ref="P2:P3"/>
    <mergeCell ref="Q2:Q3"/>
    <mergeCell ref="A2:A3"/>
    <mergeCell ref="B2:B3"/>
    <mergeCell ref="C2:C3"/>
    <mergeCell ref="D2:D3"/>
    <mergeCell ref="E2:E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M19"/>
  <sheetViews>
    <sheetView zoomScaleNormal="100" zoomScaleSheetLayoutView="85" workbookViewId="0">
      <selection activeCell="E17" sqref="E17"/>
    </sheetView>
  </sheetViews>
  <sheetFormatPr defaultRowHeight="13.5" x14ac:dyDescent="0.1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 x14ac:dyDescent="0.15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 x14ac:dyDescent="0.15">
      <c r="B3" s="128" t="str">
        <f>표지!B3</f>
        <v>양지리 농어촌취약지역 생활여건 개조사업 통신공사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 x14ac:dyDescent="0.15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 x14ac:dyDescent="0.15">
      <c r="B5" s="132"/>
      <c r="C5" s="129"/>
      <c r="D5" s="129"/>
      <c r="E5" s="268" t="s">
        <v>886</v>
      </c>
      <c r="F5" s="268"/>
      <c r="G5" s="268"/>
      <c r="H5" s="268"/>
      <c r="I5" s="268"/>
      <c r="J5" s="268"/>
      <c r="K5" s="129"/>
      <c r="L5" s="129"/>
      <c r="M5" s="129"/>
    </row>
    <row r="6" spans="2:13" s="130" customFormat="1" ht="24" customHeight="1" x14ac:dyDescent="0.15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 x14ac:dyDescent="0.15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 x14ac:dyDescent="0.15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 x14ac:dyDescent="0.15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 x14ac:dyDescent="0.15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 x14ac:dyDescent="0.15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 x14ac:dyDescent="0.15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 x14ac:dyDescent="0.15">
      <c r="B13" s="131"/>
      <c r="C13" s="131"/>
      <c r="D13" s="131"/>
      <c r="E13" s="131"/>
      <c r="F13" s="131"/>
      <c r="G13" s="131"/>
      <c r="H13" s="131" t="s">
        <v>758</v>
      </c>
      <c r="I13" s="131"/>
      <c r="J13" s="131"/>
      <c r="K13" s="131"/>
      <c r="L13" s="131"/>
      <c r="M13" s="131"/>
    </row>
    <row r="14" spans="2:13" s="130" customFormat="1" ht="24" customHeight="1" x14ac:dyDescent="0.15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 x14ac:dyDescent="0.15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 x14ac:dyDescent="0.15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 x14ac:dyDescent="0.15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 x14ac:dyDescent="0.15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 x14ac:dyDescent="0.15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1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29"/>
  <sheetViews>
    <sheetView workbookViewId="0">
      <pane xSplit="2" ySplit="3" topLeftCell="C7" activePane="bottomRight" state="frozen"/>
      <selection activeCell="J20" sqref="J20"/>
      <selection pane="topRight" activeCell="J20" sqref="J20"/>
      <selection pane="bottomLeft" activeCell="J20" sqref="J20"/>
      <selection pane="bottomRight" activeCell="F10" sqref="F10:F11"/>
    </sheetView>
  </sheetViews>
  <sheetFormatPr defaultRowHeight="23.1" customHeight="1" x14ac:dyDescent="0.15"/>
  <cols>
    <col min="1" max="1" width="9.109375" style="86" hidden="1" customWidth="1"/>
    <col min="2" max="2" width="9.88671875" style="86" hidden="1" customWidth="1"/>
    <col min="3" max="3" width="12.77734375" style="124" customWidth="1"/>
    <col min="4" max="4" width="23.109375" style="124" customWidth="1"/>
    <col min="5" max="5" width="23.77734375" style="124" customWidth="1"/>
    <col min="6" max="6" width="4.6640625" style="123" customWidth="1"/>
    <col min="7" max="7" width="6.44140625" style="123" hidden="1" customWidth="1"/>
    <col min="8" max="9" width="11.21875" style="125" customWidth="1"/>
    <col min="10" max="10" width="5" style="125" hidden="1" customWidth="1"/>
    <col min="11" max="13" width="11.21875" style="125" customWidth="1"/>
    <col min="14" max="14" width="11.109375" style="125" customWidth="1"/>
    <col min="15" max="15" width="7" style="125" hidden="1" customWidth="1"/>
    <col min="16" max="16" width="11.21875" style="125" customWidth="1"/>
    <col min="17" max="17" width="12.21875" style="123" customWidth="1"/>
    <col min="18" max="16384" width="8.88671875" style="123"/>
  </cols>
  <sheetData>
    <row r="1" spans="1:17" s="70" customFormat="1" ht="23.1" customHeight="1" x14ac:dyDescent="0.15">
      <c r="A1" s="86" t="s">
        <v>125</v>
      </c>
      <c r="B1" s="86" t="s">
        <v>673</v>
      </c>
      <c r="C1" s="394" t="s">
        <v>750</v>
      </c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</row>
    <row r="2" spans="1:17" s="112" customFormat="1" ht="23.1" customHeight="1" x14ac:dyDescent="0.15">
      <c r="A2" s="391" t="s">
        <v>1</v>
      </c>
      <c r="B2" s="391" t="s">
        <v>0</v>
      </c>
      <c r="C2" s="392" t="s">
        <v>18</v>
      </c>
      <c r="D2" s="392" t="s">
        <v>48</v>
      </c>
      <c r="E2" s="392" t="s">
        <v>49</v>
      </c>
      <c r="F2" s="399" t="s">
        <v>5</v>
      </c>
      <c r="G2" s="403" t="s">
        <v>9</v>
      </c>
      <c r="H2" s="401" t="s">
        <v>41</v>
      </c>
      <c r="I2" s="401"/>
      <c r="J2" s="401" t="s">
        <v>42</v>
      </c>
      <c r="K2" s="401"/>
      <c r="L2" s="401"/>
      <c r="M2" s="401" t="s">
        <v>43</v>
      </c>
      <c r="N2" s="401"/>
      <c r="O2" s="117" t="s">
        <v>12</v>
      </c>
      <c r="P2" s="401" t="s">
        <v>12</v>
      </c>
      <c r="Q2" s="392" t="s">
        <v>44</v>
      </c>
    </row>
    <row r="3" spans="1:17" s="112" customFormat="1" ht="23.1" customHeight="1" x14ac:dyDescent="0.15">
      <c r="A3" s="391"/>
      <c r="B3" s="391"/>
      <c r="C3" s="393"/>
      <c r="D3" s="393"/>
      <c r="E3" s="393"/>
      <c r="F3" s="400"/>
      <c r="G3" s="404"/>
      <c r="H3" s="118" t="s">
        <v>45</v>
      </c>
      <c r="I3" s="118" t="s">
        <v>36</v>
      </c>
      <c r="J3" s="118" t="s">
        <v>9</v>
      </c>
      <c r="K3" s="118" t="s">
        <v>45</v>
      </c>
      <c r="L3" s="118" t="s">
        <v>36</v>
      </c>
      <c r="M3" s="118" t="s">
        <v>45</v>
      </c>
      <c r="N3" s="118" t="s">
        <v>36</v>
      </c>
      <c r="O3" s="118" t="s">
        <v>45</v>
      </c>
      <c r="P3" s="402"/>
      <c r="Q3" s="393"/>
    </row>
    <row r="4" spans="1:17" s="70" customFormat="1" ht="23.1" customHeight="1" x14ac:dyDescent="0.15">
      <c r="A4" s="86" t="s">
        <v>643</v>
      </c>
      <c r="B4" s="86" t="s">
        <v>644</v>
      </c>
      <c r="C4" s="75" t="s">
        <v>645</v>
      </c>
      <c r="D4" s="53" t="s">
        <v>646</v>
      </c>
      <c r="E4" s="53" t="s">
        <v>647</v>
      </c>
      <c r="F4" s="100" t="s">
        <v>648</v>
      </c>
      <c r="G4" s="119"/>
      <c r="H4" s="106">
        <f>일위대가!I6</f>
        <v>0</v>
      </c>
      <c r="I4" s="106">
        <f t="shared" ref="I4:I14" si="0">H4</f>
        <v>0</v>
      </c>
      <c r="J4" s="106"/>
      <c r="K4" s="106">
        <f>일위대가!L6</f>
        <v>34413</v>
      </c>
      <c r="L4" s="106">
        <f t="shared" ref="L4:L14" si="1">K4</f>
        <v>34413</v>
      </c>
      <c r="M4" s="106">
        <f>일위대가!N6</f>
        <v>0</v>
      </c>
      <c r="N4" s="106">
        <f t="shared" ref="N4:N14" si="2">M4</f>
        <v>0</v>
      </c>
      <c r="O4" s="106"/>
      <c r="P4" s="106">
        <f t="shared" ref="P4:P14" si="3">I4+L4+N4</f>
        <v>34413</v>
      </c>
      <c r="Q4" s="53" t="s">
        <v>649</v>
      </c>
    </row>
    <row r="5" spans="1:17" s="70" customFormat="1" ht="23.1" customHeight="1" x14ac:dyDescent="0.15">
      <c r="A5" s="86" t="s">
        <v>650</v>
      </c>
      <c r="B5" s="86" t="s">
        <v>651</v>
      </c>
      <c r="C5" s="75" t="s">
        <v>652</v>
      </c>
      <c r="D5" s="53" t="s">
        <v>653</v>
      </c>
      <c r="E5" s="53" t="s">
        <v>647</v>
      </c>
      <c r="F5" s="100" t="s">
        <v>648</v>
      </c>
      <c r="G5" s="119"/>
      <c r="H5" s="106">
        <f>일위대가!I10</f>
        <v>0</v>
      </c>
      <c r="I5" s="106">
        <f t="shared" si="0"/>
        <v>0</v>
      </c>
      <c r="J5" s="106"/>
      <c r="K5" s="106">
        <f>일위대가!L10</f>
        <v>17206</v>
      </c>
      <c r="L5" s="106">
        <f t="shared" si="1"/>
        <v>17206</v>
      </c>
      <c r="M5" s="106">
        <f>일위대가!N10</f>
        <v>0</v>
      </c>
      <c r="N5" s="106">
        <f t="shared" si="2"/>
        <v>0</v>
      </c>
      <c r="O5" s="106"/>
      <c r="P5" s="106">
        <f t="shared" si="3"/>
        <v>17206</v>
      </c>
      <c r="Q5" s="53" t="s">
        <v>649</v>
      </c>
    </row>
    <row r="6" spans="1:17" ht="23.1" customHeight="1" x14ac:dyDescent="0.15">
      <c r="A6" s="86" t="s">
        <v>242</v>
      </c>
      <c r="B6" s="86" t="s">
        <v>654</v>
      </c>
      <c r="C6" s="120" t="s">
        <v>655</v>
      </c>
      <c r="D6" s="120" t="s">
        <v>243</v>
      </c>
      <c r="E6" s="120" t="s">
        <v>244</v>
      </c>
      <c r="F6" s="121" t="s">
        <v>245</v>
      </c>
      <c r="G6" s="121"/>
      <c r="H6" s="122">
        <f>일위대가!I15</f>
        <v>397</v>
      </c>
      <c r="I6" s="122">
        <f t="shared" si="0"/>
        <v>397</v>
      </c>
      <c r="J6" s="122"/>
      <c r="K6" s="122">
        <f>일위대가!L15</f>
        <v>4659</v>
      </c>
      <c r="L6" s="122">
        <f t="shared" si="1"/>
        <v>4659</v>
      </c>
      <c r="M6" s="122">
        <f>일위대가!N15</f>
        <v>483</v>
      </c>
      <c r="N6" s="122">
        <f t="shared" si="2"/>
        <v>483</v>
      </c>
      <c r="O6" s="122"/>
      <c r="P6" s="122">
        <f t="shared" si="3"/>
        <v>5539</v>
      </c>
      <c r="Q6" s="121" t="s">
        <v>649</v>
      </c>
    </row>
    <row r="7" spans="1:17" ht="23.1" customHeight="1" x14ac:dyDescent="0.15">
      <c r="A7" s="86" t="s">
        <v>248</v>
      </c>
      <c r="B7" s="86" t="s">
        <v>656</v>
      </c>
      <c r="C7" s="120" t="s">
        <v>657</v>
      </c>
      <c r="D7" s="120" t="s">
        <v>249</v>
      </c>
      <c r="E7" s="120" t="s">
        <v>244</v>
      </c>
      <c r="F7" s="121" t="s">
        <v>245</v>
      </c>
      <c r="G7" s="121"/>
      <c r="H7" s="122">
        <f>일위대가!I20</f>
        <v>397</v>
      </c>
      <c r="I7" s="122">
        <f t="shared" si="0"/>
        <v>397</v>
      </c>
      <c r="J7" s="122"/>
      <c r="K7" s="122">
        <f>일위대가!L20</f>
        <v>2939</v>
      </c>
      <c r="L7" s="122">
        <f t="shared" si="1"/>
        <v>2939</v>
      </c>
      <c r="M7" s="122">
        <f>일위대가!N20</f>
        <v>483</v>
      </c>
      <c r="N7" s="122">
        <f t="shared" si="2"/>
        <v>483</v>
      </c>
      <c r="O7" s="122"/>
      <c r="P7" s="122">
        <f t="shared" si="3"/>
        <v>3819</v>
      </c>
      <c r="Q7" s="121" t="s">
        <v>649</v>
      </c>
    </row>
    <row r="8" spans="1:17" ht="23.1" customHeight="1" x14ac:dyDescent="0.15">
      <c r="A8" s="86" t="s">
        <v>235</v>
      </c>
      <c r="B8" s="86" t="s">
        <v>658</v>
      </c>
      <c r="C8" s="120" t="s">
        <v>659</v>
      </c>
      <c r="D8" s="120" t="s">
        <v>236</v>
      </c>
      <c r="E8" s="120" t="s">
        <v>237</v>
      </c>
      <c r="F8" s="121" t="s">
        <v>193</v>
      </c>
      <c r="G8" s="121"/>
      <c r="H8" s="122">
        <f>일위대가!I28</f>
        <v>21776</v>
      </c>
      <c r="I8" s="122">
        <f t="shared" si="0"/>
        <v>21776</v>
      </c>
      <c r="J8" s="122"/>
      <c r="K8" s="122">
        <f>일위대가!L28</f>
        <v>223599</v>
      </c>
      <c r="L8" s="122">
        <f t="shared" si="1"/>
        <v>223599</v>
      </c>
      <c r="M8" s="122">
        <f>일위대가!N28</f>
        <v>0</v>
      </c>
      <c r="N8" s="122">
        <f t="shared" si="2"/>
        <v>0</v>
      </c>
      <c r="O8" s="122"/>
      <c r="P8" s="122">
        <f t="shared" si="3"/>
        <v>245375</v>
      </c>
      <c r="Q8" s="121" t="s">
        <v>649</v>
      </c>
    </row>
    <row r="9" spans="1:17" ht="23.1" customHeight="1" x14ac:dyDescent="0.15">
      <c r="A9" s="86" t="s">
        <v>214</v>
      </c>
      <c r="B9" s="86" t="s">
        <v>660</v>
      </c>
      <c r="C9" s="120" t="s">
        <v>661</v>
      </c>
      <c r="D9" s="120" t="s">
        <v>215</v>
      </c>
      <c r="E9" s="120" t="s">
        <v>216</v>
      </c>
      <c r="F9" s="121" t="s">
        <v>112</v>
      </c>
      <c r="G9" s="121"/>
      <c r="H9" s="122">
        <f>일위대가!I41</f>
        <v>399168</v>
      </c>
      <c r="I9" s="122">
        <f t="shared" si="0"/>
        <v>399168</v>
      </c>
      <c r="J9" s="122"/>
      <c r="K9" s="122">
        <f>일위대가!L41</f>
        <v>334814</v>
      </c>
      <c r="L9" s="122">
        <f t="shared" si="1"/>
        <v>334814</v>
      </c>
      <c r="M9" s="122">
        <f>일위대가!N41</f>
        <v>23820</v>
      </c>
      <c r="N9" s="122">
        <f t="shared" si="2"/>
        <v>23820</v>
      </c>
      <c r="O9" s="122"/>
      <c r="P9" s="122">
        <f t="shared" si="3"/>
        <v>757802</v>
      </c>
      <c r="Q9" s="121" t="s">
        <v>649</v>
      </c>
    </row>
    <row r="10" spans="1:17" ht="23.1" customHeight="1" x14ac:dyDescent="0.15">
      <c r="A10" s="86" t="s">
        <v>190</v>
      </c>
      <c r="B10" s="86" t="s">
        <v>662</v>
      </c>
      <c r="C10" s="120" t="s">
        <v>663</v>
      </c>
      <c r="D10" s="120" t="s">
        <v>191</v>
      </c>
      <c r="E10" s="120" t="s">
        <v>192</v>
      </c>
      <c r="F10" s="121" t="s">
        <v>193</v>
      </c>
      <c r="G10" s="121"/>
      <c r="H10" s="122">
        <f>일위대가!I51</f>
        <v>2178</v>
      </c>
      <c r="I10" s="122">
        <f t="shared" si="0"/>
        <v>2178</v>
      </c>
      <c r="J10" s="122"/>
      <c r="K10" s="122">
        <f>일위대가!L51</f>
        <v>17092</v>
      </c>
      <c r="L10" s="122">
        <f t="shared" si="1"/>
        <v>17092</v>
      </c>
      <c r="M10" s="122">
        <f>일위대가!N51</f>
        <v>0</v>
      </c>
      <c r="N10" s="122">
        <f t="shared" si="2"/>
        <v>0</v>
      </c>
      <c r="O10" s="122"/>
      <c r="P10" s="122">
        <f t="shared" si="3"/>
        <v>19270</v>
      </c>
      <c r="Q10" s="121" t="s">
        <v>649</v>
      </c>
    </row>
    <row r="11" spans="1:17" ht="23.1" customHeight="1" x14ac:dyDescent="0.15">
      <c r="A11" s="86" t="s">
        <v>664</v>
      </c>
      <c r="B11" s="86" t="s">
        <v>665</v>
      </c>
      <c r="C11" s="120" t="s">
        <v>666</v>
      </c>
      <c r="D11" s="120" t="s">
        <v>254</v>
      </c>
      <c r="E11" s="120"/>
      <c r="F11" s="121" t="s">
        <v>255</v>
      </c>
      <c r="G11" s="121"/>
      <c r="H11" s="122">
        <f>일위대가!I77</f>
        <v>1269526</v>
      </c>
      <c r="I11" s="122">
        <f t="shared" si="0"/>
        <v>1269526</v>
      </c>
      <c r="J11" s="122"/>
      <c r="K11" s="122">
        <f>일위대가!L77</f>
        <v>1000888</v>
      </c>
      <c r="L11" s="122">
        <f t="shared" si="1"/>
        <v>1000888</v>
      </c>
      <c r="M11" s="122">
        <f>일위대가!N77</f>
        <v>0</v>
      </c>
      <c r="N11" s="122">
        <f t="shared" si="2"/>
        <v>0</v>
      </c>
      <c r="O11" s="122"/>
      <c r="P11" s="122">
        <f t="shared" si="3"/>
        <v>2270414</v>
      </c>
      <c r="Q11" s="121" t="s">
        <v>649</v>
      </c>
    </row>
    <row r="12" spans="1:17" ht="23.1" customHeight="1" x14ac:dyDescent="0.15">
      <c r="A12" s="86" t="s">
        <v>266</v>
      </c>
      <c r="B12" s="86" t="s">
        <v>667</v>
      </c>
      <c r="C12" s="120" t="s">
        <v>668</v>
      </c>
      <c r="D12" s="120" t="s">
        <v>267</v>
      </c>
      <c r="E12" s="120" t="s">
        <v>268</v>
      </c>
      <c r="F12" s="121" t="s">
        <v>438</v>
      </c>
      <c r="G12" s="121"/>
      <c r="H12" s="122">
        <f>일위대가!I84</f>
        <v>800</v>
      </c>
      <c r="I12" s="122">
        <f t="shared" si="0"/>
        <v>800</v>
      </c>
      <c r="J12" s="122"/>
      <c r="K12" s="122">
        <f>일위대가!L84</f>
        <v>5889</v>
      </c>
      <c r="L12" s="122">
        <f t="shared" si="1"/>
        <v>5889</v>
      </c>
      <c r="M12" s="122">
        <f>일위대가!N84</f>
        <v>0</v>
      </c>
      <c r="N12" s="122">
        <f t="shared" si="2"/>
        <v>0</v>
      </c>
      <c r="O12" s="122"/>
      <c r="P12" s="122">
        <f t="shared" si="3"/>
        <v>6689</v>
      </c>
      <c r="Q12" s="121" t="s">
        <v>649</v>
      </c>
    </row>
    <row r="13" spans="1:17" ht="23.1" customHeight="1" x14ac:dyDescent="0.15">
      <c r="A13" s="86" t="s">
        <v>274</v>
      </c>
      <c r="B13" s="86" t="s">
        <v>669</v>
      </c>
      <c r="C13" s="120" t="s">
        <v>670</v>
      </c>
      <c r="D13" s="120" t="s">
        <v>267</v>
      </c>
      <c r="E13" s="120" t="s">
        <v>275</v>
      </c>
      <c r="F13" s="121" t="s">
        <v>438</v>
      </c>
      <c r="G13" s="121"/>
      <c r="H13" s="122">
        <f>일위대가!I91</f>
        <v>790</v>
      </c>
      <c r="I13" s="122">
        <f t="shared" si="0"/>
        <v>790</v>
      </c>
      <c r="J13" s="122"/>
      <c r="K13" s="122">
        <f>일위대가!L91</f>
        <v>5561</v>
      </c>
      <c r="L13" s="122">
        <f t="shared" si="1"/>
        <v>5561</v>
      </c>
      <c r="M13" s="122">
        <f>일위대가!N91</f>
        <v>0</v>
      </c>
      <c r="N13" s="122">
        <f t="shared" si="2"/>
        <v>0</v>
      </c>
      <c r="O13" s="122"/>
      <c r="P13" s="122">
        <f t="shared" si="3"/>
        <v>6351</v>
      </c>
      <c r="Q13" s="121" t="s">
        <v>649</v>
      </c>
    </row>
    <row r="14" spans="1:17" ht="23.1" customHeight="1" x14ac:dyDescent="0.15">
      <c r="A14" s="86" t="s">
        <v>327</v>
      </c>
      <c r="B14" s="86" t="s">
        <v>671</v>
      </c>
      <c r="C14" s="120" t="s">
        <v>672</v>
      </c>
      <c r="D14" s="120" t="s">
        <v>328</v>
      </c>
      <c r="E14" s="120" t="s">
        <v>329</v>
      </c>
      <c r="F14" s="121" t="s">
        <v>438</v>
      </c>
      <c r="G14" s="121"/>
      <c r="H14" s="122">
        <f>일위대가!I98</f>
        <v>764</v>
      </c>
      <c r="I14" s="122">
        <f t="shared" si="0"/>
        <v>764</v>
      </c>
      <c r="J14" s="122"/>
      <c r="K14" s="122">
        <f>일위대가!L98</f>
        <v>7415</v>
      </c>
      <c r="L14" s="122">
        <f t="shared" si="1"/>
        <v>7415</v>
      </c>
      <c r="M14" s="122">
        <f>일위대가!N98</f>
        <v>0</v>
      </c>
      <c r="N14" s="122">
        <f t="shared" si="2"/>
        <v>0</v>
      </c>
      <c r="O14" s="122"/>
      <c r="P14" s="122">
        <f t="shared" si="3"/>
        <v>8179</v>
      </c>
      <c r="Q14" s="121" t="s">
        <v>649</v>
      </c>
    </row>
    <row r="15" spans="1:17" ht="23.1" customHeight="1" x14ac:dyDescent="0.15">
      <c r="C15" s="120"/>
      <c r="D15" s="120"/>
      <c r="E15" s="120"/>
      <c r="F15" s="121"/>
      <c r="G15" s="121"/>
      <c r="H15" s="122"/>
      <c r="I15" s="122"/>
      <c r="J15" s="122"/>
      <c r="K15" s="122"/>
      <c r="L15" s="122"/>
      <c r="M15" s="122"/>
      <c r="N15" s="122"/>
      <c r="O15" s="122"/>
      <c r="P15" s="122"/>
      <c r="Q15" s="121"/>
    </row>
    <row r="16" spans="1:17" ht="23.1" customHeight="1" x14ac:dyDescent="0.15">
      <c r="C16" s="120"/>
      <c r="D16" s="120"/>
      <c r="E16" s="120"/>
      <c r="F16" s="121"/>
      <c r="G16" s="121"/>
      <c r="H16" s="122"/>
      <c r="I16" s="122"/>
      <c r="J16" s="122"/>
      <c r="K16" s="122"/>
      <c r="L16" s="122"/>
      <c r="M16" s="122"/>
      <c r="N16" s="122"/>
      <c r="O16" s="122"/>
      <c r="P16" s="122"/>
      <c r="Q16" s="121"/>
    </row>
    <row r="17" spans="3:17" ht="23.1" customHeight="1" x14ac:dyDescent="0.15">
      <c r="C17" s="120"/>
      <c r="D17" s="120"/>
      <c r="E17" s="120"/>
      <c r="F17" s="121"/>
      <c r="G17" s="121"/>
      <c r="H17" s="122"/>
      <c r="I17" s="122"/>
      <c r="J17" s="122"/>
      <c r="K17" s="122"/>
      <c r="L17" s="122"/>
      <c r="M17" s="122"/>
      <c r="N17" s="122"/>
      <c r="O17" s="122"/>
      <c r="P17" s="122"/>
      <c r="Q17" s="121"/>
    </row>
    <row r="18" spans="3:17" ht="23.1" customHeight="1" x14ac:dyDescent="0.15">
      <c r="C18" s="120"/>
      <c r="D18" s="120"/>
      <c r="E18" s="120"/>
      <c r="F18" s="121"/>
      <c r="G18" s="121"/>
      <c r="H18" s="122"/>
      <c r="I18" s="122"/>
      <c r="J18" s="122"/>
      <c r="K18" s="122"/>
      <c r="L18" s="122"/>
      <c r="M18" s="122"/>
      <c r="N18" s="122"/>
      <c r="O18" s="122"/>
      <c r="P18" s="122"/>
      <c r="Q18" s="121"/>
    </row>
    <row r="19" spans="3:17" ht="23.1" customHeight="1" x14ac:dyDescent="0.15">
      <c r="C19" s="120"/>
      <c r="D19" s="120"/>
      <c r="E19" s="120"/>
      <c r="F19" s="121"/>
      <c r="G19" s="121"/>
      <c r="H19" s="122"/>
      <c r="I19" s="122"/>
      <c r="J19" s="122"/>
      <c r="K19" s="122"/>
      <c r="L19" s="122"/>
      <c r="M19" s="122"/>
      <c r="N19" s="122"/>
      <c r="O19" s="122"/>
      <c r="P19" s="122"/>
      <c r="Q19" s="121"/>
    </row>
    <row r="20" spans="3:17" ht="23.1" customHeight="1" x14ac:dyDescent="0.15">
      <c r="C20" s="120"/>
      <c r="D20" s="120"/>
      <c r="E20" s="120"/>
      <c r="F20" s="121"/>
      <c r="G20" s="121"/>
      <c r="H20" s="122"/>
      <c r="I20" s="122"/>
      <c r="J20" s="122"/>
      <c r="K20" s="122"/>
      <c r="L20" s="122"/>
      <c r="M20" s="122"/>
      <c r="N20" s="122"/>
      <c r="O20" s="122"/>
      <c r="P20" s="122"/>
      <c r="Q20" s="121"/>
    </row>
    <row r="21" spans="3:17" ht="23.1" customHeight="1" x14ac:dyDescent="0.15">
      <c r="C21" s="120"/>
      <c r="D21" s="120"/>
      <c r="E21" s="120"/>
      <c r="F21" s="121"/>
      <c r="G21" s="121"/>
      <c r="H21" s="122"/>
      <c r="I21" s="122"/>
      <c r="J21" s="122"/>
      <c r="K21" s="122"/>
      <c r="L21" s="122"/>
      <c r="M21" s="122"/>
      <c r="N21" s="122"/>
      <c r="O21" s="122"/>
      <c r="P21" s="122"/>
      <c r="Q21" s="121"/>
    </row>
    <row r="22" spans="3:17" ht="23.1" customHeight="1" x14ac:dyDescent="0.15">
      <c r="C22" s="120"/>
      <c r="D22" s="120"/>
      <c r="E22" s="120"/>
      <c r="F22" s="121"/>
      <c r="G22" s="121"/>
      <c r="H22" s="122"/>
      <c r="I22" s="122"/>
      <c r="J22" s="122"/>
      <c r="K22" s="122"/>
      <c r="L22" s="122"/>
      <c r="M22" s="122"/>
      <c r="N22" s="122"/>
      <c r="O22" s="122"/>
      <c r="P22" s="122"/>
      <c r="Q22" s="121"/>
    </row>
    <row r="23" spans="3:17" ht="23.1" customHeight="1" x14ac:dyDescent="0.15">
      <c r="C23" s="120"/>
      <c r="D23" s="120"/>
      <c r="E23" s="120"/>
      <c r="F23" s="121"/>
      <c r="G23" s="121"/>
      <c r="H23" s="122"/>
      <c r="I23" s="122"/>
      <c r="J23" s="122"/>
      <c r="K23" s="122"/>
      <c r="L23" s="122"/>
      <c r="M23" s="122"/>
      <c r="N23" s="122"/>
      <c r="O23" s="122"/>
      <c r="P23" s="122"/>
      <c r="Q23" s="121"/>
    </row>
    <row r="24" spans="3:17" ht="23.1" customHeight="1" x14ac:dyDescent="0.15">
      <c r="C24" s="120"/>
      <c r="D24" s="120"/>
      <c r="E24" s="120"/>
      <c r="F24" s="121"/>
      <c r="G24" s="121"/>
      <c r="H24" s="122"/>
      <c r="I24" s="122"/>
      <c r="J24" s="122"/>
      <c r="K24" s="122"/>
      <c r="L24" s="122"/>
      <c r="M24" s="122"/>
      <c r="N24" s="122"/>
      <c r="O24" s="122"/>
      <c r="P24" s="122"/>
      <c r="Q24" s="121"/>
    </row>
    <row r="25" spans="3:17" ht="23.1" customHeight="1" x14ac:dyDescent="0.15">
      <c r="C25" s="120"/>
      <c r="D25" s="120"/>
      <c r="E25" s="120"/>
      <c r="F25" s="121"/>
      <c r="G25" s="121"/>
      <c r="H25" s="122"/>
      <c r="I25" s="122"/>
      <c r="J25" s="122"/>
      <c r="K25" s="122"/>
      <c r="L25" s="122"/>
      <c r="M25" s="122"/>
      <c r="N25" s="122"/>
      <c r="O25" s="122"/>
      <c r="P25" s="122"/>
      <c r="Q25" s="121"/>
    </row>
    <row r="26" spans="3:17" ht="23.1" customHeight="1" x14ac:dyDescent="0.15">
      <c r="C26" s="120"/>
      <c r="D26" s="120"/>
      <c r="E26" s="120"/>
      <c r="F26" s="121"/>
      <c r="G26" s="121"/>
      <c r="H26" s="122"/>
      <c r="I26" s="122"/>
      <c r="J26" s="122"/>
      <c r="K26" s="122"/>
      <c r="L26" s="122"/>
      <c r="M26" s="122"/>
      <c r="N26" s="122"/>
      <c r="O26" s="122"/>
      <c r="P26" s="122"/>
      <c r="Q26" s="121"/>
    </row>
    <row r="27" spans="3:17" ht="23.1" customHeight="1" x14ac:dyDescent="0.15">
      <c r="C27" s="120"/>
      <c r="D27" s="120"/>
      <c r="E27" s="120"/>
      <c r="F27" s="121"/>
      <c r="G27" s="121"/>
      <c r="H27" s="122"/>
      <c r="I27" s="122"/>
      <c r="J27" s="122"/>
      <c r="K27" s="122"/>
      <c r="L27" s="122"/>
      <c r="M27" s="122"/>
      <c r="N27" s="122"/>
      <c r="O27" s="122"/>
      <c r="P27" s="122"/>
      <c r="Q27" s="121"/>
    </row>
    <row r="28" spans="3:17" ht="23.1" customHeight="1" x14ac:dyDescent="0.15">
      <c r="C28" s="120"/>
      <c r="D28" s="120"/>
      <c r="E28" s="120"/>
      <c r="F28" s="121"/>
      <c r="G28" s="121"/>
      <c r="H28" s="122"/>
      <c r="I28" s="122"/>
      <c r="J28" s="122"/>
      <c r="K28" s="122"/>
      <c r="L28" s="122"/>
      <c r="M28" s="122"/>
      <c r="N28" s="122"/>
      <c r="O28" s="122"/>
      <c r="P28" s="122"/>
      <c r="Q28" s="121"/>
    </row>
    <row r="29" spans="3:17" ht="23.1" customHeight="1" x14ac:dyDescent="0.15">
      <c r="C29" s="120"/>
      <c r="D29" s="120"/>
      <c r="E29" s="120"/>
      <c r="F29" s="121"/>
      <c r="G29" s="121"/>
      <c r="H29" s="122"/>
      <c r="I29" s="122"/>
      <c r="J29" s="122"/>
      <c r="K29" s="122"/>
      <c r="L29" s="122"/>
      <c r="M29" s="122"/>
      <c r="N29" s="122"/>
      <c r="O29" s="122"/>
      <c r="P29" s="122"/>
      <c r="Q29" s="121"/>
    </row>
  </sheetData>
  <mergeCells count="13">
    <mergeCell ref="M2:N2"/>
    <mergeCell ref="P2:P3"/>
    <mergeCell ref="Q2:Q3"/>
    <mergeCell ref="C1:Q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107"/>
  <sheetViews>
    <sheetView topLeftCell="D1" workbookViewId="0">
      <pane ySplit="3" topLeftCell="A4" activePane="bottomLeft" state="frozen"/>
      <selection activeCell="J20" sqref="J20"/>
      <selection pane="bottomLeft" activeCell="H7" sqref="H7"/>
    </sheetView>
  </sheetViews>
  <sheetFormatPr defaultRowHeight="23.25" customHeight="1" x14ac:dyDescent="0.15"/>
  <cols>
    <col min="1" max="1" width="11.5546875" style="86" hidden="1" customWidth="1"/>
    <col min="2" max="2" width="10.77734375" style="86" hidden="1" customWidth="1"/>
    <col min="3" max="3" width="11.109375" style="69" hidden="1" customWidth="1"/>
    <col min="4" max="4" width="24.33203125" style="86" customWidth="1"/>
    <col min="5" max="5" width="25.33203125" style="86" customWidth="1"/>
    <col min="6" max="6" width="4.21875" style="73" customWidth="1"/>
    <col min="7" max="7" width="8.33203125" style="70" customWidth="1"/>
    <col min="8" max="8" width="11.88671875" style="70" customWidth="1"/>
    <col min="9" max="9" width="12.44140625" style="70" customWidth="1"/>
    <col min="10" max="10" width="6.6640625" style="70" customWidth="1"/>
    <col min="11" max="12" width="11.44140625" style="70" customWidth="1"/>
    <col min="13" max="13" width="6.33203125" style="70" customWidth="1"/>
    <col min="14" max="14" width="8.5546875" style="70" customWidth="1"/>
    <col min="15" max="15" width="9.109375" style="70" hidden="1" customWidth="1"/>
    <col min="16" max="16" width="11" style="70" customWidth="1"/>
    <col min="17" max="17" width="11.5546875" style="86" customWidth="1"/>
    <col min="18" max="16384" width="8.88671875" style="70"/>
  </cols>
  <sheetData>
    <row r="1" spans="1:31" ht="23.25" customHeight="1" x14ac:dyDescent="0.15">
      <c r="A1" s="113" t="s">
        <v>125</v>
      </c>
      <c r="B1" s="86" t="s">
        <v>729</v>
      </c>
      <c r="D1" s="405" t="s">
        <v>751</v>
      </c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W1" s="398" t="s">
        <v>46</v>
      </c>
      <c r="X1" s="398"/>
      <c r="Y1" s="398"/>
      <c r="Z1" s="73"/>
      <c r="AA1" s="73" t="s">
        <v>47</v>
      </c>
      <c r="AB1" s="73"/>
      <c r="AC1" s="73"/>
      <c r="AD1" s="73"/>
      <c r="AE1" s="73"/>
    </row>
    <row r="2" spans="1:31" s="112" customFormat="1" ht="23.25" customHeight="1" x14ac:dyDescent="0.15">
      <c r="A2" s="391" t="s">
        <v>1</v>
      </c>
      <c r="B2" s="391" t="s">
        <v>69</v>
      </c>
      <c r="C2" s="391" t="s">
        <v>18</v>
      </c>
      <c r="D2" s="392" t="s">
        <v>48</v>
      </c>
      <c r="E2" s="392" t="s">
        <v>49</v>
      </c>
      <c r="F2" s="399" t="s">
        <v>5</v>
      </c>
      <c r="G2" s="399" t="s">
        <v>9</v>
      </c>
      <c r="H2" s="399" t="s">
        <v>41</v>
      </c>
      <c r="I2" s="399"/>
      <c r="J2" s="399" t="s">
        <v>42</v>
      </c>
      <c r="K2" s="399"/>
      <c r="L2" s="399"/>
      <c r="M2" s="399" t="s">
        <v>43</v>
      </c>
      <c r="N2" s="399"/>
      <c r="O2" s="114"/>
      <c r="P2" s="399" t="s">
        <v>12</v>
      </c>
      <c r="Q2" s="392" t="s">
        <v>44</v>
      </c>
      <c r="W2" s="112" t="s">
        <v>50</v>
      </c>
      <c r="X2" s="112" t="s">
        <v>51</v>
      </c>
      <c r="Y2" s="112" t="s">
        <v>52</v>
      </c>
      <c r="Z2" s="112" t="s">
        <v>53</v>
      </c>
      <c r="AA2" s="115" t="s">
        <v>54</v>
      </c>
      <c r="AB2" s="115" t="s">
        <v>55</v>
      </c>
      <c r="AC2" s="115" t="s">
        <v>56</v>
      </c>
      <c r="AD2" s="115" t="s">
        <v>57</v>
      </c>
      <c r="AE2" s="115" t="s">
        <v>50</v>
      </c>
    </row>
    <row r="3" spans="1:31" s="112" customFormat="1" ht="23.25" customHeight="1" x14ac:dyDescent="0.15">
      <c r="A3" s="391"/>
      <c r="B3" s="391"/>
      <c r="C3" s="391"/>
      <c r="D3" s="393"/>
      <c r="E3" s="393"/>
      <c r="F3" s="400"/>
      <c r="G3" s="400"/>
      <c r="H3" s="89" t="s">
        <v>45</v>
      </c>
      <c r="I3" s="89" t="s">
        <v>36</v>
      </c>
      <c r="J3" s="89" t="s">
        <v>9</v>
      </c>
      <c r="K3" s="89" t="s">
        <v>45</v>
      </c>
      <c r="L3" s="89" t="s">
        <v>36</v>
      </c>
      <c r="M3" s="89" t="s">
        <v>45</v>
      </c>
      <c r="N3" s="89" t="s">
        <v>36</v>
      </c>
      <c r="O3" s="89" t="s">
        <v>45</v>
      </c>
      <c r="P3" s="400"/>
      <c r="Q3" s="393"/>
      <c r="W3" s="70"/>
      <c r="X3" s="70"/>
      <c r="Y3" s="70"/>
      <c r="Z3" s="70"/>
      <c r="AA3" s="109"/>
      <c r="AB3" s="109"/>
      <c r="AC3" s="109"/>
      <c r="AD3" s="109">
        <v>1</v>
      </c>
      <c r="AE3" s="109">
        <v>1</v>
      </c>
    </row>
    <row r="4" spans="1:31" ht="23.25" customHeight="1" x14ac:dyDescent="0.15">
      <c r="A4" s="86" t="s">
        <v>643</v>
      </c>
      <c r="B4" s="86" t="s">
        <v>674</v>
      </c>
      <c r="C4" s="69" t="s">
        <v>644</v>
      </c>
      <c r="D4" s="395" t="s">
        <v>675</v>
      </c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7"/>
    </row>
    <row r="5" spans="1:31" ht="23.25" customHeight="1" x14ac:dyDescent="0.15">
      <c r="A5" s="86" t="s">
        <v>610</v>
      </c>
      <c r="B5" s="86" t="s">
        <v>645</v>
      </c>
      <c r="C5" s="69" t="s">
        <v>588</v>
      </c>
      <c r="D5" s="53" t="s">
        <v>577</v>
      </c>
      <c r="E5" s="53" t="s">
        <v>589</v>
      </c>
      <c r="F5" s="100" t="s">
        <v>579</v>
      </c>
      <c r="G5" s="101">
        <f>일위노임!G6</f>
        <v>0.2</v>
      </c>
      <c r="H5" s="101">
        <f>합산자재!H61</f>
        <v>0</v>
      </c>
      <c r="I5" s="116" t="str">
        <f>IF(G5*H5&lt;&gt;0, TRUNC(G5*H5,1),"")</f>
        <v/>
      </c>
      <c r="J5" s="101">
        <v>0.2</v>
      </c>
      <c r="K5" s="101">
        <f>합산자재!I61</f>
        <v>172068</v>
      </c>
      <c r="L5" s="116">
        <f>IF(G5*K5&lt;&gt;0, TRUNC(G5*K5,1),"")</f>
        <v>34413.599999999999</v>
      </c>
      <c r="M5" s="101">
        <f>합산자재!J61</f>
        <v>0</v>
      </c>
      <c r="N5" s="116" t="str">
        <f>IF(G5*M5&lt;&gt;0, TRUNC(G5*M5,1),"")</f>
        <v/>
      </c>
      <c r="O5" s="101"/>
      <c r="P5" s="101">
        <f>IF(SUM(I5,L5,N5)&lt;&gt;0,TRUNC(SUM(I5,L5,N5),1),"")</f>
        <v>34413.599999999999</v>
      </c>
      <c r="Q5" s="53"/>
      <c r="AE5" s="70">
        <f>L5</f>
        <v>34413.599999999999</v>
      </c>
    </row>
    <row r="6" spans="1:31" ht="23.25" customHeight="1" x14ac:dyDescent="0.15">
      <c r="B6" s="86" t="s">
        <v>676</v>
      </c>
      <c r="D6" s="53" t="s">
        <v>677</v>
      </c>
      <c r="E6" s="53"/>
      <c r="F6" s="100"/>
      <c r="G6" s="101"/>
      <c r="H6" s="101"/>
      <c r="I6" s="101">
        <f>TRUNC(SUM(I4:I5))</f>
        <v>0</v>
      </c>
      <c r="J6" s="101"/>
      <c r="K6" s="101"/>
      <c r="L6" s="101">
        <f>TRUNC(SUM(L4:L5))</f>
        <v>34413</v>
      </c>
      <c r="M6" s="101"/>
      <c r="N6" s="101">
        <f>TRUNC(SUM(N4:N5))</f>
        <v>0</v>
      </c>
      <c r="O6" s="101"/>
      <c r="P6" s="101">
        <f>IF(SUM(I6,L6,N6)&lt;&gt;0,TRUNC(SUM(I6,L6,N6),1),"")</f>
        <v>34413</v>
      </c>
      <c r="Q6" s="53"/>
      <c r="Z6" s="70" t="s">
        <v>678</v>
      </c>
      <c r="AE6" s="70">
        <f>TRUNC(SUM(AE4:AE5))</f>
        <v>34413</v>
      </c>
    </row>
    <row r="7" spans="1:31" ht="23.25" customHeight="1" x14ac:dyDescent="0.15">
      <c r="D7" s="53"/>
      <c r="E7" s="53"/>
      <c r="F7" s="100"/>
      <c r="G7" s="101"/>
      <c r="H7" s="101"/>
      <c r="I7" s="101" t="str">
        <f>IF(G7*H7&lt;&gt;0, TRUNC(G7*H7,1),"")</f>
        <v/>
      </c>
      <c r="J7" s="101"/>
      <c r="K7" s="101"/>
      <c r="L7" s="101" t="str">
        <f>IF(G7*K7&lt;&gt;0, TRUNC(G7*K7,1),"")</f>
        <v/>
      </c>
      <c r="M7" s="101"/>
      <c r="N7" s="101" t="str">
        <f>IF(G7*M7&lt;&gt;0, TRUNC(G7*M7,1),"")</f>
        <v/>
      </c>
      <c r="O7" s="101"/>
      <c r="P7" s="101" t="str">
        <f>IF(SUM(I7,L7,N7)&lt;&gt;0,TRUNC(SUM(I7,L7,N7),1),"")</f>
        <v/>
      </c>
      <c r="Q7" s="53"/>
    </row>
    <row r="8" spans="1:31" ht="23.25" customHeight="1" x14ac:dyDescent="0.15">
      <c r="A8" s="86" t="s">
        <v>650</v>
      </c>
      <c r="B8" s="86" t="s">
        <v>674</v>
      </c>
      <c r="C8" s="69" t="s">
        <v>651</v>
      </c>
      <c r="D8" s="395" t="s">
        <v>679</v>
      </c>
      <c r="E8" s="396"/>
      <c r="F8" s="396"/>
      <c r="G8" s="396"/>
      <c r="H8" s="396"/>
      <c r="I8" s="396"/>
      <c r="J8" s="396"/>
      <c r="K8" s="396"/>
      <c r="L8" s="396"/>
      <c r="M8" s="396"/>
      <c r="N8" s="396"/>
      <c r="O8" s="396"/>
      <c r="P8" s="396"/>
      <c r="Q8" s="397"/>
    </row>
    <row r="9" spans="1:31" ht="23.25" customHeight="1" x14ac:dyDescent="0.15">
      <c r="A9" s="86" t="s">
        <v>610</v>
      </c>
      <c r="B9" s="86" t="s">
        <v>652</v>
      </c>
      <c r="C9" s="69" t="s">
        <v>588</v>
      </c>
      <c r="D9" s="53" t="s">
        <v>577</v>
      </c>
      <c r="E9" s="53" t="s">
        <v>589</v>
      </c>
      <c r="F9" s="100" t="s">
        <v>579</v>
      </c>
      <c r="G9" s="101">
        <f>일위노임!G9</f>
        <v>0.1</v>
      </c>
      <c r="H9" s="101">
        <f>합산자재!H61</f>
        <v>0</v>
      </c>
      <c r="I9" s="101" t="str">
        <f>IF(G9*H9&lt;&gt;0, TRUNC(G9*H9,1),"")</f>
        <v/>
      </c>
      <c r="J9" s="101">
        <v>0.1</v>
      </c>
      <c r="K9" s="101">
        <f>합산자재!I61</f>
        <v>172068</v>
      </c>
      <c r="L9" s="101">
        <f>IF(G9*K9&lt;&gt;0, TRUNC(G9*K9,1),"")</f>
        <v>17206.8</v>
      </c>
      <c r="M9" s="101">
        <f>합산자재!J61</f>
        <v>0</v>
      </c>
      <c r="N9" s="101" t="str">
        <f>IF(G9*M9&lt;&gt;0, TRUNC(G9*M9,1),"")</f>
        <v/>
      </c>
      <c r="O9" s="101"/>
      <c r="P9" s="101">
        <f>IF(SUM(I9,L9,N9)&lt;&gt;0,TRUNC(SUM(I9,L9,N9),1),"")</f>
        <v>17206.8</v>
      </c>
      <c r="Q9" s="53"/>
      <c r="Z9" s="70" t="s">
        <v>678</v>
      </c>
      <c r="AE9" s="70">
        <f>L9</f>
        <v>17206.8</v>
      </c>
    </row>
    <row r="10" spans="1:31" ht="23.25" customHeight="1" x14ac:dyDescent="0.15">
      <c r="B10" s="86" t="s">
        <v>676</v>
      </c>
      <c r="D10" s="53" t="s">
        <v>677</v>
      </c>
      <c r="E10" s="53"/>
      <c r="F10" s="100"/>
      <c r="G10" s="101"/>
      <c r="H10" s="101"/>
      <c r="I10" s="101">
        <f>TRUNC(SUM(I8:I9))</f>
        <v>0</v>
      </c>
      <c r="J10" s="101"/>
      <c r="K10" s="101"/>
      <c r="L10" s="101">
        <f>TRUNC(SUM(L8:L9))</f>
        <v>17206</v>
      </c>
      <c r="M10" s="101"/>
      <c r="N10" s="101">
        <f>TRUNC(SUM(N8:N9))</f>
        <v>0</v>
      </c>
      <c r="O10" s="101"/>
      <c r="P10" s="101">
        <f>IF(SUM(I10,L10,N10)&lt;&gt;0,TRUNC(SUM(I10,L10,N10),1),"")</f>
        <v>17206</v>
      </c>
      <c r="Q10" s="53"/>
      <c r="AE10" s="70">
        <f>TRUNC(SUM(AE8:AE9))</f>
        <v>17206</v>
      </c>
    </row>
    <row r="11" spans="1:31" ht="23.25" customHeight="1" x14ac:dyDescent="0.15">
      <c r="D11" s="53"/>
      <c r="E11" s="53"/>
      <c r="F11" s="100"/>
      <c r="G11" s="101"/>
      <c r="H11" s="101"/>
      <c r="I11" s="101" t="str">
        <f>IF(G11*H11&lt;&gt;0, TRUNC(G11*H11,1),"")</f>
        <v/>
      </c>
      <c r="J11" s="101"/>
      <c r="K11" s="101"/>
      <c r="L11" s="101" t="str">
        <f>IF(G11*K11&lt;&gt;0, TRUNC(G11*K11,1),"")</f>
        <v/>
      </c>
      <c r="M11" s="101"/>
      <c r="N11" s="101" t="str">
        <f>IF(G11*M11&lt;&gt;0, TRUNC(G11*M11,1),"")</f>
        <v/>
      </c>
      <c r="O11" s="101"/>
      <c r="P11" s="101" t="str">
        <f>IF(SUM(I11,L11,N11)&lt;&gt;0,TRUNC(SUM(I11,L11,N11),1),"")</f>
        <v/>
      </c>
      <c r="Q11" s="53"/>
    </row>
    <row r="12" spans="1:31" ht="23.25" customHeight="1" x14ac:dyDescent="0.15">
      <c r="A12" s="86" t="s">
        <v>242</v>
      </c>
      <c r="B12" s="86" t="s">
        <v>674</v>
      </c>
      <c r="C12" s="69" t="s">
        <v>654</v>
      </c>
      <c r="D12" s="395" t="s">
        <v>680</v>
      </c>
      <c r="E12" s="396"/>
      <c r="F12" s="396"/>
      <c r="G12" s="396"/>
      <c r="H12" s="396"/>
      <c r="I12" s="396"/>
      <c r="J12" s="396"/>
      <c r="K12" s="396"/>
      <c r="L12" s="396"/>
      <c r="M12" s="396"/>
      <c r="N12" s="396"/>
      <c r="O12" s="396"/>
      <c r="P12" s="396"/>
      <c r="Q12" s="397"/>
    </row>
    <row r="13" spans="1:31" ht="23.25" customHeight="1" x14ac:dyDescent="0.15">
      <c r="A13" s="86" t="s">
        <v>643</v>
      </c>
      <c r="B13" s="86" t="s">
        <v>655</v>
      </c>
      <c r="C13" s="69" t="s">
        <v>644</v>
      </c>
      <c r="D13" s="53" t="s">
        <v>646</v>
      </c>
      <c r="E13" s="53" t="s">
        <v>647</v>
      </c>
      <c r="F13" s="100" t="s">
        <v>245</v>
      </c>
      <c r="G13" s="101">
        <v>0.1</v>
      </c>
      <c r="H13" s="101">
        <f>일대목차!H4</f>
        <v>0</v>
      </c>
      <c r="I13" s="101" t="str">
        <f>IF(G13*H13&lt;&gt;0, TRUNC(G13*H13,1),"")</f>
        <v/>
      </c>
      <c r="J13" s="101">
        <v>0.1</v>
      </c>
      <c r="K13" s="101">
        <f>일대목차!K4</f>
        <v>34413</v>
      </c>
      <c r="L13" s="101">
        <f>IF(G13*K13&lt;&gt;0, TRUNC(G13*K13,1),"")</f>
        <v>3441.3</v>
      </c>
      <c r="M13" s="101">
        <f>일대목차!M4</f>
        <v>0</v>
      </c>
      <c r="N13" s="101" t="str">
        <f>IF(G13*M13&lt;&gt;0, TRUNC(G13*M13,1),"")</f>
        <v/>
      </c>
      <c r="O13" s="101"/>
      <c r="P13" s="101">
        <f>IF(SUM(I13,L13,N13)&lt;&gt;0,TRUNC(SUM(I13,L13,N13),1),"")</f>
        <v>3441.3</v>
      </c>
      <c r="Q13" s="53" t="s">
        <v>645</v>
      </c>
      <c r="R13" s="70" t="s">
        <v>681</v>
      </c>
      <c r="Z13" s="70" t="s">
        <v>678</v>
      </c>
    </row>
    <row r="14" spans="1:31" ht="23.25" customHeight="1" x14ac:dyDescent="0.15">
      <c r="A14" s="86" t="s">
        <v>682</v>
      </c>
      <c r="B14" s="86" t="s">
        <v>655</v>
      </c>
      <c r="C14" s="69" t="s">
        <v>564</v>
      </c>
      <c r="D14" s="53" t="s">
        <v>565</v>
      </c>
      <c r="E14" s="53" t="s">
        <v>566</v>
      </c>
      <c r="F14" s="100" t="s">
        <v>245</v>
      </c>
      <c r="G14" s="101">
        <v>0.9</v>
      </c>
      <c r="H14" s="101">
        <f>합산자재!H53</f>
        <v>442</v>
      </c>
      <c r="I14" s="101">
        <f>IF(G14*H14&lt;&gt;0, TRUNC(G14*H14,1),"")</f>
        <v>397.8</v>
      </c>
      <c r="J14" s="101">
        <v>0.9</v>
      </c>
      <c r="K14" s="101">
        <f>합산자재!I53</f>
        <v>1354</v>
      </c>
      <c r="L14" s="101">
        <f>IF(G14*K14&lt;&gt;0, TRUNC(G14*K14,1),"")</f>
        <v>1218.5999999999999</v>
      </c>
      <c r="M14" s="101">
        <f>합산자재!J53</f>
        <v>537</v>
      </c>
      <c r="N14" s="101">
        <f>IF(G14*M14&lt;&gt;0, TRUNC(G14*M14,1),"")</f>
        <v>483.3</v>
      </c>
      <c r="O14" s="101"/>
      <c r="P14" s="101">
        <f>IF(SUM(I14,L14,N14)&lt;&gt;0,TRUNC(SUM(I14,L14,N14),1),"")</f>
        <v>2099.6999999999998</v>
      </c>
      <c r="Q14" s="53" t="s">
        <v>602</v>
      </c>
      <c r="R14" s="70" t="s">
        <v>683</v>
      </c>
    </row>
    <row r="15" spans="1:31" ht="23.25" customHeight="1" x14ac:dyDescent="0.15">
      <c r="B15" s="86" t="s">
        <v>676</v>
      </c>
      <c r="D15" s="53" t="s">
        <v>677</v>
      </c>
      <c r="E15" s="53"/>
      <c r="F15" s="100"/>
      <c r="G15" s="101"/>
      <c r="H15" s="101"/>
      <c r="I15" s="101">
        <f>TRUNC(SUM(I12:I14))</f>
        <v>397</v>
      </c>
      <c r="J15" s="101"/>
      <c r="K15" s="101"/>
      <c r="L15" s="101">
        <f>TRUNC(SUM(L12:L14))</f>
        <v>4659</v>
      </c>
      <c r="M15" s="101"/>
      <c r="N15" s="101">
        <f>TRUNC(SUM(N12:N14))</f>
        <v>483</v>
      </c>
      <c r="O15" s="101"/>
      <c r="P15" s="101">
        <f>IF(SUM(I15,L15,N15)&lt;&gt;0,TRUNC(SUM(I15,L15,N15),1),"")</f>
        <v>5539</v>
      </c>
      <c r="Q15" s="53"/>
      <c r="AE15" s="70">
        <f>TRUNC(SUM(AE12:AE14))</f>
        <v>0</v>
      </c>
    </row>
    <row r="16" spans="1:31" ht="23.25" customHeight="1" x14ac:dyDescent="0.15">
      <c r="D16" s="53"/>
      <c r="E16" s="53"/>
      <c r="F16" s="100"/>
      <c r="G16" s="101"/>
      <c r="H16" s="101"/>
      <c r="I16" s="101" t="str">
        <f>IF(G16*H16&lt;&gt;0, TRUNC(G16*H16,1),"")</f>
        <v/>
      </c>
      <c r="J16" s="101"/>
      <c r="K16" s="101"/>
      <c r="L16" s="101" t="str">
        <f>IF(G16*K16&lt;&gt;0, TRUNC(G16*K16,1),"")</f>
        <v/>
      </c>
      <c r="M16" s="101"/>
      <c r="N16" s="101" t="str">
        <f>IF(G16*M16&lt;&gt;0, TRUNC(G16*M16,1),"")</f>
        <v/>
      </c>
      <c r="O16" s="101"/>
      <c r="P16" s="101" t="str">
        <f>IF(SUM(I16,L16,N16)&lt;&gt;0,TRUNC(SUM(I16,L16,N16),1),"")</f>
        <v/>
      </c>
      <c r="Q16" s="53"/>
    </row>
    <row r="17" spans="1:31" ht="23.25" customHeight="1" x14ac:dyDescent="0.15">
      <c r="A17" s="86" t="s">
        <v>248</v>
      </c>
      <c r="B17" s="86" t="s">
        <v>674</v>
      </c>
      <c r="C17" s="69" t="s">
        <v>656</v>
      </c>
      <c r="D17" s="395" t="s">
        <v>684</v>
      </c>
      <c r="E17" s="396"/>
      <c r="F17" s="396"/>
      <c r="G17" s="396"/>
      <c r="H17" s="396"/>
      <c r="I17" s="396"/>
      <c r="J17" s="396"/>
      <c r="K17" s="396"/>
      <c r="L17" s="396"/>
      <c r="M17" s="396"/>
      <c r="N17" s="396"/>
      <c r="O17" s="396"/>
      <c r="P17" s="396"/>
      <c r="Q17" s="397"/>
    </row>
    <row r="18" spans="1:31" ht="23.25" customHeight="1" x14ac:dyDescent="0.15">
      <c r="A18" s="86" t="s">
        <v>650</v>
      </c>
      <c r="B18" s="86" t="s">
        <v>657</v>
      </c>
      <c r="C18" s="69" t="s">
        <v>651</v>
      </c>
      <c r="D18" s="53" t="s">
        <v>653</v>
      </c>
      <c r="E18" s="53" t="s">
        <v>647</v>
      </c>
      <c r="F18" s="100" t="s">
        <v>245</v>
      </c>
      <c r="G18" s="101">
        <v>0.1</v>
      </c>
      <c r="H18" s="101">
        <f>일대목차!H5</f>
        <v>0</v>
      </c>
      <c r="I18" s="101" t="str">
        <f>IF(G18*H18&lt;&gt;0, TRUNC(G18*H18,1),"")</f>
        <v/>
      </c>
      <c r="J18" s="101">
        <v>0.1</v>
      </c>
      <c r="K18" s="101">
        <f>일대목차!K5</f>
        <v>17206</v>
      </c>
      <c r="L18" s="101">
        <f>IF(G18*K18&lt;&gt;0, TRUNC(G18*K18,1),"")</f>
        <v>1720.6</v>
      </c>
      <c r="M18" s="101">
        <f>일대목차!M5</f>
        <v>0</v>
      </c>
      <c r="N18" s="101" t="str">
        <f>IF(G18*M18&lt;&gt;0, TRUNC(G18*M18,1),"")</f>
        <v/>
      </c>
      <c r="O18" s="101"/>
      <c r="P18" s="101">
        <f>IF(SUM(I18,L18,N18)&lt;&gt;0,TRUNC(SUM(I18,L18,N18),1),"")</f>
        <v>1720.6</v>
      </c>
      <c r="Q18" s="53" t="s">
        <v>652</v>
      </c>
      <c r="R18" s="70" t="s">
        <v>681</v>
      </c>
    </row>
    <row r="19" spans="1:31" ht="23.25" customHeight="1" x14ac:dyDescent="0.15">
      <c r="A19" s="86" t="s">
        <v>685</v>
      </c>
      <c r="B19" s="86" t="s">
        <v>657</v>
      </c>
      <c r="C19" s="69" t="s">
        <v>570</v>
      </c>
      <c r="D19" s="53" t="s">
        <v>571</v>
      </c>
      <c r="E19" s="53" t="s">
        <v>566</v>
      </c>
      <c r="F19" s="100" t="s">
        <v>245</v>
      </c>
      <c r="G19" s="101">
        <v>0.9</v>
      </c>
      <c r="H19" s="101">
        <f>합산자재!H54</f>
        <v>442</v>
      </c>
      <c r="I19" s="101">
        <f>IF(G19*H19&lt;&gt;0, TRUNC(G19*H19,1),"")</f>
        <v>397.8</v>
      </c>
      <c r="J19" s="101">
        <v>0.9</v>
      </c>
      <c r="K19" s="101">
        <f>합산자재!I54</f>
        <v>1354</v>
      </c>
      <c r="L19" s="101">
        <f>IF(G19*K19&lt;&gt;0, TRUNC(G19*K19,1),"")</f>
        <v>1218.5999999999999</v>
      </c>
      <c r="M19" s="101">
        <f>합산자재!J54</f>
        <v>537</v>
      </c>
      <c r="N19" s="101">
        <f>IF(G19*M19&lt;&gt;0, TRUNC(G19*M19,1),"")</f>
        <v>483.3</v>
      </c>
      <c r="O19" s="101"/>
      <c r="P19" s="101">
        <f>IF(SUM(I19,L19,N19)&lt;&gt;0,TRUNC(SUM(I19,L19,N19),1),"")</f>
        <v>2099.6999999999998</v>
      </c>
      <c r="Q19" s="53" t="s">
        <v>602</v>
      </c>
      <c r="R19" s="70" t="s">
        <v>683</v>
      </c>
    </row>
    <row r="20" spans="1:31" ht="23.25" customHeight="1" x14ac:dyDescent="0.15">
      <c r="B20" s="86" t="s">
        <v>676</v>
      </c>
      <c r="D20" s="53" t="s">
        <v>677</v>
      </c>
      <c r="E20" s="53"/>
      <c r="F20" s="100"/>
      <c r="G20" s="101"/>
      <c r="H20" s="101"/>
      <c r="I20" s="101">
        <f>TRUNC(SUM(I17:I19))</f>
        <v>397</v>
      </c>
      <c r="J20" s="101"/>
      <c r="K20" s="101"/>
      <c r="L20" s="101">
        <f>TRUNC(SUM(L17:L19))</f>
        <v>2939</v>
      </c>
      <c r="M20" s="101"/>
      <c r="N20" s="101">
        <f>TRUNC(SUM(N17:N19))</f>
        <v>483</v>
      </c>
      <c r="O20" s="101"/>
      <c r="P20" s="101">
        <f>IF(SUM(I20,L20,N20)&lt;&gt;0,TRUNC(SUM(I20,L20,N20),1),"")</f>
        <v>3819</v>
      </c>
      <c r="Q20" s="53"/>
      <c r="AE20" s="70">
        <f>TRUNC(SUM(AE17:AE19))</f>
        <v>0</v>
      </c>
    </row>
    <row r="21" spans="1:31" ht="23.25" customHeight="1" x14ac:dyDescent="0.15">
      <c r="D21" s="53"/>
      <c r="E21" s="53"/>
      <c r="F21" s="100"/>
      <c r="G21" s="101"/>
      <c r="H21" s="101"/>
      <c r="I21" s="101" t="str">
        <f>IF(G21*H21&lt;&gt;0, TRUNC(G21*H21,1),"")</f>
        <v/>
      </c>
      <c r="J21" s="101"/>
      <c r="K21" s="101"/>
      <c r="L21" s="101" t="str">
        <f>IF(G21*K21&lt;&gt;0, TRUNC(G21*K21,1),"")</f>
        <v/>
      </c>
      <c r="M21" s="101"/>
      <c r="N21" s="101" t="str">
        <f>IF(G21*M21&lt;&gt;0, TRUNC(G21*M21,1),"")</f>
        <v/>
      </c>
      <c r="O21" s="101"/>
      <c r="P21" s="101" t="str">
        <f>IF(SUM(I21,L21,N21)&lt;&gt;0,TRUNC(SUM(I21,L21,N21),1),"")</f>
        <v/>
      </c>
      <c r="Q21" s="53"/>
    </row>
    <row r="22" spans="1:31" ht="23.25" customHeight="1" x14ac:dyDescent="0.15">
      <c r="A22" s="86" t="s">
        <v>235</v>
      </c>
      <c r="B22" s="86" t="s">
        <v>674</v>
      </c>
      <c r="C22" s="69" t="s">
        <v>658</v>
      </c>
      <c r="D22" s="395" t="s">
        <v>686</v>
      </c>
      <c r="E22" s="396"/>
      <c r="F22" s="396"/>
      <c r="G22" s="396"/>
      <c r="H22" s="396"/>
      <c r="I22" s="396"/>
      <c r="J22" s="396"/>
      <c r="K22" s="396"/>
      <c r="L22" s="396"/>
      <c r="M22" s="396"/>
      <c r="N22" s="396"/>
      <c r="O22" s="396"/>
      <c r="P22" s="396"/>
      <c r="Q22" s="397"/>
    </row>
    <row r="23" spans="1:31" ht="23.25" customHeight="1" x14ac:dyDescent="0.15">
      <c r="A23" s="86" t="s">
        <v>687</v>
      </c>
      <c r="B23" s="86" t="s">
        <v>659</v>
      </c>
      <c r="C23" s="69" t="s">
        <v>493</v>
      </c>
      <c r="D23" s="53" t="s">
        <v>490</v>
      </c>
      <c r="E23" s="53" t="s">
        <v>494</v>
      </c>
      <c r="F23" s="100" t="s">
        <v>145</v>
      </c>
      <c r="G23" s="101">
        <v>3</v>
      </c>
      <c r="H23" s="101">
        <f>합산자재!H28</f>
        <v>5023</v>
      </c>
      <c r="I23" s="101">
        <f>IF(G23*H23&lt;&gt;0, TRUNC(G23*H23,1),"")</f>
        <v>15069</v>
      </c>
      <c r="J23" s="101">
        <v>3</v>
      </c>
      <c r="K23" s="101">
        <f>합산자재!I28</f>
        <v>0</v>
      </c>
      <c r="L23" s="101" t="str">
        <f>IF(G23*K23&lt;&gt;0, TRUNC(G23*K23,1),"")</f>
        <v/>
      </c>
      <c r="M23" s="101">
        <f>합산자재!J28</f>
        <v>0</v>
      </c>
      <c r="N23" s="101" t="str">
        <f>IF(G23*M23&lt;&gt;0, TRUNC(G23*M23,1),"")</f>
        <v/>
      </c>
      <c r="O23" s="101"/>
      <c r="P23" s="101">
        <f t="shared" ref="P23:P29" si="0">IF(SUM(I23,L23,N23)&lt;&gt;0,TRUNC(SUM(I23,L23,N23),1),"")</f>
        <v>15069</v>
      </c>
      <c r="Q23" s="53"/>
    </row>
    <row r="24" spans="1:31" ht="23.25" customHeight="1" x14ac:dyDescent="0.15">
      <c r="A24" s="86" t="s">
        <v>688</v>
      </c>
      <c r="B24" s="86" t="s">
        <v>659</v>
      </c>
      <c r="C24" s="69" t="s">
        <v>552</v>
      </c>
      <c r="D24" s="53" t="s">
        <v>553</v>
      </c>
      <c r="E24" s="53" t="s">
        <v>554</v>
      </c>
      <c r="F24" s="100" t="s">
        <v>112</v>
      </c>
      <c r="G24" s="101">
        <v>1</v>
      </c>
      <c r="H24" s="101">
        <f>합산자재!H49</f>
        <v>0</v>
      </c>
      <c r="I24" s="101" t="str">
        <f>IF(G24*H24&lt;&gt;0, TRUNC(G24*H24,1),"")</f>
        <v/>
      </c>
      <c r="J24" s="101">
        <v>1</v>
      </c>
      <c r="K24" s="101">
        <f>합산자재!I49</f>
        <v>0</v>
      </c>
      <c r="L24" s="101" t="str">
        <f>IF(G24*K24&lt;&gt;0, TRUNC(G24*K24,1),"")</f>
        <v/>
      </c>
      <c r="M24" s="101">
        <f>합산자재!J49</f>
        <v>0</v>
      </c>
      <c r="N24" s="101" t="str">
        <f>IF(G24*M24&lt;&gt;0, TRUNC(G24*M24,1),"")</f>
        <v/>
      </c>
      <c r="O24" s="101"/>
      <c r="P24" s="101" t="str">
        <f t="shared" si="0"/>
        <v/>
      </c>
      <c r="Q24" s="53" t="s">
        <v>601</v>
      </c>
      <c r="Z24" s="70" t="s">
        <v>678</v>
      </c>
    </row>
    <row r="25" spans="1:31" ht="23.25" customHeight="1" x14ac:dyDescent="0.15">
      <c r="A25" s="86" t="s">
        <v>616</v>
      </c>
      <c r="B25" s="86" t="s">
        <v>659</v>
      </c>
      <c r="C25" s="69" t="s">
        <v>584</v>
      </c>
      <c r="D25" s="53" t="s">
        <v>577</v>
      </c>
      <c r="E25" s="53" t="s">
        <v>585</v>
      </c>
      <c r="F25" s="100" t="s">
        <v>579</v>
      </c>
      <c r="G25" s="101">
        <f>일위노임!G13</f>
        <v>0.45</v>
      </c>
      <c r="H25" s="101">
        <f>합산자재!H59</f>
        <v>0</v>
      </c>
      <c r="I25" s="101" t="str">
        <f>IF(G25*H25&lt;&gt;0, TRUNC(G25*H25,1),"")</f>
        <v/>
      </c>
      <c r="J25" s="101">
        <v>0.45</v>
      </c>
      <c r="K25" s="101">
        <f>합산자재!I59</f>
        <v>408942</v>
      </c>
      <c r="L25" s="101">
        <f>IF(G25*K25&lt;&gt;0, TRUNC(G25*K25,1),"")</f>
        <v>184023.9</v>
      </c>
      <c r="M25" s="101">
        <f>합산자재!J59</f>
        <v>0</v>
      </c>
      <c r="N25" s="101" t="str">
        <f>IF(G25*M25&lt;&gt;0, TRUNC(G25*M25,1),"")</f>
        <v/>
      </c>
      <c r="O25" s="101"/>
      <c r="P25" s="101">
        <f t="shared" si="0"/>
        <v>184023.9</v>
      </c>
      <c r="Q25" s="53"/>
      <c r="AE25" s="70">
        <f>L25</f>
        <v>184023.9</v>
      </c>
    </row>
    <row r="26" spans="1:31" ht="23.25" customHeight="1" x14ac:dyDescent="0.15">
      <c r="A26" s="86" t="s">
        <v>610</v>
      </c>
      <c r="B26" s="86" t="s">
        <v>659</v>
      </c>
      <c r="C26" s="69" t="s">
        <v>588</v>
      </c>
      <c r="D26" s="53" t="s">
        <v>577</v>
      </c>
      <c r="E26" s="53" t="s">
        <v>589</v>
      </c>
      <c r="F26" s="100" t="s">
        <v>579</v>
      </c>
      <c r="G26" s="101">
        <f>일위노임!G14</f>
        <v>0.23</v>
      </c>
      <c r="H26" s="101">
        <f>합산자재!H61</f>
        <v>0</v>
      </c>
      <c r="I26" s="101" t="str">
        <f>IF(G26*H26&lt;&gt;0, TRUNC(G26*H26,1),"")</f>
        <v/>
      </c>
      <c r="J26" s="101">
        <v>0.23</v>
      </c>
      <c r="K26" s="101">
        <f>합산자재!I61</f>
        <v>172068</v>
      </c>
      <c r="L26" s="101">
        <f>IF(G26*K26&lt;&gt;0, TRUNC(G26*K26,1),"")</f>
        <v>39575.599999999999</v>
      </c>
      <c r="M26" s="101">
        <f>합산자재!J61</f>
        <v>0</v>
      </c>
      <c r="N26" s="101" t="str">
        <f>IF(G26*M26&lt;&gt;0, TRUNC(G26*M26,1),"")</f>
        <v/>
      </c>
      <c r="O26" s="101"/>
      <c r="P26" s="101">
        <f t="shared" si="0"/>
        <v>39575.599999999999</v>
      </c>
      <c r="Q26" s="53"/>
      <c r="AE26" s="70">
        <f>L26</f>
        <v>39575.599999999999</v>
      </c>
    </row>
    <row r="27" spans="1:31" ht="23.25" customHeight="1" x14ac:dyDescent="0.15">
      <c r="A27" s="86" t="s">
        <v>689</v>
      </c>
      <c r="B27" s="86" t="s">
        <v>659</v>
      </c>
      <c r="C27" s="69" t="s">
        <v>690</v>
      </c>
      <c r="D27" s="53" t="s">
        <v>691</v>
      </c>
      <c r="E27" s="53" t="s">
        <v>692</v>
      </c>
      <c r="F27" s="100" t="s">
        <v>112</v>
      </c>
      <c r="G27" s="101">
        <v>1</v>
      </c>
      <c r="H27" s="101">
        <f>IF(TRUNC((AD28+AC28)/$AE$3,1)*$AE$3-AD28 &lt;0, AC28, TRUNC((AD28+AC28)/$AE$3,1)*$AE$3-AD28)</f>
        <v>6707.8999999999942</v>
      </c>
      <c r="I27" s="101">
        <f>H27</f>
        <v>6707.8999999999942</v>
      </c>
      <c r="J27" s="101">
        <v>1</v>
      </c>
      <c r="K27" s="101"/>
      <c r="L27" s="101" t="str">
        <f>IF(G27*K27&lt;&gt;0, TRUNC(G27*K27,1),"")</f>
        <v/>
      </c>
      <c r="M27" s="101"/>
      <c r="N27" s="101" t="str">
        <f>IF(G27*M27&lt;&gt;0, TRUNC(G27*M27,1),"")</f>
        <v/>
      </c>
      <c r="O27" s="101"/>
      <c r="P27" s="101">
        <f t="shared" si="0"/>
        <v>6707.8</v>
      </c>
      <c r="Q27" s="53"/>
    </row>
    <row r="28" spans="1:31" ht="23.25" customHeight="1" x14ac:dyDescent="0.15">
      <c r="B28" s="86" t="s">
        <v>676</v>
      </c>
      <c r="D28" s="53" t="s">
        <v>677</v>
      </c>
      <c r="E28" s="53"/>
      <c r="F28" s="100"/>
      <c r="G28" s="101"/>
      <c r="H28" s="101"/>
      <c r="I28" s="101">
        <f>TRUNC(SUM(I22:I27))</f>
        <v>21776</v>
      </c>
      <c r="J28" s="101"/>
      <c r="K28" s="101"/>
      <c r="L28" s="101">
        <f>TRUNC(SUM(L22:L27))</f>
        <v>223599</v>
      </c>
      <c r="M28" s="101"/>
      <c r="N28" s="101">
        <f>TRUNC(SUM(N22:N27))</f>
        <v>0</v>
      </c>
      <c r="O28" s="101"/>
      <c r="P28" s="101">
        <f t="shared" si="0"/>
        <v>245375</v>
      </c>
      <c r="Q28" s="53"/>
      <c r="AC28" s="70">
        <f>TRUNC(AE28*옵션!$B$36/100,1)</f>
        <v>6707.9</v>
      </c>
      <c r="AD28" s="70">
        <f>TRUNC(SUM(L22:L26))</f>
        <v>223599</v>
      </c>
      <c r="AE28" s="70">
        <f>TRUNC(SUM(AE22:AE27))</f>
        <v>223599</v>
      </c>
    </row>
    <row r="29" spans="1:31" ht="23.25" customHeight="1" x14ac:dyDescent="0.15">
      <c r="D29" s="53"/>
      <c r="E29" s="53"/>
      <c r="F29" s="100"/>
      <c r="G29" s="101"/>
      <c r="H29" s="101"/>
      <c r="I29" s="101" t="str">
        <f>IF(G29*H29&lt;&gt;0, TRUNC(G29*H29,1),"")</f>
        <v/>
      </c>
      <c r="J29" s="101"/>
      <c r="K29" s="101"/>
      <c r="L29" s="101" t="str">
        <f>IF(G29*K29&lt;&gt;0, TRUNC(G29*K29,1),"")</f>
        <v/>
      </c>
      <c r="M29" s="101"/>
      <c r="N29" s="101" t="str">
        <f>IF(G29*M29&lt;&gt;0, TRUNC(G29*M29,1),"")</f>
        <v/>
      </c>
      <c r="O29" s="101"/>
      <c r="P29" s="101" t="str">
        <f t="shared" si="0"/>
        <v/>
      </c>
      <c r="Q29" s="53"/>
      <c r="Z29" s="70" t="s">
        <v>678</v>
      </c>
    </row>
    <row r="30" spans="1:31" ht="23.25" customHeight="1" x14ac:dyDescent="0.15">
      <c r="A30" s="86" t="s">
        <v>214</v>
      </c>
      <c r="B30" s="86" t="s">
        <v>674</v>
      </c>
      <c r="C30" s="69" t="s">
        <v>660</v>
      </c>
      <c r="D30" s="395" t="s">
        <v>693</v>
      </c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7"/>
    </row>
    <row r="31" spans="1:31" ht="23.25" customHeight="1" x14ac:dyDescent="0.15">
      <c r="A31" s="86" t="s">
        <v>694</v>
      </c>
      <c r="B31" s="86" t="s">
        <v>661</v>
      </c>
      <c r="C31" s="69" t="s">
        <v>495</v>
      </c>
      <c r="D31" s="53" t="s">
        <v>496</v>
      </c>
      <c r="E31" s="53" t="s">
        <v>497</v>
      </c>
      <c r="F31" s="100" t="s">
        <v>498</v>
      </c>
      <c r="G31" s="101">
        <v>1</v>
      </c>
      <c r="H31" s="101">
        <f>합산자재!H29</f>
        <v>110000</v>
      </c>
      <c r="I31" s="101">
        <f>IF(G31*H31&lt;&gt;0, TRUNC(G31*H31,1),"")</f>
        <v>110000</v>
      </c>
      <c r="J31" s="101">
        <v>1</v>
      </c>
      <c r="K31" s="101">
        <f>합산자재!I29</f>
        <v>0</v>
      </c>
      <c r="L31" s="101" t="str">
        <f t="shared" ref="L31:L40" si="1">IF(G31*K31&lt;&gt;0, TRUNC(G31*K31,1),"")</f>
        <v/>
      </c>
      <c r="M31" s="101">
        <f>합산자재!J29</f>
        <v>0</v>
      </c>
      <c r="N31" s="101" t="str">
        <f t="shared" ref="N31:N40" si="2">IF(G31*M31&lt;&gt;0, TRUNC(G31*M31,1),"")</f>
        <v/>
      </c>
      <c r="O31" s="101"/>
      <c r="P31" s="101">
        <f t="shared" ref="P31:P42" si="3">IF(SUM(I31,L31,N31)&lt;&gt;0,TRUNC(SUM(I31,L31,N31),1),"")</f>
        <v>110000</v>
      </c>
      <c r="Q31" s="53"/>
    </row>
    <row r="32" spans="1:31" ht="23.25" customHeight="1" x14ac:dyDescent="0.15">
      <c r="A32" s="86" t="s">
        <v>695</v>
      </c>
      <c r="B32" s="86" t="s">
        <v>661</v>
      </c>
      <c r="C32" s="69" t="s">
        <v>500</v>
      </c>
      <c r="D32" s="53" t="s">
        <v>501</v>
      </c>
      <c r="E32" s="53" t="s">
        <v>502</v>
      </c>
      <c r="F32" s="100" t="s">
        <v>498</v>
      </c>
      <c r="G32" s="101">
        <v>1</v>
      </c>
      <c r="H32" s="101">
        <f>합산자재!H30</f>
        <v>230000</v>
      </c>
      <c r="I32" s="101">
        <f>IF(G32*H32&lt;&gt;0, TRUNC(G32*H32,1),"")</f>
        <v>230000</v>
      </c>
      <c r="J32" s="101">
        <v>1</v>
      </c>
      <c r="K32" s="101">
        <f>합산자재!I30</f>
        <v>0</v>
      </c>
      <c r="L32" s="101" t="str">
        <f t="shared" si="1"/>
        <v/>
      </c>
      <c r="M32" s="101">
        <f>합산자재!J30</f>
        <v>0</v>
      </c>
      <c r="N32" s="101" t="str">
        <f t="shared" si="2"/>
        <v/>
      </c>
      <c r="O32" s="101"/>
      <c r="P32" s="101">
        <f t="shared" si="3"/>
        <v>230000</v>
      </c>
      <c r="Q32" s="53"/>
    </row>
    <row r="33" spans="1:31" ht="23.25" customHeight="1" x14ac:dyDescent="0.15">
      <c r="A33" s="86" t="s">
        <v>696</v>
      </c>
      <c r="B33" s="86" t="s">
        <v>661</v>
      </c>
      <c r="C33" s="69" t="s">
        <v>489</v>
      </c>
      <c r="D33" s="53" t="s">
        <v>490</v>
      </c>
      <c r="E33" s="53" t="s">
        <v>491</v>
      </c>
      <c r="F33" s="100" t="s">
        <v>145</v>
      </c>
      <c r="G33" s="101">
        <v>1</v>
      </c>
      <c r="H33" s="101">
        <f>합산자재!H27</f>
        <v>3316</v>
      </c>
      <c r="I33" s="101">
        <f>IF(G33*H33&lt;&gt;0, TRUNC(G33*H33,1),"")</f>
        <v>3316</v>
      </c>
      <c r="J33" s="101">
        <v>1</v>
      </c>
      <c r="K33" s="101">
        <f>합산자재!I27</f>
        <v>0</v>
      </c>
      <c r="L33" s="101" t="str">
        <f t="shared" si="1"/>
        <v/>
      </c>
      <c r="M33" s="101">
        <f>합산자재!J27</f>
        <v>0</v>
      </c>
      <c r="N33" s="101" t="str">
        <f t="shared" si="2"/>
        <v/>
      </c>
      <c r="O33" s="101"/>
      <c r="P33" s="101">
        <f t="shared" si="3"/>
        <v>3316</v>
      </c>
      <c r="Q33" s="53"/>
    </row>
    <row r="34" spans="1:31" ht="23.25" customHeight="1" x14ac:dyDescent="0.15">
      <c r="A34" s="86" t="s">
        <v>697</v>
      </c>
      <c r="B34" s="86" t="s">
        <v>661</v>
      </c>
      <c r="C34" s="69" t="s">
        <v>473</v>
      </c>
      <c r="D34" s="53" t="s">
        <v>227</v>
      </c>
      <c r="E34" s="53" t="s">
        <v>474</v>
      </c>
      <c r="F34" s="100" t="s">
        <v>438</v>
      </c>
      <c r="G34" s="101">
        <v>5</v>
      </c>
      <c r="H34" s="101">
        <f>합산자재!H20</f>
        <v>5522</v>
      </c>
      <c r="I34" s="101">
        <f>IF(G34*H34&lt;&gt;0, TRUNC(G34*H34,1),"")</f>
        <v>27610</v>
      </c>
      <c r="J34" s="101">
        <v>5</v>
      </c>
      <c r="K34" s="101">
        <f>합산자재!I20</f>
        <v>0</v>
      </c>
      <c r="L34" s="101" t="str">
        <f t="shared" si="1"/>
        <v/>
      </c>
      <c r="M34" s="101">
        <f>합산자재!J20</f>
        <v>0</v>
      </c>
      <c r="N34" s="101" t="str">
        <f t="shared" si="2"/>
        <v/>
      </c>
      <c r="O34" s="101"/>
      <c r="P34" s="101">
        <f t="shared" si="3"/>
        <v>27610</v>
      </c>
      <c r="Q34" s="53"/>
      <c r="AC34" s="70">
        <f>J34*H34</f>
        <v>27610</v>
      </c>
    </row>
    <row r="35" spans="1:31" ht="23.25" customHeight="1" x14ac:dyDescent="0.15">
      <c r="A35" s="86" t="s">
        <v>698</v>
      </c>
      <c r="B35" s="86" t="s">
        <v>661</v>
      </c>
      <c r="C35" s="69" t="s">
        <v>572</v>
      </c>
      <c r="D35" s="53" t="s">
        <v>573</v>
      </c>
      <c r="E35" s="53" t="s">
        <v>574</v>
      </c>
      <c r="F35" s="100" t="s">
        <v>575</v>
      </c>
      <c r="G35" s="101">
        <v>60</v>
      </c>
      <c r="H35" s="101">
        <f>합산자재!H55</f>
        <v>319</v>
      </c>
      <c r="I35" s="101">
        <f>IF(G35*H35&lt;&gt;0, TRUNC(G35*H35,1),"")</f>
        <v>19140</v>
      </c>
      <c r="J35" s="101">
        <v>60</v>
      </c>
      <c r="K35" s="101">
        <f>합산자재!I55</f>
        <v>830</v>
      </c>
      <c r="L35" s="101">
        <f t="shared" si="1"/>
        <v>49800</v>
      </c>
      <c r="M35" s="101">
        <f>합산자재!J55</f>
        <v>397</v>
      </c>
      <c r="N35" s="101">
        <f t="shared" si="2"/>
        <v>23820</v>
      </c>
      <c r="O35" s="101"/>
      <c r="P35" s="101">
        <f t="shared" si="3"/>
        <v>92760</v>
      </c>
      <c r="Q35" s="53" t="s">
        <v>603</v>
      </c>
      <c r="R35" s="70" t="s">
        <v>683</v>
      </c>
    </row>
    <row r="36" spans="1:31" ht="23.25" customHeight="1" x14ac:dyDescent="0.15">
      <c r="A36" s="86" t="s">
        <v>699</v>
      </c>
      <c r="B36" s="86" t="s">
        <v>661</v>
      </c>
      <c r="C36" s="69" t="s">
        <v>700</v>
      </c>
      <c r="D36" s="53" t="s">
        <v>701</v>
      </c>
      <c r="E36" s="53" t="s">
        <v>702</v>
      </c>
      <c r="F36" s="100" t="s">
        <v>112</v>
      </c>
      <c r="G36" s="101">
        <v>1</v>
      </c>
      <c r="H36" s="101">
        <f>IF(TRUNC((AD36+AC36)/$AD$3,1)*$AD$3-AD36 &lt;0, AC36, TRUNC((AD36+AC36)/$AD$3,1)*$AD$3-AD36)</f>
        <v>552.20000000001164</v>
      </c>
      <c r="I36" s="101">
        <f>H36</f>
        <v>552.20000000001164</v>
      </c>
      <c r="J36" s="101">
        <v>1</v>
      </c>
      <c r="K36" s="101"/>
      <c r="L36" s="101" t="str">
        <f t="shared" si="1"/>
        <v/>
      </c>
      <c r="M36" s="101"/>
      <c r="N36" s="101" t="str">
        <f t="shared" si="2"/>
        <v/>
      </c>
      <c r="O36" s="101"/>
      <c r="P36" s="101">
        <f t="shared" si="3"/>
        <v>552.20000000000005</v>
      </c>
      <c r="Q36" s="53"/>
      <c r="AC36" s="70">
        <f>TRUNC(TRUNC(SUM(AC30:AC35))*옵션!$B$33/100,1)</f>
        <v>552.20000000000005</v>
      </c>
      <c r="AD36" s="70">
        <f>TRUNC(SUM(I30:I35))+TRUNC(SUM(N30:N35))</f>
        <v>413886</v>
      </c>
    </row>
    <row r="37" spans="1:31" ht="23.25" customHeight="1" x14ac:dyDescent="0.15">
      <c r="A37" s="86" t="s">
        <v>616</v>
      </c>
      <c r="B37" s="86" t="s">
        <v>661</v>
      </c>
      <c r="C37" s="69" t="s">
        <v>584</v>
      </c>
      <c r="D37" s="53" t="s">
        <v>577</v>
      </c>
      <c r="E37" s="53" t="s">
        <v>585</v>
      </c>
      <c r="F37" s="100" t="s">
        <v>579</v>
      </c>
      <c r="G37" s="101">
        <f>일위노임!G24</f>
        <v>0.41</v>
      </c>
      <c r="H37" s="101">
        <f>합산자재!H59</f>
        <v>0</v>
      </c>
      <c r="I37" s="101" t="str">
        <f>IF(G37*H37&lt;&gt;0, TRUNC(G37*H37,1),"")</f>
        <v/>
      </c>
      <c r="J37" s="101">
        <v>0.41</v>
      </c>
      <c r="K37" s="101">
        <f>합산자재!I59</f>
        <v>408942</v>
      </c>
      <c r="L37" s="101">
        <f t="shared" si="1"/>
        <v>167666.20000000001</v>
      </c>
      <c r="M37" s="101">
        <f>합산자재!J59</f>
        <v>0</v>
      </c>
      <c r="N37" s="101" t="str">
        <f t="shared" si="2"/>
        <v/>
      </c>
      <c r="O37" s="101"/>
      <c r="P37" s="101">
        <f t="shared" si="3"/>
        <v>167666.20000000001</v>
      </c>
      <c r="Q37" s="53"/>
      <c r="AE37" s="70">
        <f>L37</f>
        <v>167666.20000000001</v>
      </c>
    </row>
    <row r="38" spans="1:31" ht="23.25" customHeight="1" x14ac:dyDescent="0.15">
      <c r="A38" s="86" t="s">
        <v>610</v>
      </c>
      <c r="B38" s="86" t="s">
        <v>661</v>
      </c>
      <c r="C38" s="69" t="s">
        <v>588</v>
      </c>
      <c r="D38" s="53" t="s">
        <v>577</v>
      </c>
      <c r="E38" s="53" t="s">
        <v>589</v>
      </c>
      <c r="F38" s="100" t="s">
        <v>579</v>
      </c>
      <c r="G38" s="101">
        <f>일위노임!G25</f>
        <v>0.59</v>
      </c>
      <c r="H38" s="101">
        <f>합산자재!H61</f>
        <v>0</v>
      </c>
      <c r="I38" s="101" t="str">
        <f>IF(G38*H38&lt;&gt;0, TRUNC(G38*H38,1),"")</f>
        <v/>
      </c>
      <c r="J38" s="101">
        <v>0.59</v>
      </c>
      <c r="K38" s="101">
        <f>합산자재!I61</f>
        <v>172068</v>
      </c>
      <c r="L38" s="101">
        <f t="shared" si="1"/>
        <v>101520.1</v>
      </c>
      <c r="M38" s="101">
        <f>합산자재!J61</f>
        <v>0</v>
      </c>
      <c r="N38" s="101" t="str">
        <f t="shared" si="2"/>
        <v/>
      </c>
      <c r="O38" s="101"/>
      <c r="P38" s="101">
        <f t="shared" si="3"/>
        <v>101520.1</v>
      </c>
      <c r="Q38" s="53"/>
      <c r="AE38" s="70">
        <f>L38</f>
        <v>101520.1</v>
      </c>
    </row>
    <row r="39" spans="1:31" ht="23.25" customHeight="1" x14ac:dyDescent="0.15">
      <c r="A39" s="86" t="s">
        <v>620</v>
      </c>
      <c r="B39" s="86" t="s">
        <v>661</v>
      </c>
      <c r="C39" s="69" t="s">
        <v>590</v>
      </c>
      <c r="D39" s="53" t="s">
        <v>577</v>
      </c>
      <c r="E39" s="53" t="s">
        <v>591</v>
      </c>
      <c r="F39" s="100" t="s">
        <v>579</v>
      </c>
      <c r="G39" s="101">
        <f>일위노임!G26</f>
        <v>7.0000000000000007E-2</v>
      </c>
      <c r="H39" s="101">
        <f>합산자재!H62</f>
        <v>0</v>
      </c>
      <c r="I39" s="101" t="str">
        <f>IF(G39*H39&lt;&gt;0, TRUNC(G39*H39,1),"")</f>
        <v/>
      </c>
      <c r="J39" s="101">
        <v>7.0000000000000007E-2</v>
      </c>
      <c r="K39" s="101">
        <f>합산자재!I62</f>
        <v>226122</v>
      </c>
      <c r="L39" s="101">
        <f t="shared" si="1"/>
        <v>15828.5</v>
      </c>
      <c r="M39" s="101">
        <f>합산자재!J62</f>
        <v>0</v>
      </c>
      <c r="N39" s="101" t="str">
        <f t="shared" si="2"/>
        <v/>
      </c>
      <c r="O39" s="101"/>
      <c r="P39" s="101">
        <f t="shared" si="3"/>
        <v>15828.5</v>
      </c>
      <c r="Q39" s="53"/>
      <c r="AE39" s="70">
        <f>L39</f>
        <v>15828.5</v>
      </c>
    </row>
    <row r="40" spans="1:31" ht="23.25" customHeight="1" x14ac:dyDescent="0.15">
      <c r="A40" s="86" t="s">
        <v>689</v>
      </c>
      <c r="B40" s="86" t="s">
        <v>661</v>
      </c>
      <c r="C40" s="69" t="s">
        <v>690</v>
      </c>
      <c r="D40" s="53" t="s">
        <v>691</v>
      </c>
      <c r="E40" s="53" t="s">
        <v>692</v>
      </c>
      <c r="F40" s="100" t="s">
        <v>112</v>
      </c>
      <c r="G40" s="101">
        <v>1</v>
      </c>
      <c r="H40" s="101">
        <f>IF(TRUNC((AD41+AC41)/$AE$3,1)*$AE$3-AD41 &lt;0, AC41, TRUNC((AD41+AC41)/$AE$3,1)*$AE$3-AD41)</f>
        <v>8550.4000000000233</v>
      </c>
      <c r="I40" s="101">
        <f>H40</f>
        <v>8550.4000000000233</v>
      </c>
      <c r="J40" s="101">
        <v>1</v>
      </c>
      <c r="K40" s="101"/>
      <c r="L40" s="101" t="str">
        <f t="shared" si="1"/>
        <v/>
      </c>
      <c r="M40" s="101"/>
      <c r="N40" s="101" t="str">
        <f t="shared" si="2"/>
        <v/>
      </c>
      <c r="O40" s="101"/>
      <c r="P40" s="101">
        <f t="shared" si="3"/>
        <v>8550.4</v>
      </c>
      <c r="Q40" s="53"/>
    </row>
    <row r="41" spans="1:31" ht="23.25" customHeight="1" x14ac:dyDescent="0.15">
      <c r="B41" s="86" t="s">
        <v>676</v>
      </c>
      <c r="D41" s="53" t="s">
        <v>677</v>
      </c>
      <c r="E41" s="53"/>
      <c r="F41" s="100"/>
      <c r="G41" s="101"/>
      <c r="H41" s="101"/>
      <c r="I41" s="101">
        <f>TRUNC(SUM(I30:I40))</f>
        <v>399168</v>
      </c>
      <c r="J41" s="101"/>
      <c r="K41" s="101"/>
      <c r="L41" s="101">
        <f>TRUNC(SUM(L30:L40))</f>
        <v>334814</v>
      </c>
      <c r="M41" s="101"/>
      <c r="N41" s="101">
        <f>TRUNC(SUM(N30:N40))</f>
        <v>23820</v>
      </c>
      <c r="O41" s="101"/>
      <c r="P41" s="101">
        <f t="shared" si="3"/>
        <v>757802</v>
      </c>
      <c r="Q41" s="53"/>
      <c r="AC41" s="70">
        <f>TRUNC(AE41*옵션!$B$36/100,1)</f>
        <v>8550.4</v>
      </c>
      <c r="AD41" s="70">
        <f>TRUNC(SUM(L30:L39))</f>
        <v>334814</v>
      </c>
      <c r="AE41" s="70">
        <f>TRUNC(SUM(AE30:AE40))</f>
        <v>285014</v>
      </c>
    </row>
    <row r="42" spans="1:31" ht="23.25" customHeight="1" x14ac:dyDescent="0.15">
      <c r="D42" s="53"/>
      <c r="E42" s="53"/>
      <c r="F42" s="100"/>
      <c r="G42" s="101"/>
      <c r="H42" s="101"/>
      <c r="I42" s="101" t="str">
        <f>IF(G42*H42&lt;&gt;0, TRUNC(G42*H42,1),"")</f>
        <v/>
      </c>
      <c r="J42" s="101"/>
      <c r="K42" s="101"/>
      <c r="L42" s="101" t="str">
        <f>IF(G42*K42&lt;&gt;0, TRUNC(G42*K42,1),"")</f>
        <v/>
      </c>
      <c r="M42" s="101"/>
      <c r="N42" s="101" t="str">
        <f>IF(G42*M42&lt;&gt;0, TRUNC(G42*M42,1),"")</f>
        <v/>
      </c>
      <c r="O42" s="101"/>
      <c r="P42" s="101" t="str">
        <f t="shared" si="3"/>
        <v/>
      </c>
      <c r="Q42" s="53"/>
    </row>
    <row r="43" spans="1:31" ht="23.25" customHeight="1" x14ac:dyDescent="0.15">
      <c r="A43" s="86" t="s">
        <v>190</v>
      </c>
      <c r="B43" s="86" t="s">
        <v>674</v>
      </c>
      <c r="C43" s="69" t="s">
        <v>662</v>
      </c>
      <c r="D43" s="395" t="s">
        <v>703</v>
      </c>
      <c r="E43" s="396"/>
      <c r="F43" s="396"/>
      <c r="G43" s="396"/>
      <c r="H43" s="396"/>
      <c r="I43" s="396"/>
      <c r="J43" s="396"/>
      <c r="K43" s="396"/>
      <c r="L43" s="396"/>
      <c r="M43" s="396"/>
      <c r="N43" s="396"/>
      <c r="O43" s="396"/>
      <c r="P43" s="396"/>
      <c r="Q43" s="397"/>
    </row>
    <row r="44" spans="1:31" ht="23.25" customHeight="1" x14ac:dyDescent="0.15">
      <c r="A44" s="86" t="s">
        <v>704</v>
      </c>
      <c r="B44" s="86" t="s">
        <v>663</v>
      </c>
      <c r="C44" s="69" t="s">
        <v>459</v>
      </c>
      <c r="D44" s="53" t="s">
        <v>460</v>
      </c>
      <c r="E44" s="53" t="s">
        <v>461</v>
      </c>
      <c r="F44" s="100" t="s">
        <v>145</v>
      </c>
      <c r="G44" s="101">
        <v>1</v>
      </c>
      <c r="H44" s="101">
        <f>합산자재!H16</f>
        <v>373</v>
      </c>
      <c r="I44" s="101">
        <f t="shared" ref="I44:I49" si="4">IF(G44*H44&lt;&gt;0, TRUNC(G44*H44,1),"")</f>
        <v>373</v>
      </c>
      <c r="J44" s="101">
        <v>1</v>
      </c>
      <c r="K44" s="101">
        <f>합산자재!I16</f>
        <v>0</v>
      </c>
      <c r="L44" s="101" t="str">
        <f t="shared" ref="L44:L50" si="5">IF(G44*K44&lt;&gt;0, TRUNC(G44*K44,1),"")</f>
        <v/>
      </c>
      <c r="M44" s="101">
        <f>합산자재!J16</f>
        <v>0</v>
      </c>
      <c r="N44" s="101" t="str">
        <f t="shared" ref="N44:N50" si="6">IF(G44*M44&lt;&gt;0, TRUNC(G44*M44,1),"")</f>
        <v/>
      </c>
      <c r="O44" s="101"/>
      <c r="P44" s="101">
        <f t="shared" ref="P44:P52" si="7">IF(SUM(I44,L44,N44)&lt;&gt;0,TRUNC(SUM(I44,L44,N44),1),"")</f>
        <v>373</v>
      </c>
      <c r="Q44" s="53"/>
    </row>
    <row r="45" spans="1:31" ht="23.25" customHeight="1" x14ac:dyDescent="0.15">
      <c r="A45" s="86" t="s">
        <v>705</v>
      </c>
      <c r="B45" s="86" t="s">
        <v>663</v>
      </c>
      <c r="C45" s="69" t="s">
        <v>466</v>
      </c>
      <c r="D45" s="53" t="s">
        <v>467</v>
      </c>
      <c r="E45" s="53" t="s">
        <v>468</v>
      </c>
      <c r="F45" s="100" t="s">
        <v>145</v>
      </c>
      <c r="G45" s="101">
        <v>1</v>
      </c>
      <c r="H45" s="101">
        <f>합산자재!H18</f>
        <v>1017</v>
      </c>
      <c r="I45" s="101">
        <f t="shared" si="4"/>
        <v>1017</v>
      </c>
      <c r="J45" s="101">
        <v>1</v>
      </c>
      <c r="K45" s="101">
        <f>합산자재!I18</f>
        <v>0</v>
      </c>
      <c r="L45" s="101" t="str">
        <f t="shared" si="5"/>
        <v/>
      </c>
      <c r="M45" s="101">
        <f>합산자재!J18</f>
        <v>0</v>
      </c>
      <c r="N45" s="101" t="str">
        <f t="shared" si="6"/>
        <v/>
      </c>
      <c r="O45" s="101"/>
      <c r="P45" s="101">
        <f t="shared" si="7"/>
        <v>1017</v>
      </c>
      <c r="Q45" s="53"/>
    </row>
    <row r="46" spans="1:31" ht="23.25" customHeight="1" x14ac:dyDescent="0.15">
      <c r="A46" s="86" t="s">
        <v>706</v>
      </c>
      <c r="B46" s="86" t="s">
        <v>663</v>
      </c>
      <c r="C46" s="69" t="s">
        <v>462</v>
      </c>
      <c r="D46" s="53" t="s">
        <v>463</v>
      </c>
      <c r="E46" s="53" t="s">
        <v>464</v>
      </c>
      <c r="F46" s="100" t="s">
        <v>145</v>
      </c>
      <c r="G46" s="101">
        <v>1</v>
      </c>
      <c r="H46" s="101">
        <f>합산자재!H17</f>
        <v>200</v>
      </c>
      <c r="I46" s="101">
        <f t="shared" si="4"/>
        <v>200</v>
      </c>
      <c r="J46" s="101">
        <v>1</v>
      </c>
      <c r="K46" s="101">
        <f>합산자재!I17</f>
        <v>0</v>
      </c>
      <c r="L46" s="101" t="str">
        <f t="shared" si="5"/>
        <v/>
      </c>
      <c r="M46" s="101">
        <f>합산자재!J17</f>
        <v>0</v>
      </c>
      <c r="N46" s="101" t="str">
        <f t="shared" si="6"/>
        <v/>
      </c>
      <c r="O46" s="101"/>
      <c r="P46" s="101">
        <f t="shared" si="7"/>
        <v>200</v>
      </c>
      <c r="Q46" s="53"/>
    </row>
    <row r="47" spans="1:31" ht="23.25" customHeight="1" x14ac:dyDescent="0.15">
      <c r="A47" s="86" t="s">
        <v>707</v>
      </c>
      <c r="B47" s="86" t="s">
        <v>663</v>
      </c>
      <c r="C47" s="69" t="s">
        <v>503</v>
      </c>
      <c r="D47" s="53" t="s">
        <v>504</v>
      </c>
      <c r="E47" s="53" t="s">
        <v>505</v>
      </c>
      <c r="F47" s="100" t="s">
        <v>137</v>
      </c>
      <c r="G47" s="101">
        <v>2</v>
      </c>
      <c r="H47" s="101">
        <f>합산자재!H31</f>
        <v>28</v>
      </c>
      <c r="I47" s="101">
        <f t="shared" si="4"/>
        <v>56</v>
      </c>
      <c r="J47" s="101">
        <v>2</v>
      </c>
      <c r="K47" s="101">
        <f>합산자재!I31</f>
        <v>0</v>
      </c>
      <c r="L47" s="101" t="str">
        <f t="shared" si="5"/>
        <v/>
      </c>
      <c r="M47" s="101">
        <f>합산자재!J31</f>
        <v>0</v>
      </c>
      <c r="N47" s="101" t="str">
        <f t="shared" si="6"/>
        <v/>
      </c>
      <c r="O47" s="101"/>
      <c r="P47" s="101">
        <f t="shared" si="7"/>
        <v>56</v>
      </c>
      <c r="Q47" s="53"/>
    </row>
    <row r="48" spans="1:31" ht="23.25" customHeight="1" x14ac:dyDescent="0.15">
      <c r="A48" s="86" t="s">
        <v>708</v>
      </c>
      <c r="B48" s="86" t="s">
        <v>663</v>
      </c>
      <c r="C48" s="69" t="s">
        <v>507</v>
      </c>
      <c r="D48" s="53" t="s">
        <v>508</v>
      </c>
      <c r="E48" s="53" t="s">
        <v>509</v>
      </c>
      <c r="F48" s="100" t="s">
        <v>145</v>
      </c>
      <c r="G48" s="101">
        <v>2</v>
      </c>
      <c r="H48" s="101">
        <f>합산자재!H32</f>
        <v>10</v>
      </c>
      <c r="I48" s="101">
        <f t="shared" si="4"/>
        <v>20</v>
      </c>
      <c r="J48" s="101">
        <v>2</v>
      </c>
      <c r="K48" s="101">
        <f>합산자재!I32</f>
        <v>0</v>
      </c>
      <c r="L48" s="101" t="str">
        <f t="shared" si="5"/>
        <v/>
      </c>
      <c r="M48" s="101">
        <f>합산자재!J32</f>
        <v>0</v>
      </c>
      <c r="N48" s="101" t="str">
        <f t="shared" si="6"/>
        <v/>
      </c>
      <c r="O48" s="101"/>
      <c r="P48" s="101">
        <f t="shared" si="7"/>
        <v>20</v>
      </c>
      <c r="Q48" s="53"/>
    </row>
    <row r="49" spans="1:31" ht="23.25" customHeight="1" x14ac:dyDescent="0.15">
      <c r="A49" s="86" t="s">
        <v>623</v>
      </c>
      <c r="B49" s="86" t="s">
        <v>663</v>
      </c>
      <c r="C49" s="69" t="s">
        <v>576</v>
      </c>
      <c r="D49" s="53" t="s">
        <v>577</v>
      </c>
      <c r="E49" s="53" t="s">
        <v>578</v>
      </c>
      <c r="F49" s="100" t="s">
        <v>579</v>
      </c>
      <c r="G49" s="101">
        <f>일위노임!G29</f>
        <v>0.06</v>
      </c>
      <c r="H49" s="101">
        <f>합산자재!H56</f>
        <v>0</v>
      </c>
      <c r="I49" s="101" t="str">
        <f t="shared" si="4"/>
        <v/>
      </c>
      <c r="J49" s="101">
        <v>0.06</v>
      </c>
      <c r="K49" s="101">
        <f>합산자재!I56</f>
        <v>284880</v>
      </c>
      <c r="L49" s="101">
        <f t="shared" si="5"/>
        <v>17092.8</v>
      </c>
      <c r="M49" s="101">
        <f>합산자재!J56</f>
        <v>0</v>
      </c>
      <c r="N49" s="101" t="str">
        <f t="shared" si="6"/>
        <v/>
      </c>
      <c r="O49" s="101"/>
      <c r="P49" s="101">
        <f t="shared" si="7"/>
        <v>17092.8</v>
      </c>
      <c r="Q49" s="53"/>
      <c r="Z49" s="70" t="s">
        <v>678</v>
      </c>
      <c r="AE49" s="70">
        <f>L49</f>
        <v>17092.8</v>
      </c>
    </row>
    <row r="50" spans="1:31" ht="23.25" customHeight="1" x14ac:dyDescent="0.15">
      <c r="A50" s="86" t="s">
        <v>689</v>
      </c>
      <c r="B50" s="86" t="s">
        <v>663</v>
      </c>
      <c r="C50" s="69" t="s">
        <v>690</v>
      </c>
      <c r="D50" s="53" t="s">
        <v>691</v>
      </c>
      <c r="E50" s="53" t="s">
        <v>692</v>
      </c>
      <c r="F50" s="100" t="s">
        <v>112</v>
      </c>
      <c r="G50" s="101">
        <v>1</v>
      </c>
      <c r="H50" s="101">
        <f>IF(TRUNC((AD51+AC51)/$AE$3,1)*$AE$3-AD51 &lt;0, AC51, TRUNC((AD51+AC51)/$AE$3,1)*$AE$3-AD51)</f>
        <v>512.70000000000073</v>
      </c>
      <c r="I50" s="101">
        <f>H50</f>
        <v>512.70000000000073</v>
      </c>
      <c r="J50" s="101">
        <v>1</v>
      </c>
      <c r="K50" s="101"/>
      <c r="L50" s="101" t="str">
        <f t="shared" si="5"/>
        <v/>
      </c>
      <c r="M50" s="101"/>
      <c r="N50" s="101" t="str">
        <f t="shared" si="6"/>
        <v/>
      </c>
      <c r="O50" s="101"/>
      <c r="P50" s="101">
        <f t="shared" si="7"/>
        <v>512.70000000000005</v>
      </c>
      <c r="Q50" s="53"/>
    </row>
    <row r="51" spans="1:31" ht="23.25" customHeight="1" x14ac:dyDescent="0.15">
      <c r="B51" s="86" t="s">
        <v>676</v>
      </c>
      <c r="D51" s="53" t="s">
        <v>677</v>
      </c>
      <c r="E51" s="53"/>
      <c r="F51" s="100"/>
      <c r="G51" s="101"/>
      <c r="H51" s="101"/>
      <c r="I51" s="101">
        <f>TRUNC(SUM(I43:I50))</f>
        <v>2178</v>
      </c>
      <c r="J51" s="101"/>
      <c r="K51" s="101"/>
      <c r="L51" s="101">
        <f>TRUNC(SUM(L43:L50))</f>
        <v>17092</v>
      </c>
      <c r="M51" s="101"/>
      <c r="N51" s="101">
        <f>TRUNC(SUM(N43:N50))</f>
        <v>0</v>
      </c>
      <c r="O51" s="101"/>
      <c r="P51" s="101">
        <f t="shared" si="7"/>
        <v>19270</v>
      </c>
      <c r="Q51" s="53"/>
      <c r="AC51" s="70">
        <f>TRUNC(AE51*옵션!$B$36/100,1)</f>
        <v>512.70000000000005</v>
      </c>
      <c r="AD51" s="70">
        <f>TRUNC(SUM(L43:L49))</f>
        <v>17092</v>
      </c>
      <c r="AE51" s="70">
        <f>TRUNC(SUM(AE43:AE50))</f>
        <v>17092</v>
      </c>
    </row>
    <row r="52" spans="1:31" ht="23.25" customHeight="1" x14ac:dyDescent="0.15">
      <c r="D52" s="53"/>
      <c r="E52" s="53"/>
      <c r="F52" s="100"/>
      <c r="G52" s="101"/>
      <c r="H52" s="101"/>
      <c r="I52" s="101" t="str">
        <f>IF(G52*H52&lt;&gt;0, TRUNC(G52*H52,1),"")</f>
        <v/>
      </c>
      <c r="J52" s="101"/>
      <c r="K52" s="101"/>
      <c r="L52" s="101" t="str">
        <f>IF(G52*K52&lt;&gt;0, TRUNC(G52*K52,1),"")</f>
        <v/>
      </c>
      <c r="M52" s="101"/>
      <c r="N52" s="101" t="str">
        <f>IF(G52*M52&lt;&gt;0, TRUNC(G52*M52,1),"")</f>
        <v/>
      </c>
      <c r="O52" s="101"/>
      <c r="P52" s="101" t="str">
        <f t="shared" si="7"/>
        <v/>
      </c>
      <c r="Q52" s="53"/>
    </row>
    <row r="53" spans="1:31" ht="23.25" customHeight="1" x14ac:dyDescent="0.15">
      <c r="A53" s="86" t="s">
        <v>664</v>
      </c>
      <c r="B53" s="86" t="s">
        <v>674</v>
      </c>
      <c r="C53" s="69" t="s">
        <v>665</v>
      </c>
      <c r="D53" s="395" t="s">
        <v>709</v>
      </c>
      <c r="E53" s="396"/>
      <c r="F53" s="396"/>
      <c r="G53" s="396"/>
      <c r="H53" s="396"/>
      <c r="I53" s="396"/>
      <c r="J53" s="396"/>
      <c r="K53" s="396"/>
      <c r="L53" s="396"/>
      <c r="M53" s="396"/>
      <c r="N53" s="396"/>
      <c r="O53" s="396"/>
      <c r="P53" s="396"/>
      <c r="Q53" s="397"/>
    </row>
    <row r="54" spans="1:31" ht="23.25" customHeight="1" x14ac:dyDescent="0.15">
      <c r="A54" s="86" t="s">
        <v>710</v>
      </c>
      <c r="B54" s="86" t="s">
        <v>666</v>
      </c>
      <c r="C54" s="69" t="s">
        <v>558</v>
      </c>
      <c r="D54" s="53" t="s">
        <v>559</v>
      </c>
      <c r="E54" s="53" t="s">
        <v>560</v>
      </c>
      <c r="F54" s="100" t="s">
        <v>137</v>
      </c>
      <c r="G54" s="101">
        <v>1</v>
      </c>
      <c r="H54" s="101">
        <f>합산자재!H51</f>
        <v>258000</v>
      </c>
      <c r="I54" s="101">
        <f t="shared" ref="I54:I75" si="8">IF(G54*H54&lt;&gt;0, TRUNC(G54*H54,1),"")</f>
        <v>258000</v>
      </c>
      <c r="J54" s="101">
        <v>1</v>
      </c>
      <c r="K54" s="101">
        <f>합산자재!I51</f>
        <v>0</v>
      </c>
      <c r="L54" s="101" t="str">
        <f t="shared" ref="L54:L76" si="9">IF(G54*K54&lt;&gt;0, TRUNC(G54*K54,1),"")</f>
        <v/>
      </c>
      <c r="M54" s="101">
        <f>합산자재!J51</f>
        <v>0</v>
      </c>
      <c r="N54" s="101" t="str">
        <f t="shared" ref="N54:N76" si="10">IF(G54*M54&lt;&gt;0, TRUNC(G54*M54,1),"")</f>
        <v/>
      </c>
      <c r="O54" s="101"/>
      <c r="P54" s="101">
        <f t="shared" ref="P54:P78" si="11">IF(SUM(I54,L54,N54)&lt;&gt;0,TRUNC(SUM(I54,L54,N54),1),"")</f>
        <v>258000</v>
      </c>
      <c r="Q54" s="53"/>
    </row>
    <row r="55" spans="1:31" ht="23.25" customHeight="1" x14ac:dyDescent="0.15">
      <c r="A55" s="86" t="s">
        <v>711</v>
      </c>
      <c r="B55" s="86" t="s">
        <v>666</v>
      </c>
      <c r="C55" s="69" t="s">
        <v>522</v>
      </c>
      <c r="D55" s="53" t="s">
        <v>523</v>
      </c>
      <c r="E55" s="53" t="s">
        <v>524</v>
      </c>
      <c r="F55" s="100" t="s">
        <v>137</v>
      </c>
      <c r="G55" s="101">
        <v>1</v>
      </c>
      <c r="H55" s="101">
        <f>합산자재!H37</f>
        <v>78000</v>
      </c>
      <c r="I55" s="101">
        <f t="shared" si="8"/>
        <v>78000</v>
      </c>
      <c r="J55" s="101">
        <v>1</v>
      </c>
      <c r="K55" s="101">
        <f>합산자재!I37</f>
        <v>0</v>
      </c>
      <c r="L55" s="101" t="str">
        <f t="shared" si="9"/>
        <v/>
      </c>
      <c r="M55" s="101">
        <f>합산자재!J37</f>
        <v>0</v>
      </c>
      <c r="N55" s="101" t="str">
        <f t="shared" si="10"/>
        <v/>
      </c>
      <c r="O55" s="101"/>
      <c r="P55" s="101">
        <f t="shared" si="11"/>
        <v>78000</v>
      </c>
      <c r="Q55" s="53"/>
    </row>
    <row r="56" spans="1:31" ht="23.25" customHeight="1" x14ac:dyDescent="0.15">
      <c r="A56" s="86" t="s">
        <v>712</v>
      </c>
      <c r="B56" s="86" t="s">
        <v>666</v>
      </c>
      <c r="C56" s="69" t="s">
        <v>531</v>
      </c>
      <c r="D56" s="53" t="s">
        <v>532</v>
      </c>
      <c r="E56" s="53" t="s">
        <v>533</v>
      </c>
      <c r="F56" s="100" t="s">
        <v>137</v>
      </c>
      <c r="G56" s="101">
        <v>4</v>
      </c>
      <c r="H56" s="101">
        <f>합산자재!H40</f>
        <v>4000</v>
      </c>
      <c r="I56" s="101">
        <f t="shared" si="8"/>
        <v>16000</v>
      </c>
      <c r="J56" s="101">
        <v>4</v>
      </c>
      <c r="K56" s="101">
        <f>합산자재!I40</f>
        <v>0</v>
      </c>
      <c r="L56" s="101" t="str">
        <f t="shared" si="9"/>
        <v/>
      </c>
      <c r="M56" s="101">
        <f>합산자재!J40</f>
        <v>0</v>
      </c>
      <c r="N56" s="101" t="str">
        <f t="shared" si="10"/>
        <v/>
      </c>
      <c r="O56" s="101"/>
      <c r="P56" s="101">
        <f t="shared" si="11"/>
        <v>16000</v>
      </c>
      <c r="Q56" s="53"/>
    </row>
    <row r="57" spans="1:31" ht="23.25" customHeight="1" x14ac:dyDescent="0.15">
      <c r="A57" s="86" t="s">
        <v>713</v>
      </c>
      <c r="B57" s="86" t="s">
        <v>666</v>
      </c>
      <c r="C57" s="69" t="s">
        <v>525</v>
      </c>
      <c r="D57" s="53" t="s">
        <v>526</v>
      </c>
      <c r="E57" s="53" t="s">
        <v>527</v>
      </c>
      <c r="F57" s="100" t="s">
        <v>137</v>
      </c>
      <c r="G57" s="101">
        <v>1</v>
      </c>
      <c r="H57" s="101">
        <f>합산자재!H38</f>
        <v>435000</v>
      </c>
      <c r="I57" s="101">
        <f t="shared" si="8"/>
        <v>435000</v>
      </c>
      <c r="J57" s="101">
        <v>1</v>
      </c>
      <c r="K57" s="101">
        <f>합산자재!I38</f>
        <v>0</v>
      </c>
      <c r="L57" s="101" t="str">
        <f t="shared" si="9"/>
        <v/>
      </c>
      <c r="M57" s="101">
        <f>합산자재!J38</f>
        <v>0</v>
      </c>
      <c r="N57" s="101" t="str">
        <f t="shared" si="10"/>
        <v/>
      </c>
      <c r="O57" s="101"/>
      <c r="P57" s="101">
        <f t="shared" si="11"/>
        <v>435000</v>
      </c>
      <c r="Q57" s="53"/>
    </row>
    <row r="58" spans="1:31" ht="23.25" customHeight="1" x14ac:dyDescent="0.15">
      <c r="A58" s="86" t="s">
        <v>714</v>
      </c>
      <c r="B58" s="86" t="s">
        <v>666</v>
      </c>
      <c r="C58" s="69" t="s">
        <v>534</v>
      </c>
      <c r="D58" s="53" t="s">
        <v>535</v>
      </c>
      <c r="E58" s="53" t="s">
        <v>536</v>
      </c>
      <c r="F58" s="100" t="s">
        <v>137</v>
      </c>
      <c r="G58" s="101">
        <v>1</v>
      </c>
      <c r="H58" s="101">
        <f>합산자재!H41</f>
        <v>150000</v>
      </c>
      <c r="I58" s="101">
        <f t="shared" si="8"/>
        <v>150000</v>
      </c>
      <c r="J58" s="101">
        <v>1</v>
      </c>
      <c r="K58" s="101">
        <f>합산자재!I41</f>
        <v>0</v>
      </c>
      <c r="L58" s="101" t="str">
        <f t="shared" si="9"/>
        <v/>
      </c>
      <c r="M58" s="101">
        <f>합산자재!J41</f>
        <v>0</v>
      </c>
      <c r="N58" s="101" t="str">
        <f t="shared" si="10"/>
        <v/>
      </c>
      <c r="O58" s="101"/>
      <c r="P58" s="101">
        <f t="shared" si="11"/>
        <v>150000</v>
      </c>
      <c r="Q58" s="53"/>
    </row>
    <row r="59" spans="1:31" ht="23.25" customHeight="1" x14ac:dyDescent="0.15">
      <c r="A59" s="86" t="s">
        <v>715</v>
      </c>
      <c r="B59" s="86" t="s">
        <v>666</v>
      </c>
      <c r="C59" s="69" t="s">
        <v>528</v>
      </c>
      <c r="D59" s="53" t="s">
        <v>529</v>
      </c>
      <c r="E59" s="53" t="s">
        <v>530</v>
      </c>
      <c r="F59" s="100" t="s">
        <v>137</v>
      </c>
      <c r="G59" s="101">
        <v>1</v>
      </c>
      <c r="H59" s="101">
        <f>합산자재!H39</f>
        <v>60000</v>
      </c>
      <c r="I59" s="101">
        <f t="shared" si="8"/>
        <v>60000</v>
      </c>
      <c r="J59" s="101">
        <v>1</v>
      </c>
      <c r="K59" s="101">
        <f>합산자재!I39</f>
        <v>0</v>
      </c>
      <c r="L59" s="101" t="str">
        <f t="shared" si="9"/>
        <v/>
      </c>
      <c r="M59" s="101">
        <f>합산자재!J39</f>
        <v>0</v>
      </c>
      <c r="N59" s="101" t="str">
        <f t="shared" si="10"/>
        <v/>
      </c>
      <c r="O59" s="101"/>
      <c r="P59" s="101">
        <f t="shared" si="11"/>
        <v>60000</v>
      </c>
      <c r="Q59" s="53"/>
      <c r="Z59" s="70" t="s">
        <v>678</v>
      </c>
    </row>
    <row r="60" spans="1:31" ht="23.25" customHeight="1" x14ac:dyDescent="0.15">
      <c r="A60" s="86" t="s">
        <v>716</v>
      </c>
      <c r="B60" s="86" t="s">
        <v>666</v>
      </c>
      <c r="C60" s="69" t="s">
        <v>561</v>
      </c>
      <c r="D60" s="53" t="s">
        <v>562</v>
      </c>
      <c r="E60" s="53" t="s">
        <v>563</v>
      </c>
      <c r="F60" s="100" t="s">
        <v>137</v>
      </c>
      <c r="G60" s="101">
        <v>1</v>
      </c>
      <c r="H60" s="101">
        <f>합산자재!H52</f>
        <v>15000</v>
      </c>
      <c r="I60" s="101">
        <f t="shared" si="8"/>
        <v>15000</v>
      </c>
      <c r="J60" s="101">
        <v>1</v>
      </c>
      <c r="K60" s="101">
        <f>합산자재!I52</f>
        <v>0</v>
      </c>
      <c r="L60" s="101" t="str">
        <f t="shared" si="9"/>
        <v/>
      </c>
      <c r="M60" s="101">
        <f>합산자재!J52</f>
        <v>0</v>
      </c>
      <c r="N60" s="101" t="str">
        <f t="shared" si="10"/>
        <v/>
      </c>
      <c r="O60" s="101"/>
      <c r="P60" s="101">
        <f t="shared" si="11"/>
        <v>15000</v>
      </c>
      <c r="Q60" s="53"/>
    </row>
    <row r="61" spans="1:31" ht="23.25" customHeight="1" x14ac:dyDescent="0.15">
      <c r="A61" s="86" t="s">
        <v>717</v>
      </c>
      <c r="B61" s="86" t="s">
        <v>666</v>
      </c>
      <c r="C61" s="69" t="s">
        <v>513</v>
      </c>
      <c r="D61" s="53" t="s">
        <v>514</v>
      </c>
      <c r="E61" s="53" t="s">
        <v>515</v>
      </c>
      <c r="F61" s="100" t="s">
        <v>137</v>
      </c>
      <c r="G61" s="101">
        <v>1</v>
      </c>
      <c r="H61" s="101">
        <f>합산자재!H35</f>
        <v>8000</v>
      </c>
      <c r="I61" s="101">
        <f t="shared" si="8"/>
        <v>8000</v>
      </c>
      <c r="J61" s="101">
        <v>1</v>
      </c>
      <c r="K61" s="101">
        <f>합산자재!I35</f>
        <v>0</v>
      </c>
      <c r="L61" s="101" t="str">
        <f t="shared" si="9"/>
        <v/>
      </c>
      <c r="M61" s="101">
        <f>합산자재!J35</f>
        <v>0</v>
      </c>
      <c r="N61" s="101" t="str">
        <f t="shared" si="10"/>
        <v/>
      </c>
      <c r="O61" s="101"/>
      <c r="P61" s="101">
        <f t="shared" si="11"/>
        <v>8000</v>
      </c>
      <c r="Q61" s="53"/>
    </row>
    <row r="62" spans="1:31" ht="23.25" customHeight="1" x14ac:dyDescent="0.15">
      <c r="A62" s="86" t="s">
        <v>718</v>
      </c>
      <c r="B62" s="86" t="s">
        <v>666</v>
      </c>
      <c r="C62" s="69" t="s">
        <v>544</v>
      </c>
      <c r="D62" s="53" t="s">
        <v>545</v>
      </c>
      <c r="E62" s="53" t="s">
        <v>546</v>
      </c>
      <c r="F62" s="100" t="s">
        <v>137</v>
      </c>
      <c r="G62" s="101">
        <v>4</v>
      </c>
      <c r="H62" s="101">
        <f>합산자재!H45</f>
        <v>7000</v>
      </c>
      <c r="I62" s="101">
        <f t="shared" si="8"/>
        <v>28000</v>
      </c>
      <c r="J62" s="101">
        <v>4</v>
      </c>
      <c r="K62" s="101">
        <f>합산자재!I45</f>
        <v>0</v>
      </c>
      <c r="L62" s="101" t="str">
        <f t="shared" si="9"/>
        <v/>
      </c>
      <c r="M62" s="101">
        <f>합산자재!J45</f>
        <v>0</v>
      </c>
      <c r="N62" s="101" t="str">
        <f t="shared" si="10"/>
        <v/>
      </c>
      <c r="O62" s="101"/>
      <c r="P62" s="101">
        <f t="shared" si="11"/>
        <v>28000</v>
      </c>
      <c r="Q62" s="53"/>
      <c r="Z62" s="70" t="s">
        <v>678</v>
      </c>
    </row>
    <row r="63" spans="1:31" ht="23.25" customHeight="1" x14ac:dyDescent="0.15">
      <c r="A63" s="86" t="s">
        <v>719</v>
      </c>
      <c r="B63" s="86" t="s">
        <v>666</v>
      </c>
      <c r="C63" s="69" t="s">
        <v>519</v>
      </c>
      <c r="D63" s="53" t="s">
        <v>520</v>
      </c>
      <c r="E63" s="53" t="s">
        <v>521</v>
      </c>
      <c r="F63" s="100" t="s">
        <v>137</v>
      </c>
      <c r="G63" s="101">
        <v>1</v>
      </c>
      <c r="H63" s="101">
        <f>합산자재!H36</f>
        <v>25000</v>
      </c>
      <c r="I63" s="101">
        <f t="shared" si="8"/>
        <v>25000</v>
      </c>
      <c r="J63" s="101">
        <v>1</v>
      </c>
      <c r="K63" s="101">
        <f>합산자재!I36</f>
        <v>0</v>
      </c>
      <c r="L63" s="101" t="str">
        <f t="shared" si="9"/>
        <v/>
      </c>
      <c r="M63" s="101">
        <f>합산자재!J36</f>
        <v>0</v>
      </c>
      <c r="N63" s="101" t="str">
        <f t="shared" si="10"/>
        <v/>
      </c>
      <c r="O63" s="101"/>
      <c r="P63" s="101">
        <f t="shared" si="11"/>
        <v>25000</v>
      </c>
      <c r="Q63" s="53"/>
    </row>
    <row r="64" spans="1:31" ht="23.25" customHeight="1" x14ac:dyDescent="0.15">
      <c r="A64" s="86" t="s">
        <v>720</v>
      </c>
      <c r="B64" s="86" t="s">
        <v>666</v>
      </c>
      <c r="C64" s="69" t="s">
        <v>541</v>
      </c>
      <c r="D64" s="53" t="s">
        <v>542</v>
      </c>
      <c r="E64" s="53" t="s">
        <v>543</v>
      </c>
      <c r="F64" s="100" t="s">
        <v>137</v>
      </c>
      <c r="G64" s="101">
        <v>1</v>
      </c>
      <c r="H64" s="101">
        <f>합산자재!H44</f>
        <v>150000</v>
      </c>
      <c r="I64" s="101">
        <f t="shared" si="8"/>
        <v>150000</v>
      </c>
      <c r="J64" s="101">
        <v>1</v>
      </c>
      <c r="K64" s="101">
        <f>합산자재!I44</f>
        <v>0</v>
      </c>
      <c r="L64" s="101" t="str">
        <f t="shared" si="9"/>
        <v/>
      </c>
      <c r="M64" s="101">
        <f>합산자재!J44</f>
        <v>0</v>
      </c>
      <c r="N64" s="101" t="str">
        <f t="shared" si="10"/>
        <v/>
      </c>
      <c r="O64" s="101"/>
      <c r="P64" s="101">
        <f t="shared" si="11"/>
        <v>150000</v>
      </c>
      <c r="Q64" s="53"/>
    </row>
    <row r="65" spans="1:31" ht="23.25" customHeight="1" x14ac:dyDescent="0.15">
      <c r="A65" s="86" t="s">
        <v>721</v>
      </c>
      <c r="B65" s="86" t="s">
        <v>666</v>
      </c>
      <c r="C65" s="69" t="s">
        <v>538</v>
      </c>
      <c r="D65" s="53" t="s">
        <v>539</v>
      </c>
      <c r="E65" s="53" t="s">
        <v>540</v>
      </c>
      <c r="F65" s="100" t="s">
        <v>137</v>
      </c>
      <c r="G65" s="101">
        <v>1</v>
      </c>
      <c r="H65" s="101">
        <f>합산자재!H43</f>
        <v>3500</v>
      </c>
      <c r="I65" s="101">
        <f t="shared" si="8"/>
        <v>3500</v>
      </c>
      <c r="J65" s="101">
        <v>1</v>
      </c>
      <c r="K65" s="101">
        <f>합산자재!I43</f>
        <v>0</v>
      </c>
      <c r="L65" s="101" t="str">
        <f t="shared" si="9"/>
        <v/>
      </c>
      <c r="M65" s="101">
        <f>합산자재!J43</f>
        <v>0</v>
      </c>
      <c r="N65" s="101" t="str">
        <f t="shared" si="10"/>
        <v/>
      </c>
      <c r="O65" s="101"/>
      <c r="P65" s="101">
        <f t="shared" si="11"/>
        <v>3500</v>
      </c>
      <c r="Q65" s="53"/>
      <c r="Z65" s="70" t="s">
        <v>678</v>
      </c>
    </row>
    <row r="66" spans="1:31" ht="23.25" customHeight="1" x14ac:dyDescent="0.15">
      <c r="A66" s="86" t="s">
        <v>722</v>
      </c>
      <c r="B66" s="86" t="s">
        <v>666</v>
      </c>
      <c r="C66" s="69" t="s">
        <v>547</v>
      </c>
      <c r="D66" s="53" t="s">
        <v>548</v>
      </c>
      <c r="E66" s="53" t="s">
        <v>549</v>
      </c>
      <c r="F66" s="100" t="s">
        <v>137</v>
      </c>
      <c r="G66" s="101">
        <v>1</v>
      </c>
      <c r="H66" s="101">
        <f>합산자재!H46</f>
        <v>10000</v>
      </c>
      <c r="I66" s="101">
        <f t="shared" si="8"/>
        <v>10000</v>
      </c>
      <c r="J66" s="101">
        <v>1</v>
      </c>
      <c r="K66" s="101">
        <f>합산자재!I46</f>
        <v>0</v>
      </c>
      <c r="L66" s="101" t="str">
        <f t="shared" si="9"/>
        <v/>
      </c>
      <c r="M66" s="101">
        <f>합산자재!J46</f>
        <v>0</v>
      </c>
      <c r="N66" s="101" t="str">
        <f t="shared" si="10"/>
        <v/>
      </c>
      <c r="O66" s="101"/>
      <c r="P66" s="101">
        <f t="shared" si="11"/>
        <v>10000</v>
      </c>
      <c r="Q66" s="53"/>
    </row>
    <row r="67" spans="1:31" ht="23.25" customHeight="1" x14ac:dyDescent="0.15">
      <c r="A67" s="86" t="s">
        <v>723</v>
      </c>
      <c r="B67" s="86" t="s">
        <v>666</v>
      </c>
      <c r="C67" s="69" t="s">
        <v>555</v>
      </c>
      <c r="D67" s="53" t="s">
        <v>556</v>
      </c>
      <c r="E67" s="53" t="s">
        <v>557</v>
      </c>
      <c r="F67" s="100" t="s">
        <v>137</v>
      </c>
      <c r="G67" s="101">
        <v>1</v>
      </c>
      <c r="H67" s="101">
        <f>합산자재!H50</f>
        <v>3000</v>
      </c>
      <c r="I67" s="101">
        <f t="shared" si="8"/>
        <v>3000</v>
      </c>
      <c r="J67" s="101">
        <v>1</v>
      </c>
      <c r="K67" s="101">
        <f>합산자재!I50</f>
        <v>0</v>
      </c>
      <c r="L67" s="101" t="str">
        <f t="shared" si="9"/>
        <v/>
      </c>
      <c r="M67" s="101">
        <f>합산자재!J50</f>
        <v>0</v>
      </c>
      <c r="N67" s="101" t="str">
        <f t="shared" si="10"/>
        <v/>
      </c>
      <c r="O67" s="101"/>
      <c r="P67" s="101">
        <f t="shared" si="11"/>
        <v>3000</v>
      </c>
      <c r="Q67" s="53"/>
    </row>
    <row r="68" spans="1:31" ht="23.25" customHeight="1" x14ac:dyDescent="0.15">
      <c r="A68" s="86" t="s">
        <v>623</v>
      </c>
      <c r="B68" s="86" t="s">
        <v>666</v>
      </c>
      <c r="C68" s="69" t="s">
        <v>576</v>
      </c>
      <c r="D68" s="53" t="s">
        <v>577</v>
      </c>
      <c r="E68" s="53" t="s">
        <v>578</v>
      </c>
      <c r="F68" s="100" t="s">
        <v>579</v>
      </c>
      <c r="G68" s="101">
        <f>일위노임!G49</f>
        <v>0.86</v>
      </c>
      <c r="H68" s="101">
        <f>합산자재!H56</f>
        <v>0</v>
      </c>
      <c r="I68" s="101" t="str">
        <f t="shared" si="8"/>
        <v/>
      </c>
      <c r="J68" s="101">
        <v>0.86</v>
      </c>
      <c r="K68" s="101">
        <f>합산자재!I56</f>
        <v>284880</v>
      </c>
      <c r="L68" s="101">
        <f t="shared" si="9"/>
        <v>244996.8</v>
      </c>
      <c r="M68" s="101">
        <f>합산자재!J56</f>
        <v>0</v>
      </c>
      <c r="N68" s="101" t="str">
        <f t="shared" si="10"/>
        <v/>
      </c>
      <c r="O68" s="101"/>
      <c r="P68" s="101">
        <f t="shared" si="11"/>
        <v>244996.8</v>
      </c>
      <c r="Q68" s="53"/>
      <c r="AE68" s="70">
        <f t="shared" ref="AE68:AE75" si="12">L68</f>
        <v>244996.8</v>
      </c>
    </row>
    <row r="69" spans="1:31" ht="23.25" customHeight="1" x14ac:dyDescent="0.15">
      <c r="A69" s="86" t="s">
        <v>633</v>
      </c>
      <c r="B69" s="86" t="s">
        <v>666</v>
      </c>
      <c r="C69" s="69" t="s">
        <v>580</v>
      </c>
      <c r="D69" s="53" t="s">
        <v>577</v>
      </c>
      <c r="E69" s="53" t="s">
        <v>581</v>
      </c>
      <c r="F69" s="100" t="s">
        <v>579</v>
      </c>
      <c r="G69" s="101">
        <f>일위노임!G50</f>
        <v>0.16</v>
      </c>
      <c r="H69" s="101">
        <f>합산자재!H57</f>
        <v>0</v>
      </c>
      <c r="I69" s="101" t="str">
        <f t="shared" si="8"/>
        <v/>
      </c>
      <c r="J69" s="101">
        <v>0.16</v>
      </c>
      <c r="K69" s="101">
        <f>합산자재!I57</f>
        <v>436224</v>
      </c>
      <c r="L69" s="101">
        <f t="shared" si="9"/>
        <v>69795.8</v>
      </c>
      <c r="M69" s="101">
        <f>합산자재!J57</f>
        <v>0</v>
      </c>
      <c r="N69" s="101" t="str">
        <f t="shared" si="10"/>
        <v/>
      </c>
      <c r="O69" s="101"/>
      <c r="P69" s="101">
        <f t="shared" si="11"/>
        <v>69795.8</v>
      </c>
      <c r="Q69" s="53"/>
      <c r="AE69" s="70">
        <f t="shared" si="12"/>
        <v>69795.8</v>
      </c>
    </row>
    <row r="70" spans="1:31" ht="23.25" customHeight="1" x14ac:dyDescent="0.15">
      <c r="A70" s="86" t="s">
        <v>627</v>
      </c>
      <c r="B70" s="86" t="s">
        <v>666</v>
      </c>
      <c r="C70" s="69" t="s">
        <v>582</v>
      </c>
      <c r="D70" s="53" t="s">
        <v>577</v>
      </c>
      <c r="E70" s="53" t="s">
        <v>583</v>
      </c>
      <c r="F70" s="100" t="s">
        <v>579</v>
      </c>
      <c r="G70" s="101">
        <f>일위노임!G51</f>
        <v>0.51</v>
      </c>
      <c r="H70" s="101">
        <f>합산자재!H58</f>
        <v>0</v>
      </c>
      <c r="I70" s="101" t="str">
        <f t="shared" si="8"/>
        <v/>
      </c>
      <c r="J70" s="101">
        <v>0.51</v>
      </c>
      <c r="K70" s="101">
        <f>합산자재!I58</f>
        <v>315528</v>
      </c>
      <c r="L70" s="101">
        <f t="shared" si="9"/>
        <v>160919.20000000001</v>
      </c>
      <c r="M70" s="101">
        <f>합산자재!J58</f>
        <v>0</v>
      </c>
      <c r="N70" s="101" t="str">
        <f t="shared" si="10"/>
        <v/>
      </c>
      <c r="O70" s="101"/>
      <c r="P70" s="101">
        <f t="shared" si="11"/>
        <v>160919.20000000001</v>
      </c>
      <c r="Q70" s="53"/>
      <c r="AE70" s="70">
        <f t="shared" si="12"/>
        <v>160919.20000000001</v>
      </c>
    </row>
    <row r="71" spans="1:31" ht="23.25" customHeight="1" x14ac:dyDescent="0.15">
      <c r="A71" s="86" t="s">
        <v>634</v>
      </c>
      <c r="B71" s="86" t="s">
        <v>666</v>
      </c>
      <c r="C71" s="69" t="s">
        <v>586</v>
      </c>
      <c r="D71" s="53" t="s">
        <v>577</v>
      </c>
      <c r="E71" s="53" t="s">
        <v>587</v>
      </c>
      <c r="F71" s="100" t="s">
        <v>579</v>
      </c>
      <c r="G71" s="101">
        <f>일위노임!G52</f>
        <v>7.0000000000000001E-3</v>
      </c>
      <c r="H71" s="101">
        <f>합산자재!H60</f>
        <v>0</v>
      </c>
      <c r="I71" s="101" t="str">
        <f t="shared" si="8"/>
        <v/>
      </c>
      <c r="J71" s="101">
        <v>7.0000000000000001E-3</v>
      </c>
      <c r="K71" s="101">
        <f>합산자재!I60</f>
        <v>471349</v>
      </c>
      <c r="L71" s="101">
        <f t="shared" si="9"/>
        <v>3299.4</v>
      </c>
      <c r="M71" s="101">
        <f>합산자재!J60</f>
        <v>0</v>
      </c>
      <c r="N71" s="101" t="str">
        <f t="shared" si="10"/>
        <v/>
      </c>
      <c r="O71" s="101"/>
      <c r="P71" s="101">
        <f t="shared" si="11"/>
        <v>3299.4</v>
      </c>
      <c r="Q71" s="53"/>
      <c r="AE71" s="70">
        <f t="shared" si="12"/>
        <v>3299.4</v>
      </c>
    </row>
    <row r="72" spans="1:31" ht="23.25" customHeight="1" x14ac:dyDescent="0.15">
      <c r="A72" s="86" t="s">
        <v>610</v>
      </c>
      <c r="B72" s="86" t="s">
        <v>666</v>
      </c>
      <c r="C72" s="69" t="s">
        <v>588</v>
      </c>
      <c r="D72" s="53" t="s">
        <v>577</v>
      </c>
      <c r="E72" s="53" t="s">
        <v>589</v>
      </c>
      <c r="F72" s="100" t="s">
        <v>579</v>
      </c>
      <c r="G72" s="101">
        <f>일위노임!G53</f>
        <v>1.5860000000000001</v>
      </c>
      <c r="H72" s="101">
        <f>합산자재!H61</f>
        <v>0</v>
      </c>
      <c r="I72" s="101" t="str">
        <f t="shared" si="8"/>
        <v/>
      </c>
      <c r="J72" s="101">
        <v>1.5860000000000001</v>
      </c>
      <c r="K72" s="101">
        <f>합산자재!I61</f>
        <v>172068</v>
      </c>
      <c r="L72" s="101">
        <f t="shared" si="9"/>
        <v>272899.8</v>
      </c>
      <c r="M72" s="101">
        <f>합산자재!J61</f>
        <v>0</v>
      </c>
      <c r="N72" s="101" t="str">
        <f t="shared" si="10"/>
        <v/>
      </c>
      <c r="O72" s="101"/>
      <c r="P72" s="101">
        <f t="shared" si="11"/>
        <v>272899.8</v>
      </c>
      <c r="Q72" s="53"/>
      <c r="AE72" s="70">
        <f t="shared" si="12"/>
        <v>272899.8</v>
      </c>
    </row>
    <row r="73" spans="1:31" ht="23.25" customHeight="1" x14ac:dyDescent="0.15">
      <c r="A73" s="86" t="s">
        <v>620</v>
      </c>
      <c r="B73" s="86" t="s">
        <v>666</v>
      </c>
      <c r="C73" s="69" t="s">
        <v>590</v>
      </c>
      <c r="D73" s="53" t="s">
        <v>577</v>
      </c>
      <c r="E73" s="53" t="s">
        <v>591</v>
      </c>
      <c r="F73" s="100" t="s">
        <v>579</v>
      </c>
      <c r="G73" s="101">
        <f>일위노임!G54</f>
        <v>8.0000000000000002E-3</v>
      </c>
      <c r="H73" s="101">
        <f>합산자재!H62</f>
        <v>0</v>
      </c>
      <c r="I73" s="101" t="str">
        <f t="shared" si="8"/>
        <v/>
      </c>
      <c r="J73" s="101">
        <v>8.0000000000000002E-3</v>
      </c>
      <c r="K73" s="101">
        <f>합산자재!I62</f>
        <v>226122</v>
      </c>
      <c r="L73" s="101">
        <f t="shared" si="9"/>
        <v>1808.9</v>
      </c>
      <c r="M73" s="101">
        <f>합산자재!J62</f>
        <v>0</v>
      </c>
      <c r="N73" s="101" t="str">
        <f t="shared" si="10"/>
        <v/>
      </c>
      <c r="O73" s="101"/>
      <c r="P73" s="101">
        <f t="shared" si="11"/>
        <v>1808.9</v>
      </c>
      <c r="Q73" s="53"/>
      <c r="AE73" s="70">
        <f t="shared" si="12"/>
        <v>1808.9</v>
      </c>
    </row>
    <row r="74" spans="1:31" ht="23.25" customHeight="1" x14ac:dyDescent="0.15">
      <c r="A74" s="86" t="s">
        <v>631</v>
      </c>
      <c r="B74" s="86" t="s">
        <v>666</v>
      </c>
      <c r="C74" s="69" t="s">
        <v>592</v>
      </c>
      <c r="D74" s="53" t="s">
        <v>577</v>
      </c>
      <c r="E74" s="53" t="s">
        <v>593</v>
      </c>
      <c r="F74" s="100" t="s">
        <v>579</v>
      </c>
      <c r="G74" s="101">
        <f>일위노임!G55</f>
        <v>0.22</v>
      </c>
      <c r="H74" s="101">
        <f>합산자재!H63</f>
        <v>0</v>
      </c>
      <c r="I74" s="101" t="str">
        <f t="shared" si="8"/>
        <v/>
      </c>
      <c r="J74" s="101">
        <v>0.22</v>
      </c>
      <c r="K74" s="101">
        <f>합산자재!I63</f>
        <v>393090</v>
      </c>
      <c r="L74" s="101">
        <f t="shared" si="9"/>
        <v>86479.8</v>
      </c>
      <c r="M74" s="101">
        <f>합산자재!J63</f>
        <v>0</v>
      </c>
      <c r="N74" s="101" t="str">
        <f t="shared" si="10"/>
        <v/>
      </c>
      <c r="O74" s="101"/>
      <c r="P74" s="101">
        <f t="shared" si="11"/>
        <v>86479.8</v>
      </c>
      <c r="Q74" s="53"/>
      <c r="AE74" s="70">
        <f t="shared" si="12"/>
        <v>86479.8</v>
      </c>
    </row>
    <row r="75" spans="1:31" ht="23.25" customHeight="1" x14ac:dyDescent="0.15">
      <c r="A75" s="86" t="s">
        <v>629</v>
      </c>
      <c r="B75" s="86" t="s">
        <v>666</v>
      </c>
      <c r="C75" s="69" t="s">
        <v>594</v>
      </c>
      <c r="D75" s="53" t="s">
        <v>577</v>
      </c>
      <c r="E75" s="53" t="s">
        <v>595</v>
      </c>
      <c r="F75" s="100" t="s">
        <v>579</v>
      </c>
      <c r="G75" s="101">
        <f>일위노임!G56</f>
        <v>0.36</v>
      </c>
      <c r="H75" s="101">
        <f>합산자재!H64</f>
        <v>0</v>
      </c>
      <c r="I75" s="101" t="str">
        <f t="shared" si="8"/>
        <v/>
      </c>
      <c r="J75" s="101">
        <v>0.36</v>
      </c>
      <c r="K75" s="101">
        <f>합산자재!I64</f>
        <v>446358</v>
      </c>
      <c r="L75" s="101">
        <f t="shared" si="9"/>
        <v>160688.79999999999</v>
      </c>
      <c r="M75" s="101">
        <f>합산자재!J64</f>
        <v>0</v>
      </c>
      <c r="N75" s="101" t="str">
        <f t="shared" si="10"/>
        <v/>
      </c>
      <c r="O75" s="101"/>
      <c r="P75" s="101">
        <f t="shared" si="11"/>
        <v>160688.79999999999</v>
      </c>
      <c r="Q75" s="53"/>
      <c r="AE75" s="70">
        <f t="shared" si="12"/>
        <v>160688.79999999999</v>
      </c>
    </row>
    <row r="76" spans="1:31" ht="23.25" customHeight="1" x14ac:dyDescent="0.15">
      <c r="A76" s="86" t="s">
        <v>689</v>
      </c>
      <c r="B76" s="86" t="s">
        <v>666</v>
      </c>
      <c r="C76" s="69" t="s">
        <v>690</v>
      </c>
      <c r="D76" s="53" t="s">
        <v>691</v>
      </c>
      <c r="E76" s="53" t="s">
        <v>692</v>
      </c>
      <c r="F76" s="100" t="s">
        <v>112</v>
      </c>
      <c r="G76" s="101">
        <v>1</v>
      </c>
      <c r="H76" s="101">
        <f>IF(TRUNC((AD77+AC77)/$AE$3,1)*$AE$3-AD77 &lt;0, AC77, TRUNC((AD77+AC77)/$AE$3,1)*$AE$3-AD77)</f>
        <v>30026.599999999977</v>
      </c>
      <c r="I76" s="101">
        <f>H76</f>
        <v>30026.599999999977</v>
      </c>
      <c r="J76" s="101">
        <v>1</v>
      </c>
      <c r="K76" s="101"/>
      <c r="L76" s="101" t="str">
        <f t="shared" si="9"/>
        <v/>
      </c>
      <c r="M76" s="101"/>
      <c r="N76" s="101" t="str">
        <f t="shared" si="10"/>
        <v/>
      </c>
      <c r="O76" s="101"/>
      <c r="P76" s="101">
        <f t="shared" si="11"/>
        <v>30026.6</v>
      </c>
      <c r="Q76" s="53"/>
    </row>
    <row r="77" spans="1:31" ht="23.25" customHeight="1" x14ac:dyDescent="0.15">
      <c r="B77" s="86" t="s">
        <v>676</v>
      </c>
      <c r="D77" s="53" t="s">
        <v>677</v>
      </c>
      <c r="E77" s="53"/>
      <c r="F77" s="100"/>
      <c r="G77" s="101"/>
      <c r="H77" s="101"/>
      <c r="I77" s="101">
        <f>TRUNC(SUM(I53:I76))</f>
        <v>1269526</v>
      </c>
      <c r="J77" s="101"/>
      <c r="K77" s="101"/>
      <c r="L77" s="101">
        <f>TRUNC(SUM(L53:L76))</f>
        <v>1000888</v>
      </c>
      <c r="M77" s="101"/>
      <c r="N77" s="101">
        <f>TRUNC(SUM(N53:N76))</f>
        <v>0</v>
      </c>
      <c r="O77" s="101"/>
      <c r="P77" s="101">
        <f t="shared" si="11"/>
        <v>2270414</v>
      </c>
      <c r="Q77" s="53"/>
      <c r="AC77" s="70">
        <f>TRUNC(AE77*옵션!$B$36/100,1)</f>
        <v>30026.6</v>
      </c>
      <c r="AD77" s="70">
        <f>TRUNC(SUM(L53:L75))</f>
        <v>1000888</v>
      </c>
      <c r="AE77" s="70">
        <f>TRUNC(SUM(AE53:AE76))</f>
        <v>1000888</v>
      </c>
    </row>
    <row r="78" spans="1:31" ht="23.25" customHeight="1" x14ac:dyDescent="0.15">
      <c r="D78" s="53"/>
      <c r="E78" s="53"/>
      <c r="F78" s="100"/>
      <c r="G78" s="101"/>
      <c r="H78" s="101"/>
      <c r="I78" s="101" t="str">
        <f>IF(G78*H78&lt;&gt;0, TRUNC(G78*H78,1),"")</f>
        <v/>
      </c>
      <c r="J78" s="101"/>
      <c r="K78" s="101"/>
      <c r="L78" s="101" t="str">
        <f>IF(G78*K78&lt;&gt;0, TRUNC(G78*K78,1),"")</f>
        <v/>
      </c>
      <c r="M78" s="101"/>
      <c r="N78" s="101" t="str">
        <f>IF(G78*M78&lt;&gt;0, TRUNC(G78*M78,1),"")</f>
        <v/>
      </c>
      <c r="O78" s="101"/>
      <c r="P78" s="101" t="str">
        <f t="shared" si="11"/>
        <v/>
      </c>
      <c r="Q78" s="53"/>
    </row>
    <row r="79" spans="1:31" ht="23.25" customHeight="1" x14ac:dyDescent="0.15">
      <c r="A79" s="86" t="s">
        <v>266</v>
      </c>
      <c r="B79" s="86" t="s">
        <v>674</v>
      </c>
      <c r="C79" s="69" t="s">
        <v>667</v>
      </c>
      <c r="D79" s="395" t="s">
        <v>724</v>
      </c>
      <c r="E79" s="396"/>
      <c r="F79" s="396"/>
      <c r="G79" s="396"/>
      <c r="H79" s="396"/>
      <c r="I79" s="396"/>
      <c r="J79" s="396"/>
      <c r="K79" s="396"/>
      <c r="L79" s="396"/>
      <c r="M79" s="396"/>
      <c r="N79" s="396"/>
      <c r="O79" s="396"/>
      <c r="P79" s="396"/>
      <c r="Q79" s="397"/>
    </row>
    <row r="80" spans="1:31" ht="23.25" customHeight="1" x14ac:dyDescent="0.15">
      <c r="A80" s="86" t="s">
        <v>725</v>
      </c>
      <c r="B80" s="86" t="s">
        <v>668</v>
      </c>
      <c r="C80" s="69" t="s">
        <v>479</v>
      </c>
      <c r="D80" s="53" t="s">
        <v>267</v>
      </c>
      <c r="E80" s="53" t="s">
        <v>480</v>
      </c>
      <c r="F80" s="100" t="s">
        <v>438</v>
      </c>
      <c r="G80" s="101">
        <v>1.075</v>
      </c>
      <c r="H80" s="101">
        <f>합산자재!H22</f>
        <v>570</v>
      </c>
      <c r="I80" s="101">
        <f>IF(G80*H80&lt;&gt;0, TRUNC(G80*H80,1),"")</f>
        <v>612.70000000000005</v>
      </c>
      <c r="J80" s="101">
        <v>1</v>
      </c>
      <c r="K80" s="101">
        <f>합산자재!I22</f>
        <v>0</v>
      </c>
      <c r="L80" s="101" t="str">
        <f>IF(G80*K80&lt;&gt;0, TRUNC(G80*K80,1),"")</f>
        <v/>
      </c>
      <c r="M80" s="101">
        <f>합산자재!J22</f>
        <v>0</v>
      </c>
      <c r="N80" s="101" t="str">
        <f>IF(G80*M80&lt;&gt;0, TRUNC(G80*M80,1),"")</f>
        <v/>
      </c>
      <c r="O80" s="101"/>
      <c r="P80" s="101">
        <f t="shared" ref="P80:P85" si="13">IF(SUM(I80,L80,N80)&lt;&gt;0,TRUNC(SUM(I80,L80,N80),1),"")</f>
        <v>612.70000000000005</v>
      </c>
      <c r="Q80" s="53"/>
      <c r="AC80" s="70">
        <f>J80*H80</f>
        <v>570</v>
      </c>
    </row>
    <row r="81" spans="1:31" ht="23.25" customHeight="1" x14ac:dyDescent="0.15">
      <c r="A81" s="86" t="s">
        <v>699</v>
      </c>
      <c r="B81" s="86" t="s">
        <v>668</v>
      </c>
      <c r="C81" s="69" t="s">
        <v>700</v>
      </c>
      <c r="D81" s="53" t="s">
        <v>701</v>
      </c>
      <c r="E81" s="53" t="s">
        <v>702</v>
      </c>
      <c r="F81" s="100" t="s">
        <v>112</v>
      </c>
      <c r="G81" s="101">
        <v>1</v>
      </c>
      <c r="H81" s="101">
        <f>IF(TRUNC((AD81+AC81)/$AD$3,1)*$AD$3-AD81 &lt;0, AC81, TRUNC((AD81+AC81)/$AD$3,1)*$AD$3-AD81)</f>
        <v>11.399999999999977</v>
      </c>
      <c r="I81" s="101">
        <f>H81</f>
        <v>11.399999999999977</v>
      </c>
      <c r="J81" s="101">
        <v>1</v>
      </c>
      <c r="K81" s="101"/>
      <c r="L81" s="101" t="str">
        <f>IF(G81*K81&lt;&gt;0, TRUNC(G81*K81,1),"")</f>
        <v/>
      </c>
      <c r="M81" s="101"/>
      <c r="N81" s="101" t="str">
        <f>IF(G81*M81&lt;&gt;0, TRUNC(G81*M81,1),"")</f>
        <v/>
      </c>
      <c r="O81" s="101"/>
      <c r="P81" s="101">
        <f t="shared" si="13"/>
        <v>11.4</v>
      </c>
      <c r="Q81" s="53"/>
      <c r="AC81" s="70">
        <f>TRUNC(TRUNC(SUM(AC79:AC80))*옵션!$B$33/100,1)</f>
        <v>11.4</v>
      </c>
      <c r="AD81" s="70">
        <f>TRUNC(SUM(I79:I80))+TRUNC(SUM(N79:N80))</f>
        <v>612</v>
      </c>
    </row>
    <row r="82" spans="1:31" ht="23.25" customHeight="1" x14ac:dyDescent="0.15">
      <c r="A82" s="86" t="s">
        <v>633</v>
      </c>
      <c r="B82" s="86" t="s">
        <v>668</v>
      </c>
      <c r="C82" s="69" t="s">
        <v>580</v>
      </c>
      <c r="D82" s="53" t="s">
        <v>577</v>
      </c>
      <c r="E82" s="53" t="s">
        <v>581</v>
      </c>
      <c r="F82" s="100" t="s">
        <v>579</v>
      </c>
      <c r="G82" s="101">
        <f>일위노임!G59</f>
        <v>1.35E-2</v>
      </c>
      <c r="H82" s="101">
        <f>합산자재!H57</f>
        <v>0</v>
      </c>
      <c r="I82" s="101" t="str">
        <f>IF(G82*H82&lt;&gt;0, TRUNC(G82*H82,1),"")</f>
        <v/>
      </c>
      <c r="J82" s="101">
        <v>1.35E-2</v>
      </c>
      <c r="K82" s="101">
        <f>합산자재!I57</f>
        <v>436224</v>
      </c>
      <c r="L82" s="101">
        <f>IF(G82*K82&lt;&gt;0, TRUNC(G82*K82,1),"")</f>
        <v>5889</v>
      </c>
      <c r="M82" s="101">
        <f>합산자재!J57</f>
        <v>0</v>
      </c>
      <c r="N82" s="101" t="str">
        <f>IF(G82*M82&lt;&gt;0, TRUNC(G82*M82,1),"")</f>
        <v/>
      </c>
      <c r="O82" s="101"/>
      <c r="P82" s="101">
        <f t="shared" si="13"/>
        <v>5889</v>
      </c>
      <c r="Q82" s="53"/>
      <c r="AE82" s="70">
        <f>L82</f>
        <v>5889</v>
      </c>
    </row>
    <row r="83" spans="1:31" ht="23.25" customHeight="1" x14ac:dyDescent="0.15">
      <c r="A83" s="86" t="s">
        <v>689</v>
      </c>
      <c r="B83" s="86" t="s">
        <v>668</v>
      </c>
      <c r="C83" s="69" t="s">
        <v>690</v>
      </c>
      <c r="D83" s="53" t="s">
        <v>691</v>
      </c>
      <c r="E83" s="53" t="s">
        <v>692</v>
      </c>
      <c r="F83" s="100" t="s">
        <v>112</v>
      </c>
      <c r="G83" s="101">
        <v>1</v>
      </c>
      <c r="H83" s="101">
        <f>IF(TRUNC((AD84+AC84)/$AE$3,1)*$AE$3-AD84 &lt;0, AC84, TRUNC((AD84+AC84)/$AE$3,1)*$AE$3-AD84)</f>
        <v>176.60000000000036</v>
      </c>
      <c r="I83" s="101">
        <f>H83</f>
        <v>176.60000000000036</v>
      </c>
      <c r="J83" s="101">
        <v>1</v>
      </c>
      <c r="K83" s="101"/>
      <c r="L83" s="101" t="str">
        <f>IF(G83*K83&lt;&gt;0, TRUNC(G83*K83,1),"")</f>
        <v/>
      </c>
      <c r="M83" s="101"/>
      <c r="N83" s="101" t="str">
        <f>IF(G83*M83&lt;&gt;0, TRUNC(G83*M83,1),"")</f>
        <v/>
      </c>
      <c r="O83" s="101"/>
      <c r="P83" s="101">
        <f t="shared" si="13"/>
        <v>176.6</v>
      </c>
      <c r="Q83" s="53"/>
    </row>
    <row r="84" spans="1:31" ht="23.25" customHeight="1" x14ac:dyDescent="0.15">
      <c r="B84" s="86" t="s">
        <v>676</v>
      </c>
      <c r="D84" s="53" t="s">
        <v>677</v>
      </c>
      <c r="E84" s="53"/>
      <c r="F84" s="100"/>
      <c r="G84" s="101"/>
      <c r="H84" s="101"/>
      <c r="I84" s="101">
        <f>TRUNC(SUM(I79:I83))</f>
        <v>800</v>
      </c>
      <c r="J84" s="101"/>
      <c r="K84" s="101"/>
      <c r="L84" s="101">
        <f>TRUNC(SUM(L79:L83))</f>
        <v>5889</v>
      </c>
      <c r="M84" s="101"/>
      <c r="N84" s="101">
        <f>TRUNC(SUM(N79:N83))</f>
        <v>0</v>
      </c>
      <c r="O84" s="101"/>
      <c r="P84" s="101">
        <f t="shared" si="13"/>
        <v>6689</v>
      </c>
      <c r="Q84" s="53"/>
      <c r="AC84" s="70">
        <f>TRUNC(AE84*옵션!$B$36/100,1)</f>
        <v>176.6</v>
      </c>
      <c r="AD84" s="70">
        <f>TRUNC(SUM(L79:L82))</f>
        <v>5889</v>
      </c>
      <c r="AE84" s="70">
        <f>TRUNC(SUM(AE79:AE83))</f>
        <v>5889</v>
      </c>
    </row>
    <row r="85" spans="1:31" ht="23.25" customHeight="1" x14ac:dyDescent="0.15">
      <c r="D85" s="53"/>
      <c r="E85" s="53"/>
      <c r="F85" s="100"/>
      <c r="G85" s="101"/>
      <c r="H85" s="101"/>
      <c r="I85" s="101" t="str">
        <f>IF(G85*H85&lt;&gt;0, TRUNC(G85*H85,1),"")</f>
        <v/>
      </c>
      <c r="J85" s="101"/>
      <c r="K85" s="101"/>
      <c r="L85" s="101" t="str">
        <f>IF(G85*K85&lt;&gt;0, TRUNC(G85*K85,1),"")</f>
        <v/>
      </c>
      <c r="M85" s="101"/>
      <c r="N85" s="101" t="str">
        <f>IF(G85*M85&lt;&gt;0, TRUNC(G85*M85,1),"")</f>
        <v/>
      </c>
      <c r="O85" s="101"/>
      <c r="P85" s="101" t="str">
        <f t="shared" si="13"/>
        <v/>
      </c>
      <c r="Q85" s="53"/>
    </row>
    <row r="86" spans="1:31" ht="23.25" customHeight="1" x14ac:dyDescent="0.15">
      <c r="A86" s="86" t="s">
        <v>274</v>
      </c>
      <c r="B86" s="86" t="s">
        <v>674</v>
      </c>
      <c r="C86" s="69" t="s">
        <v>669</v>
      </c>
      <c r="D86" s="395" t="s">
        <v>726</v>
      </c>
      <c r="E86" s="396"/>
      <c r="F86" s="396"/>
      <c r="G86" s="396"/>
      <c r="H86" s="396"/>
      <c r="I86" s="396"/>
      <c r="J86" s="396"/>
      <c r="K86" s="396"/>
      <c r="L86" s="396"/>
      <c r="M86" s="396"/>
      <c r="N86" s="396"/>
      <c r="O86" s="396"/>
      <c r="P86" s="396"/>
      <c r="Q86" s="397"/>
    </row>
    <row r="87" spans="1:31" ht="23.25" customHeight="1" x14ac:dyDescent="0.15">
      <c r="A87" s="86" t="s">
        <v>725</v>
      </c>
      <c r="B87" s="86" t="s">
        <v>670</v>
      </c>
      <c r="C87" s="69" t="s">
        <v>479</v>
      </c>
      <c r="D87" s="53" t="s">
        <v>267</v>
      </c>
      <c r="E87" s="53" t="s">
        <v>480</v>
      </c>
      <c r="F87" s="100" t="s">
        <v>438</v>
      </c>
      <c r="G87" s="101">
        <v>1.075</v>
      </c>
      <c r="H87" s="101">
        <f>합산자재!H22</f>
        <v>570</v>
      </c>
      <c r="I87" s="101">
        <f>IF(G87*H87&lt;&gt;0, TRUNC(G87*H87,1),"")</f>
        <v>612.70000000000005</v>
      </c>
      <c r="J87" s="101">
        <v>1</v>
      </c>
      <c r="K87" s="101">
        <f>합산자재!I22</f>
        <v>0</v>
      </c>
      <c r="L87" s="101" t="str">
        <f>IF(G87*K87&lt;&gt;0, TRUNC(G87*K87,1),"")</f>
        <v/>
      </c>
      <c r="M87" s="101">
        <f>합산자재!J22</f>
        <v>0</v>
      </c>
      <c r="N87" s="101" t="str">
        <f>IF(G87*M87&lt;&gt;0, TRUNC(G87*M87,1),"")</f>
        <v/>
      </c>
      <c r="O87" s="101"/>
      <c r="P87" s="101">
        <f t="shared" ref="P87:P92" si="14">IF(SUM(I87,L87,N87)&lt;&gt;0,TRUNC(SUM(I87,L87,N87),1),"")</f>
        <v>612.70000000000005</v>
      </c>
      <c r="Q87" s="53"/>
      <c r="AC87" s="70">
        <f>J87*H87</f>
        <v>570</v>
      </c>
    </row>
    <row r="88" spans="1:31" ht="23.25" customHeight="1" x14ac:dyDescent="0.15">
      <c r="A88" s="86" t="s">
        <v>699</v>
      </c>
      <c r="B88" s="86" t="s">
        <v>670</v>
      </c>
      <c r="C88" s="69" t="s">
        <v>700</v>
      </c>
      <c r="D88" s="53" t="s">
        <v>701</v>
      </c>
      <c r="E88" s="53" t="s">
        <v>702</v>
      </c>
      <c r="F88" s="100" t="s">
        <v>112</v>
      </c>
      <c r="G88" s="101">
        <v>1</v>
      </c>
      <c r="H88" s="101">
        <f>IF(TRUNC((AD88+AC88)/$AD$3,1)*$AD$3-AD88 &lt;0, AC88, TRUNC((AD88+AC88)/$AD$3,1)*$AD$3-AD88)</f>
        <v>11.399999999999977</v>
      </c>
      <c r="I88" s="101">
        <f>H88</f>
        <v>11.399999999999977</v>
      </c>
      <c r="J88" s="101">
        <v>1</v>
      </c>
      <c r="K88" s="101"/>
      <c r="L88" s="101" t="str">
        <f>IF(G88*K88&lt;&gt;0, TRUNC(G88*K88,1),"")</f>
        <v/>
      </c>
      <c r="M88" s="101"/>
      <c r="N88" s="101" t="str">
        <f>IF(G88*M88&lt;&gt;0, TRUNC(G88*M88,1),"")</f>
        <v/>
      </c>
      <c r="O88" s="101"/>
      <c r="P88" s="101">
        <f t="shared" si="14"/>
        <v>11.4</v>
      </c>
      <c r="Q88" s="53"/>
      <c r="AC88" s="70">
        <f>TRUNC(TRUNC(SUM(AC86:AC87))*옵션!$B$33/100,1)</f>
        <v>11.4</v>
      </c>
      <c r="AD88" s="70">
        <f>TRUNC(SUM(I86:I87))+TRUNC(SUM(N86:N87))</f>
        <v>612</v>
      </c>
    </row>
    <row r="89" spans="1:31" ht="23.25" customHeight="1" x14ac:dyDescent="0.15">
      <c r="A89" s="86" t="s">
        <v>633</v>
      </c>
      <c r="B89" s="86" t="s">
        <v>670</v>
      </c>
      <c r="C89" s="69" t="s">
        <v>580</v>
      </c>
      <c r="D89" s="53" t="s">
        <v>577</v>
      </c>
      <c r="E89" s="53" t="s">
        <v>581</v>
      </c>
      <c r="F89" s="100" t="s">
        <v>579</v>
      </c>
      <c r="G89" s="101">
        <f>일위노임!G62</f>
        <v>1.2749999999999999E-2</v>
      </c>
      <c r="H89" s="101">
        <f>합산자재!H57</f>
        <v>0</v>
      </c>
      <c r="I89" s="101" t="str">
        <f>IF(G89*H89&lt;&gt;0, TRUNC(G89*H89,1),"")</f>
        <v/>
      </c>
      <c r="J89" s="101">
        <v>1.2749999999999999E-2</v>
      </c>
      <c r="K89" s="101">
        <f>합산자재!I57</f>
        <v>436224</v>
      </c>
      <c r="L89" s="101">
        <f>IF(G89*K89&lt;&gt;0, TRUNC(G89*K89,1),"")</f>
        <v>5561.8</v>
      </c>
      <c r="M89" s="101">
        <f>합산자재!J57</f>
        <v>0</v>
      </c>
      <c r="N89" s="101" t="str">
        <f>IF(G89*M89&lt;&gt;0, TRUNC(G89*M89,1),"")</f>
        <v/>
      </c>
      <c r="O89" s="101"/>
      <c r="P89" s="101">
        <f t="shared" si="14"/>
        <v>5561.8</v>
      </c>
      <c r="Q89" s="53"/>
      <c r="AE89" s="70">
        <f>L89</f>
        <v>5561.8</v>
      </c>
    </row>
    <row r="90" spans="1:31" ht="23.25" customHeight="1" x14ac:dyDescent="0.15">
      <c r="A90" s="86" t="s">
        <v>689</v>
      </c>
      <c r="B90" s="86" t="s">
        <v>670</v>
      </c>
      <c r="C90" s="69" t="s">
        <v>690</v>
      </c>
      <c r="D90" s="53" t="s">
        <v>691</v>
      </c>
      <c r="E90" s="53" t="s">
        <v>692</v>
      </c>
      <c r="F90" s="100" t="s">
        <v>112</v>
      </c>
      <c r="G90" s="101">
        <v>1</v>
      </c>
      <c r="H90" s="101">
        <f>IF(TRUNC((AD91+AC91)/$AE$3,1)*$AE$3-AD91 &lt;0, AC91, TRUNC((AD91+AC91)/$AE$3,1)*$AE$3-AD91)</f>
        <v>166.80000000000018</v>
      </c>
      <c r="I90" s="101">
        <f>H90</f>
        <v>166.80000000000018</v>
      </c>
      <c r="J90" s="101">
        <v>1</v>
      </c>
      <c r="K90" s="101"/>
      <c r="L90" s="101" t="str">
        <f>IF(G90*K90&lt;&gt;0, TRUNC(G90*K90,1),"")</f>
        <v/>
      </c>
      <c r="M90" s="101"/>
      <c r="N90" s="101" t="str">
        <f>IF(G90*M90&lt;&gt;0, TRUNC(G90*M90,1),"")</f>
        <v/>
      </c>
      <c r="O90" s="101"/>
      <c r="P90" s="101">
        <f t="shared" si="14"/>
        <v>166.8</v>
      </c>
      <c r="Q90" s="53"/>
    </row>
    <row r="91" spans="1:31" ht="23.25" customHeight="1" x14ac:dyDescent="0.15">
      <c r="B91" s="86" t="s">
        <v>676</v>
      </c>
      <c r="D91" s="53" t="s">
        <v>677</v>
      </c>
      <c r="E91" s="53"/>
      <c r="F91" s="100"/>
      <c r="G91" s="101"/>
      <c r="H91" s="101"/>
      <c r="I91" s="101">
        <f>TRUNC(SUM(I86:I90))</f>
        <v>790</v>
      </c>
      <c r="J91" s="101"/>
      <c r="K91" s="101"/>
      <c r="L91" s="101">
        <f>TRUNC(SUM(L86:L90))</f>
        <v>5561</v>
      </c>
      <c r="M91" s="101"/>
      <c r="N91" s="101">
        <f>TRUNC(SUM(N86:N90))</f>
        <v>0</v>
      </c>
      <c r="O91" s="101"/>
      <c r="P91" s="101">
        <f t="shared" si="14"/>
        <v>6351</v>
      </c>
      <c r="Q91" s="53"/>
      <c r="AC91" s="70">
        <f>TRUNC(AE91*옵션!$B$36/100,1)</f>
        <v>166.8</v>
      </c>
      <c r="AD91" s="70">
        <f>TRUNC(SUM(L86:L89))</f>
        <v>5561</v>
      </c>
      <c r="AE91" s="70">
        <f>TRUNC(SUM(AE86:AE90))</f>
        <v>5561</v>
      </c>
    </row>
    <row r="92" spans="1:31" ht="23.25" customHeight="1" x14ac:dyDescent="0.15">
      <c r="D92" s="53"/>
      <c r="E92" s="53"/>
      <c r="F92" s="100"/>
      <c r="G92" s="101"/>
      <c r="H92" s="101"/>
      <c r="I92" s="101" t="str">
        <f>IF(G92*H92&lt;&gt;0, TRUNC(G92*H92,1),"")</f>
        <v/>
      </c>
      <c r="J92" s="101"/>
      <c r="K92" s="101"/>
      <c r="L92" s="101" t="str">
        <f>IF(G92*K92&lt;&gt;0, TRUNC(G92*K92,1),"")</f>
        <v/>
      </c>
      <c r="M92" s="101"/>
      <c r="N92" s="101" t="str">
        <f>IF(G92*M92&lt;&gt;0, TRUNC(G92*M92,1),"")</f>
        <v/>
      </c>
      <c r="O92" s="101"/>
      <c r="P92" s="101" t="str">
        <f t="shared" si="14"/>
        <v/>
      </c>
      <c r="Q92" s="53"/>
    </row>
    <row r="93" spans="1:31" ht="23.25" customHeight="1" x14ac:dyDescent="0.15">
      <c r="A93" s="86" t="s">
        <v>327</v>
      </c>
      <c r="B93" s="86" t="s">
        <v>674</v>
      </c>
      <c r="C93" s="69" t="s">
        <v>671</v>
      </c>
      <c r="D93" s="395" t="s">
        <v>727</v>
      </c>
      <c r="E93" s="396"/>
      <c r="F93" s="396"/>
      <c r="G93" s="396"/>
      <c r="H93" s="396"/>
      <c r="I93" s="396"/>
      <c r="J93" s="396"/>
      <c r="K93" s="396"/>
      <c r="L93" s="396"/>
      <c r="M93" s="396"/>
      <c r="N93" s="396"/>
      <c r="O93" s="396"/>
      <c r="P93" s="396"/>
      <c r="Q93" s="397"/>
    </row>
    <row r="94" spans="1:31" ht="23.25" customHeight="1" x14ac:dyDescent="0.15">
      <c r="A94" s="86" t="s">
        <v>728</v>
      </c>
      <c r="B94" s="86" t="s">
        <v>672</v>
      </c>
      <c r="C94" s="69" t="s">
        <v>475</v>
      </c>
      <c r="D94" s="53" t="s">
        <v>328</v>
      </c>
      <c r="E94" s="53" t="s">
        <v>476</v>
      </c>
      <c r="F94" s="100" t="s">
        <v>438</v>
      </c>
      <c r="G94" s="101">
        <v>1.075</v>
      </c>
      <c r="H94" s="101">
        <f>합산자재!H21</f>
        <v>495</v>
      </c>
      <c r="I94" s="101">
        <f>IF(G94*H94&lt;&gt;0, TRUNC(G94*H94,1),"")</f>
        <v>532.1</v>
      </c>
      <c r="J94" s="101">
        <v>1</v>
      </c>
      <c r="K94" s="101">
        <f>합산자재!I21</f>
        <v>0</v>
      </c>
      <c r="L94" s="101" t="str">
        <f>IF(G94*K94&lt;&gt;0, TRUNC(G94*K94,1),"")</f>
        <v/>
      </c>
      <c r="M94" s="101">
        <f>합산자재!J21</f>
        <v>0</v>
      </c>
      <c r="N94" s="101" t="str">
        <f>IF(G94*M94&lt;&gt;0, TRUNC(G94*M94,1),"")</f>
        <v/>
      </c>
      <c r="O94" s="101"/>
      <c r="P94" s="101">
        <f>IF(SUM(I94,L94,N94)&lt;&gt;0,TRUNC(SUM(I94,L94,N94),1),"")</f>
        <v>532.1</v>
      </c>
      <c r="Q94" s="53"/>
      <c r="AC94" s="70">
        <f>J94*H94</f>
        <v>495</v>
      </c>
    </row>
    <row r="95" spans="1:31" ht="23.25" customHeight="1" x14ac:dyDescent="0.15">
      <c r="A95" s="86" t="s">
        <v>699</v>
      </c>
      <c r="B95" s="86" t="s">
        <v>672</v>
      </c>
      <c r="C95" s="69" t="s">
        <v>700</v>
      </c>
      <c r="D95" s="53" t="s">
        <v>701</v>
      </c>
      <c r="E95" s="53" t="s">
        <v>702</v>
      </c>
      <c r="F95" s="100" t="s">
        <v>112</v>
      </c>
      <c r="G95" s="101">
        <v>1</v>
      </c>
      <c r="H95" s="101">
        <f>IF(TRUNC((AD95+AC95)/$AD$3,1)*$AD$3-AD95 &lt;0, AC95, TRUNC((AD95+AC95)/$AD$3,1)*$AD$3-AD95)</f>
        <v>9.8999999999999773</v>
      </c>
      <c r="I95" s="101">
        <f>H95</f>
        <v>9.8999999999999773</v>
      </c>
      <c r="J95" s="101">
        <v>1</v>
      </c>
      <c r="K95" s="101"/>
      <c r="L95" s="101" t="str">
        <f>IF(G95*K95&lt;&gt;0, TRUNC(G95*K95,1),"")</f>
        <v/>
      </c>
      <c r="M95" s="101"/>
      <c r="N95" s="101" t="str">
        <f>IF(G95*M95&lt;&gt;0, TRUNC(G95*M95,1),"")</f>
        <v/>
      </c>
      <c r="O95" s="101"/>
      <c r="P95" s="101">
        <f>IF(SUM(I95,L95,N95)&lt;&gt;0,TRUNC(SUM(I95,L95,N95),1),"")</f>
        <v>9.8000000000000007</v>
      </c>
      <c r="Q95" s="53"/>
      <c r="AC95" s="70">
        <f>TRUNC(TRUNC(SUM(AC93:AC94))*옵션!$B$33/100,1)</f>
        <v>9.9</v>
      </c>
      <c r="AD95" s="70">
        <f>TRUNC(SUM(I93:I94))+TRUNC(SUM(N93:N94))</f>
        <v>532</v>
      </c>
    </row>
    <row r="96" spans="1:31" ht="23.25" customHeight="1" x14ac:dyDescent="0.15">
      <c r="A96" s="86" t="s">
        <v>633</v>
      </c>
      <c r="B96" s="86" t="s">
        <v>672</v>
      </c>
      <c r="C96" s="69" t="s">
        <v>580</v>
      </c>
      <c r="D96" s="53" t="s">
        <v>577</v>
      </c>
      <c r="E96" s="53" t="s">
        <v>581</v>
      </c>
      <c r="F96" s="100" t="s">
        <v>579</v>
      </c>
      <c r="G96" s="101">
        <f>일위노임!G65</f>
        <v>1.7000000000000001E-2</v>
      </c>
      <c r="H96" s="101">
        <f>합산자재!H57</f>
        <v>0</v>
      </c>
      <c r="I96" s="101" t="str">
        <f>IF(G96*H96&lt;&gt;0, TRUNC(G96*H96,1),"")</f>
        <v/>
      </c>
      <c r="J96" s="101">
        <v>1.7000000000000001E-2</v>
      </c>
      <c r="K96" s="101">
        <f>합산자재!I57</f>
        <v>436224</v>
      </c>
      <c r="L96" s="101">
        <f>IF(G96*K96&lt;&gt;0, TRUNC(G96*K96,1),"")</f>
        <v>7415.8</v>
      </c>
      <c r="M96" s="101">
        <f>합산자재!J57</f>
        <v>0</v>
      </c>
      <c r="N96" s="101" t="str">
        <f>IF(G96*M96&lt;&gt;0, TRUNC(G96*M96,1),"")</f>
        <v/>
      </c>
      <c r="O96" s="101"/>
      <c r="P96" s="101">
        <f>IF(SUM(I96,L96,N96)&lt;&gt;0,TRUNC(SUM(I96,L96,N96),1),"")</f>
        <v>7415.8</v>
      </c>
      <c r="Q96" s="53"/>
      <c r="AE96" s="70">
        <f>L96</f>
        <v>7415.8</v>
      </c>
    </row>
    <row r="97" spans="1:31" ht="23.25" customHeight="1" x14ac:dyDescent="0.15">
      <c r="A97" s="86" t="s">
        <v>689</v>
      </c>
      <c r="B97" s="86" t="s">
        <v>672</v>
      </c>
      <c r="C97" s="69" t="s">
        <v>690</v>
      </c>
      <c r="D97" s="53" t="s">
        <v>691</v>
      </c>
      <c r="E97" s="53" t="s">
        <v>692</v>
      </c>
      <c r="F97" s="100" t="s">
        <v>112</v>
      </c>
      <c r="G97" s="101">
        <v>1</v>
      </c>
      <c r="H97" s="101">
        <f>IF(TRUNC((AD98+AC98)/$AE$3,1)*$AE$3-AD98 &lt;0, AC98, TRUNC((AD98+AC98)/$AE$3,1)*$AE$3-AD98)</f>
        <v>222.39999999999964</v>
      </c>
      <c r="I97" s="101">
        <f>H97</f>
        <v>222.39999999999964</v>
      </c>
      <c r="J97" s="101">
        <v>1</v>
      </c>
      <c r="K97" s="101"/>
      <c r="L97" s="101" t="str">
        <f>IF(G97*K97&lt;&gt;0, TRUNC(G97*K97,1),"")</f>
        <v/>
      </c>
      <c r="M97" s="101"/>
      <c r="N97" s="101" t="str">
        <f>IF(G97*M97&lt;&gt;0, TRUNC(G97*M97,1),"")</f>
        <v/>
      </c>
      <c r="O97" s="101"/>
      <c r="P97" s="101">
        <f>IF(SUM(I97,L97,N97)&lt;&gt;0,TRUNC(SUM(I97,L97,N97),1),"")</f>
        <v>222.4</v>
      </c>
      <c r="Q97" s="53"/>
    </row>
    <row r="98" spans="1:31" ht="23.25" customHeight="1" x14ac:dyDescent="0.15">
      <c r="B98" s="86" t="s">
        <v>676</v>
      </c>
      <c r="D98" s="53" t="s">
        <v>677</v>
      </c>
      <c r="E98" s="53"/>
      <c r="F98" s="100"/>
      <c r="G98" s="101"/>
      <c r="H98" s="101"/>
      <c r="I98" s="101">
        <f>TRUNC(SUM(I93:I97))</f>
        <v>764</v>
      </c>
      <c r="J98" s="101"/>
      <c r="K98" s="101"/>
      <c r="L98" s="101">
        <f>TRUNC(SUM(L93:L97))</f>
        <v>7415</v>
      </c>
      <c r="M98" s="101"/>
      <c r="N98" s="101">
        <f>TRUNC(SUM(N93:N97))</f>
        <v>0</v>
      </c>
      <c r="O98" s="101"/>
      <c r="P98" s="101">
        <f>IF(SUM(I98,L98,N98)&lt;&gt;0,TRUNC(SUM(I98,L98,N98),1),"")</f>
        <v>8179</v>
      </c>
      <c r="Q98" s="53"/>
      <c r="AC98" s="70">
        <f>TRUNC(AE98*옵션!$B$36/100,1)</f>
        <v>222.4</v>
      </c>
      <c r="AD98" s="70">
        <f>TRUNC(SUM(L93:L96))</f>
        <v>7415</v>
      </c>
      <c r="AE98" s="70">
        <f>TRUNC(SUM(AE93:AE97))</f>
        <v>7415</v>
      </c>
    </row>
    <row r="99" spans="1:31" ht="23.25" customHeight="1" x14ac:dyDescent="0.15">
      <c r="D99" s="53"/>
      <c r="E99" s="53"/>
      <c r="F99" s="100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53"/>
    </row>
    <row r="100" spans="1:31" ht="23.25" customHeight="1" x14ac:dyDescent="0.15">
      <c r="D100" s="53"/>
      <c r="E100" s="53"/>
      <c r="F100" s="100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53"/>
    </row>
    <row r="101" spans="1:31" ht="23.25" customHeight="1" x14ac:dyDescent="0.15">
      <c r="D101" s="53"/>
      <c r="E101" s="53"/>
      <c r="F101" s="100"/>
      <c r="G101" s="101"/>
      <c r="H101" s="101"/>
      <c r="I101" s="101"/>
      <c r="J101" s="101"/>
      <c r="K101" s="101"/>
      <c r="L101" s="101"/>
      <c r="M101" s="101"/>
      <c r="N101" s="101"/>
      <c r="O101" s="101"/>
      <c r="P101" s="101"/>
      <c r="Q101" s="53"/>
    </row>
    <row r="102" spans="1:31" ht="23.25" customHeight="1" x14ac:dyDescent="0.15">
      <c r="D102" s="53"/>
      <c r="E102" s="53"/>
      <c r="F102" s="100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53"/>
    </row>
    <row r="103" spans="1:31" ht="23.25" customHeight="1" x14ac:dyDescent="0.15">
      <c r="D103" s="53"/>
      <c r="E103" s="53"/>
      <c r="F103" s="100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53"/>
    </row>
    <row r="104" spans="1:31" ht="23.25" customHeight="1" x14ac:dyDescent="0.15">
      <c r="D104" s="53"/>
      <c r="E104" s="53"/>
      <c r="F104" s="100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53"/>
    </row>
    <row r="105" spans="1:31" ht="23.25" customHeight="1" x14ac:dyDescent="0.15">
      <c r="D105" s="53"/>
      <c r="E105" s="53"/>
      <c r="F105" s="100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53"/>
    </row>
    <row r="106" spans="1:31" ht="23.25" customHeight="1" x14ac:dyDescent="0.15">
      <c r="D106" s="53"/>
      <c r="E106" s="53"/>
      <c r="F106" s="100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53"/>
    </row>
    <row r="107" spans="1:31" ht="23.25" customHeight="1" x14ac:dyDescent="0.15">
      <c r="D107" s="53"/>
      <c r="E107" s="53"/>
      <c r="F107" s="100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53"/>
    </row>
  </sheetData>
  <mergeCells count="25"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  <mergeCell ref="D1:Q1"/>
    <mergeCell ref="D4:Q4"/>
    <mergeCell ref="D8:Q8"/>
    <mergeCell ref="D12:Q12"/>
    <mergeCell ref="D17:Q17"/>
    <mergeCell ref="D22:Q22"/>
    <mergeCell ref="D93:Q93"/>
    <mergeCell ref="D30:Q30"/>
    <mergeCell ref="D43:Q43"/>
    <mergeCell ref="D53:Q53"/>
    <mergeCell ref="D79:Q79"/>
    <mergeCell ref="D86:Q86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I81"/>
  <sheetViews>
    <sheetView topLeftCell="D1" workbookViewId="0">
      <pane ySplit="3" topLeftCell="A4" activePane="bottomLeft" state="frozen"/>
      <selection activeCell="J20" sqref="J20"/>
      <selection pane="bottomLeft" activeCell="D7" sqref="D7:T7"/>
    </sheetView>
  </sheetViews>
  <sheetFormatPr defaultRowHeight="21.95" customHeight="1" x14ac:dyDescent="0.15"/>
  <cols>
    <col min="1" max="1" width="4.6640625" style="70" hidden="1" customWidth="1"/>
    <col min="2" max="2" width="6.5546875" style="86" hidden="1" customWidth="1"/>
    <col min="3" max="3" width="10.77734375" style="86" hidden="1" customWidth="1"/>
    <col min="4" max="5" width="24.33203125" style="86" customWidth="1"/>
    <col min="6" max="6" width="4.5546875" style="70" customWidth="1"/>
    <col min="7" max="7" width="10.109375" style="70" customWidth="1"/>
    <col min="8" max="8" width="9.33203125" style="70" customWidth="1"/>
    <col min="9" max="9" width="10" style="70" customWidth="1"/>
    <col min="10" max="10" width="5.21875" style="70" customWidth="1"/>
    <col min="11" max="11" width="4.77734375" style="86" hidden="1" customWidth="1"/>
    <col min="12" max="12" width="14.109375" style="70" customWidth="1"/>
    <col min="13" max="13" width="7.21875" style="70" customWidth="1"/>
    <col min="14" max="14" width="5.44140625" style="70" customWidth="1"/>
    <col min="15" max="15" width="8.77734375" style="70" customWidth="1"/>
    <col min="16" max="16" width="2.44140625" style="109" hidden="1" customWidth="1"/>
    <col min="17" max="17" width="1.21875" style="109" hidden="1" customWidth="1"/>
    <col min="18" max="18" width="5.109375" style="109" hidden="1" customWidth="1"/>
    <col min="19" max="19" width="9.21875" style="70" customWidth="1"/>
    <col min="20" max="20" width="11.109375" style="70" customWidth="1"/>
    <col min="21" max="29" width="8.88671875" style="70"/>
    <col min="30" max="55" width="11.77734375" style="70" customWidth="1"/>
    <col min="56" max="16384" width="8.88671875" style="70"/>
  </cols>
  <sheetData>
    <row r="1" spans="1:35" ht="21.95" customHeight="1" x14ac:dyDescent="0.15">
      <c r="A1" s="70" t="s">
        <v>125</v>
      </c>
      <c r="B1" s="86" t="s">
        <v>604</v>
      </c>
      <c r="D1" s="394" t="s">
        <v>752</v>
      </c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AA1" s="70" t="s">
        <v>578</v>
      </c>
      <c r="AB1" s="70" t="s">
        <v>581</v>
      </c>
      <c r="AC1" s="70" t="s">
        <v>583</v>
      </c>
      <c r="AD1" s="70" t="s">
        <v>585</v>
      </c>
      <c r="AE1" s="70" t="s">
        <v>587</v>
      </c>
      <c r="AF1" s="70" t="s">
        <v>589</v>
      </c>
      <c r="AG1" s="70" t="s">
        <v>591</v>
      </c>
      <c r="AH1" s="70" t="s">
        <v>593</v>
      </c>
      <c r="AI1" s="70" t="s">
        <v>595</v>
      </c>
    </row>
    <row r="2" spans="1:35" s="112" customFormat="1" ht="21.95" customHeight="1" x14ac:dyDescent="0.15">
      <c r="A2" s="406" t="s">
        <v>1</v>
      </c>
      <c r="B2" s="391" t="s">
        <v>2</v>
      </c>
      <c r="C2" s="391" t="s">
        <v>18</v>
      </c>
      <c r="D2" s="392" t="s">
        <v>48</v>
      </c>
      <c r="E2" s="392" t="s">
        <v>49</v>
      </c>
      <c r="F2" s="399" t="s">
        <v>5</v>
      </c>
      <c r="G2" s="399" t="s">
        <v>9</v>
      </c>
      <c r="H2" s="399"/>
      <c r="I2" s="399"/>
      <c r="J2" s="399"/>
      <c r="K2" s="392" t="s">
        <v>18</v>
      </c>
      <c r="L2" s="399" t="s">
        <v>58</v>
      </c>
      <c r="M2" s="399"/>
      <c r="N2" s="399"/>
      <c r="O2" s="399"/>
      <c r="P2" s="399" t="s">
        <v>59</v>
      </c>
      <c r="Q2" s="399"/>
      <c r="R2" s="399"/>
      <c r="S2" s="399" t="s">
        <v>60</v>
      </c>
      <c r="T2" s="399" t="s">
        <v>44</v>
      </c>
    </row>
    <row r="3" spans="1:35" s="112" customFormat="1" ht="21.95" customHeight="1" x14ac:dyDescent="0.15">
      <c r="A3" s="406"/>
      <c r="B3" s="391"/>
      <c r="C3" s="391"/>
      <c r="D3" s="393"/>
      <c r="E3" s="393"/>
      <c r="F3" s="400"/>
      <c r="G3" s="89" t="s">
        <v>61</v>
      </c>
      <c r="H3" s="89" t="s">
        <v>62</v>
      </c>
      <c r="I3" s="89" t="s">
        <v>63</v>
      </c>
      <c r="J3" s="89" t="s">
        <v>64</v>
      </c>
      <c r="K3" s="407"/>
      <c r="L3" s="89" t="s">
        <v>3</v>
      </c>
      <c r="M3" s="89" t="s">
        <v>65</v>
      </c>
      <c r="N3" s="89" t="s">
        <v>66</v>
      </c>
      <c r="O3" s="89" t="s">
        <v>67</v>
      </c>
      <c r="P3" s="89" t="s">
        <v>45</v>
      </c>
      <c r="Q3" s="89" t="s">
        <v>68</v>
      </c>
      <c r="R3" s="89" t="s">
        <v>11</v>
      </c>
      <c r="S3" s="400"/>
      <c r="T3" s="400"/>
    </row>
    <row r="4" spans="1:35" ht="21.95" customHeight="1" x14ac:dyDescent="0.15">
      <c r="B4" s="86" t="s">
        <v>126</v>
      </c>
      <c r="D4" s="395" t="s">
        <v>605</v>
      </c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7"/>
    </row>
    <row r="5" spans="1:35" ht="21.95" customHeight="1" x14ac:dyDescent="0.15">
      <c r="B5" s="86" t="s">
        <v>606</v>
      </c>
      <c r="C5" s="86" t="s">
        <v>607</v>
      </c>
      <c r="D5" s="53" t="s">
        <v>608</v>
      </c>
      <c r="E5" s="53" t="s">
        <v>609</v>
      </c>
      <c r="F5" s="101" t="s">
        <v>112</v>
      </c>
      <c r="G5" s="101">
        <v>1</v>
      </c>
      <c r="H5" s="101">
        <f>IF(I5&lt;&gt;0,G5-I5,"")</f>
        <v>0</v>
      </c>
      <c r="I5" s="101">
        <v>1</v>
      </c>
      <c r="J5" s="101"/>
      <c r="K5" s="53" t="s">
        <v>610</v>
      </c>
      <c r="L5" s="101" t="s">
        <v>589</v>
      </c>
      <c r="M5" s="101">
        <v>0.2</v>
      </c>
      <c r="N5" s="101">
        <v>100</v>
      </c>
      <c r="O5" s="101">
        <f>IF(I5*M5=0,"",I5*M5*(N5/100))</f>
        <v>0.2</v>
      </c>
      <c r="P5" s="106"/>
      <c r="Q5" s="106"/>
      <c r="R5" s="106"/>
      <c r="S5" s="101" t="s">
        <v>611</v>
      </c>
      <c r="T5" s="101"/>
      <c r="AF5" s="70">
        <f>O5</f>
        <v>0.2</v>
      </c>
    </row>
    <row r="6" spans="1:35" ht="21.95" customHeight="1" x14ac:dyDescent="0.15">
      <c r="B6" s="86" t="s">
        <v>606</v>
      </c>
      <c r="C6" s="86" t="s">
        <v>588</v>
      </c>
      <c r="D6" s="53" t="s">
        <v>577</v>
      </c>
      <c r="E6" s="53" t="s">
        <v>589</v>
      </c>
      <c r="F6" s="101" t="s">
        <v>579</v>
      </c>
      <c r="G6" s="101">
        <f>IF(H6*I6/100 &lt;1, TRUNC(H6*I6/100, 옵션!$E$13), TRUNC(H6*I6/100, 옵션!$E$13))</f>
        <v>0.2</v>
      </c>
      <c r="H6" s="101">
        <f>옵션!$B$13</f>
        <v>100</v>
      </c>
      <c r="I6" s="101">
        <f>SUM(AF5:AF5)</f>
        <v>0.2</v>
      </c>
      <c r="J6" s="101"/>
      <c r="K6" s="53"/>
      <c r="L6" s="101"/>
      <c r="M6" s="101"/>
      <c r="N6" s="101"/>
      <c r="O6" s="101" t="str">
        <f>IF(I6*M6=0,"",I6*M6*(N6/100))</f>
        <v/>
      </c>
      <c r="P6" s="106"/>
      <c r="Q6" s="106"/>
      <c r="R6" s="106"/>
      <c r="S6" s="101"/>
      <c r="T6" s="101"/>
      <c r="AF6" s="70">
        <f>SUM(AF5:AF5)</f>
        <v>0.2</v>
      </c>
    </row>
    <row r="7" spans="1:35" ht="21.95" customHeight="1" x14ac:dyDescent="0.15">
      <c r="B7" s="86" t="s">
        <v>126</v>
      </c>
      <c r="D7" s="395" t="s">
        <v>612</v>
      </c>
      <c r="E7" s="396"/>
      <c r="F7" s="396"/>
      <c r="G7" s="396"/>
      <c r="H7" s="396"/>
      <c r="I7" s="396"/>
      <c r="J7" s="396"/>
      <c r="K7" s="396"/>
      <c r="L7" s="396"/>
      <c r="M7" s="396"/>
      <c r="N7" s="396"/>
      <c r="O7" s="396"/>
      <c r="P7" s="396"/>
      <c r="Q7" s="396"/>
      <c r="R7" s="396"/>
      <c r="S7" s="396"/>
      <c r="T7" s="397"/>
    </row>
    <row r="8" spans="1:35" ht="21.95" customHeight="1" x14ac:dyDescent="0.15">
      <c r="B8" s="86" t="s">
        <v>606</v>
      </c>
      <c r="C8" s="86" t="s">
        <v>613</v>
      </c>
      <c r="D8" s="53" t="s">
        <v>608</v>
      </c>
      <c r="E8" s="53" t="s">
        <v>614</v>
      </c>
      <c r="F8" s="101" t="s">
        <v>112</v>
      </c>
      <c r="G8" s="101">
        <v>1</v>
      </c>
      <c r="H8" s="101">
        <f>IF(I8&lt;&gt;0,G8-I8,"")</f>
        <v>0</v>
      </c>
      <c r="I8" s="101">
        <v>1</v>
      </c>
      <c r="J8" s="101"/>
      <c r="K8" s="53" t="s">
        <v>610</v>
      </c>
      <c r="L8" s="101" t="s">
        <v>589</v>
      </c>
      <c r="M8" s="101">
        <v>0.1</v>
      </c>
      <c r="N8" s="101">
        <v>100</v>
      </c>
      <c r="O8" s="101">
        <f>IF(I8*M8=0,"",I8*M8*(N8/100))</f>
        <v>0.1</v>
      </c>
      <c r="P8" s="106"/>
      <c r="Q8" s="106"/>
      <c r="R8" s="106"/>
      <c r="S8" s="101" t="s">
        <v>611</v>
      </c>
      <c r="T8" s="101"/>
      <c r="AF8" s="70">
        <f>O8</f>
        <v>0.1</v>
      </c>
    </row>
    <row r="9" spans="1:35" ht="21.95" customHeight="1" x14ac:dyDescent="0.15">
      <c r="B9" s="86" t="s">
        <v>606</v>
      </c>
      <c r="C9" s="86" t="s">
        <v>588</v>
      </c>
      <c r="D9" s="53" t="s">
        <v>577</v>
      </c>
      <c r="E9" s="53" t="s">
        <v>589</v>
      </c>
      <c r="F9" s="101" t="s">
        <v>579</v>
      </c>
      <c r="G9" s="101">
        <f>IF(H9*I9/100 &lt;1, TRUNC(H9*I9/100, 옵션!$E$13), TRUNC(H9*I9/100, 옵션!$E$13))</f>
        <v>0.1</v>
      </c>
      <c r="H9" s="101">
        <f>옵션!$B$13</f>
        <v>100</v>
      </c>
      <c r="I9" s="101">
        <f>SUM(AF8:AF8)</f>
        <v>0.1</v>
      </c>
      <c r="J9" s="101"/>
      <c r="K9" s="53"/>
      <c r="L9" s="101"/>
      <c r="M9" s="101"/>
      <c r="N9" s="101"/>
      <c r="O9" s="101" t="str">
        <f>IF(I9*M9=0,"",I9*M9*(N9/100))</f>
        <v/>
      </c>
      <c r="P9" s="106"/>
      <c r="Q9" s="106"/>
      <c r="R9" s="106"/>
      <c r="S9" s="101"/>
      <c r="T9" s="101"/>
      <c r="AF9" s="70">
        <f>SUM(AF8:AF8)</f>
        <v>0.1</v>
      </c>
    </row>
    <row r="10" spans="1:35" ht="21.95" customHeight="1" x14ac:dyDescent="0.15">
      <c r="B10" s="86" t="s">
        <v>126</v>
      </c>
      <c r="D10" s="395" t="s">
        <v>615</v>
      </c>
      <c r="E10" s="396"/>
      <c r="F10" s="396"/>
      <c r="G10" s="396"/>
      <c r="H10" s="396"/>
      <c r="I10" s="396"/>
      <c r="J10" s="396"/>
      <c r="K10" s="396"/>
      <c r="L10" s="396"/>
      <c r="M10" s="396"/>
      <c r="N10" s="396"/>
      <c r="O10" s="396"/>
      <c r="P10" s="396"/>
      <c r="Q10" s="396"/>
      <c r="R10" s="396"/>
      <c r="S10" s="396"/>
      <c r="T10" s="397"/>
    </row>
    <row r="11" spans="1:35" ht="21.95" customHeight="1" x14ac:dyDescent="0.15">
      <c r="B11" s="86" t="s">
        <v>606</v>
      </c>
      <c r="C11" s="86" t="s">
        <v>552</v>
      </c>
      <c r="D11" s="53" t="s">
        <v>553</v>
      </c>
      <c r="E11" s="53" t="s">
        <v>554</v>
      </c>
      <c r="F11" s="101" t="s">
        <v>112</v>
      </c>
      <c r="G11" s="101">
        <v>1</v>
      </c>
      <c r="H11" s="101">
        <f>IF(I11&lt;&gt;0,G11-I11,"")</f>
        <v>0</v>
      </c>
      <c r="I11" s="101">
        <v>1</v>
      </c>
      <c r="J11" s="101"/>
      <c r="K11" s="53" t="s">
        <v>616</v>
      </c>
      <c r="L11" s="101" t="s">
        <v>585</v>
      </c>
      <c r="M11" s="101">
        <v>0.45</v>
      </c>
      <c r="N11" s="101">
        <v>100</v>
      </c>
      <c r="O11" s="101">
        <f>IF(I11*M11=0,"",I11*M11*(N11/100))</f>
        <v>0.45</v>
      </c>
      <c r="P11" s="106"/>
      <c r="Q11" s="106"/>
      <c r="R11" s="106"/>
      <c r="S11" s="101" t="s">
        <v>617</v>
      </c>
      <c r="T11" s="101" t="s">
        <v>601</v>
      </c>
      <c r="AD11" s="70">
        <f>O11</f>
        <v>0.45</v>
      </c>
    </row>
    <row r="12" spans="1:35" ht="21.95" customHeight="1" x14ac:dyDescent="0.15">
      <c r="B12" s="86" t="s">
        <v>606</v>
      </c>
      <c r="C12" s="86" t="s">
        <v>552</v>
      </c>
      <c r="D12" s="53"/>
      <c r="E12" s="53"/>
      <c r="F12" s="101"/>
      <c r="G12" s="101">
        <v>1</v>
      </c>
      <c r="H12" s="101">
        <f>IF(I12&lt;&gt;0,G12-I12,"")</f>
        <v>0</v>
      </c>
      <c r="I12" s="101">
        <v>1</v>
      </c>
      <c r="J12" s="101"/>
      <c r="K12" s="53" t="s">
        <v>610</v>
      </c>
      <c r="L12" s="101" t="s">
        <v>589</v>
      </c>
      <c r="M12" s="101">
        <v>0.23</v>
      </c>
      <c r="N12" s="101">
        <v>100</v>
      </c>
      <c r="O12" s="101">
        <f>IF(I12*M12=0,"",I12*M12*(N12/100))</f>
        <v>0.23</v>
      </c>
      <c r="P12" s="106"/>
      <c r="Q12" s="106"/>
      <c r="R12" s="106"/>
      <c r="S12" s="101" t="s">
        <v>617</v>
      </c>
      <c r="T12" s="101" t="s">
        <v>601</v>
      </c>
      <c r="AF12" s="70">
        <f>O12</f>
        <v>0.23</v>
      </c>
    </row>
    <row r="13" spans="1:35" ht="21.95" customHeight="1" x14ac:dyDescent="0.15">
      <c r="B13" s="86" t="s">
        <v>606</v>
      </c>
      <c r="C13" s="86" t="s">
        <v>584</v>
      </c>
      <c r="D13" s="53" t="s">
        <v>577</v>
      </c>
      <c r="E13" s="53" t="s">
        <v>585</v>
      </c>
      <c r="F13" s="101" t="s">
        <v>579</v>
      </c>
      <c r="G13" s="101">
        <f>IF(H13*I13/100 &lt;1, TRUNC(H13*I13/100, 옵션!$E$13), TRUNC(H13*I13/100, 옵션!$E$13))</f>
        <v>0.45</v>
      </c>
      <c r="H13" s="101">
        <f>옵션!$B$13</f>
        <v>100</v>
      </c>
      <c r="I13" s="101">
        <f>SUM(AD11:AD12)</f>
        <v>0.45</v>
      </c>
      <c r="J13" s="101"/>
      <c r="K13" s="53"/>
      <c r="L13" s="101"/>
      <c r="M13" s="101"/>
      <c r="N13" s="101"/>
      <c r="O13" s="101" t="str">
        <f>IF(I13*M13=0,"",I13*M13*(N13/100))</f>
        <v/>
      </c>
      <c r="P13" s="106"/>
      <c r="Q13" s="106"/>
      <c r="R13" s="106"/>
      <c r="S13" s="101"/>
      <c r="T13" s="101"/>
      <c r="AD13" s="70">
        <f>SUM(AD11:AD12)</f>
        <v>0.45</v>
      </c>
      <c r="AF13" s="70">
        <f>SUM(AF11:AF12)</f>
        <v>0.23</v>
      </c>
    </row>
    <row r="14" spans="1:35" ht="21.95" customHeight="1" x14ac:dyDescent="0.15">
      <c r="B14" s="86" t="s">
        <v>606</v>
      </c>
      <c r="C14" s="86" t="s">
        <v>588</v>
      </c>
      <c r="D14" s="53" t="s">
        <v>577</v>
      </c>
      <c r="E14" s="53" t="s">
        <v>589</v>
      </c>
      <c r="F14" s="101" t="s">
        <v>579</v>
      </c>
      <c r="G14" s="101">
        <f>IF(H14*I14/100 &lt;1, TRUNC(H14*I14/100, 옵션!$E$13), TRUNC(H14*I14/100, 옵션!$E$13))</f>
        <v>0.23</v>
      </c>
      <c r="H14" s="101">
        <f>옵션!$B$13</f>
        <v>100</v>
      </c>
      <c r="I14" s="101">
        <f>SUM(AF11:AF12)</f>
        <v>0.23</v>
      </c>
      <c r="J14" s="101"/>
      <c r="K14" s="53"/>
      <c r="L14" s="101"/>
      <c r="M14" s="101"/>
      <c r="N14" s="101"/>
      <c r="O14" s="101" t="str">
        <f>IF(I14*M14=0,"",I14*M14*(N14/100))</f>
        <v/>
      </c>
      <c r="P14" s="106"/>
      <c r="Q14" s="106"/>
      <c r="R14" s="106"/>
      <c r="S14" s="101"/>
      <c r="T14" s="101"/>
    </row>
    <row r="15" spans="1:35" ht="21.95" customHeight="1" x14ac:dyDescent="0.15">
      <c r="B15" s="86" t="s">
        <v>126</v>
      </c>
      <c r="D15" s="395" t="s">
        <v>618</v>
      </c>
      <c r="E15" s="396"/>
      <c r="F15" s="396"/>
      <c r="G15" s="396"/>
      <c r="H15" s="396"/>
      <c r="I15" s="396"/>
      <c r="J15" s="396"/>
      <c r="K15" s="396"/>
      <c r="L15" s="396"/>
      <c r="M15" s="396"/>
      <c r="N15" s="396"/>
      <c r="O15" s="396"/>
      <c r="P15" s="396"/>
      <c r="Q15" s="396"/>
      <c r="R15" s="396"/>
      <c r="S15" s="396"/>
      <c r="T15" s="397"/>
    </row>
    <row r="16" spans="1:35" ht="21.95" customHeight="1" x14ac:dyDescent="0.15">
      <c r="B16" s="86" t="s">
        <v>606</v>
      </c>
      <c r="C16" s="86" t="s">
        <v>495</v>
      </c>
      <c r="D16" s="53" t="s">
        <v>496</v>
      </c>
      <c r="E16" s="53" t="s">
        <v>497</v>
      </c>
      <c r="F16" s="101" t="s">
        <v>498</v>
      </c>
      <c r="G16" s="101">
        <v>1</v>
      </c>
      <c r="H16" s="101">
        <f t="shared" ref="H16:H23" si="0">IF(I16&lt;&gt;0,G16-I16,"")</f>
        <v>0</v>
      </c>
      <c r="I16" s="101">
        <v>1</v>
      </c>
      <c r="J16" s="101"/>
      <c r="K16" s="53" t="s">
        <v>616</v>
      </c>
      <c r="L16" s="101" t="s">
        <v>585</v>
      </c>
      <c r="M16" s="101">
        <v>0.03</v>
      </c>
      <c r="N16" s="101">
        <v>100</v>
      </c>
      <c r="O16" s="101">
        <f t="shared" ref="O16:O26" si="1">IF(I16*M16=0,"",I16*M16*(N16/100))</f>
        <v>0.03</v>
      </c>
      <c r="P16" s="106"/>
      <c r="Q16" s="106"/>
      <c r="R16" s="106"/>
      <c r="S16" s="101" t="s">
        <v>619</v>
      </c>
      <c r="T16" s="101"/>
      <c r="AD16" s="70">
        <f>O16</f>
        <v>0.03</v>
      </c>
    </row>
    <row r="17" spans="2:33" ht="21.95" customHeight="1" x14ac:dyDescent="0.15">
      <c r="B17" s="86" t="s">
        <v>606</v>
      </c>
      <c r="C17" s="86" t="s">
        <v>495</v>
      </c>
      <c r="D17" s="53"/>
      <c r="E17" s="53"/>
      <c r="F17" s="101"/>
      <c r="G17" s="101">
        <v>1</v>
      </c>
      <c r="H17" s="101">
        <f t="shared" si="0"/>
        <v>0</v>
      </c>
      <c r="I17" s="101">
        <v>1</v>
      </c>
      <c r="J17" s="101"/>
      <c r="K17" s="53" t="s">
        <v>620</v>
      </c>
      <c r="L17" s="101" t="s">
        <v>591</v>
      </c>
      <c r="M17" s="101">
        <v>7.0000000000000007E-2</v>
      </c>
      <c r="N17" s="101">
        <v>100</v>
      </c>
      <c r="O17" s="101">
        <f t="shared" si="1"/>
        <v>7.0000000000000007E-2</v>
      </c>
      <c r="P17" s="106"/>
      <c r="Q17" s="106"/>
      <c r="R17" s="106"/>
      <c r="S17" s="101" t="s">
        <v>619</v>
      </c>
      <c r="T17" s="101"/>
      <c r="AG17" s="70">
        <f>O17</f>
        <v>7.0000000000000007E-2</v>
      </c>
    </row>
    <row r="18" spans="2:33" ht="21.95" customHeight="1" x14ac:dyDescent="0.15">
      <c r="B18" s="86" t="s">
        <v>606</v>
      </c>
      <c r="C18" s="86" t="s">
        <v>495</v>
      </c>
      <c r="D18" s="53"/>
      <c r="E18" s="53"/>
      <c r="F18" s="101"/>
      <c r="G18" s="101">
        <v>1</v>
      </c>
      <c r="H18" s="101">
        <f t="shared" si="0"/>
        <v>0</v>
      </c>
      <c r="I18" s="101">
        <v>1</v>
      </c>
      <c r="J18" s="101"/>
      <c r="K18" s="53" t="s">
        <v>610</v>
      </c>
      <c r="L18" s="101" t="s">
        <v>589</v>
      </c>
      <c r="M18" s="101">
        <v>0.43</v>
      </c>
      <c r="N18" s="101">
        <v>100</v>
      </c>
      <c r="O18" s="101">
        <f t="shared" si="1"/>
        <v>0.43</v>
      </c>
      <c r="P18" s="106"/>
      <c r="Q18" s="106"/>
      <c r="R18" s="106"/>
      <c r="S18" s="101" t="s">
        <v>619</v>
      </c>
      <c r="T18" s="101"/>
      <c r="AF18" s="70">
        <f>O18</f>
        <v>0.43</v>
      </c>
    </row>
    <row r="19" spans="2:33" ht="21.95" customHeight="1" x14ac:dyDescent="0.15">
      <c r="B19" s="86" t="s">
        <v>606</v>
      </c>
      <c r="C19" s="86" t="s">
        <v>500</v>
      </c>
      <c r="D19" s="53" t="s">
        <v>501</v>
      </c>
      <c r="E19" s="53" t="s">
        <v>502</v>
      </c>
      <c r="F19" s="101" t="s">
        <v>498</v>
      </c>
      <c r="G19" s="101">
        <v>1</v>
      </c>
      <c r="H19" s="101">
        <f t="shared" si="0"/>
        <v>0</v>
      </c>
      <c r="I19" s="101">
        <v>1</v>
      </c>
      <c r="J19" s="101"/>
      <c r="K19" s="53" t="s">
        <v>616</v>
      </c>
      <c r="L19" s="101" t="s">
        <v>585</v>
      </c>
      <c r="M19" s="101">
        <v>0.12</v>
      </c>
      <c r="N19" s="101">
        <v>100</v>
      </c>
      <c r="O19" s="101">
        <f t="shared" si="1"/>
        <v>0.12</v>
      </c>
      <c r="P19" s="106"/>
      <c r="Q19" s="106"/>
      <c r="R19" s="106"/>
      <c r="S19" s="101" t="s">
        <v>621</v>
      </c>
      <c r="T19" s="101"/>
      <c r="AD19" s="70">
        <f>O19</f>
        <v>0.12</v>
      </c>
    </row>
    <row r="20" spans="2:33" ht="21.95" customHeight="1" x14ac:dyDescent="0.15">
      <c r="B20" s="86" t="s">
        <v>606</v>
      </c>
      <c r="C20" s="86" t="s">
        <v>500</v>
      </c>
      <c r="D20" s="53"/>
      <c r="E20" s="53"/>
      <c r="F20" s="101"/>
      <c r="G20" s="101">
        <v>1</v>
      </c>
      <c r="H20" s="101">
        <f t="shared" si="0"/>
        <v>0</v>
      </c>
      <c r="I20" s="101">
        <v>1</v>
      </c>
      <c r="J20" s="101"/>
      <c r="K20" s="53" t="s">
        <v>610</v>
      </c>
      <c r="L20" s="101" t="s">
        <v>589</v>
      </c>
      <c r="M20" s="101">
        <v>0.06</v>
      </c>
      <c r="N20" s="101">
        <v>100</v>
      </c>
      <c r="O20" s="101">
        <f t="shared" si="1"/>
        <v>0.06</v>
      </c>
      <c r="P20" s="106"/>
      <c r="Q20" s="106"/>
      <c r="R20" s="106"/>
      <c r="S20" s="101" t="s">
        <v>621</v>
      </c>
      <c r="T20" s="101"/>
      <c r="AF20" s="70">
        <f>O20</f>
        <v>0.06</v>
      </c>
    </row>
    <row r="21" spans="2:33" ht="21.95" customHeight="1" x14ac:dyDescent="0.15">
      <c r="B21" s="86" t="s">
        <v>606</v>
      </c>
      <c r="C21" s="86" t="s">
        <v>489</v>
      </c>
      <c r="D21" s="53" t="s">
        <v>490</v>
      </c>
      <c r="E21" s="53" t="s">
        <v>491</v>
      </c>
      <c r="F21" s="101" t="s">
        <v>145</v>
      </c>
      <c r="G21" s="101">
        <v>1</v>
      </c>
      <c r="H21" s="101">
        <f t="shared" si="0"/>
        <v>0</v>
      </c>
      <c r="I21" s="101">
        <v>1</v>
      </c>
      <c r="J21" s="101"/>
      <c r="K21" s="53" t="s">
        <v>616</v>
      </c>
      <c r="L21" s="101" t="s">
        <v>585</v>
      </c>
      <c r="M21" s="101">
        <v>0.2</v>
      </c>
      <c r="N21" s="101">
        <v>100</v>
      </c>
      <c r="O21" s="101">
        <f t="shared" si="1"/>
        <v>0.2</v>
      </c>
      <c r="P21" s="106"/>
      <c r="Q21" s="106"/>
      <c r="R21" s="106"/>
      <c r="S21" s="101" t="s">
        <v>617</v>
      </c>
      <c r="T21" s="101"/>
      <c r="AD21" s="70">
        <f>O21</f>
        <v>0.2</v>
      </c>
    </row>
    <row r="22" spans="2:33" ht="21.95" customHeight="1" x14ac:dyDescent="0.15">
      <c r="B22" s="86" t="s">
        <v>606</v>
      </c>
      <c r="C22" s="86" t="s">
        <v>489</v>
      </c>
      <c r="D22" s="53"/>
      <c r="E22" s="53"/>
      <c r="F22" s="101"/>
      <c r="G22" s="101">
        <v>1</v>
      </c>
      <c r="H22" s="101">
        <f t="shared" si="0"/>
        <v>0</v>
      </c>
      <c r="I22" s="101">
        <v>1</v>
      </c>
      <c r="J22" s="101"/>
      <c r="K22" s="53" t="s">
        <v>610</v>
      </c>
      <c r="L22" s="101" t="s">
        <v>589</v>
      </c>
      <c r="M22" s="101">
        <v>0.1</v>
      </c>
      <c r="N22" s="101">
        <v>100</v>
      </c>
      <c r="O22" s="101">
        <f t="shared" si="1"/>
        <v>0.1</v>
      </c>
      <c r="P22" s="106"/>
      <c r="Q22" s="106"/>
      <c r="R22" s="106"/>
      <c r="S22" s="101" t="s">
        <v>617</v>
      </c>
      <c r="T22" s="101"/>
      <c r="AF22" s="70">
        <f>O22</f>
        <v>0.1</v>
      </c>
    </row>
    <row r="23" spans="2:33" ht="21.95" customHeight="1" x14ac:dyDescent="0.15">
      <c r="B23" s="86" t="s">
        <v>606</v>
      </c>
      <c r="C23" s="86" t="s">
        <v>473</v>
      </c>
      <c r="D23" s="53" t="s">
        <v>227</v>
      </c>
      <c r="E23" s="53" t="s">
        <v>474</v>
      </c>
      <c r="F23" s="101" t="s">
        <v>438</v>
      </c>
      <c r="G23" s="101">
        <v>5</v>
      </c>
      <c r="H23" s="101">
        <f t="shared" si="0"/>
        <v>0</v>
      </c>
      <c r="I23" s="101">
        <v>5</v>
      </c>
      <c r="J23" s="101">
        <v>10</v>
      </c>
      <c r="K23" s="53" t="s">
        <v>616</v>
      </c>
      <c r="L23" s="101" t="s">
        <v>585</v>
      </c>
      <c r="M23" s="101">
        <v>1.2E-2</v>
      </c>
      <c r="N23" s="101">
        <v>100</v>
      </c>
      <c r="O23" s="101">
        <f t="shared" si="1"/>
        <v>0.06</v>
      </c>
      <c r="P23" s="106"/>
      <c r="Q23" s="106"/>
      <c r="R23" s="106"/>
      <c r="S23" s="101" t="s">
        <v>617</v>
      </c>
      <c r="T23" s="101"/>
      <c r="AD23" s="70">
        <f>O23</f>
        <v>0.06</v>
      </c>
    </row>
    <row r="24" spans="2:33" ht="21.95" customHeight="1" x14ac:dyDescent="0.15">
      <c r="B24" s="86" t="s">
        <v>606</v>
      </c>
      <c r="C24" s="86" t="s">
        <v>584</v>
      </c>
      <c r="D24" s="53" t="s">
        <v>577</v>
      </c>
      <c r="E24" s="53" t="s">
        <v>585</v>
      </c>
      <c r="F24" s="101" t="s">
        <v>579</v>
      </c>
      <c r="G24" s="101">
        <f>IF(H24*I24/100 &lt;1, TRUNC(H24*I24/100, 옵션!$E$13), TRUNC(H24*I24/100, 옵션!$E$13))</f>
        <v>0.41</v>
      </c>
      <c r="H24" s="101">
        <f>옵션!$B$13</f>
        <v>100</v>
      </c>
      <c r="I24" s="101">
        <f>SUM(AD16:AD23)</f>
        <v>0.41</v>
      </c>
      <c r="J24" s="101"/>
      <c r="K24" s="53"/>
      <c r="L24" s="101"/>
      <c r="M24" s="101"/>
      <c r="N24" s="101"/>
      <c r="O24" s="101" t="str">
        <f t="shared" si="1"/>
        <v/>
      </c>
      <c r="P24" s="106"/>
      <c r="Q24" s="106"/>
      <c r="R24" s="106"/>
      <c r="S24" s="101"/>
      <c r="T24" s="101"/>
      <c r="AD24" s="70">
        <f>SUM(AD16:AD23)</f>
        <v>0.41</v>
      </c>
      <c r="AF24" s="70">
        <f>SUM(AF16:AF23)</f>
        <v>0.59</v>
      </c>
      <c r="AG24" s="70">
        <f>SUM(AG16:AG23)</f>
        <v>7.0000000000000007E-2</v>
      </c>
    </row>
    <row r="25" spans="2:33" ht="21.95" customHeight="1" x14ac:dyDescent="0.15">
      <c r="B25" s="86" t="s">
        <v>606</v>
      </c>
      <c r="C25" s="86" t="s">
        <v>588</v>
      </c>
      <c r="D25" s="53" t="s">
        <v>577</v>
      </c>
      <c r="E25" s="53" t="s">
        <v>589</v>
      </c>
      <c r="F25" s="101" t="s">
        <v>579</v>
      </c>
      <c r="G25" s="101">
        <f>IF(H25*I25/100 &lt;1, TRUNC(H25*I25/100, 옵션!$E$13), TRUNC(H25*I25/100, 옵션!$E$13))</f>
        <v>0.59</v>
      </c>
      <c r="H25" s="101">
        <f>옵션!$B$13</f>
        <v>100</v>
      </c>
      <c r="I25" s="101">
        <f>SUM(AF16:AF23)</f>
        <v>0.59</v>
      </c>
      <c r="J25" s="101"/>
      <c r="K25" s="53"/>
      <c r="L25" s="101"/>
      <c r="M25" s="101"/>
      <c r="N25" s="101"/>
      <c r="O25" s="101" t="str">
        <f t="shared" si="1"/>
        <v/>
      </c>
      <c r="P25" s="106"/>
      <c r="Q25" s="106"/>
      <c r="R25" s="106"/>
      <c r="S25" s="101"/>
      <c r="T25" s="101"/>
    </row>
    <row r="26" spans="2:33" ht="21.95" customHeight="1" x14ac:dyDescent="0.15">
      <c r="B26" s="86" t="s">
        <v>606</v>
      </c>
      <c r="C26" s="86" t="s">
        <v>590</v>
      </c>
      <c r="D26" s="53" t="s">
        <v>577</v>
      </c>
      <c r="E26" s="53" t="s">
        <v>591</v>
      </c>
      <c r="F26" s="101" t="s">
        <v>579</v>
      </c>
      <c r="G26" s="101">
        <f>IF(H26*I26/100 &lt;1, TRUNC(H26*I26/100, 옵션!$E$13), TRUNC(H26*I26/100, 옵션!$E$13))</f>
        <v>7.0000000000000007E-2</v>
      </c>
      <c r="H26" s="101">
        <f>옵션!$B$13</f>
        <v>100</v>
      </c>
      <c r="I26" s="101">
        <f>SUM(AG16:AG23)</f>
        <v>7.0000000000000007E-2</v>
      </c>
      <c r="J26" s="101"/>
      <c r="K26" s="53"/>
      <c r="L26" s="101"/>
      <c r="M26" s="101"/>
      <c r="N26" s="101"/>
      <c r="O26" s="101" t="str">
        <f t="shared" si="1"/>
        <v/>
      </c>
      <c r="P26" s="106"/>
      <c r="Q26" s="106"/>
      <c r="R26" s="106"/>
      <c r="S26" s="101"/>
      <c r="T26" s="101"/>
    </row>
    <row r="27" spans="2:33" ht="21.95" customHeight="1" x14ac:dyDescent="0.15">
      <c r="B27" s="86" t="s">
        <v>126</v>
      </c>
      <c r="D27" s="395" t="s">
        <v>622</v>
      </c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6"/>
      <c r="T27" s="397"/>
    </row>
    <row r="28" spans="2:33" ht="21.95" customHeight="1" x14ac:dyDescent="0.15">
      <c r="B28" s="86" t="s">
        <v>606</v>
      </c>
      <c r="C28" s="86" t="s">
        <v>462</v>
      </c>
      <c r="D28" s="53" t="s">
        <v>463</v>
      </c>
      <c r="E28" s="53" t="s">
        <v>464</v>
      </c>
      <c r="F28" s="101" t="s">
        <v>145</v>
      </c>
      <c r="G28" s="101">
        <v>1</v>
      </c>
      <c r="H28" s="101">
        <f>IF(I28&lt;&gt;0,G28-I28,"")</f>
        <v>0</v>
      </c>
      <c r="I28" s="101">
        <v>1</v>
      </c>
      <c r="J28" s="101"/>
      <c r="K28" s="53" t="s">
        <v>623</v>
      </c>
      <c r="L28" s="101" t="s">
        <v>578</v>
      </c>
      <c r="M28" s="101">
        <v>0.04</v>
      </c>
      <c r="N28" s="101">
        <v>150</v>
      </c>
      <c r="O28" s="101">
        <f>IF(I28*M28=0,"",I28*M28*(N28/100))</f>
        <v>0.06</v>
      </c>
      <c r="P28" s="106"/>
      <c r="Q28" s="106"/>
      <c r="R28" s="106"/>
      <c r="S28" s="101" t="s">
        <v>624</v>
      </c>
      <c r="T28" s="101"/>
      <c r="AA28" s="70">
        <f>O28</f>
        <v>0.06</v>
      </c>
    </row>
    <row r="29" spans="2:33" ht="21.95" customHeight="1" x14ac:dyDescent="0.15">
      <c r="B29" s="86" t="s">
        <v>606</v>
      </c>
      <c r="C29" s="86" t="s">
        <v>576</v>
      </c>
      <c r="D29" s="53" t="s">
        <v>577</v>
      </c>
      <c r="E29" s="53" t="s">
        <v>578</v>
      </c>
      <c r="F29" s="101" t="s">
        <v>579</v>
      </c>
      <c r="G29" s="101">
        <f>IF(H29*I29/100 &lt;1, TRUNC(H29*I29/100, 옵션!$E$13), TRUNC(H29*I29/100, 옵션!$E$13))</f>
        <v>0.06</v>
      </c>
      <c r="H29" s="101">
        <f>옵션!$B$13</f>
        <v>100</v>
      </c>
      <c r="I29" s="101">
        <f>SUM(AA28:AA28)</f>
        <v>0.06</v>
      </c>
      <c r="J29" s="101"/>
      <c r="K29" s="53"/>
      <c r="L29" s="101"/>
      <c r="M29" s="101"/>
      <c r="N29" s="101"/>
      <c r="O29" s="101" t="str">
        <f>IF(I29*M29=0,"",I29*M29*(N29/100))</f>
        <v/>
      </c>
      <c r="P29" s="106"/>
      <c r="Q29" s="106"/>
      <c r="R29" s="106"/>
      <c r="S29" s="101"/>
      <c r="T29" s="101"/>
      <c r="AA29" s="70">
        <f>SUM(AA28:AA28)</f>
        <v>0.06</v>
      </c>
    </row>
    <row r="30" spans="2:33" ht="21.95" customHeight="1" x14ac:dyDescent="0.15">
      <c r="B30" s="86" t="s">
        <v>126</v>
      </c>
      <c r="D30" s="395" t="s">
        <v>625</v>
      </c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6"/>
      <c r="T30" s="397"/>
    </row>
    <row r="31" spans="2:33" ht="21.95" customHeight="1" x14ac:dyDescent="0.15">
      <c r="B31" s="86" t="s">
        <v>606</v>
      </c>
      <c r="C31" s="86" t="s">
        <v>558</v>
      </c>
      <c r="D31" s="53" t="s">
        <v>559</v>
      </c>
      <c r="E31" s="53" t="s">
        <v>560</v>
      </c>
      <c r="F31" s="101" t="s">
        <v>137</v>
      </c>
      <c r="G31" s="101">
        <v>1</v>
      </c>
      <c r="H31" s="101">
        <f t="shared" ref="H31:H48" si="2">IF(I31&lt;&gt;0,G31-I31,"")</f>
        <v>0</v>
      </c>
      <c r="I31" s="101">
        <v>1</v>
      </c>
      <c r="J31" s="101"/>
      <c r="K31" s="53" t="s">
        <v>623</v>
      </c>
      <c r="L31" s="101" t="s">
        <v>578</v>
      </c>
      <c r="M31" s="101">
        <v>0.86</v>
      </c>
      <c r="N31" s="101">
        <v>100</v>
      </c>
      <c r="O31" s="101">
        <f t="shared" ref="O31:O56" si="3">IF(I31*M31=0,"",I31*M31*(N31/100))</f>
        <v>0.86</v>
      </c>
      <c r="P31" s="106"/>
      <c r="Q31" s="106"/>
      <c r="R31" s="106"/>
      <c r="S31" s="101" t="s">
        <v>626</v>
      </c>
      <c r="T31" s="101"/>
      <c r="AA31" s="70">
        <f>O31</f>
        <v>0.86</v>
      </c>
    </row>
    <row r="32" spans="2:33" ht="21.95" customHeight="1" x14ac:dyDescent="0.15">
      <c r="B32" s="86" t="s">
        <v>606</v>
      </c>
      <c r="C32" s="86" t="s">
        <v>558</v>
      </c>
      <c r="D32" s="53"/>
      <c r="E32" s="53"/>
      <c r="F32" s="101"/>
      <c r="G32" s="101">
        <v>1</v>
      </c>
      <c r="H32" s="101">
        <f t="shared" si="2"/>
        <v>0</v>
      </c>
      <c r="I32" s="101">
        <v>1</v>
      </c>
      <c r="J32" s="101"/>
      <c r="K32" s="53" t="s">
        <v>610</v>
      </c>
      <c r="L32" s="101" t="s">
        <v>589</v>
      </c>
      <c r="M32" s="101">
        <v>0.86</v>
      </c>
      <c r="N32" s="101">
        <v>100</v>
      </c>
      <c r="O32" s="101">
        <f t="shared" si="3"/>
        <v>0.86</v>
      </c>
      <c r="P32" s="106"/>
      <c r="Q32" s="106"/>
      <c r="R32" s="106"/>
      <c r="S32" s="101" t="s">
        <v>626</v>
      </c>
      <c r="T32" s="101"/>
      <c r="AF32" s="70">
        <f>O32</f>
        <v>0.86</v>
      </c>
    </row>
    <row r="33" spans="2:35" ht="21.95" customHeight="1" x14ac:dyDescent="0.15">
      <c r="B33" s="86" t="s">
        <v>606</v>
      </c>
      <c r="C33" s="86" t="s">
        <v>522</v>
      </c>
      <c r="D33" s="53" t="s">
        <v>523</v>
      </c>
      <c r="E33" s="53" t="s">
        <v>524</v>
      </c>
      <c r="F33" s="101" t="s">
        <v>137</v>
      </c>
      <c r="G33" s="101">
        <v>1</v>
      </c>
      <c r="H33" s="101">
        <f t="shared" si="2"/>
        <v>0</v>
      </c>
      <c r="I33" s="101">
        <v>1</v>
      </c>
      <c r="J33" s="101"/>
      <c r="K33" s="53" t="s">
        <v>627</v>
      </c>
      <c r="L33" s="101" t="s">
        <v>583</v>
      </c>
      <c r="M33" s="101">
        <v>0.09</v>
      </c>
      <c r="N33" s="101">
        <v>100</v>
      </c>
      <c r="O33" s="101">
        <f t="shared" si="3"/>
        <v>0.09</v>
      </c>
      <c r="P33" s="106"/>
      <c r="Q33" s="106"/>
      <c r="R33" s="106"/>
      <c r="S33" s="101" t="s">
        <v>628</v>
      </c>
      <c r="T33" s="101"/>
      <c r="AC33" s="70">
        <f>O33</f>
        <v>0.09</v>
      </c>
    </row>
    <row r="34" spans="2:35" ht="21.95" customHeight="1" x14ac:dyDescent="0.15">
      <c r="B34" s="86" t="s">
        <v>606</v>
      </c>
      <c r="C34" s="86" t="s">
        <v>522</v>
      </c>
      <c r="D34" s="53"/>
      <c r="E34" s="53"/>
      <c r="F34" s="101"/>
      <c r="G34" s="101">
        <v>1</v>
      </c>
      <c r="H34" s="101">
        <f t="shared" si="2"/>
        <v>0</v>
      </c>
      <c r="I34" s="101">
        <v>1</v>
      </c>
      <c r="J34" s="101"/>
      <c r="K34" s="53" t="s">
        <v>610</v>
      </c>
      <c r="L34" s="101" t="s">
        <v>589</v>
      </c>
      <c r="M34" s="101">
        <v>0.09</v>
      </c>
      <c r="N34" s="101">
        <v>100</v>
      </c>
      <c r="O34" s="101">
        <f t="shared" si="3"/>
        <v>0.09</v>
      </c>
      <c r="P34" s="106"/>
      <c r="Q34" s="106"/>
      <c r="R34" s="106"/>
      <c r="S34" s="101" t="s">
        <v>628</v>
      </c>
      <c r="T34" s="101"/>
      <c r="AF34" s="70">
        <f>O34</f>
        <v>0.09</v>
      </c>
    </row>
    <row r="35" spans="2:35" ht="21.95" customHeight="1" x14ac:dyDescent="0.15">
      <c r="B35" s="86" t="s">
        <v>606</v>
      </c>
      <c r="C35" s="86" t="s">
        <v>525</v>
      </c>
      <c r="D35" s="53" t="s">
        <v>526</v>
      </c>
      <c r="E35" s="53" t="s">
        <v>527</v>
      </c>
      <c r="F35" s="101" t="s">
        <v>137</v>
      </c>
      <c r="G35" s="101">
        <v>1</v>
      </c>
      <c r="H35" s="101">
        <f t="shared" si="2"/>
        <v>0</v>
      </c>
      <c r="I35" s="101">
        <v>1</v>
      </c>
      <c r="J35" s="101"/>
      <c r="K35" s="53" t="s">
        <v>629</v>
      </c>
      <c r="L35" s="101" t="s">
        <v>595</v>
      </c>
      <c r="M35" s="101">
        <v>0.36</v>
      </c>
      <c r="N35" s="101">
        <v>100</v>
      </c>
      <c r="O35" s="101">
        <f t="shared" si="3"/>
        <v>0.36</v>
      </c>
      <c r="P35" s="106"/>
      <c r="Q35" s="106"/>
      <c r="R35" s="106"/>
      <c r="S35" s="101" t="s">
        <v>630</v>
      </c>
      <c r="T35" s="101"/>
      <c r="AI35" s="70">
        <f>O35</f>
        <v>0.36</v>
      </c>
    </row>
    <row r="36" spans="2:35" ht="21.95" customHeight="1" x14ac:dyDescent="0.15">
      <c r="B36" s="86" t="s">
        <v>606</v>
      </c>
      <c r="C36" s="86" t="s">
        <v>525</v>
      </c>
      <c r="D36" s="53"/>
      <c r="E36" s="53"/>
      <c r="F36" s="101"/>
      <c r="G36" s="101">
        <v>1</v>
      </c>
      <c r="H36" s="101">
        <f t="shared" si="2"/>
        <v>0</v>
      </c>
      <c r="I36" s="101">
        <v>1</v>
      </c>
      <c r="J36" s="101"/>
      <c r="K36" s="53" t="s">
        <v>631</v>
      </c>
      <c r="L36" s="101" t="s">
        <v>593</v>
      </c>
      <c r="M36" s="101">
        <v>0.22</v>
      </c>
      <c r="N36" s="101">
        <v>100</v>
      </c>
      <c r="O36" s="101">
        <f t="shared" si="3"/>
        <v>0.22</v>
      </c>
      <c r="P36" s="106"/>
      <c r="Q36" s="106"/>
      <c r="R36" s="106"/>
      <c r="S36" s="101" t="s">
        <v>630</v>
      </c>
      <c r="T36" s="101"/>
      <c r="AH36" s="70">
        <f>O36</f>
        <v>0.22</v>
      </c>
    </row>
    <row r="37" spans="2:35" ht="21.95" customHeight="1" x14ac:dyDescent="0.15">
      <c r="B37" s="86" t="s">
        <v>606</v>
      </c>
      <c r="C37" s="86" t="s">
        <v>528</v>
      </c>
      <c r="D37" s="53" t="s">
        <v>529</v>
      </c>
      <c r="E37" s="53" t="s">
        <v>530</v>
      </c>
      <c r="F37" s="101" t="s">
        <v>137</v>
      </c>
      <c r="G37" s="101">
        <v>1</v>
      </c>
      <c r="H37" s="101">
        <f t="shared" si="2"/>
        <v>0</v>
      </c>
      <c r="I37" s="101">
        <v>1</v>
      </c>
      <c r="J37" s="101"/>
      <c r="K37" s="53" t="s">
        <v>627</v>
      </c>
      <c r="L37" s="101" t="s">
        <v>583</v>
      </c>
      <c r="M37" s="101">
        <v>7.0000000000000007E-2</v>
      </c>
      <c r="N37" s="101">
        <v>100</v>
      </c>
      <c r="O37" s="101">
        <f t="shared" si="3"/>
        <v>7.0000000000000007E-2</v>
      </c>
      <c r="P37" s="106"/>
      <c r="Q37" s="106"/>
      <c r="R37" s="106"/>
      <c r="S37" s="101" t="s">
        <v>632</v>
      </c>
      <c r="T37" s="101"/>
      <c r="AC37" s="70">
        <f>O37</f>
        <v>7.0000000000000007E-2</v>
      </c>
    </row>
    <row r="38" spans="2:35" ht="21.95" customHeight="1" x14ac:dyDescent="0.15">
      <c r="B38" s="86" t="s">
        <v>606</v>
      </c>
      <c r="C38" s="86" t="s">
        <v>528</v>
      </c>
      <c r="D38" s="53"/>
      <c r="E38" s="53"/>
      <c r="F38" s="101"/>
      <c r="G38" s="101">
        <v>1</v>
      </c>
      <c r="H38" s="101">
        <f t="shared" si="2"/>
        <v>0</v>
      </c>
      <c r="I38" s="101">
        <v>1</v>
      </c>
      <c r="J38" s="101"/>
      <c r="K38" s="53" t="s">
        <v>610</v>
      </c>
      <c r="L38" s="101" t="s">
        <v>589</v>
      </c>
      <c r="M38" s="101">
        <v>7.0000000000000007E-2</v>
      </c>
      <c r="N38" s="101">
        <v>100</v>
      </c>
      <c r="O38" s="101">
        <f t="shared" si="3"/>
        <v>7.0000000000000007E-2</v>
      </c>
      <c r="P38" s="106"/>
      <c r="Q38" s="106"/>
      <c r="R38" s="106"/>
      <c r="S38" s="101" t="s">
        <v>632</v>
      </c>
      <c r="T38" s="101"/>
      <c r="AF38" s="70">
        <f>O38</f>
        <v>7.0000000000000007E-2</v>
      </c>
    </row>
    <row r="39" spans="2:35" ht="21.95" customHeight="1" x14ac:dyDescent="0.15">
      <c r="B39" s="86" t="s">
        <v>606</v>
      </c>
      <c r="C39" s="86" t="s">
        <v>513</v>
      </c>
      <c r="D39" s="53" t="s">
        <v>514</v>
      </c>
      <c r="E39" s="53" t="s">
        <v>515</v>
      </c>
      <c r="F39" s="101" t="s">
        <v>137</v>
      </c>
      <c r="G39" s="101">
        <v>1</v>
      </c>
      <c r="H39" s="101">
        <f t="shared" si="2"/>
        <v>0</v>
      </c>
      <c r="I39" s="101">
        <v>1</v>
      </c>
      <c r="J39" s="101"/>
      <c r="K39" s="53" t="s">
        <v>627</v>
      </c>
      <c r="L39" s="101" t="s">
        <v>583</v>
      </c>
      <c r="M39" s="101">
        <v>0.11</v>
      </c>
      <c r="N39" s="101">
        <v>100</v>
      </c>
      <c r="O39" s="101">
        <f t="shared" si="3"/>
        <v>0.11</v>
      </c>
      <c r="P39" s="106"/>
      <c r="Q39" s="106"/>
      <c r="R39" s="106"/>
      <c r="S39" s="101" t="s">
        <v>632</v>
      </c>
      <c r="T39" s="101"/>
      <c r="AC39" s="70">
        <f>O39</f>
        <v>0.11</v>
      </c>
    </row>
    <row r="40" spans="2:35" ht="21.95" customHeight="1" x14ac:dyDescent="0.15">
      <c r="B40" s="86" t="s">
        <v>606</v>
      </c>
      <c r="C40" s="86" t="s">
        <v>513</v>
      </c>
      <c r="D40" s="53"/>
      <c r="E40" s="53"/>
      <c r="F40" s="101"/>
      <c r="G40" s="101">
        <v>1</v>
      </c>
      <c r="H40" s="101">
        <f t="shared" si="2"/>
        <v>0</v>
      </c>
      <c r="I40" s="101">
        <v>1</v>
      </c>
      <c r="J40" s="101"/>
      <c r="K40" s="53" t="s">
        <v>610</v>
      </c>
      <c r="L40" s="101" t="s">
        <v>589</v>
      </c>
      <c r="M40" s="101">
        <v>0.11</v>
      </c>
      <c r="N40" s="101">
        <v>100</v>
      </c>
      <c r="O40" s="101">
        <f t="shared" si="3"/>
        <v>0.11</v>
      </c>
      <c r="P40" s="106"/>
      <c r="Q40" s="106"/>
      <c r="R40" s="106"/>
      <c r="S40" s="101" t="s">
        <v>632</v>
      </c>
      <c r="T40" s="101"/>
      <c r="AF40" s="70">
        <f>O40</f>
        <v>0.11</v>
      </c>
    </row>
    <row r="41" spans="2:35" ht="21.95" customHeight="1" x14ac:dyDescent="0.15">
      <c r="B41" s="86" t="s">
        <v>606</v>
      </c>
      <c r="C41" s="86" t="s">
        <v>544</v>
      </c>
      <c r="D41" s="53" t="s">
        <v>545</v>
      </c>
      <c r="E41" s="53" t="s">
        <v>546</v>
      </c>
      <c r="F41" s="101" t="s">
        <v>137</v>
      </c>
      <c r="G41" s="101">
        <v>4</v>
      </c>
      <c r="H41" s="101">
        <f t="shared" si="2"/>
        <v>0</v>
      </c>
      <c r="I41" s="101">
        <v>4</v>
      </c>
      <c r="J41" s="101"/>
      <c r="K41" s="53" t="s">
        <v>633</v>
      </c>
      <c r="L41" s="101" t="s">
        <v>581</v>
      </c>
      <c r="M41" s="101">
        <v>0.04</v>
      </c>
      <c r="N41" s="101">
        <v>100</v>
      </c>
      <c r="O41" s="101">
        <f t="shared" si="3"/>
        <v>0.16</v>
      </c>
      <c r="P41" s="106"/>
      <c r="Q41" s="106"/>
      <c r="R41" s="106"/>
      <c r="S41" s="101" t="s">
        <v>632</v>
      </c>
      <c r="T41" s="101"/>
      <c r="AB41" s="70">
        <f>O41</f>
        <v>0.16</v>
      </c>
    </row>
    <row r="42" spans="2:35" ht="21.95" customHeight="1" x14ac:dyDescent="0.15">
      <c r="B42" s="86" t="s">
        <v>606</v>
      </c>
      <c r="C42" s="86" t="s">
        <v>544</v>
      </c>
      <c r="D42" s="53"/>
      <c r="E42" s="53"/>
      <c r="F42" s="101"/>
      <c r="G42" s="101">
        <v>4</v>
      </c>
      <c r="H42" s="101">
        <f t="shared" si="2"/>
        <v>0</v>
      </c>
      <c r="I42" s="101">
        <v>4</v>
      </c>
      <c r="J42" s="101"/>
      <c r="K42" s="53" t="s">
        <v>610</v>
      </c>
      <c r="L42" s="101" t="s">
        <v>589</v>
      </c>
      <c r="M42" s="101">
        <v>5.3999999999999999E-2</v>
      </c>
      <c r="N42" s="101">
        <v>100</v>
      </c>
      <c r="O42" s="101">
        <f t="shared" si="3"/>
        <v>0.216</v>
      </c>
      <c r="P42" s="106"/>
      <c r="Q42" s="106"/>
      <c r="R42" s="106"/>
      <c r="S42" s="101" t="s">
        <v>632</v>
      </c>
      <c r="T42" s="101"/>
      <c r="AF42" s="70">
        <f>O42</f>
        <v>0.216</v>
      </c>
    </row>
    <row r="43" spans="2:35" ht="21.95" customHeight="1" x14ac:dyDescent="0.15">
      <c r="B43" s="86" t="s">
        <v>606</v>
      </c>
      <c r="C43" s="86" t="s">
        <v>519</v>
      </c>
      <c r="D43" s="53" t="s">
        <v>520</v>
      </c>
      <c r="E43" s="53" t="s">
        <v>521</v>
      </c>
      <c r="F43" s="101" t="s">
        <v>137</v>
      </c>
      <c r="G43" s="101">
        <v>1</v>
      </c>
      <c r="H43" s="101">
        <f t="shared" si="2"/>
        <v>0</v>
      </c>
      <c r="I43" s="101">
        <v>1</v>
      </c>
      <c r="J43" s="101"/>
      <c r="K43" s="53" t="s">
        <v>634</v>
      </c>
      <c r="L43" s="101" t="s">
        <v>587</v>
      </c>
      <c r="M43" s="101">
        <v>7.0000000000000001E-3</v>
      </c>
      <c r="N43" s="101">
        <v>100</v>
      </c>
      <c r="O43" s="101">
        <f t="shared" si="3"/>
        <v>7.0000000000000001E-3</v>
      </c>
      <c r="P43" s="106"/>
      <c r="Q43" s="106"/>
      <c r="R43" s="106"/>
      <c r="S43" s="101" t="s">
        <v>635</v>
      </c>
      <c r="T43" s="101"/>
      <c r="AE43" s="70">
        <f>O43</f>
        <v>7.0000000000000001E-3</v>
      </c>
    </row>
    <row r="44" spans="2:35" ht="21.95" customHeight="1" x14ac:dyDescent="0.15">
      <c r="B44" s="86" t="s">
        <v>606</v>
      </c>
      <c r="C44" s="86" t="s">
        <v>519</v>
      </c>
      <c r="D44" s="53"/>
      <c r="E44" s="53"/>
      <c r="F44" s="101"/>
      <c r="G44" s="101">
        <v>1</v>
      </c>
      <c r="H44" s="101">
        <f t="shared" si="2"/>
        <v>0</v>
      </c>
      <c r="I44" s="101">
        <v>1</v>
      </c>
      <c r="J44" s="101"/>
      <c r="K44" s="53" t="s">
        <v>620</v>
      </c>
      <c r="L44" s="101" t="s">
        <v>591</v>
      </c>
      <c r="M44" s="101">
        <v>8.0000000000000002E-3</v>
      </c>
      <c r="N44" s="101">
        <v>100</v>
      </c>
      <c r="O44" s="101">
        <f t="shared" si="3"/>
        <v>8.0000000000000002E-3</v>
      </c>
      <c r="P44" s="106"/>
      <c r="Q44" s="106"/>
      <c r="R44" s="106"/>
      <c r="S44" s="101" t="s">
        <v>635</v>
      </c>
      <c r="T44" s="101"/>
      <c r="AG44" s="70">
        <f>O44</f>
        <v>8.0000000000000002E-3</v>
      </c>
    </row>
    <row r="45" spans="2:35" ht="21.95" customHeight="1" x14ac:dyDescent="0.15">
      <c r="B45" s="86" t="s">
        <v>606</v>
      </c>
      <c r="C45" s="86" t="s">
        <v>541</v>
      </c>
      <c r="D45" s="53" t="s">
        <v>542</v>
      </c>
      <c r="E45" s="53" t="s">
        <v>543</v>
      </c>
      <c r="F45" s="101" t="s">
        <v>137</v>
      </c>
      <c r="G45" s="101">
        <v>1</v>
      </c>
      <c r="H45" s="101">
        <f t="shared" si="2"/>
        <v>0</v>
      </c>
      <c r="I45" s="101">
        <v>1</v>
      </c>
      <c r="J45" s="101"/>
      <c r="K45" s="53" t="s">
        <v>627</v>
      </c>
      <c r="L45" s="101" t="s">
        <v>583</v>
      </c>
      <c r="M45" s="101">
        <v>0.16</v>
      </c>
      <c r="N45" s="101">
        <v>100</v>
      </c>
      <c r="O45" s="101">
        <f t="shared" si="3"/>
        <v>0.16</v>
      </c>
      <c r="P45" s="106"/>
      <c r="Q45" s="106"/>
      <c r="R45" s="106"/>
      <c r="S45" s="101" t="s">
        <v>636</v>
      </c>
      <c r="T45" s="101"/>
      <c r="AC45" s="70">
        <f>O45</f>
        <v>0.16</v>
      </c>
    </row>
    <row r="46" spans="2:35" ht="21.95" customHeight="1" x14ac:dyDescent="0.15">
      <c r="B46" s="86" t="s">
        <v>606</v>
      </c>
      <c r="C46" s="86" t="s">
        <v>541</v>
      </c>
      <c r="D46" s="53"/>
      <c r="E46" s="53"/>
      <c r="F46" s="101"/>
      <c r="G46" s="101">
        <v>1</v>
      </c>
      <c r="H46" s="101">
        <f t="shared" si="2"/>
        <v>0</v>
      </c>
      <c r="I46" s="101">
        <v>1</v>
      </c>
      <c r="J46" s="101"/>
      <c r="K46" s="53" t="s">
        <v>610</v>
      </c>
      <c r="L46" s="101" t="s">
        <v>589</v>
      </c>
      <c r="M46" s="101">
        <v>0.16</v>
      </c>
      <c r="N46" s="101">
        <v>100</v>
      </c>
      <c r="O46" s="101">
        <f t="shared" si="3"/>
        <v>0.16</v>
      </c>
      <c r="P46" s="106"/>
      <c r="Q46" s="106"/>
      <c r="R46" s="106"/>
      <c r="S46" s="101" t="s">
        <v>636</v>
      </c>
      <c r="T46" s="101"/>
      <c r="AF46" s="70">
        <f>O46</f>
        <v>0.16</v>
      </c>
    </row>
    <row r="47" spans="2:35" ht="21.95" customHeight="1" x14ac:dyDescent="0.15">
      <c r="B47" s="86" t="s">
        <v>606</v>
      </c>
      <c r="C47" s="86" t="s">
        <v>538</v>
      </c>
      <c r="D47" s="53" t="s">
        <v>539</v>
      </c>
      <c r="E47" s="53" t="s">
        <v>540</v>
      </c>
      <c r="F47" s="101" t="s">
        <v>137</v>
      </c>
      <c r="G47" s="101">
        <v>1</v>
      </c>
      <c r="H47" s="101">
        <f t="shared" si="2"/>
        <v>0</v>
      </c>
      <c r="I47" s="101">
        <v>1</v>
      </c>
      <c r="J47" s="101"/>
      <c r="K47" s="53" t="s">
        <v>627</v>
      </c>
      <c r="L47" s="101" t="s">
        <v>583</v>
      </c>
      <c r="M47" s="101">
        <v>0.08</v>
      </c>
      <c r="N47" s="101">
        <v>100</v>
      </c>
      <c r="O47" s="101">
        <f t="shared" si="3"/>
        <v>0.08</v>
      </c>
      <c r="P47" s="106"/>
      <c r="Q47" s="106"/>
      <c r="R47" s="106"/>
      <c r="S47" s="101" t="s">
        <v>637</v>
      </c>
      <c r="T47" s="101"/>
      <c r="AC47" s="70">
        <f>O47</f>
        <v>0.08</v>
      </c>
    </row>
    <row r="48" spans="2:35" ht="21.95" customHeight="1" x14ac:dyDescent="0.15">
      <c r="B48" s="86" t="s">
        <v>606</v>
      </c>
      <c r="C48" s="86" t="s">
        <v>538</v>
      </c>
      <c r="D48" s="53"/>
      <c r="E48" s="53"/>
      <c r="F48" s="101"/>
      <c r="G48" s="101">
        <v>1</v>
      </c>
      <c r="H48" s="101">
        <f t="shared" si="2"/>
        <v>0</v>
      </c>
      <c r="I48" s="101">
        <v>1</v>
      </c>
      <c r="J48" s="101"/>
      <c r="K48" s="53" t="s">
        <v>610</v>
      </c>
      <c r="L48" s="101" t="s">
        <v>589</v>
      </c>
      <c r="M48" s="101">
        <v>0.08</v>
      </c>
      <c r="N48" s="101">
        <v>100</v>
      </c>
      <c r="O48" s="101">
        <f t="shared" si="3"/>
        <v>0.08</v>
      </c>
      <c r="P48" s="106"/>
      <c r="Q48" s="106"/>
      <c r="R48" s="106"/>
      <c r="S48" s="101" t="s">
        <v>637</v>
      </c>
      <c r="T48" s="101"/>
      <c r="AF48" s="70">
        <f>O48</f>
        <v>0.08</v>
      </c>
    </row>
    <row r="49" spans="2:35" ht="21.95" customHeight="1" x14ac:dyDescent="0.15">
      <c r="B49" s="86" t="s">
        <v>606</v>
      </c>
      <c r="C49" s="86" t="s">
        <v>576</v>
      </c>
      <c r="D49" s="53" t="s">
        <v>577</v>
      </c>
      <c r="E49" s="53" t="s">
        <v>578</v>
      </c>
      <c r="F49" s="101" t="s">
        <v>579</v>
      </c>
      <c r="G49" s="101">
        <f>IF(H49*I49/100 &lt;1, TRUNC(H49*I49/100, 옵션!$E$13), TRUNC(H49*I49/100, 옵션!$E$13))</f>
        <v>0.86</v>
      </c>
      <c r="H49" s="101">
        <f>옵션!$B$13</f>
        <v>100</v>
      </c>
      <c r="I49" s="101">
        <f>SUM(AA31:AA48)</f>
        <v>0.86</v>
      </c>
      <c r="J49" s="101"/>
      <c r="K49" s="53"/>
      <c r="L49" s="101"/>
      <c r="M49" s="101"/>
      <c r="N49" s="101"/>
      <c r="O49" s="101" t="str">
        <f t="shared" si="3"/>
        <v/>
      </c>
      <c r="P49" s="106"/>
      <c r="Q49" s="106"/>
      <c r="R49" s="106"/>
      <c r="S49" s="101"/>
      <c r="T49" s="101"/>
      <c r="AA49" s="70">
        <f>SUM(AA31:AA48)</f>
        <v>0.86</v>
      </c>
      <c r="AB49" s="70">
        <f>SUM(AB31:AB48)</f>
        <v>0.16</v>
      </c>
      <c r="AC49" s="70">
        <f>SUM(AC31:AC48)</f>
        <v>0.51</v>
      </c>
      <c r="AE49" s="70">
        <f>SUM(AE31:AE48)</f>
        <v>7.0000000000000001E-3</v>
      </c>
      <c r="AF49" s="70">
        <f>SUM(AF31:AF48)</f>
        <v>1.5860000000000001</v>
      </c>
      <c r="AG49" s="70">
        <f>SUM(AG31:AG48)</f>
        <v>8.0000000000000002E-3</v>
      </c>
      <c r="AH49" s="70">
        <f>SUM(AH31:AH48)</f>
        <v>0.22</v>
      </c>
      <c r="AI49" s="70">
        <f>SUM(AI31:AI48)</f>
        <v>0.36</v>
      </c>
    </row>
    <row r="50" spans="2:35" ht="21.95" customHeight="1" x14ac:dyDescent="0.15">
      <c r="B50" s="86" t="s">
        <v>606</v>
      </c>
      <c r="C50" s="86" t="s">
        <v>580</v>
      </c>
      <c r="D50" s="53" t="s">
        <v>577</v>
      </c>
      <c r="E50" s="53" t="s">
        <v>581</v>
      </c>
      <c r="F50" s="101" t="s">
        <v>579</v>
      </c>
      <c r="G50" s="101">
        <f>IF(H50*I50/100 &lt;1, TRUNC(H50*I50/100, 옵션!$E$13), TRUNC(H50*I50/100, 옵션!$E$13))</f>
        <v>0.16</v>
      </c>
      <c r="H50" s="101">
        <f>옵션!$B$13</f>
        <v>100</v>
      </c>
      <c r="I50" s="101">
        <f>SUM(AB31:AB48)</f>
        <v>0.16</v>
      </c>
      <c r="J50" s="101"/>
      <c r="K50" s="53"/>
      <c r="L50" s="101"/>
      <c r="M50" s="101"/>
      <c r="N50" s="101"/>
      <c r="O50" s="101" t="str">
        <f t="shared" si="3"/>
        <v/>
      </c>
      <c r="P50" s="106"/>
      <c r="Q50" s="106"/>
      <c r="R50" s="106"/>
      <c r="S50" s="101"/>
      <c r="T50" s="101"/>
    </row>
    <row r="51" spans="2:35" ht="21.95" customHeight="1" x14ac:dyDescent="0.15">
      <c r="B51" s="86" t="s">
        <v>606</v>
      </c>
      <c r="C51" s="86" t="s">
        <v>582</v>
      </c>
      <c r="D51" s="53" t="s">
        <v>577</v>
      </c>
      <c r="E51" s="53" t="s">
        <v>583</v>
      </c>
      <c r="F51" s="101" t="s">
        <v>579</v>
      </c>
      <c r="G51" s="101">
        <f>IF(H51*I51/100 &lt;1, TRUNC(H51*I51/100, 옵션!$E$13), TRUNC(H51*I51/100, 옵션!$E$13))</f>
        <v>0.51</v>
      </c>
      <c r="H51" s="101">
        <f>옵션!$B$13</f>
        <v>100</v>
      </c>
      <c r="I51" s="101">
        <f>SUM(AC31:AC48)</f>
        <v>0.51</v>
      </c>
      <c r="J51" s="101"/>
      <c r="K51" s="53"/>
      <c r="L51" s="101"/>
      <c r="M51" s="101"/>
      <c r="N51" s="101"/>
      <c r="O51" s="101" t="str">
        <f t="shared" si="3"/>
        <v/>
      </c>
      <c r="P51" s="106"/>
      <c r="Q51" s="106"/>
      <c r="R51" s="106"/>
      <c r="S51" s="101"/>
      <c r="T51" s="101"/>
    </row>
    <row r="52" spans="2:35" ht="21.95" customHeight="1" x14ac:dyDescent="0.15">
      <c r="B52" s="86" t="s">
        <v>606</v>
      </c>
      <c r="C52" s="86" t="s">
        <v>586</v>
      </c>
      <c r="D52" s="53" t="s">
        <v>577</v>
      </c>
      <c r="E52" s="53" t="s">
        <v>587</v>
      </c>
      <c r="F52" s="101" t="s">
        <v>579</v>
      </c>
      <c r="G52" s="101">
        <f>IF(H52*I52/100 &lt;1, TRUNC(H52*I52/100, 옵션!$E$13), TRUNC(H52*I52/100, 옵션!$E$13))</f>
        <v>7.0000000000000001E-3</v>
      </c>
      <c r="H52" s="101">
        <f>옵션!$B$13</f>
        <v>100</v>
      </c>
      <c r="I52" s="101">
        <f>SUM(AE31:AE48)</f>
        <v>7.0000000000000001E-3</v>
      </c>
      <c r="J52" s="101"/>
      <c r="K52" s="53"/>
      <c r="L52" s="101"/>
      <c r="M52" s="101"/>
      <c r="N52" s="101"/>
      <c r="O52" s="101" t="str">
        <f t="shared" si="3"/>
        <v/>
      </c>
      <c r="P52" s="106"/>
      <c r="Q52" s="106"/>
      <c r="R52" s="106"/>
      <c r="S52" s="101"/>
      <c r="T52" s="101"/>
    </row>
    <row r="53" spans="2:35" ht="21.95" customHeight="1" x14ac:dyDescent="0.15">
      <c r="B53" s="86" t="s">
        <v>606</v>
      </c>
      <c r="C53" s="86" t="s">
        <v>588</v>
      </c>
      <c r="D53" s="53" t="s">
        <v>577</v>
      </c>
      <c r="E53" s="53" t="s">
        <v>589</v>
      </c>
      <c r="F53" s="101" t="s">
        <v>579</v>
      </c>
      <c r="G53" s="101">
        <f>IF(H53*I53/100 &lt;1, TRUNC(H53*I53/100, 옵션!$E$13), TRUNC(H53*I53/100, 옵션!$E$13))</f>
        <v>1.5860000000000001</v>
      </c>
      <c r="H53" s="101">
        <f>옵션!$B$13</f>
        <v>100</v>
      </c>
      <c r="I53" s="101">
        <f>SUM(AF31:AF48)</f>
        <v>1.5860000000000001</v>
      </c>
      <c r="J53" s="101"/>
      <c r="K53" s="53"/>
      <c r="L53" s="101"/>
      <c r="M53" s="101"/>
      <c r="N53" s="101"/>
      <c r="O53" s="101" t="str">
        <f t="shared" si="3"/>
        <v/>
      </c>
      <c r="P53" s="106"/>
      <c r="Q53" s="106"/>
      <c r="R53" s="106"/>
      <c r="S53" s="101"/>
      <c r="T53" s="101"/>
    </row>
    <row r="54" spans="2:35" ht="21.95" customHeight="1" x14ac:dyDescent="0.15">
      <c r="B54" s="86" t="s">
        <v>606</v>
      </c>
      <c r="C54" s="86" t="s">
        <v>590</v>
      </c>
      <c r="D54" s="53" t="s">
        <v>577</v>
      </c>
      <c r="E54" s="53" t="s">
        <v>591</v>
      </c>
      <c r="F54" s="101" t="s">
        <v>579</v>
      </c>
      <c r="G54" s="101">
        <f>IF(H54*I54/100 &lt;1, TRUNC(H54*I54/100, 옵션!$E$13), TRUNC(H54*I54/100, 옵션!$E$13))</f>
        <v>8.0000000000000002E-3</v>
      </c>
      <c r="H54" s="101">
        <f>옵션!$B$13</f>
        <v>100</v>
      </c>
      <c r="I54" s="101">
        <f>SUM(AG31:AG48)</f>
        <v>8.0000000000000002E-3</v>
      </c>
      <c r="J54" s="101"/>
      <c r="K54" s="53"/>
      <c r="L54" s="101"/>
      <c r="M54" s="101"/>
      <c r="N54" s="101"/>
      <c r="O54" s="101" t="str">
        <f t="shared" si="3"/>
        <v/>
      </c>
      <c r="P54" s="106"/>
      <c r="Q54" s="106"/>
      <c r="R54" s="106"/>
      <c r="S54" s="101"/>
      <c r="T54" s="101"/>
    </row>
    <row r="55" spans="2:35" ht="21.95" customHeight="1" x14ac:dyDescent="0.15">
      <c r="B55" s="86" t="s">
        <v>606</v>
      </c>
      <c r="C55" s="86" t="s">
        <v>592</v>
      </c>
      <c r="D55" s="53" t="s">
        <v>577</v>
      </c>
      <c r="E55" s="53" t="s">
        <v>593</v>
      </c>
      <c r="F55" s="101" t="s">
        <v>579</v>
      </c>
      <c r="G55" s="101">
        <f>IF(H55*I55/100 &lt;1, TRUNC(H55*I55/100, 옵션!$E$13), TRUNC(H55*I55/100, 옵션!$E$13))</f>
        <v>0.22</v>
      </c>
      <c r="H55" s="101">
        <f>옵션!$B$13</f>
        <v>100</v>
      </c>
      <c r="I55" s="101">
        <f>SUM(AH31:AH48)</f>
        <v>0.22</v>
      </c>
      <c r="J55" s="101"/>
      <c r="K55" s="53"/>
      <c r="L55" s="101"/>
      <c r="M55" s="101"/>
      <c r="N55" s="101"/>
      <c r="O55" s="101" t="str">
        <f t="shared" si="3"/>
        <v/>
      </c>
      <c r="P55" s="106"/>
      <c r="Q55" s="106"/>
      <c r="R55" s="106"/>
      <c r="S55" s="101"/>
      <c r="T55" s="101"/>
    </row>
    <row r="56" spans="2:35" ht="21.95" customHeight="1" x14ac:dyDescent="0.15">
      <c r="B56" s="86" t="s">
        <v>606</v>
      </c>
      <c r="C56" s="86" t="s">
        <v>594</v>
      </c>
      <c r="D56" s="53" t="s">
        <v>577</v>
      </c>
      <c r="E56" s="53" t="s">
        <v>595</v>
      </c>
      <c r="F56" s="101" t="s">
        <v>579</v>
      </c>
      <c r="G56" s="101">
        <f>IF(H56*I56/100 &lt;1, TRUNC(H56*I56/100, 옵션!$E$13), TRUNC(H56*I56/100, 옵션!$E$13))</f>
        <v>0.36</v>
      </c>
      <c r="H56" s="101">
        <f>옵션!$B$13</f>
        <v>100</v>
      </c>
      <c r="I56" s="101">
        <f>SUM(AI31:AI48)</f>
        <v>0.36</v>
      </c>
      <c r="J56" s="101"/>
      <c r="K56" s="53"/>
      <c r="L56" s="101"/>
      <c r="M56" s="101"/>
      <c r="N56" s="101"/>
      <c r="O56" s="101" t="str">
        <f t="shared" si="3"/>
        <v/>
      </c>
      <c r="P56" s="106"/>
      <c r="Q56" s="106"/>
      <c r="R56" s="106"/>
      <c r="S56" s="101"/>
      <c r="T56" s="101"/>
    </row>
    <row r="57" spans="2:35" ht="21.95" customHeight="1" x14ac:dyDescent="0.15">
      <c r="B57" s="86" t="s">
        <v>126</v>
      </c>
      <c r="D57" s="395" t="s">
        <v>638</v>
      </c>
      <c r="E57" s="396"/>
      <c r="F57" s="396"/>
      <c r="G57" s="396"/>
      <c r="H57" s="396"/>
      <c r="I57" s="396"/>
      <c r="J57" s="396"/>
      <c r="K57" s="396"/>
      <c r="L57" s="396"/>
      <c r="M57" s="396"/>
      <c r="N57" s="396"/>
      <c r="O57" s="396"/>
      <c r="P57" s="396"/>
      <c r="Q57" s="396"/>
      <c r="R57" s="396"/>
      <c r="S57" s="396"/>
      <c r="T57" s="397"/>
    </row>
    <row r="58" spans="2:35" ht="21.95" customHeight="1" x14ac:dyDescent="0.15">
      <c r="B58" s="86" t="s">
        <v>606</v>
      </c>
      <c r="C58" s="86" t="s">
        <v>479</v>
      </c>
      <c r="D58" s="53" t="s">
        <v>267</v>
      </c>
      <c r="E58" s="53" t="s">
        <v>480</v>
      </c>
      <c r="F58" s="101" t="s">
        <v>438</v>
      </c>
      <c r="G58" s="101">
        <v>1.075</v>
      </c>
      <c r="H58" s="101">
        <f>IF(I58&lt;&gt;0,G58-I58,"")</f>
        <v>7.4999999999999956E-2</v>
      </c>
      <c r="I58" s="101">
        <v>1</v>
      </c>
      <c r="J58" s="101">
        <v>7.5</v>
      </c>
      <c r="K58" s="53" t="s">
        <v>633</v>
      </c>
      <c r="L58" s="101" t="s">
        <v>581</v>
      </c>
      <c r="M58" s="101">
        <v>1.4999999999999999E-2</v>
      </c>
      <c r="N58" s="101">
        <v>90</v>
      </c>
      <c r="O58" s="101">
        <f>IF(I58*M58=0,"",I58*M58*(N58/100))</f>
        <v>1.35E-2</v>
      </c>
      <c r="P58" s="106"/>
      <c r="Q58" s="106"/>
      <c r="R58" s="106"/>
      <c r="S58" s="101" t="s">
        <v>639</v>
      </c>
      <c r="T58" s="101"/>
      <c r="AB58" s="70">
        <f>O58</f>
        <v>1.35E-2</v>
      </c>
    </row>
    <row r="59" spans="2:35" ht="21.95" customHeight="1" x14ac:dyDescent="0.15">
      <c r="B59" s="86" t="s">
        <v>606</v>
      </c>
      <c r="C59" s="86" t="s">
        <v>580</v>
      </c>
      <c r="D59" s="53" t="s">
        <v>577</v>
      </c>
      <c r="E59" s="53" t="s">
        <v>581</v>
      </c>
      <c r="F59" s="101" t="s">
        <v>579</v>
      </c>
      <c r="G59" s="101">
        <f>IF(H59*I59/100 &lt;1, TRUNC(H59*I59/100, 옵션!$E$13), TRUNC(H59*I59/100, 옵션!$E$13))</f>
        <v>1.35E-2</v>
      </c>
      <c r="H59" s="101">
        <f>옵션!$B$13</f>
        <v>100</v>
      </c>
      <c r="I59" s="101">
        <f>SUM(AB58:AB58)</f>
        <v>1.35E-2</v>
      </c>
      <c r="J59" s="101"/>
      <c r="K59" s="53"/>
      <c r="L59" s="101"/>
      <c r="M59" s="101"/>
      <c r="N59" s="101"/>
      <c r="O59" s="101" t="str">
        <f>IF(I59*M59=0,"",I59*M59*(N59/100))</f>
        <v/>
      </c>
      <c r="P59" s="106"/>
      <c r="Q59" s="106"/>
      <c r="R59" s="106"/>
      <c r="S59" s="101"/>
      <c r="T59" s="101"/>
      <c r="AB59" s="70">
        <f>SUM(AB58:AB58)</f>
        <v>1.35E-2</v>
      </c>
    </row>
    <row r="60" spans="2:35" ht="21.95" customHeight="1" x14ac:dyDescent="0.15">
      <c r="B60" s="86" t="s">
        <v>126</v>
      </c>
      <c r="D60" s="395" t="s">
        <v>640</v>
      </c>
      <c r="E60" s="396"/>
      <c r="F60" s="396"/>
      <c r="G60" s="396"/>
      <c r="H60" s="396"/>
      <c r="I60" s="396"/>
      <c r="J60" s="396"/>
      <c r="K60" s="396"/>
      <c r="L60" s="396"/>
      <c r="M60" s="396"/>
      <c r="N60" s="396"/>
      <c r="O60" s="396"/>
      <c r="P60" s="396"/>
      <c r="Q60" s="396"/>
      <c r="R60" s="396"/>
      <c r="S60" s="396"/>
      <c r="T60" s="397"/>
    </row>
    <row r="61" spans="2:35" ht="21.95" customHeight="1" x14ac:dyDescent="0.15">
      <c r="B61" s="86" t="s">
        <v>606</v>
      </c>
      <c r="C61" s="86" t="s">
        <v>479</v>
      </c>
      <c r="D61" s="53" t="s">
        <v>267</v>
      </c>
      <c r="E61" s="53" t="s">
        <v>480</v>
      </c>
      <c r="F61" s="101" t="s">
        <v>438</v>
      </c>
      <c r="G61" s="101">
        <v>1.075</v>
      </c>
      <c r="H61" s="101">
        <f>IF(I61&lt;&gt;0,G61-I61,"")</f>
        <v>7.4999999999999956E-2</v>
      </c>
      <c r="I61" s="101">
        <v>1</v>
      </c>
      <c r="J61" s="101">
        <v>7.5</v>
      </c>
      <c r="K61" s="53" t="s">
        <v>633</v>
      </c>
      <c r="L61" s="101" t="s">
        <v>581</v>
      </c>
      <c r="M61" s="101">
        <v>1.4999999999999999E-2</v>
      </c>
      <c r="N61" s="101">
        <v>85</v>
      </c>
      <c r="O61" s="101">
        <f>IF(I61*M61=0,"",I61*M61*(N61/100))</f>
        <v>1.2749999999999999E-2</v>
      </c>
      <c r="P61" s="106"/>
      <c r="Q61" s="106"/>
      <c r="R61" s="106"/>
      <c r="S61" s="101" t="s">
        <v>639</v>
      </c>
      <c r="T61" s="101"/>
      <c r="AB61" s="70">
        <f>O61</f>
        <v>1.2749999999999999E-2</v>
      </c>
    </row>
    <row r="62" spans="2:35" ht="21.95" customHeight="1" x14ac:dyDescent="0.15">
      <c r="B62" s="86" t="s">
        <v>606</v>
      </c>
      <c r="C62" s="86" t="s">
        <v>580</v>
      </c>
      <c r="D62" s="53" t="s">
        <v>577</v>
      </c>
      <c r="E62" s="53" t="s">
        <v>581</v>
      </c>
      <c r="F62" s="101" t="s">
        <v>579</v>
      </c>
      <c r="G62" s="101">
        <f>IF(H62*I62/100 &lt;1, TRUNC(H62*I62/100, 옵션!$E$13), TRUNC(H62*I62/100, 옵션!$E$13))</f>
        <v>1.2749999999999999E-2</v>
      </c>
      <c r="H62" s="101">
        <f>옵션!$B$13</f>
        <v>100</v>
      </c>
      <c r="I62" s="101">
        <f>SUM(AB61:AB61)</f>
        <v>1.2749999999999999E-2</v>
      </c>
      <c r="J62" s="101"/>
      <c r="K62" s="53"/>
      <c r="L62" s="101"/>
      <c r="M62" s="101"/>
      <c r="N62" s="101"/>
      <c r="O62" s="101" t="str">
        <f>IF(I62*M62=0,"",I62*M62*(N62/100))</f>
        <v/>
      </c>
      <c r="P62" s="106"/>
      <c r="Q62" s="106"/>
      <c r="R62" s="106"/>
      <c r="S62" s="101"/>
      <c r="T62" s="101"/>
      <c r="AB62" s="70">
        <f>SUM(AB61:AB61)</f>
        <v>1.2749999999999999E-2</v>
      </c>
    </row>
    <row r="63" spans="2:35" ht="21.95" customHeight="1" x14ac:dyDescent="0.15">
      <c r="B63" s="86" t="s">
        <v>126</v>
      </c>
      <c r="D63" s="395" t="s">
        <v>641</v>
      </c>
      <c r="E63" s="396"/>
      <c r="F63" s="396"/>
      <c r="G63" s="396"/>
      <c r="H63" s="396"/>
      <c r="I63" s="396"/>
      <c r="J63" s="396"/>
      <c r="K63" s="396"/>
      <c r="L63" s="396"/>
      <c r="M63" s="396"/>
      <c r="N63" s="396"/>
      <c r="O63" s="396"/>
      <c r="P63" s="396"/>
      <c r="Q63" s="396"/>
      <c r="R63" s="396"/>
      <c r="S63" s="396"/>
      <c r="T63" s="397"/>
    </row>
    <row r="64" spans="2:35" ht="21.95" customHeight="1" x14ac:dyDescent="0.15">
      <c r="B64" s="86" t="s">
        <v>606</v>
      </c>
      <c r="C64" s="86" t="s">
        <v>475</v>
      </c>
      <c r="D64" s="53" t="s">
        <v>328</v>
      </c>
      <c r="E64" s="53" t="s">
        <v>476</v>
      </c>
      <c r="F64" s="101" t="s">
        <v>438</v>
      </c>
      <c r="G64" s="101">
        <v>1.075</v>
      </c>
      <c r="H64" s="101">
        <f>IF(I64&lt;&gt;0,G64-I64,"")</f>
        <v>7.4999999999999956E-2</v>
      </c>
      <c r="I64" s="101">
        <v>1</v>
      </c>
      <c r="J64" s="101">
        <v>7.5</v>
      </c>
      <c r="K64" s="53" t="s">
        <v>633</v>
      </c>
      <c r="L64" s="101" t="s">
        <v>581</v>
      </c>
      <c r="M64" s="101">
        <v>1.7000000000000001E-2</v>
      </c>
      <c r="N64" s="101">
        <v>100</v>
      </c>
      <c r="O64" s="101">
        <f>IF(I64*M64=0,"",I64*M64*(N64/100))</f>
        <v>1.7000000000000001E-2</v>
      </c>
      <c r="P64" s="106"/>
      <c r="Q64" s="106"/>
      <c r="R64" s="106"/>
      <c r="S64" s="101" t="s">
        <v>642</v>
      </c>
      <c r="T64" s="101"/>
      <c r="AB64" s="70">
        <f>O64</f>
        <v>1.7000000000000001E-2</v>
      </c>
    </row>
    <row r="65" spans="2:28" ht="21.95" customHeight="1" x14ac:dyDescent="0.15">
      <c r="B65" s="86" t="s">
        <v>606</v>
      </c>
      <c r="C65" s="86" t="s">
        <v>580</v>
      </c>
      <c r="D65" s="53" t="s">
        <v>577</v>
      </c>
      <c r="E65" s="53" t="s">
        <v>581</v>
      </c>
      <c r="F65" s="101" t="s">
        <v>579</v>
      </c>
      <c r="G65" s="101">
        <f>IF(H65*I65/100 &lt;1, TRUNC(H65*I65/100, 옵션!$E$13), TRUNC(H65*I65/100, 옵션!$E$13))</f>
        <v>1.7000000000000001E-2</v>
      </c>
      <c r="H65" s="101">
        <f>옵션!$B$13</f>
        <v>100</v>
      </c>
      <c r="I65" s="101">
        <f>SUM(AB64:AB64)</f>
        <v>1.7000000000000001E-2</v>
      </c>
      <c r="J65" s="101"/>
      <c r="K65" s="53"/>
      <c r="L65" s="101"/>
      <c r="M65" s="101"/>
      <c r="N65" s="101"/>
      <c r="O65" s="101" t="str">
        <f>IF(I65*M65=0,"",I65*M65*(N65/100))</f>
        <v/>
      </c>
      <c r="P65" s="106"/>
      <c r="Q65" s="106"/>
      <c r="R65" s="106"/>
      <c r="S65" s="101"/>
      <c r="T65" s="101"/>
      <c r="AB65" s="70">
        <f>SUM(AB64:AB64)</f>
        <v>1.7000000000000001E-2</v>
      </c>
    </row>
    <row r="66" spans="2:28" ht="21.95" customHeight="1" x14ac:dyDescent="0.15">
      <c r="D66" s="53"/>
      <c r="E66" s="53"/>
      <c r="F66" s="101"/>
      <c r="G66" s="101"/>
      <c r="H66" s="101"/>
      <c r="I66" s="101"/>
      <c r="J66" s="101"/>
      <c r="K66" s="53"/>
      <c r="L66" s="101"/>
      <c r="M66" s="101"/>
      <c r="N66" s="101"/>
      <c r="O66" s="101"/>
      <c r="P66" s="106"/>
      <c r="Q66" s="106"/>
      <c r="R66" s="106"/>
      <c r="S66" s="101"/>
      <c r="T66" s="101"/>
    </row>
    <row r="67" spans="2:28" ht="21.95" customHeight="1" x14ac:dyDescent="0.15">
      <c r="D67" s="53"/>
      <c r="E67" s="53"/>
      <c r="F67" s="101"/>
      <c r="G67" s="101"/>
      <c r="H67" s="101"/>
      <c r="I67" s="101"/>
      <c r="J67" s="101"/>
      <c r="K67" s="53"/>
      <c r="L67" s="101"/>
      <c r="M67" s="101"/>
      <c r="N67" s="101"/>
      <c r="O67" s="101"/>
      <c r="P67" s="106"/>
      <c r="Q67" s="106"/>
      <c r="R67" s="106"/>
      <c r="S67" s="101"/>
      <c r="T67" s="101"/>
    </row>
    <row r="68" spans="2:28" ht="21.95" customHeight="1" x14ac:dyDescent="0.15">
      <c r="D68" s="53"/>
      <c r="E68" s="53"/>
      <c r="F68" s="101"/>
      <c r="G68" s="101"/>
      <c r="H68" s="101"/>
      <c r="I68" s="101"/>
      <c r="J68" s="101"/>
      <c r="K68" s="53"/>
      <c r="L68" s="101"/>
      <c r="M68" s="101"/>
      <c r="N68" s="101"/>
      <c r="O68" s="101"/>
      <c r="P68" s="106"/>
      <c r="Q68" s="106"/>
      <c r="R68" s="106"/>
      <c r="S68" s="101"/>
      <c r="T68" s="101"/>
    </row>
    <row r="69" spans="2:28" ht="21.95" customHeight="1" x14ac:dyDescent="0.15">
      <c r="D69" s="53"/>
      <c r="E69" s="53"/>
      <c r="F69" s="101"/>
      <c r="G69" s="101"/>
      <c r="H69" s="101"/>
      <c r="I69" s="101"/>
      <c r="J69" s="101"/>
      <c r="K69" s="53"/>
      <c r="L69" s="101"/>
      <c r="M69" s="101"/>
      <c r="N69" s="101"/>
      <c r="O69" s="101"/>
      <c r="P69" s="106"/>
      <c r="Q69" s="106"/>
      <c r="R69" s="106"/>
      <c r="S69" s="101"/>
      <c r="T69" s="101"/>
    </row>
    <row r="70" spans="2:28" ht="21.95" customHeight="1" x14ac:dyDescent="0.15">
      <c r="D70" s="53"/>
      <c r="E70" s="53"/>
      <c r="F70" s="101"/>
      <c r="G70" s="101"/>
      <c r="H70" s="101"/>
      <c r="I70" s="101"/>
      <c r="J70" s="101"/>
      <c r="K70" s="53"/>
      <c r="L70" s="101"/>
      <c r="M70" s="101"/>
      <c r="N70" s="101"/>
      <c r="O70" s="101"/>
      <c r="P70" s="106"/>
      <c r="Q70" s="106"/>
      <c r="R70" s="106"/>
      <c r="S70" s="101"/>
      <c r="T70" s="101"/>
    </row>
    <row r="71" spans="2:28" ht="21.95" customHeight="1" x14ac:dyDescent="0.15">
      <c r="D71" s="53"/>
      <c r="E71" s="53"/>
      <c r="F71" s="101"/>
      <c r="G71" s="101"/>
      <c r="H71" s="101"/>
      <c r="I71" s="101"/>
      <c r="J71" s="101"/>
      <c r="K71" s="53"/>
      <c r="L71" s="101"/>
      <c r="M71" s="101"/>
      <c r="N71" s="101"/>
      <c r="O71" s="101"/>
      <c r="P71" s="106"/>
      <c r="Q71" s="106"/>
      <c r="R71" s="106"/>
      <c r="S71" s="101"/>
      <c r="T71" s="101"/>
    </row>
    <row r="72" spans="2:28" ht="21.95" customHeight="1" x14ac:dyDescent="0.15">
      <c r="D72" s="53"/>
      <c r="E72" s="53"/>
      <c r="F72" s="101"/>
      <c r="G72" s="101"/>
      <c r="H72" s="101"/>
      <c r="I72" s="101"/>
      <c r="J72" s="101"/>
      <c r="K72" s="53"/>
      <c r="L72" s="101"/>
      <c r="M72" s="101"/>
      <c r="N72" s="101"/>
      <c r="O72" s="101"/>
      <c r="P72" s="106"/>
      <c r="Q72" s="106"/>
      <c r="R72" s="106"/>
      <c r="S72" s="101"/>
      <c r="T72" s="101"/>
    </row>
    <row r="73" spans="2:28" ht="21.95" customHeight="1" x14ac:dyDescent="0.15">
      <c r="D73" s="53"/>
      <c r="E73" s="53"/>
      <c r="F73" s="101"/>
      <c r="G73" s="101"/>
      <c r="H73" s="101"/>
      <c r="I73" s="101"/>
      <c r="J73" s="101"/>
      <c r="K73" s="53"/>
      <c r="L73" s="101"/>
      <c r="M73" s="101"/>
      <c r="N73" s="101"/>
      <c r="O73" s="101"/>
      <c r="P73" s="106"/>
      <c r="Q73" s="106"/>
      <c r="R73" s="106"/>
      <c r="S73" s="101"/>
      <c r="T73" s="101"/>
    </row>
    <row r="74" spans="2:28" ht="21.95" customHeight="1" x14ac:dyDescent="0.15">
      <c r="D74" s="53"/>
      <c r="E74" s="53"/>
      <c r="F74" s="101"/>
      <c r="G74" s="101"/>
      <c r="H74" s="101"/>
      <c r="I74" s="101"/>
      <c r="J74" s="101"/>
      <c r="K74" s="53"/>
      <c r="L74" s="101"/>
      <c r="M74" s="101"/>
      <c r="N74" s="101"/>
      <c r="O74" s="101"/>
      <c r="P74" s="106"/>
      <c r="Q74" s="106"/>
      <c r="R74" s="106"/>
      <c r="S74" s="101"/>
      <c r="T74" s="101"/>
    </row>
    <row r="75" spans="2:28" ht="21.95" customHeight="1" x14ac:dyDescent="0.15">
      <c r="D75" s="53"/>
      <c r="E75" s="53"/>
      <c r="F75" s="101"/>
      <c r="G75" s="101"/>
      <c r="H75" s="101"/>
      <c r="I75" s="101"/>
      <c r="J75" s="101"/>
      <c r="K75" s="53"/>
      <c r="L75" s="101"/>
      <c r="M75" s="101"/>
      <c r="N75" s="101"/>
      <c r="O75" s="101"/>
      <c r="P75" s="106"/>
      <c r="Q75" s="106"/>
      <c r="R75" s="106"/>
      <c r="S75" s="101"/>
      <c r="T75" s="101"/>
    </row>
    <row r="76" spans="2:28" ht="21.95" customHeight="1" x14ac:dyDescent="0.15">
      <c r="D76" s="53"/>
      <c r="E76" s="53"/>
      <c r="F76" s="101"/>
      <c r="G76" s="101"/>
      <c r="H76" s="101"/>
      <c r="I76" s="101"/>
      <c r="J76" s="101"/>
      <c r="K76" s="53"/>
      <c r="L76" s="101"/>
      <c r="M76" s="101"/>
      <c r="N76" s="101"/>
      <c r="O76" s="101"/>
      <c r="P76" s="106"/>
      <c r="Q76" s="106"/>
      <c r="R76" s="106"/>
      <c r="S76" s="101"/>
      <c r="T76" s="101"/>
    </row>
    <row r="77" spans="2:28" ht="21.95" customHeight="1" x14ac:dyDescent="0.15">
      <c r="D77" s="53"/>
      <c r="E77" s="53"/>
      <c r="F77" s="101"/>
      <c r="G77" s="101"/>
      <c r="H77" s="101"/>
      <c r="I77" s="101"/>
      <c r="J77" s="101"/>
      <c r="K77" s="53"/>
      <c r="L77" s="101"/>
      <c r="M77" s="101"/>
      <c r="N77" s="101"/>
      <c r="O77" s="101"/>
      <c r="P77" s="106"/>
      <c r="Q77" s="106"/>
      <c r="R77" s="106"/>
      <c r="S77" s="101"/>
      <c r="T77" s="101"/>
    </row>
    <row r="78" spans="2:28" ht="21.95" customHeight="1" x14ac:dyDescent="0.15">
      <c r="D78" s="53"/>
      <c r="E78" s="53"/>
      <c r="F78" s="101"/>
      <c r="G78" s="101"/>
      <c r="H78" s="101"/>
      <c r="I78" s="101"/>
      <c r="J78" s="101"/>
      <c r="K78" s="53"/>
      <c r="L78" s="101"/>
      <c r="M78" s="101"/>
      <c r="N78" s="101"/>
      <c r="O78" s="101"/>
      <c r="P78" s="106"/>
      <c r="Q78" s="106"/>
      <c r="R78" s="106"/>
      <c r="S78" s="101"/>
      <c r="T78" s="101"/>
    </row>
    <row r="79" spans="2:28" ht="21.95" customHeight="1" x14ac:dyDescent="0.15">
      <c r="D79" s="53"/>
      <c r="E79" s="53"/>
      <c r="F79" s="101"/>
      <c r="G79" s="101"/>
      <c r="H79" s="101"/>
      <c r="I79" s="101"/>
      <c r="J79" s="101"/>
      <c r="K79" s="53"/>
      <c r="L79" s="101"/>
      <c r="M79" s="101"/>
      <c r="N79" s="101"/>
      <c r="O79" s="101"/>
      <c r="P79" s="106"/>
      <c r="Q79" s="106"/>
      <c r="R79" s="106"/>
      <c r="S79" s="101"/>
      <c r="T79" s="101"/>
    </row>
    <row r="80" spans="2:28" ht="21.95" customHeight="1" x14ac:dyDescent="0.15">
      <c r="D80" s="53"/>
      <c r="E80" s="53"/>
      <c r="F80" s="101"/>
      <c r="G80" s="101"/>
      <c r="H80" s="101"/>
      <c r="I80" s="101"/>
      <c r="J80" s="101"/>
      <c r="K80" s="53"/>
      <c r="L80" s="101"/>
      <c r="M80" s="101"/>
      <c r="N80" s="101"/>
      <c r="O80" s="101"/>
      <c r="P80" s="106"/>
      <c r="Q80" s="106"/>
      <c r="R80" s="106"/>
      <c r="S80" s="101"/>
      <c r="T80" s="101"/>
    </row>
    <row r="81" spans="4:20" ht="21.95" customHeight="1" x14ac:dyDescent="0.15">
      <c r="D81" s="53"/>
      <c r="E81" s="53"/>
      <c r="F81" s="101"/>
      <c r="G81" s="101"/>
      <c r="H81" s="101"/>
      <c r="I81" s="101"/>
      <c r="J81" s="101"/>
      <c r="K81" s="53"/>
      <c r="L81" s="101"/>
      <c r="M81" s="101"/>
      <c r="N81" s="101"/>
      <c r="O81" s="101"/>
      <c r="P81" s="106"/>
      <c r="Q81" s="106"/>
      <c r="R81" s="106"/>
      <c r="S81" s="101"/>
      <c r="T81" s="101"/>
    </row>
  </sheetData>
  <mergeCells count="22">
    <mergeCell ref="P2:R2"/>
    <mergeCell ref="S2:S3"/>
    <mergeCell ref="T2:T3"/>
    <mergeCell ref="D1:T1"/>
    <mergeCell ref="A2:A3"/>
    <mergeCell ref="B2:B3"/>
    <mergeCell ref="C2:C3"/>
    <mergeCell ref="D2:D3"/>
    <mergeCell ref="E2:E3"/>
    <mergeCell ref="F2:F3"/>
    <mergeCell ref="G2:J2"/>
    <mergeCell ref="K2:K3"/>
    <mergeCell ref="L2:O2"/>
    <mergeCell ref="D30:T30"/>
    <mergeCell ref="D57:T57"/>
    <mergeCell ref="D60:T60"/>
    <mergeCell ref="D63:T63"/>
    <mergeCell ref="D4:T4"/>
    <mergeCell ref="D7:T7"/>
    <mergeCell ref="D10:T10"/>
    <mergeCell ref="D15:T15"/>
    <mergeCell ref="D27:T27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81"/>
  <sheetViews>
    <sheetView topLeftCell="C1" zoomScaleNormal="100" workbookViewId="0">
      <pane ySplit="3" topLeftCell="A4" activePane="bottomLeft" state="frozen"/>
      <selection activeCell="D1" sqref="D1:N1"/>
      <selection pane="bottomLeft" activeCell="D1" sqref="D1:N1"/>
    </sheetView>
  </sheetViews>
  <sheetFormatPr defaultRowHeight="21.6" customHeight="1" x14ac:dyDescent="0.15"/>
  <cols>
    <col min="1" max="1" width="5.21875" style="41" hidden="1" customWidth="1"/>
    <col min="2" max="2" width="8.77734375" style="14" hidden="1" customWidth="1"/>
    <col min="3" max="3" width="16.77734375" style="14" customWidth="1"/>
    <col min="4" max="4" width="24.33203125" style="14" customWidth="1"/>
    <col min="5" max="5" width="25.33203125" style="14" customWidth="1"/>
    <col min="6" max="6" width="4.77734375" style="2" customWidth="1"/>
    <col min="7" max="7" width="11.21875" style="1" customWidth="1"/>
    <col min="8" max="8" width="13.88671875" style="51" customWidth="1"/>
    <col min="9" max="9" width="11.6640625" style="51" customWidth="1"/>
    <col min="10" max="10" width="10" style="51" customWidth="1"/>
    <col min="11" max="11" width="7" style="51" customWidth="1"/>
    <col min="12" max="12" width="10.77734375" style="51" customWidth="1"/>
    <col min="13" max="13" width="10.77734375" style="1" customWidth="1"/>
    <col min="14" max="16384" width="8.88671875" style="1"/>
  </cols>
  <sheetData>
    <row r="1" spans="1:13" ht="21.6" customHeight="1" x14ac:dyDescent="0.15">
      <c r="A1" s="41" t="s">
        <v>125</v>
      </c>
      <c r="B1" s="14" t="s">
        <v>604</v>
      </c>
      <c r="C1" s="409" t="s">
        <v>600</v>
      </c>
      <c r="D1" s="409"/>
      <c r="E1" s="409"/>
      <c r="F1" s="409"/>
      <c r="G1" s="409"/>
      <c r="H1" s="409"/>
      <c r="I1" s="409"/>
      <c r="J1" s="409"/>
      <c r="K1" s="409"/>
      <c r="L1" s="409"/>
      <c r="M1" s="409"/>
    </row>
    <row r="2" spans="1:13" s="48" customFormat="1" ht="21.6" customHeight="1" x14ac:dyDescent="0.15">
      <c r="A2" s="3" t="s">
        <v>1</v>
      </c>
      <c r="B2" s="52" t="s">
        <v>0</v>
      </c>
      <c r="C2" s="384" t="s">
        <v>18</v>
      </c>
      <c r="D2" s="384" t="s">
        <v>48</v>
      </c>
      <c r="E2" s="384" t="s">
        <v>49</v>
      </c>
      <c r="F2" s="389" t="s">
        <v>5</v>
      </c>
      <c r="G2" s="389" t="s">
        <v>9</v>
      </c>
      <c r="H2" s="382" t="s">
        <v>41</v>
      </c>
      <c r="I2" s="382" t="s">
        <v>42</v>
      </c>
      <c r="J2" s="382" t="s">
        <v>43</v>
      </c>
      <c r="K2" s="382" t="s">
        <v>70</v>
      </c>
      <c r="L2" s="382" t="s">
        <v>12</v>
      </c>
      <c r="M2" s="389" t="s">
        <v>44</v>
      </c>
    </row>
    <row r="3" spans="1:13" ht="21.6" customHeight="1" x14ac:dyDescent="0.15">
      <c r="C3" s="410"/>
      <c r="D3" s="410"/>
      <c r="E3" s="410"/>
      <c r="F3" s="411"/>
      <c r="G3" s="408"/>
      <c r="H3" s="408"/>
      <c r="I3" s="408"/>
      <c r="J3" s="408"/>
      <c r="K3" s="408"/>
      <c r="L3" s="408"/>
      <c r="M3" s="408"/>
    </row>
    <row r="4" spans="1:13" ht="21.6" customHeight="1" x14ac:dyDescent="0.15">
      <c r="C4" s="23" t="s">
        <v>437</v>
      </c>
      <c r="D4" s="23" t="s">
        <v>173</v>
      </c>
      <c r="E4" s="23" t="s">
        <v>174</v>
      </c>
      <c r="F4" s="13" t="s">
        <v>438</v>
      </c>
      <c r="G4" s="24"/>
      <c r="H4" s="50">
        <f>TRUNC(단가조사!G4*옵션!$D$11)</f>
        <v>5134</v>
      </c>
      <c r="I4" s="50"/>
      <c r="J4" s="50"/>
      <c r="K4" s="50"/>
      <c r="L4" s="50">
        <f t="shared" ref="L4:L35" si="0">SUM(H4,I4,J4)</f>
        <v>5134</v>
      </c>
      <c r="M4" s="24"/>
    </row>
    <row r="5" spans="1:13" ht="21.6" customHeight="1" x14ac:dyDescent="0.15">
      <c r="C5" s="23" t="s">
        <v>441</v>
      </c>
      <c r="D5" s="23" t="s">
        <v>187</v>
      </c>
      <c r="E5" s="23" t="s">
        <v>181</v>
      </c>
      <c r="F5" s="13" t="s">
        <v>438</v>
      </c>
      <c r="G5" s="24"/>
      <c r="H5" s="50">
        <f>TRUNC(단가조사!G5*옵션!$D$11)</f>
        <v>1007</v>
      </c>
      <c r="I5" s="50"/>
      <c r="J5" s="50"/>
      <c r="K5" s="50"/>
      <c r="L5" s="50">
        <f t="shared" si="0"/>
        <v>1007</v>
      </c>
      <c r="M5" s="24"/>
    </row>
    <row r="6" spans="1:13" ht="21.6" customHeight="1" x14ac:dyDescent="0.15">
      <c r="C6" s="23" t="s">
        <v>444</v>
      </c>
      <c r="D6" s="23" t="s">
        <v>180</v>
      </c>
      <c r="E6" s="23" t="s">
        <v>224</v>
      </c>
      <c r="F6" s="13" t="s">
        <v>438</v>
      </c>
      <c r="G6" s="24"/>
      <c r="H6" s="50">
        <f>TRUNC(단가조사!G6*옵션!$D$11)</f>
        <v>294</v>
      </c>
      <c r="I6" s="50"/>
      <c r="J6" s="50"/>
      <c r="K6" s="50"/>
      <c r="L6" s="50">
        <f t="shared" si="0"/>
        <v>294</v>
      </c>
      <c r="M6" s="24"/>
    </row>
    <row r="7" spans="1:13" ht="21.6" customHeight="1" x14ac:dyDescent="0.15">
      <c r="C7" s="23" t="s">
        <v>445</v>
      </c>
      <c r="D7" s="23" t="s">
        <v>180</v>
      </c>
      <c r="E7" s="23" t="s">
        <v>181</v>
      </c>
      <c r="F7" s="13" t="s">
        <v>438</v>
      </c>
      <c r="G7" s="24"/>
      <c r="H7" s="50">
        <f>TRUNC(단가조사!G7*옵션!$D$11)</f>
        <v>1007</v>
      </c>
      <c r="I7" s="50"/>
      <c r="J7" s="50"/>
      <c r="K7" s="50"/>
      <c r="L7" s="50">
        <f t="shared" si="0"/>
        <v>1007</v>
      </c>
      <c r="M7" s="24"/>
    </row>
    <row r="8" spans="1:13" ht="21.6" customHeight="1" x14ac:dyDescent="0.15">
      <c r="C8" s="23" t="s">
        <v>446</v>
      </c>
      <c r="D8" s="23" t="s">
        <v>263</v>
      </c>
      <c r="E8" s="23" t="s">
        <v>264</v>
      </c>
      <c r="F8" s="13" t="s">
        <v>438</v>
      </c>
      <c r="G8" s="24"/>
      <c r="H8" s="50">
        <f>TRUNC(단가조사!G8*옵션!$D$11)</f>
        <v>170</v>
      </c>
      <c r="I8" s="50"/>
      <c r="J8" s="50"/>
      <c r="K8" s="50"/>
      <c r="L8" s="50">
        <f t="shared" si="0"/>
        <v>170</v>
      </c>
      <c r="M8" s="24"/>
    </row>
    <row r="9" spans="1:13" ht="21.6" customHeight="1" x14ac:dyDescent="0.15">
      <c r="C9" s="23" t="s">
        <v>448</v>
      </c>
      <c r="D9" s="23" t="s">
        <v>263</v>
      </c>
      <c r="E9" s="23" t="s">
        <v>272</v>
      </c>
      <c r="F9" s="13" t="s">
        <v>438</v>
      </c>
      <c r="G9" s="24"/>
      <c r="H9" s="50">
        <f>TRUNC(단가조사!G9*옵션!$D$11)</f>
        <v>255</v>
      </c>
      <c r="I9" s="50"/>
      <c r="J9" s="50"/>
      <c r="K9" s="50"/>
      <c r="L9" s="50">
        <f t="shared" si="0"/>
        <v>255</v>
      </c>
      <c r="M9" s="24"/>
    </row>
    <row r="10" spans="1:13" ht="21.6" customHeight="1" x14ac:dyDescent="0.15">
      <c r="C10" s="23" t="s">
        <v>449</v>
      </c>
      <c r="D10" s="23" t="s">
        <v>199</v>
      </c>
      <c r="E10" s="23" t="s">
        <v>200</v>
      </c>
      <c r="F10" s="13" t="s">
        <v>145</v>
      </c>
      <c r="G10" s="24"/>
      <c r="H10" s="50">
        <f>TRUNC(단가조사!G10*옵션!$D$11)</f>
        <v>4392</v>
      </c>
      <c r="I10" s="50"/>
      <c r="J10" s="50"/>
      <c r="K10" s="50"/>
      <c r="L10" s="50">
        <f t="shared" si="0"/>
        <v>4392</v>
      </c>
      <c r="M10" s="24"/>
    </row>
    <row r="11" spans="1:13" ht="21.6" customHeight="1" x14ac:dyDescent="0.15">
      <c r="C11" s="23" t="s">
        <v>451</v>
      </c>
      <c r="D11" s="23" t="s">
        <v>205</v>
      </c>
      <c r="E11" s="23" t="s">
        <v>206</v>
      </c>
      <c r="F11" s="13" t="s">
        <v>145</v>
      </c>
      <c r="G11" s="24"/>
      <c r="H11" s="50">
        <f>TRUNC(단가조사!G11*옵션!$D$11)</f>
        <v>956</v>
      </c>
      <c r="I11" s="50"/>
      <c r="J11" s="50"/>
      <c r="K11" s="50"/>
      <c r="L11" s="50">
        <f t="shared" si="0"/>
        <v>956</v>
      </c>
      <c r="M11" s="24"/>
    </row>
    <row r="12" spans="1:13" ht="21.6" customHeight="1" x14ac:dyDescent="0.15">
      <c r="C12" s="23" t="s">
        <v>452</v>
      </c>
      <c r="D12" s="23" t="s">
        <v>283</v>
      </c>
      <c r="E12" s="23" t="s">
        <v>284</v>
      </c>
      <c r="F12" s="13" t="s">
        <v>145</v>
      </c>
      <c r="G12" s="24"/>
      <c r="H12" s="50">
        <f>TRUNC(단가조사!G12*옵션!$D$11)</f>
        <v>591</v>
      </c>
      <c r="I12" s="50"/>
      <c r="J12" s="50"/>
      <c r="K12" s="50"/>
      <c r="L12" s="50">
        <f t="shared" si="0"/>
        <v>591</v>
      </c>
      <c r="M12" s="24"/>
    </row>
    <row r="13" spans="1:13" ht="21.6" customHeight="1" x14ac:dyDescent="0.15">
      <c r="C13" s="23" t="s">
        <v>455</v>
      </c>
      <c r="D13" s="23" t="s">
        <v>283</v>
      </c>
      <c r="E13" s="23" t="s">
        <v>293</v>
      </c>
      <c r="F13" s="13" t="s">
        <v>145</v>
      </c>
      <c r="G13" s="24"/>
      <c r="H13" s="50">
        <f>TRUNC(단가조사!G13*옵션!$D$11)</f>
        <v>726</v>
      </c>
      <c r="I13" s="50"/>
      <c r="J13" s="50"/>
      <c r="K13" s="50"/>
      <c r="L13" s="50">
        <f t="shared" si="0"/>
        <v>726</v>
      </c>
      <c r="M13" s="24"/>
    </row>
    <row r="14" spans="1:13" ht="21.6" customHeight="1" x14ac:dyDescent="0.15">
      <c r="C14" s="23" t="s">
        <v>456</v>
      </c>
      <c r="D14" s="23" t="s">
        <v>297</v>
      </c>
      <c r="E14" s="23" t="s">
        <v>298</v>
      </c>
      <c r="F14" s="13" t="s">
        <v>145</v>
      </c>
      <c r="G14" s="24"/>
      <c r="H14" s="50">
        <f>TRUNC(단가조사!G14*옵션!$D$11)</f>
        <v>343</v>
      </c>
      <c r="I14" s="50"/>
      <c r="J14" s="50"/>
      <c r="K14" s="50"/>
      <c r="L14" s="50">
        <f t="shared" si="0"/>
        <v>343</v>
      </c>
      <c r="M14" s="24"/>
    </row>
    <row r="15" spans="1:13" ht="21.6" customHeight="1" x14ac:dyDescent="0.15">
      <c r="C15" s="23" t="s">
        <v>458</v>
      </c>
      <c r="D15" s="23" t="s">
        <v>210</v>
      </c>
      <c r="E15" s="23" t="s">
        <v>211</v>
      </c>
      <c r="F15" s="13" t="s">
        <v>145</v>
      </c>
      <c r="G15" s="24"/>
      <c r="H15" s="50">
        <f>TRUNC(단가조사!G15*옵션!$D$11)</f>
        <v>7675</v>
      </c>
      <c r="I15" s="50"/>
      <c r="J15" s="50"/>
      <c r="K15" s="50"/>
      <c r="L15" s="50">
        <f t="shared" si="0"/>
        <v>7675</v>
      </c>
      <c r="M15" s="24"/>
    </row>
    <row r="16" spans="1:13" ht="21.6" customHeight="1" x14ac:dyDescent="0.15">
      <c r="C16" s="23" t="s">
        <v>459</v>
      </c>
      <c r="D16" s="23" t="s">
        <v>460</v>
      </c>
      <c r="E16" s="23" t="s">
        <v>461</v>
      </c>
      <c r="F16" s="13" t="s">
        <v>145</v>
      </c>
      <c r="G16" s="24"/>
      <c r="H16" s="50">
        <f>TRUNC(단가조사!G16*옵션!$D$11)</f>
        <v>373</v>
      </c>
      <c r="I16" s="50"/>
      <c r="J16" s="50"/>
      <c r="K16" s="50"/>
      <c r="L16" s="50">
        <f t="shared" si="0"/>
        <v>373</v>
      </c>
      <c r="M16" s="24"/>
    </row>
    <row r="17" spans="3:13" ht="21.6" customHeight="1" x14ac:dyDescent="0.15">
      <c r="C17" s="23" t="s">
        <v>462</v>
      </c>
      <c r="D17" s="23" t="s">
        <v>463</v>
      </c>
      <c r="E17" s="23" t="s">
        <v>464</v>
      </c>
      <c r="F17" s="13" t="s">
        <v>145</v>
      </c>
      <c r="G17" s="24"/>
      <c r="H17" s="50">
        <f>TRUNC(단가조사!G17*옵션!$D$11)</f>
        <v>200</v>
      </c>
      <c r="I17" s="50"/>
      <c r="J17" s="50"/>
      <c r="K17" s="50"/>
      <c r="L17" s="50">
        <f t="shared" si="0"/>
        <v>200</v>
      </c>
      <c r="M17" s="24"/>
    </row>
    <row r="18" spans="3:13" ht="21.6" customHeight="1" x14ac:dyDescent="0.15">
      <c r="C18" s="23" t="s">
        <v>466</v>
      </c>
      <c r="D18" s="23" t="s">
        <v>467</v>
      </c>
      <c r="E18" s="23" t="s">
        <v>468</v>
      </c>
      <c r="F18" s="13" t="s">
        <v>145</v>
      </c>
      <c r="G18" s="24"/>
      <c r="H18" s="50">
        <f>TRUNC(단가조사!G18*옵션!$D$11)</f>
        <v>1017</v>
      </c>
      <c r="I18" s="50"/>
      <c r="J18" s="50"/>
      <c r="K18" s="50"/>
      <c r="L18" s="50">
        <f t="shared" si="0"/>
        <v>1017</v>
      </c>
      <c r="M18" s="24"/>
    </row>
    <row r="19" spans="3:13" ht="21.6" customHeight="1" x14ac:dyDescent="0.15">
      <c r="C19" s="23" t="s">
        <v>470</v>
      </c>
      <c r="D19" s="23" t="s">
        <v>227</v>
      </c>
      <c r="E19" s="23" t="s">
        <v>228</v>
      </c>
      <c r="F19" s="13" t="s">
        <v>438</v>
      </c>
      <c r="G19" s="24"/>
      <c r="H19" s="50">
        <f>TRUNC(단가조사!G19*옵션!$D$11)</f>
        <v>1106</v>
      </c>
      <c r="I19" s="50"/>
      <c r="J19" s="50"/>
      <c r="K19" s="50"/>
      <c r="L19" s="50">
        <f t="shared" si="0"/>
        <v>1106</v>
      </c>
      <c r="M19" s="24"/>
    </row>
    <row r="20" spans="3:13" ht="21.6" customHeight="1" x14ac:dyDescent="0.15">
      <c r="C20" s="23" t="s">
        <v>473</v>
      </c>
      <c r="D20" s="23" t="s">
        <v>227</v>
      </c>
      <c r="E20" s="23" t="s">
        <v>474</v>
      </c>
      <c r="F20" s="13" t="s">
        <v>438</v>
      </c>
      <c r="G20" s="24"/>
      <c r="H20" s="50">
        <f>TRUNC(단가조사!G20*옵션!$D$11)</f>
        <v>5522</v>
      </c>
      <c r="I20" s="50"/>
      <c r="J20" s="50"/>
      <c r="K20" s="50"/>
      <c r="L20" s="50">
        <f t="shared" si="0"/>
        <v>5522</v>
      </c>
      <c r="M20" s="24"/>
    </row>
    <row r="21" spans="3:13" ht="21.6" customHeight="1" x14ac:dyDescent="0.15">
      <c r="C21" s="23" t="s">
        <v>475</v>
      </c>
      <c r="D21" s="23" t="s">
        <v>328</v>
      </c>
      <c r="E21" s="23" t="s">
        <v>476</v>
      </c>
      <c r="F21" s="13" t="s">
        <v>438</v>
      </c>
      <c r="G21" s="24"/>
      <c r="H21" s="50">
        <f>TRUNC(단가조사!G21*옵션!$D$11)</f>
        <v>495</v>
      </c>
      <c r="I21" s="50"/>
      <c r="J21" s="50"/>
      <c r="K21" s="50"/>
      <c r="L21" s="50">
        <f t="shared" si="0"/>
        <v>495</v>
      </c>
      <c r="M21" s="24"/>
    </row>
    <row r="22" spans="3:13" ht="21.6" customHeight="1" x14ac:dyDescent="0.15">
      <c r="C22" s="23" t="s">
        <v>479</v>
      </c>
      <c r="D22" s="23" t="s">
        <v>267</v>
      </c>
      <c r="E22" s="23" t="s">
        <v>480</v>
      </c>
      <c r="F22" s="13" t="s">
        <v>438</v>
      </c>
      <c r="G22" s="24"/>
      <c r="H22" s="50">
        <f>TRUNC(단가조사!G22*옵션!$D$11)</f>
        <v>570</v>
      </c>
      <c r="I22" s="50"/>
      <c r="J22" s="50"/>
      <c r="K22" s="50"/>
      <c r="L22" s="50">
        <f t="shared" si="0"/>
        <v>570</v>
      </c>
      <c r="M22" s="24"/>
    </row>
    <row r="23" spans="3:13" ht="21.6" customHeight="1" x14ac:dyDescent="0.15">
      <c r="C23" s="23" t="s">
        <v>483</v>
      </c>
      <c r="D23" s="23" t="s">
        <v>143</v>
      </c>
      <c r="E23" s="23" t="s">
        <v>144</v>
      </c>
      <c r="F23" s="13" t="s">
        <v>145</v>
      </c>
      <c r="G23" s="24"/>
      <c r="H23" s="50">
        <f>TRUNC(단가조사!G23*옵션!$D$11)</f>
        <v>2730</v>
      </c>
      <c r="I23" s="50"/>
      <c r="J23" s="50"/>
      <c r="K23" s="50"/>
      <c r="L23" s="50">
        <f t="shared" si="0"/>
        <v>2730</v>
      </c>
      <c r="M23" s="24"/>
    </row>
    <row r="24" spans="3:13" ht="21.6" customHeight="1" x14ac:dyDescent="0.15">
      <c r="C24" s="23" t="s">
        <v>486</v>
      </c>
      <c r="D24" s="23" t="s">
        <v>143</v>
      </c>
      <c r="E24" s="23" t="s">
        <v>288</v>
      </c>
      <c r="F24" s="13" t="s">
        <v>145</v>
      </c>
      <c r="G24" s="24"/>
      <c r="H24" s="50">
        <f>TRUNC(단가조사!G24*옵션!$D$11)</f>
        <v>5460</v>
      </c>
      <c r="I24" s="50"/>
      <c r="J24" s="50"/>
      <c r="K24" s="50"/>
      <c r="L24" s="50">
        <f t="shared" si="0"/>
        <v>5460</v>
      </c>
      <c r="M24" s="24"/>
    </row>
    <row r="25" spans="3:13" ht="21.6" customHeight="1" x14ac:dyDescent="0.15">
      <c r="C25" s="23" t="s">
        <v>487</v>
      </c>
      <c r="D25" s="23" t="s">
        <v>147</v>
      </c>
      <c r="E25" s="23" t="s">
        <v>336</v>
      </c>
      <c r="F25" s="13" t="s">
        <v>145</v>
      </c>
      <c r="G25" s="24"/>
      <c r="H25" s="50">
        <f>TRUNC(단가조사!G25*옵션!$D$11)</f>
        <v>2304</v>
      </c>
      <c r="I25" s="50"/>
      <c r="J25" s="50"/>
      <c r="K25" s="50"/>
      <c r="L25" s="50">
        <f t="shared" si="0"/>
        <v>2304</v>
      </c>
      <c r="M25" s="24"/>
    </row>
    <row r="26" spans="3:13" ht="21.6" customHeight="1" x14ac:dyDescent="0.15">
      <c r="C26" s="23" t="s">
        <v>488</v>
      </c>
      <c r="D26" s="23" t="s">
        <v>147</v>
      </c>
      <c r="E26" s="23" t="s">
        <v>148</v>
      </c>
      <c r="F26" s="13" t="s">
        <v>145</v>
      </c>
      <c r="G26" s="24"/>
      <c r="H26" s="50">
        <f>TRUNC(단가조사!G26*옵션!$D$11)</f>
        <v>2304</v>
      </c>
      <c r="I26" s="50"/>
      <c r="J26" s="50"/>
      <c r="K26" s="50"/>
      <c r="L26" s="50">
        <f t="shared" si="0"/>
        <v>2304</v>
      </c>
      <c r="M26" s="24"/>
    </row>
    <row r="27" spans="3:13" ht="21.6" customHeight="1" x14ac:dyDescent="0.15">
      <c r="C27" s="23" t="s">
        <v>489</v>
      </c>
      <c r="D27" s="23" t="s">
        <v>490</v>
      </c>
      <c r="E27" s="23" t="s">
        <v>491</v>
      </c>
      <c r="F27" s="13" t="s">
        <v>145</v>
      </c>
      <c r="G27" s="24"/>
      <c r="H27" s="50">
        <f>TRUNC(단가조사!G27*옵션!$D$11)</f>
        <v>3316</v>
      </c>
      <c r="I27" s="50"/>
      <c r="J27" s="50"/>
      <c r="K27" s="50"/>
      <c r="L27" s="50">
        <f t="shared" si="0"/>
        <v>3316</v>
      </c>
      <c r="M27" s="24"/>
    </row>
    <row r="28" spans="3:13" ht="21.6" customHeight="1" x14ac:dyDescent="0.15">
      <c r="C28" s="23" t="s">
        <v>493</v>
      </c>
      <c r="D28" s="23" t="s">
        <v>490</v>
      </c>
      <c r="E28" s="23" t="s">
        <v>494</v>
      </c>
      <c r="F28" s="13" t="s">
        <v>145</v>
      </c>
      <c r="G28" s="24"/>
      <c r="H28" s="50">
        <f>TRUNC(단가조사!G28*옵션!$D$11)</f>
        <v>5023</v>
      </c>
      <c r="I28" s="50"/>
      <c r="J28" s="50"/>
      <c r="K28" s="50"/>
      <c r="L28" s="50">
        <f t="shared" si="0"/>
        <v>5023</v>
      </c>
      <c r="M28" s="24"/>
    </row>
    <row r="29" spans="3:13" ht="21.6" customHeight="1" x14ac:dyDescent="0.15">
      <c r="C29" s="23" t="s">
        <v>495</v>
      </c>
      <c r="D29" s="23" t="s">
        <v>496</v>
      </c>
      <c r="E29" s="23" t="s">
        <v>497</v>
      </c>
      <c r="F29" s="13" t="s">
        <v>498</v>
      </c>
      <c r="G29" s="24"/>
      <c r="H29" s="50">
        <f>TRUNC(단가조사!G29*옵션!$D$11)</f>
        <v>110000</v>
      </c>
      <c r="I29" s="50"/>
      <c r="J29" s="50"/>
      <c r="K29" s="50"/>
      <c r="L29" s="50">
        <f t="shared" si="0"/>
        <v>110000</v>
      </c>
      <c r="M29" s="24"/>
    </row>
    <row r="30" spans="3:13" ht="21.6" customHeight="1" x14ac:dyDescent="0.15">
      <c r="C30" s="23" t="s">
        <v>500</v>
      </c>
      <c r="D30" s="23" t="s">
        <v>501</v>
      </c>
      <c r="E30" s="23" t="s">
        <v>502</v>
      </c>
      <c r="F30" s="13" t="s">
        <v>498</v>
      </c>
      <c r="G30" s="24"/>
      <c r="H30" s="50">
        <f>TRUNC(단가조사!G30*옵션!$D$11)</f>
        <v>230000</v>
      </c>
      <c r="I30" s="50"/>
      <c r="J30" s="50"/>
      <c r="K30" s="50"/>
      <c r="L30" s="50">
        <f t="shared" si="0"/>
        <v>230000</v>
      </c>
      <c r="M30" s="24"/>
    </row>
    <row r="31" spans="3:13" ht="21.6" customHeight="1" x14ac:dyDescent="0.15">
      <c r="C31" s="23" t="s">
        <v>503</v>
      </c>
      <c r="D31" s="23" t="s">
        <v>504</v>
      </c>
      <c r="E31" s="23" t="s">
        <v>505</v>
      </c>
      <c r="F31" s="13" t="s">
        <v>137</v>
      </c>
      <c r="G31" s="24"/>
      <c r="H31" s="50">
        <f>TRUNC(단가조사!G31*옵션!$D$11)</f>
        <v>28</v>
      </c>
      <c r="I31" s="50"/>
      <c r="J31" s="50"/>
      <c r="K31" s="50"/>
      <c r="L31" s="50">
        <f t="shared" si="0"/>
        <v>28</v>
      </c>
      <c r="M31" s="24"/>
    </row>
    <row r="32" spans="3:13" ht="21.6" customHeight="1" x14ac:dyDescent="0.15">
      <c r="C32" s="23" t="s">
        <v>507</v>
      </c>
      <c r="D32" s="23" t="s">
        <v>508</v>
      </c>
      <c r="E32" s="23" t="s">
        <v>509</v>
      </c>
      <c r="F32" s="13" t="s">
        <v>145</v>
      </c>
      <c r="G32" s="24"/>
      <c r="H32" s="50">
        <f>TRUNC(단가조사!G32*옵션!$D$11)</f>
        <v>10</v>
      </c>
      <c r="I32" s="50"/>
      <c r="J32" s="50"/>
      <c r="K32" s="50"/>
      <c r="L32" s="50">
        <f t="shared" si="0"/>
        <v>10</v>
      </c>
      <c r="M32" s="24"/>
    </row>
    <row r="33" spans="3:13" ht="21.6" customHeight="1" x14ac:dyDescent="0.15">
      <c r="C33" s="23" t="s">
        <v>510</v>
      </c>
      <c r="D33" s="23" t="s">
        <v>303</v>
      </c>
      <c r="E33" s="23" t="s">
        <v>304</v>
      </c>
      <c r="F33" s="13" t="s">
        <v>438</v>
      </c>
      <c r="G33" s="24"/>
      <c r="H33" s="50">
        <f>TRUNC(단가조사!G33*옵션!$D$11)</f>
        <v>1200</v>
      </c>
      <c r="I33" s="50"/>
      <c r="J33" s="50"/>
      <c r="K33" s="50"/>
      <c r="L33" s="50">
        <f t="shared" si="0"/>
        <v>1200</v>
      </c>
      <c r="M33" s="24"/>
    </row>
    <row r="34" spans="3:13" ht="21.6" customHeight="1" x14ac:dyDescent="0.15">
      <c r="C34" s="23" t="s">
        <v>511</v>
      </c>
      <c r="D34" s="23" t="s">
        <v>311</v>
      </c>
      <c r="E34" s="23" t="s">
        <v>312</v>
      </c>
      <c r="F34" s="13" t="s">
        <v>145</v>
      </c>
      <c r="G34" s="24"/>
      <c r="H34" s="50">
        <f>TRUNC(단가조사!G34*옵션!$D$11)</f>
        <v>17000</v>
      </c>
      <c r="I34" s="50"/>
      <c r="J34" s="50"/>
      <c r="K34" s="50"/>
      <c r="L34" s="50">
        <f t="shared" si="0"/>
        <v>17000</v>
      </c>
      <c r="M34" s="24"/>
    </row>
    <row r="35" spans="3:13" ht="21.6" customHeight="1" x14ac:dyDescent="0.15">
      <c r="C35" s="23" t="s">
        <v>513</v>
      </c>
      <c r="D35" s="23" t="s">
        <v>514</v>
      </c>
      <c r="E35" s="23" t="s">
        <v>515</v>
      </c>
      <c r="F35" s="13" t="s">
        <v>137</v>
      </c>
      <c r="G35" s="24"/>
      <c r="H35" s="50">
        <f>TRUNC(단가조사!G35*옵션!$D$11)</f>
        <v>8000</v>
      </c>
      <c r="I35" s="50"/>
      <c r="J35" s="50"/>
      <c r="K35" s="50"/>
      <c r="L35" s="50">
        <f t="shared" si="0"/>
        <v>8000</v>
      </c>
      <c r="M35" s="24"/>
    </row>
    <row r="36" spans="3:13" ht="21.6" customHeight="1" x14ac:dyDescent="0.15">
      <c r="C36" s="23" t="s">
        <v>519</v>
      </c>
      <c r="D36" s="23" t="s">
        <v>520</v>
      </c>
      <c r="E36" s="23" t="s">
        <v>521</v>
      </c>
      <c r="F36" s="13" t="s">
        <v>137</v>
      </c>
      <c r="G36" s="24"/>
      <c r="H36" s="50">
        <f>TRUNC(단가조사!G36*옵션!$D$11)</f>
        <v>25000</v>
      </c>
      <c r="I36" s="50"/>
      <c r="J36" s="50"/>
      <c r="K36" s="50"/>
      <c r="L36" s="50">
        <f t="shared" ref="L36:L67" si="1">SUM(H36,I36,J36)</f>
        <v>25000</v>
      </c>
      <c r="M36" s="24"/>
    </row>
    <row r="37" spans="3:13" ht="21.6" customHeight="1" x14ac:dyDescent="0.15">
      <c r="C37" s="23" t="s">
        <v>522</v>
      </c>
      <c r="D37" s="23" t="s">
        <v>523</v>
      </c>
      <c r="E37" s="23" t="s">
        <v>524</v>
      </c>
      <c r="F37" s="13" t="s">
        <v>137</v>
      </c>
      <c r="G37" s="24"/>
      <c r="H37" s="50">
        <f>TRUNC(단가조사!G37*옵션!$D$11)</f>
        <v>78000</v>
      </c>
      <c r="I37" s="50"/>
      <c r="J37" s="50"/>
      <c r="K37" s="50"/>
      <c r="L37" s="50">
        <f t="shared" si="1"/>
        <v>78000</v>
      </c>
      <c r="M37" s="24"/>
    </row>
    <row r="38" spans="3:13" ht="21.6" customHeight="1" x14ac:dyDescent="0.15">
      <c r="C38" s="23" t="s">
        <v>525</v>
      </c>
      <c r="D38" s="23" t="s">
        <v>526</v>
      </c>
      <c r="E38" s="23" t="s">
        <v>527</v>
      </c>
      <c r="F38" s="13" t="s">
        <v>137</v>
      </c>
      <c r="G38" s="24"/>
      <c r="H38" s="50">
        <f>TRUNC(단가조사!G38*옵션!$D$11)</f>
        <v>435000</v>
      </c>
      <c r="I38" s="50"/>
      <c r="J38" s="50"/>
      <c r="K38" s="50"/>
      <c r="L38" s="50">
        <f t="shared" si="1"/>
        <v>435000</v>
      </c>
      <c r="M38" s="24"/>
    </row>
    <row r="39" spans="3:13" ht="21.6" customHeight="1" x14ac:dyDescent="0.15">
      <c r="C39" s="23" t="s">
        <v>528</v>
      </c>
      <c r="D39" s="23" t="s">
        <v>529</v>
      </c>
      <c r="E39" s="23" t="s">
        <v>530</v>
      </c>
      <c r="F39" s="13" t="s">
        <v>137</v>
      </c>
      <c r="G39" s="24"/>
      <c r="H39" s="50">
        <f>TRUNC(단가조사!G39*옵션!$D$11)</f>
        <v>60000</v>
      </c>
      <c r="I39" s="50"/>
      <c r="J39" s="50"/>
      <c r="K39" s="50"/>
      <c r="L39" s="50">
        <f t="shared" si="1"/>
        <v>60000</v>
      </c>
      <c r="M39" s="24"/>
    </row>
    <row r="40" spans="3:13" ht="21.6" customHeight="1" x14ac:dyDescent="0.15">
      <c r="C40" s="23" t="s">
        <v>531</v>
      </c>
      <c r="D40" s="23" t="s">
        <v>532</v>
      </c>
      <c r="E40" s="23" t="s">
        <v>533</v>
      </c>
      <c r="F40" s="13" t="s">
        <v>137</v>
      </c>
      <c r="G40" s="24"/>
      <c r="H40" s="50">
        <f>TRUNC(단가조사!G40*옵션!$D$11)</f>
        <v>4000</v>
      </c>
      <c r="I40" s="50"/>
      <c r="J40" s="50"/>
      <c r="K40" s="50"/>
      <c r="L40" s="50">
        <f t="shared" si="1"/>
        <v>4000</v>
      </c>
      <c r="M40" s="24"/>
    </row>
    <row r="41" spans="3:13" ht="21.6" customHeight="1" x14ac:dyDescent="0.15">
      <c r="C41" s="23" t="s">
        <v>534</v>
      </c>
      <c r="D41" s="23" t="s">
        <v>535</v>
      </c>
      <c r="E41" s="23" t="s">
        <v>536</v>
      </c>
      <c r="F41" s="13" t="s">
        <v>137</v>
      </c>
      <c r="G41" s="24"/>
      <c r="H41" s="50">
        <f>TRUNC(단가조사!G41*옵션!$D$11)</f>
        <v>150000</v>
      </c>
      <c r="I41" s="50"/>
      <c r="J41" s="50"/>
      <c r="K41" s="50"/>
      <c r="L41" s="50">
        <f t="shared" si="1"/>
        <v>150000</v>
      </c>
      <c r="M41" s="24"/>
    </row>
    <row r="42" spans="3:13" ht="21.6" customHeight="1" x14ac:dyDescent="0.15">
      <c r="C42" s="23" t="s">
        <v>537</v>
      </c>
      <c r="D42" s="23" t="s">
        <v>139</v>
      </c>
      <c r="E42" s="23" t="s">
        <v>140</v>
      </c>
      <c r="F42" s="13" t="s">
        <v>137</v>
      </c>
      <c r="G42" s="24"/>
      <c r="H42" s="50">
        <f>TRUNC(단가조사!G42*옵션!$D$11)</f>
        <v>0</v>
      </c>
      <c r="I42" s="50"/>
      <c r="J42" s="50"/>
      <c r="K42" s="50"/>
      <c r="L42" s="50">
        <f t="shared" si="1"/>
        <v>0</v>
      </c>
      <c r="M42" s="24" t="s">
        <v>601</v>
      </c>
    </row>
    <row r="43" spans="3:13" ht="21.6" customHeight="1" x14ac:dyDescent="0.15">
      <c r="C43" s="23" t="s">
        <v>538</v>
      </c>
      <c r="D43" s="23" t="s">
        <v>539</v>
      </c>
      <c r="E43" s="23" t="s">
        <v>540</v>
      </c>
      <c r="F43" s="13" t="s">
        <v>137</v>
      </c>
      <c r="G43" s="24"/>
      <c r="H43" s="50">
        <f>TRUNC(단가조사!G43*옵션!$D$11)</f>
        <v>3500</v>
      </c>
      <c r="I43" s="50"/>
      <c r="J43" s="50"/>
      <c r="K43" s="50"/>
      <c r="L43" s="50">
        <f t="shared" si="1"/>
        <v>3500</v>
      </c>
      <c r="M43" s="24"/>
    </row>
    <row r="44" spans="3:13" ht="21.6" customHeight="1" x14ac:dyDescent="0.15">
      <c r="C44" s="23" t="s">
        <v>541</v>
      </c>
      <c r="D44" s="23" t="s">
        <v>542</v>
      </c>
      <c r="E44" s="23" t="s">
        <v>543</v>
      </c>
      <c r="F44" s="13" t="s">
        <v>137</v>
      </c>
      <c r="G44" s="24"/>
      <c r="H44" s="50">
        <f>TRUNC(단가조사!G44*옵션!$D$11)</f>
        <v>150000</v>
      </c>
      <c r="I44" s="50"/>
      <c r="J44" s="50"/>
      <c r="K44" s="50"/>
      <c r="L44" s="50">
        <f t="shared" si="1"/>
        <v>150000</v>
      </c>
      <c r="M44" s="24"/>
    </row>
    <row r="45" spans="3:13" ht="21.6" customHeight="1" x14ac:dyDescent="0.15">
      <c r="C45" s="23" t="s">
        <v>544</v>
      </c>
      <c r="D45" s="23" t="s">
        <v>545</v>
      </c>
      <c r="E45" s="23" t="s">
        <v>546</v>
      </c>
      <c r="F45" s="13" t="s">
        <v>137</v>
      </c>
      <c r="G45" s="24"/>
      <c r="H45" s="50">
        <f>TRUNC(단가조사!G45*옵션!$D$11)</f>
        <v>7000</v>
      </c>
      <c r="I45" s="50"/>
      <c r="J45" s="50"/>
      <c r="K45" s="50"/>
      <c r="L45" s="50">
        <f t="shared" si="1"/>
        <v>7000</v>
      </c>
      <c r="M45" s="24"/>
    </row>
    <row r="46" spans="3:13" ht="21.6" customHeight="1" x14ac:dyDescent="0.15">
      <c r="C46" s="23" t="s">
        <v>547</v>
      </c>
      <c r="D46" s="23" t="s">
        <v>548</v>
      </c>
      <c r="E46" s="23" t="s">
        <v>549</v>
      </c>
      <c r="F46" s="13" t="s">
        <v>137</v>
      </c>
      <c r="G46" s="24"/>
      <c r="H46" s="50">
        <f>TRUNC(단가조사!G46*옵션!$D$11)</f>
        <v>10000</v>
      </c>
      <c r="I46" s="50"/>
      <c r="J46" s="50"/>
      <c r="K46" s="50"/>
      <c r="L46" s="50">
        <f t="shared" si="1"/>
        <v>10000</v>
      </c>
      <c r="M46" s="24"/>
    </row>
    <row r="47" spans="3:13" ht="21.6" customHeight="1" x14ac:dyDescent="0.15">
      <c r="C47" s="23" t="s">
        <v>550</v>
      </c>
      <c r="D47" s="23" t="s">
        <v>156</v>
      </c>
      <c r="E47" s="23" t="s">
        <v>157</v>
      </c>
      <c r="F47" s="13" t="s">
        <v>137</v>
      </c>
      <c r="G47" s="24"/>
      <c r="H47" s="50">
        <f>TRUNC(단가조사!G47*옵션!$D$11)</f>
        <v>0</v>
      </c>
      <c r="I47" s="50"/>
      <c r="J47" s="50"/>
      <c r="K47" s="50"/>
      <c r="L47" s="50">
        <f t="shared" si="1"/>
        <v>0</v>
      </c>
      <c r="M47" s="24" t="s">
        <v>601</v>
      </c>
    </row>
    <row r="48" spans="3:13" ht="21.6" customHeight="1" x14ac:dyDescent="0.15">
      <c r="C48" s="23" t="s">
        <v>551</v>
      </c>
      <c r="D48" s="23" t="s">
        <v>135</v>
      </c>
      <c r="E48" s="23" t="s">
        <v>136</v>
      </c>
      <c r="F48" s="13" t="s">
        <v>137</v>
      </c>
      <c r="G48" s="24"/>
      <c r="H48" s="50">
        <f>TRUNC(단가조사!G48*옵션!$D$11)</f>
        <v>0</v>
      </c>
      <c r="I48" s="50"/>
      <c r="J48" s="50"/>
      <c r="K48" s="50"/>
      <c r="L48" s="50">
        <f t="shared" si="1"/>
        <v>0</v>
      </c>
      <c r="M48" s="24" t="s">
        <v>601</v>
      </c>
    </row>
    <row r="49" spans="3:13" ht="21.6" customHeight="1" x14ac:dyDescent="0.15">
      <c r="C49" s="23" t="s">
        <v>552</v>
      </c>
      <c r="D49" s="23" t="s">
        <v>553</v>
      </c>
      <c r="E49" s="23" t="s">
        <v>554</v>
      </c>
      <c r="F49" s="13" t="s">
        <v>112</v>
      </c>
      <c r="G49" s="24"/>
      <c r="H49" s="50">
        <f>TRUNC(단가조사!G49*옵션!$D$11)</f>
        <v>0</v>
      </c>
      <c r="I49" s="50"/>
      <c r="J49" s="50"/>
      <c r="K49" s="50"/>
      <c r="L49" s="50">
        <f t="shared" si="1"/>
        <v>0</v>
      </c>
      <c r="M49" s="24" t="s">
        <v>601</v>
      </c>
    </row>
    <row r="50" spans="3:13" ht="21.6" customHeight="1" x14ac:dyDescent="0.15">
      <c r="C50" s="23" t="s">
        <v>555</v>
      </c>
      <c r="D50" s="23" t="s">
        <v>556</v>
      </c>
      <c r="E50" s="23" t="s">
        <v>557</v>
      </c>
      <c r="F50" s="13" t="s">
        <v>137</v>
      </c>
      <c r="G50" s="24"/>
      <c r="H50" s="50">
        <f>TRUNC(단가조사!G50*옵션!$D$11)</f>
        <v>3000</v>
      </c>
      <c r="I50" s="50"/>
      <c r="J50" s="50"/>
      <c r="K50" s="50"/>
      <c r="L50" s="50">
        <f t="shared" si="1"/>
        <v>3000</v>
      </c>
      <c r="M50" s="24"/>
    </row>
    <row r="51" spans="3:13" ht="21.6" customHeight="1" x14ac:dyDescent="0.15">
      <c r="C51" s="23" t="s">
        <v>558</v>
      </c>
      <c r="D51" s="23" t="s">
        <v>559</v>
      </c>
      <c r="E51" s="23" t="s">
        <v>560</v>
      </c>
      <c r="F51" s="13" t="s">
        <v>137</v>
      </c>
      <c r="G51" s="24"/>
      <c r="H51" s="50">
        <f>TRUNC(단가조사!G51*옵션!$D$11)</f>
        <v>258000</v>
      </c>
      <c r="I51" s="50"/>
      <c r="J51" s="50"/>
      <c r="K51" s="50"/>
      <c r="L51" s="50">
        <f t="shared" si="1"/>
        <v>258000</v>
      </c>
      <c r="M51" s="24"/>
    </row>
    <row r="52" spans="3:13" ht="21.6" customHeight="1" x14ac:dyDescent="0.15">
      <c r="C52" s="23" t="s">
        <v>561</v>
      </c>
      <c r="D52" s="23" t="s">
        <v>562</v>
      </c>
      <c r="E52" s="23" t="s">
        <v>563</v>
      </c>
      <c r="F52" s="13" t="s">
        <v>137</v>
      </c>
      <c r="G52" s="24"/>
      <c r="H52" s="50">
        <f>TRUNC(단가조사!G52*옵션!$D$11)</f>
        <v>15000</v>
      </c>
      <c r="I52" s="50"/>
      <c r="J52" s="50"/>
      <c r="K52" s="50"/>
      <c r="L52" s="50">
        <f t="shared" si="1"/>
        <v>15000</v>
      </c>
      <c r="M52" s="24"/>
    </row>
    <row r="53" spans="3:13" ht="21.6" customHeight="1" x14ac:dyDescent="0.15">
      <c r="C53" s="23" t="s">
        <v>564</v>
      </c>
      <c r="D53" s="23" t="s">
        <v>565</v>
      </c>
      <c r="E53" s="23" t="s">
        <v>566</v>
      </c>
      <c r="F53" s="13" t="s">
        <v>245</v>
      </c>
      <c r="G53" s="24"/>
      <c r="H53" s="50">
        <f>단가조사!H53</f>
        <v>442</v>
      </c>
      <c r="I53" s="50">
        <f>단가조사!J53</f>
        <v>1354</v>
      </c>
      <c r="J53" s="50">
        <f>단가조사!L53</f>
        <v>537</v>
      </c>
      <c r="K53" s="50"/>
      <c r="L53" s="50">
        <f t="shared" si="1"/>
        <v>2333</v>
      </c>
      <c r="M53" s="24" t="s">
        <v>602</v>
      </c>
    </row>
    <row r="54" spans="3:13" ht="21.6" customHeight="1" x14ac:dyDescent="0.15">
      <c r="C54" s="23" t="s">
        <v>570</v>
      </c>
      <c r="D54" s="23" t="s">
        <v>571</v>
      </c>
      <c r="E54" s="23" t="s">
        <v>566</v>
      </c>
      <c r="F54" s="13" t="s">
        <v>245</v>
      </c>
      <c r="G54" s="24"/>
      <c r="H54" s="50">
        <f>단가조사!H54</f>
        <v>442</v>
      </c>
      <c r="I54" s="50">
        <f>단가조사!J54</f>
        <v>1354</v>
      </c>
      <c r="J54" s="50">
        <f>단가조사!L54</f>
        <v>537</v>
      </c>
      <c r="K54" s="50"/>
      <c r="L54" s="50">
        <f t="shared" si="1"/>
        <v>2333</v>
      </c>
      <c r="M54" s="24" t="s">
        <v>602</v>
      </c>
    </row>
    <row r="55" spans="3:13" ht="21.6" customHeight="1" x14ac:dyDescent="0.15">
      <c r="C55" s="23" t="s">
        <v>572</v>
      </c>
      <c r="D55" s="23" t="s">
        <v>573</v>
      </c>
      <c r="E55" s="23" t="s">
        <v>574</v>
      </c>
      <c r="F55" s="13" t="s">
        <v>575</v>
      </c>
      <c r="G55" s="24"/>
      <c r="H55" s="50">
        <f>단가조사!H55</f>
        <v>319</v>
      </c>
      <c r="I55" s="50">
        <f>단가조사!J55</f>
        <v>830</v>
      </c>
      <c r="J55" s="50">
        <f>단가조사!L55</f>
        <v>397</v>
      </c>
      <c r="K55" s="50"/>
      <c r="L55" s="50">
        <f t="shared" si="1"/>
        <v>1546</v>
      </c>
      <c r="M55" s="24" t="s">
        <v>603</v>
      </c>
    </row>
    <row r="56" spans="3:13" ht="21.6" customHeight="1" x14ac:dyDescent="0.15">
      <c r="C56" s="23" t="s">
        <v>576</v>
      </c>
      <c r="D56" s="23" t="s">
        <v>577</v>
      </c>
      <c r="E56" s="23" t="s">
        <v>578</v>
      </c>
      <c r="F56" s="13" t="s">
        <v>579</v>
      </c>
      <c r="G56" s="24"/>
      <c r="H56" s="50"/>
      <c r="I56" s="50">
        <f>TRUNC(단가조사!G56)</f>
        <v>284880</v>
      </c>
      <c r="J56" s="50"/>
      <c r="K56" s="50"/>
      <c r="L56" s="50">
        <f t="shared" si="1"/>
        <v>284880</v>
      </c>
      <c r="M56" s="24"/>
    </row>
    <row r="57" spans="3:13" ht="21.6" customHeight="1" x14ac:dyDescent="0.15">
      <c r="C57" s="23" t="s">
        <v>580</v>
      </c>
      <c r="D57" s="23" t="s">
        <v>577</v>
      </c>
      <c r="E57" s="23" t="s">
        <v>581</v>
      </c>
      <c r="F57" s="13" t="s">
        <v>579</v>
      </c>
      <c r="G57" s="24"/>
      <c r="H57" s="50"/>
      <c r="I57" s="50">
        <f>TRUNC(단가조사!G57)</f>
        <v>436224</v>
      </c>
      <c r="J57" s="50"/>
      <c r="K57" s="50"/>
      <c r="L57" s="50">
        <f t="shared" si="1"/>
        <v>436224</v>
      </c>
      <c r="M57" s="24"/>
    </row>
    <row r="58" spans="3:13" ht="21.6" customHeight="1" x14ac:dyDescent="0.15">
      <c r="C58" s="23" t="s">
        <v>582</v>
      </c>
      <c r="D58" s="23" t="s">
        <v>577</v>
      </c>
      <c r="E58" s="23" t="s">
        <v>583</v>
      </c>
      <c r="F58" s="13" t="s">
        <v>579</v>
      </c>
      <c r="G58" s="24"/>
      <c r="H58" s="50"/>
      <c r="I58" s="50">
        <f>TRUNC(단가조사!G58)</f>
        <v>315528</v>
      </c>
      <c r="J58" s="50"/>
      <c r="K58" s="50"/>
      <c r="L58" s="50">
        <f t="shared" si="1"/>
        <v>315528</v>
      </c>
      <c r="M58" s="24"/>
    </row>
    <row r="59" spans="3:13" ht="21.6" customHeight="1" x14ac:dyDescent="0.15">
      <c r="C59" s="23" t="s">
        <v>584</v>
      </c>
      <c r="D59" s="23" t="s">
        <v>577</v>
      </c>
      <c r="E59" s="23" t="s">
        <v>585</v>
      </c>
      <c r="F59" s="13" t="s">
        <v>579</v>
      </c>
      <c r="G59" s="24"/>
      <c r="H59" s="50"/>
      <c r="I59" s="50">
        <f>TRUNC(단가조사!G59)</f>
        <v>408942</v>
      </c>
      <c r="J59" s="50"/>
      <c r="K59" s="50"/>
      <c r="L59" s="50">
        <f t="shared" si="1"/>
        <v>408942</v>
      </c>
      <c r="M59" s="24"/>
    </row>
    <row r="60" spans="3:13" ht="21.6" customHeight="1" x14ac:dyDescent="0.15">
      <c r="C60" s="23" t="s">
        <v>586</v>
      </c>
      <c r="D60" s="23" t="s">
        <v>577</v>
      </c>
      <c r="E60" s="23" t="s">
        <v>587</v>
      </c>
      <c r="F60" s="13" t="s">
        <v>579</v>
      </c>
      <c r="G60" s="24"/>
      <c r="H60" s="50"/>
      <c r="I60" s="50">
        <f>TRUNC(단가조사!G60)</f>
        <v>471349</v>
      </c>
      <c r="J60" s="50"/>
      <c r="K60" s="50"/>
      <c r="L60" s="50">
        <f t="shared" si="1"/>
        <v>471349</v>
      </c>
      <c r="M60" s="24"/>
    </row>
    <row r="61" spans="3:13" ht="21.6" customHeight="1" x14ac:dyDescent="0.15">
      <c r="C61" s="23" t="s">
        <v>588</v>
      </c>
      <c r="D61" s="23" t="s">
        <v>577</v>
      </c>
      <c r="E61" s="23" t="s">
        <v>589</v>
      </c>
      <c r="F61" s="13" t="s">
        <v>579</v>
      </c>
      <c r="G61" s="24"/>
      <c r="H61" s="50"/>
      <c r="I61" s="50">
        <f>TRUNC(단가조사!G61)</f>
        <v>172068</v>
      </c>
      <c r="J61" s="50"/>
      <c r="K61" s="50"/>
      <c r="L61" s="50">
        <f t="shared" si="1"/>
        <v>172068</v>
      </c>
      <c r="M61" s="24"/>
    </row>
    <row r="62" spans="3:13" ht="21.6" customHeight="1" x14ac:dyDescent="0.15">
      <c r="C62" s="23" t="s">
        <v>590</v>
      </c>
      <c r="D62" s="23" t="s">
        <v>577</v>
      </c>
      <c r="E62" s="23" t="s">
        <v>591</v>
      </c>
      <c r="F62" s="13" t="s">
        <v>579</v>
      </c>
      <c r="G62" s="24"/>
      <c r="H62" s="50"/>
      <c r="I62" s="50">
        <f>TRUNC(단가조사!G62)</f>
        <v>226122</v>
      </c>
      <c r="J62" s="50"/>
      <c r="K62" s="50"/>
      <c r="L62" s="50">
        <f t="shared" si="1"/>
        <v>226122</v>
      </c>
      <c r="M62" s="24"/>
    </row>
    <row r="63" spans="3:13" ht="21.6" customHeight="1" x14ac:dyDescent="0.15">
      <c r="C63" s="23" t="s">
        <v>592</v>
      </c>
      <c r="D63" s="23" t="s">
        <v>577</v>
      </c>
      <c r="E63" s="23" t="s">
        <v>593</v>
      </c>
      <c r="F63" s="13" t="s">
        <v>579</v>
      </c>
      <c r="G63" s="24"/>
      <c r="H63" s="50"/>
      <c r="I63" s="50">
        <f>TRUNC(단가조사!G63)</f>
        <v>393090</v>
      </c>
      <c r="J63" s="50"/>
      <c r="K63" s="50"/>
      <c r="L63" s="50">
        <f t="shared" si="1"/>
        <v>393090</v>
      </c>
      <c r="M63" s="24"/>
    </row>
    <row r="64" spans="3:13" ht="21.6" customHeight="1" x14ac:dyDescent="0.15">
      <c r="C64" s="23" t="s">
        <v>594</v>
      </c>
      <c r="D64" s="23" t="s">
        <v>577</v>
      </c>
      <c r="E64" s="23" t="s">
        <v>595</v>
      </c>
      <c r="F64" s="13" t="s">
        <v>579</v>
      </c>
      <c r="G64" s="24"/>
      <c r="H64" s="50"/>
      <c r="I64" s="50">
        <f>TRUNC(단가조사!G64)</f>
        <v>446358</v>
      </c>
      <c r="J64" s="50"/>
      <c r="K64" s="50"/>
      <c r="L64" s="50">
        <f t="shared" si="1"/>
        <v>446358</v>
      </c>
      <c r="M64" s="24"/>
    </row>
    <row r="65" spans="3:13" ht="21.6" customHeight="1" x14ac:dyDescent="0.15">
      <c r="C65" s="23" t="s">
        <v>596</v>
      </c>
      <c r="D65" s="23" t="s">
        <v>577</v>
      </c>
      <c r="E65" s="23" t="s">
        <v>597</v>
      </c>
      <c r="F65" s="13" t="s">
        <v>579</v>
      </c>
      <c r="G65" s="24"/>
      <c r="H65" s="50"/>
      <c r="I65" s="50">
        <f>TRUNC(단가조사!G65)</f>
        <v>273676</v>
      </c>
      <c r="J65" s="50"/>
      <c r="K65" s="50"/>
      <c r="L65" s="50">
        <f t="shared" si="1"/>
        <v>273676</v>
      </c>
      <c r="M65" s="24"/>
    </row>
    <row r="66" spans="3:13" ht="21.6" customHeight="1" x14ac:dyDescent="0.15">
      <c r="C66" s="23"/>
      <c r="D66" s="23"/>
      <c r="E66" s="23"/>
      <c r="F66" s="13"/>
      <c r="G66" s="24"/>
      <c r="H66" s="50"/>
      <c r="I66" s="50"/>
      <c r="J66" s="50"/>
      <c r="K66" s="50"/>
      <c r="L66" s="50">
        <f t="shared" si="1"/>
        <v>0</v>
      </c>
      <c r="M66" s="24"/>
    </row>
    <row r="67" spans="3:13" ht="21.6" customHeight="1" x14ac:dyDescent="0.15">
      <c r="C67" s="23"/>
      <c r="D67" s="23"/>
      <c r="E67" s="23"/>
      <c r="F67" s="13"/>
      <c r="G67" s="24"/>
      <c r="H67" s="50"/>
      <c r="I67" s="50"/>
      <c r="J67" s="50"/>
      <c r="K67" s="50"/>
      <c r="L67" s="50">
        <f t="shared" si="1"/>
        <v>0</v>
      </c>
      <c r="M67" s="24"/>
    </row>
    <row r="68" spans="3:13" ht="21.6" customHeight="1" x14ac:dyDescent="0.15">
      <c r="C68" s="23"/>
      <c r="D68" s="23"/>
      <c r="E68" s="23"/>
      <c r="F68" s="13"/>
      <c r="G68" s="24"/>
      <c r="H68" s="50"/>
      <c r="I68" s="50"/>
      <c r="J68" s="50"/>
      <c r="K68" s="50"/>
      <c r="L68" s="50">
        <f t="shared" ref="L68:L81" si="2">SUM(H68,I68,J68)</f>
        <v>0</v>
      </c>
      <c r="M68" s="24"/>
    </row>
    <row r="69" spans="3:13" ht="21.6" customHeight="1" x14ac:dyDescent="0.15">
      <c r="C69" s="23"/>
      <c r="D69" s="23"/>
      <c r="E69" s="23"/>
      <c r="F69" s="13"/>
      <c r="G69" s="24"/>
      <c r="H69" s="50"/>
      <c r="I69" s="50"/>
      <c r="J69" s="50"/>
      <c r="K69" s="50"/>
      <c r="L69" s="50">
        <f t="shared" si="2"/>
        <v>0</v>
      </c>
      <c r="M69" s="24"/>
    </row>
    <row r="70" spans="3:13" ht="21.6" customHeight="1" x14ac:dyDescent="0.15">
      <c r="C70" s="23"/>
      <c r="D70" s="23"/>
      <c r="E70" s="23"/>
      <c r="F70" s="13"/>
      <c r="G70" s="24"/>
      <c r="H70" s="50"/>
      <c r="I70" s="50"/>
      <c r="J70" s="50"/>
      <c r="K70" s="50"/>
      <c r="L70" s="50">
        <f t="shared" si="2"/>
        <v>0</v>
      </c>
      <c r="M70" s="24"/>
    </row>
    <row r="71" spans="3:13" ht="21.6" customHeight="1" x14ac:dyDescent="0.15">
      <c r="C71" s="23"/>
      <c r="D71" s="23"/>
      <c r="E71" s="23"/>
      <c r="F71" s="13"/>
      <c r="G71" s="24"/>
      <c r="H71" s="50"/>
      <c r="I71" s="50"/>
      <c r="J71" s="50"/>
      <c r="K71" s="50"/>
      <c r="L71" s="50">
        <f t="shared" si="2"/>
        <v>0</v>
      </c>
      <c r="M71" s="24"/>
    </row>
    <row r="72" spans="3:13" ht="21.6" customHeight="1" x14ac:dyDescent="0.15">
      <c r="C72" s="23"/>
      <c r="D72" s="23"/>
      <c r="E72" s="23"/>
      <c r="F72" s="13"/>
      <c r="G72" s="24"/>
      <c r="H72" s="50"/>
      <c r="I72" s="50"/>
      <c r="J72" s="50"/>
      <c r="K72" s="50"/>
      <c r="L72" s="50">
        <f t="shared" si="2"/>
        <v>0</v>
      </c>
      <c r="M72" s="24"/>
    </row>
    <row r="73" spans="3:13" ht="21.6" customHeight="1" x14ac:dyDescent="0.15">
      <c r="C73" s="23"/>
      <c r="D73" s="23"/>
      <c r="E73" s="23"/>
      <c r="F73" s="13"/>
      <c r="G73" s="24"/>
      <c r="H73" s="50"/>
      <c r="I73" s="50"/>
      <c r="J73" s="50"/>
      <c r="K73" s="50"/>
      <c r="L73" s="50">
        <f t="shared" si="2"/>
        <v>0</v>
      </c>
      <c r="M73" s="24"/>
    </row>
    <row r="74" spans="3:13" ht="21.6" customHeight="1" x14ac:dyDescent="0.15">
      <c r="C74" s="23"/>
      <c r="D74" s="23"/>
      <c r="E74" s="23"/>
      <c r="F74" s="13"/>
      <c r="G74" s="24"/>
      <c r="H74" s="50"/>
      <c r="I74" s="50"/>
      <c r="J74" s="50"/>
      <c r="K74" s="50"/>
      <c r="L74" s="50">
        <f t="shared" si="2"/>
        <v>0</v>
      </c>
      <c r="M74" s="24"/>
    </row>
    <row r="75" spans="3:13" ht="21.6" customHeight="1" x14ac:dyDescent="0.15">
      <c r="C75" s="23"/>
      <c r="D75" s="23"/>
      <c r="E75" s="23"/>
      <c r="F75" s="13"/>
      <c r="G75" s="24"/>
      <c r="H75" s="50"/>
      <c r="I75" s="50"/>
      <c r="J75" s="50"/>
      <c r="K75" s="50"/>
      <c r="L75" s="50">
        <f t="shared" si="2"/>
        <v>0</v>
      </c>
      <c r="M75" s="24"/>
    </row>
    <row r="76" spans="3:13" ht="21.6" customHeight="1" x14ac:dyDescent="0.15">
      <c r="C76" s="23"/>
      <c r="D76" s="23"/>
      <c r="E76" s="23"/>
      <c r="F76" s="13"/>
      <c r="G76" s="24"/>
      <c r="H76" s="50"/>
      <c r="I76" s="50"/>
      <c r="J76" s="50"/>
      <c r="K76" s="50"/>
      <c r="L76" s="50">
        <f t="shared" si="2"/>
        <v>0</v>
      </c>
      <c r="M76" s="24"/>
    </row>
    <row r="77" spans="3:13" ht="21.6" customHeight="1" x14ac:dyDescent="0.15">
      <c r="C77" s="23"/>
      <c r="D77" s="23"/>
      <c r="E77" s="23"/>
      <c r="F77" s="13"/>
      <c r="G77" s="24"/>
      <c r="H77" s="50"/>
      <c r="I77" s="50"/>
      <c r="J77" s="50"/>
      <c r="K77" s="50"/>
      <c r="L77" s="50">
        <f t="shared" si="2"/>
        <v>0</v>
      </c>
      <c r="M77" s="24"/>
    </row>
    <row r="78" spans="3:13" ht="21.6" customHeight="1" x14ac:dyDescent="0.15">
      <c r="C78" s="23"/>
      <c r="D78" s="23"/>
      <c r="E78" s="23"/>
      <c r="F78" s="13"/>
      <c r="G78" s="24"/>
      <c r="H78" s="50"/>
      <c r="I78" s="50"/>
      <c r="J78" s="50"/>
      <c r="K78" s="50"/>
      <c r="L78" s="50">
        <f t="shared" si="2"/>
        <v>0</v>
      </c>
      <c r="M78" s="24"/>
    </row>
    <row r="79" spans="3:13" ht="21.6" customHeight="1" x14ac:dyDescent="0.15">
      <c r="C79" s="23"/>
      <c r="D79" s="23"/>
      <c r="E79" s="23"/>
      <c r="F79" s="13"/>
      <c r="G79" s="24"/>
      <c r="H79" s="50"/>
      <c r="I79" s="50"/>
      <c r="J79" s="50"/>
      <c r="K79" s="50"/>
      <c r="L79" s="50">
        <f t="shared" si="2"/>
        <v>0</v>
      </c>
      <c r="M79" s="24"/>
    </row>
    <row r="80" spans="3:13" ht="21.6" customHeight="1" x14ac:dyDescent="0.15">
      <c r="C80" s="23"/>
      <c r="D80" s="23"/>
      <c r="E80" s="23"/>
      <c r="F80" s="13"/>
      <c r="G80" s="24"/>
      <c r="H80" s="50"/>
      <c r="I80" s="50"/>
      <c r="J80" s="50"/>
      <c r="K80" s="50"/>
      <c r="L80" s="50">
        <f t="shared" si="2"/>
        <v>0</v>
      </c>
      <c r="M80" s="24"/>
    </row>
    <row r="81" spans="3:13" ht="21.6" customHeight="1" x14ac:dyDescent="0.15">
      <c r="C81" s="23"/>
      <c r="D81" s="23"/>
      <c r="E81" s="23"/>
      <c r="F81" s="13"/>
      <c r="G81" s="24"/>
      <c r="H81" s="50"/>
      <c r="I81" s="50"/>
      <c r="J81" s="50"/>
      <c r="K81" s="50"/>
      <c r="L81" s="50">
        <f t="shared" si="2"/>
        <v>0</v>
      </c>
      <c r="M81" s="24"/>
    </row>
  </sheetData>
  <mergeCells count="12">
    <mergeCell ref="L2:L3"/>
    <mergeCell ref="M2:M3"/>
    <mergeCell ref="C1:M1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M19"/>
  <sheetViews>
    <sheetView zoomScaleNormal="100" zoomScaleSheetLayoutView="85" workbookViewId="0">
      <selection activeCell="E17" sqref="E17"/>
    </sheetView>
  </sheetViews>
  <sheetFormatPr defaultRowHeight="13.5" x14ac:dyDescent="0.1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 x14ac:dyDescent="0.15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 x14ac:dyDescent="0.15">
      <c r="B3" s="128" t="str">
        <f>표지!B3</f>
        <v>양지리 농어촌취약지역 생활여건 개조사업 통신공사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 x14ac:dyDescent="0.15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 x14ac:dyDescent="0.15">
      <c r="B5" s="132"/>
      <c r="C5" s="129"/>
      <c r="D5" s="129"/>
      <c r="E5" s="268" t="s">
        <v>887</v>
      </c>
      <c r="F5" s="268"/>
      <c r="G5" s="268"/>
      <c r="H5" s="268"/>
      <c r="I5" s="268"/>
      <c r="J5" s="268"/>
      <c r="K5" s="129"/>
      <c r="L5" s="129"/>
      <c r="M5" s="129"/>
    </row>
    <row r="6" spans="2:13" s="130" customFormat="1" ht="24" customHeight="1" x14ac:dyDescent="0.15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 x14ac:dyDescent="0.15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 x14ac:dyDescent="0.15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 x14ac:dyDescent="0.15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 x14ac:dyDescent="0.15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 x14ac:dyDescent="0.15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 x14ac:dyDescent="0.15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 x14ac:dyDescent="0.15">
      <c r="B13" s="131"/>
      <c r="C13" s="131"/>
      <c r="D13" s="131"/>
      <c r="E13" s="131"/>
      <c r="F13" s="131"/>
      <c r="G13" s="131"/>
      <c r="H13" s="131" t="s">
        <v>758</v>
      </c>
      <c r="I13" s="131"/>
      <c r="J13" s="131"/>
      <c r="K13" s="131"/>
      <c r="L13" s="131"/>
      <c r="M13" s="131"/>
    </row>
    <row r="14" spans="2:13" s="130" customFormat="1" ht="24" customHeight="1" x14ac:dyDescent="0.15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 x14ac:dyDescent="0.15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 x14ac:dyDescent="0.15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 x14ac:dyDescent="0.15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 x14ac:dyDescent="0.15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 x14ac:dyDescent="0.15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1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E55"/>
  <sheetViews>
    <sheetView topLeftCell="D1" workbookViewId="0">
      <pane ySplit="3" topLeftCell="A4" activePane="bottomLeft" state="frozen"/>
      <selection activeCell="J20" sqref="J20"/>
      <selection pane="bottomLeft" activeCell="D31" sqref="D31"/>
    </sheetView>
  </sheetViews>
  <sheetFormatPr defaultRowHeight="21.95" customHeight="1" x14ac:dyDescent="0.15"/>
  <cols>
    <col min="1" max="1" width="4.6640625" style="70" hidden="1" customWidth="1"/>
    <col min="2" max="2" width="6.5546875" style="86" hidden="1" customWidth="1"/>
    <col min="3" max="3" width="10.77734375" style="86" hidden="1" customWidth="1"/>
    <col min="4" max="5" width="24.33203125" style="86" customWidth="1"/>
    <col min="6" max="6" width="4.5546875" style="70" customWidth="1"/>
    <col min="7" max="7" width="10.109375" style="70" customWidth="1"/>
    <col min="8" max="8" width="9.33203125" style="70" customWidth="1"/>
    <col min="9" max="9" width="10" style="70" customWidth="1"/>
    <col min="10" max="10" width="5.21875" style="70" customWidth="1"/>
    <col min="11" max="11" width="4.77734375" style="86" hidden="1" customWidth="1"/>
    <col min="12" max="12" width="14.109375" style="70" customWidth="1"/>
    <col min="13" max="13" width="7.21875" style="70" customWidth="1"/>
    <col min="14" max="14" width="5.44140625" style="70" customWidth="1"/>
    <col min="15" max="15" width="8.77734375" style="70" customWidth="1"/>
    <col min="16" max="16" width="2.44140625" style="109" hidden="1" customWidth="1"/>
    <col min="17" max="17" width="1.21875" style="109" hidden="1" customWidth="1"/>
    <col min="18" max="18" width="5.109375" style="109" hidden="1" customWidth="1"/>
    <col min="19" max="19" width="9.21875" style="70" customWidth="1"/>
    <col min="20" max="20" width="11.109375" style="70" customWidth="1"/>
    <col min="21" max="29" width="8.88671875" style="70"/>
    <col min="30" max="55" width="11.77734375" style="70" customWidth="1"/>
    <col min="56" max="16384" width="8.88671875" style="70"/>
  </cols>
  <sheetData>
    <row r="1" spans="1:31" ht="21.95" customHeight="1" x14ac:dyDescent="0.15">
      <c r="A1" s="70" t="s">
        <v>125</v>
      </c>
      <c r="B1" s="86" t="s">
        <v>604</v>
      </c>
      <c r="D1" s="394" t="s">
        <v>753</v>
      </c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AA1" s="70" t="s">
        <v>578</v>
      </c>
      <c r="AB1" s="70" t="s">
        <v>583</v>
      </c>
      <c r="AC1" s="70" t="s">
        <v>585</v>
      </c>
      <c r="AD1" s="70" t="s">
        <v>587</v>
      </c>
      <c r="AE1" s="70" t="s">
        <v>591</v>
      </c>
    </row>
    <row r="2" spans="1:31" s="112" customFormat="1" ht="21.95" customHeight="1" x14ac:dyDescent="0.15">
      <c r="A2" s="406" t="s">
        <v>1</v>
      </c>
      <c r="B2" s="391" t="s">
        <v>2</v>
      </c>
      <c r="C2" s="391" t="s">
        <v>18</v>
      </c>
      <c r="D2" s="392" t="s">
        <v>48</v>
      </c>
      <c r="E2" s="392" t="s">
        <v>49</v>
      </c>
      <c r="F2" s="399" t="s">
        <v>5</v>
      </c>
      <c r="G2" s="399" t="s">
        <v>9</v>
      </c>
      <c r="H2" s="399"/>
      <c r="I2" s="399"/>
      <c r="J2" s="399"/>
      <c r="K2" s="392" t="s">
        <v>18</v>
      </c>
      <c r="L2" s="399" t="s">
        <v>58</v>
      </c>
      <c r="M2" s="399"/>
      <c r="N2" s="399"/>
      <c r="O2" s="399"/>
      <c r="P2" s="399" t="s">
        <v>59</v>
      </c>
      <c r="Q2" s="399"/>
      <c r="R2" s="399"/>
      <c r="S2" s="399" t="s">
        <v>60</v>
      </c>
      <c r="T2" s="399" t="s">
        <v>44</v>
      </c>
    </row>
    <row r="3" spans="1:31" s="112" customFormat="1" ht="21.95" customHeight="1" x14ac:dyDescent="0.15">
      <c r="A3" s="406"/>
      <c r="B3" s="391"/>
      <c r="C3" s="391"/>
      <c r="D3" s="393"/>
      <c r="E3" s="393"/>
      <c r="F3" s="400"/>
      <c r="G3" s="89" t="s">
        <v>61</v>
      </c>
      <c r="H3" s="89" t="s">
        <v>62</v>
      </c>
      <c r="I3" s="89" t="s">
        <v>63</v>
      </c>
      <c r="J3" s="89" t="s">
        <v>64</v>
      </c>
      <c r="K3" s="407"/>
      <c r="L3" s="89" t="s">
        <v>3</v>
      </c>
      <c r="M3" s="89" t="s">
        <v>65</v>
      </c>
      <c r="N3" s="89" t="s">
        <v>66</v>
      </c>
      <c r="O3" s="89" t="s">
        <v>67</v>
      </c>
      <c r="P3" s="89" t="s">
        <v>45</v>
      </c>
      <c r="Q3" s="89" t="s">
        <v>68</v>
      </c>
      <c r="R3" s="89" t="s">
        <v>11</v>
      </c>
      <c r="S3" s="400"/>
      <c r="T3" s="400"/>
    </row>
    <row r="4" spans="1:31" ht="21.95" customHeight="1" x14ac:dyDescent="0.15">
      <c r="B4" s="86" t="s">
        <v>126</v>
      </c>
      <c r="D4" s="395" t="s">
        <v>897</v>
      </c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7"/>
    </row>
    <row r="5" spans="1:31" ht="21.95" customHeight="1" x14ac:dyDescent="0.15">
      <c r="B5" s="86" t="s">
        <v>732</v>
      </c>
      <c r="C5" s="86" t="s">
        <v>437</v>
      </c>
      <c r="D5" s="53" t="s">
        <v>173</v>
      </c>
      <c r="E5" s="53" t="s">
        <v>174</v>
      </c>
      <c r="F5" s="101" t="s">
        <v>438</v>
      </c>
      <c r="G5" s="101">
        <f>내역서!G5</f>
        <v>9</v>
      </c>
      <c r="H5" s="101">
        <f t="shared" ref="H5:H19" si="0">IF(I5&lt;&gt;0,G5-I5,"")</f>
        <v>1</v>
      </c>
      <c r="I5" s="101">
        <f>내역서!J5</f>
        <v>8</v>
      </c>
      <c r="J5" s="101">
        <v>10</v>
      </c>
      <c r="K5" s="53" t="s">
        <v>623</v>
      </c>
      <c r="L5" s="101" t="s">
        <v>578</v>
      </c>
      <c r="M5" s="101">
        <v>0.2</v>
      </c>
      <c r="N5" s="101">
        <v>120</v>
      </c>
      <c r="O5" s="101">
        <f t="shared" ref="O5:O29" si="1">IF(I5*M5=0,"",I5*M5*(N5/100))</f>
        <v>1.92</v>
      </c>
      <c r="P5" s="106"/>
      <c r="Q5" s="106"/>
      <c r="R5" s="106"/>
      <c r="S5" s="101" t="s">
        <v>733</v>
      </c>
      <c r="T5" s="101"/>
      <c r="AA5" s="70">
        <f t="shared" ref="AA5:AA14" si="2">O5</f>
        <v>1.92</v>
      </c>
    </row>
    <row r="6" spans="1:31" ht="21.95" customHeight="1" x14ac:dyDescent="0.15">
      <c r="B6" s="86" t="s">
        <v>732</v>
      </c>
      <c r="C6" s="86" t="s">
        <v>441</v>
      </c>
      <c r="D6" s="53" t="s">
        <v>187</v>
      </c>
      <c r="E6" s="53" t="s">
        <v>181</v>
      </c>
      <c r="F6" s="101" t="s">
        <v>438</v>
      </c>
      <c r="G6" s="101">
        <f>내역서!G6</f>
        <v>31</v>
      </c>
      <c r="H6" s="101">
        <f t="shared" si="0"/>
        <v>3</v>
      </c>
      <c r="I6" s="101">
        <f>내역서!J6</f>
        <v>28</v>
      </c>
      <c r="J6" s="101">
        <v>10</v>
      </c>
      <c r="K6" s="53" t="s">
        <v>623</v>
      </c>
      <c r="L6" s="101" t="s">
        <v>578</v>
      </c>
      <c r="M6" s="101">
        <v>0.1</v>
      </c>
      <c r="N6" s="101">
        <v>100</v>
      </c>
      <c r="O6" s="101">
        <f t="shared" si="1"/>
        <v>2.8000000000000003</v>
      </c>
      <c r="P6" s="106"/>
      <c r="Q6" s="106"/>
      <c r="R6" s="106"/>
      <c r="S6" s="101" t="s">
        <v>733</v>
      </c>
      <c r="T6" s="101"/>
      <c r="AA6" s="70">
        <f t="shared" si="2"/>
        <v>2.8000000000000003</v>
      </c>
    </row>
    <row r="7" spans="1:31" ht="21.95" customHeight="1" x14ac:dyDescent="0.15">
      <c r="B7" s="86" t="s">
        <v>732</v>
      </c>
      <c r="C7" s="86" t="s">
        <v>444</v>
      </c>
      <c r="D7" s="53" t="s">
        <v>180</v>
      </c>
      <c r="E7" s="53" t="s">
        <v>224</v>
      </c>
      <c r="F7" s="101" t="s">
        <v>438</v>
      </c>
      <c r="G7" s="101">
        <f>내역서!G7</f>
        <v>22</v>
      </c>
      <c r="H7" s="101">
        <f t="shared" si="0"/>
        <v>1</v>
      </c>
      <c r="I7" s="101">
        <f>내역서!J7</f>
        <v>21</v>
      </c>
      <c r="J7" s="101">
        <v>5</v>
      </c>
      <c r="K7" s="53" t="s">
        <v>623</v>
      </c>
      <c r="L7" s="101" t="s">
        <v>578</v>
      </c>
      <c r="M7" s="101">
        <v>0.05</v>
      </c>
      <c r="N7" s="101">
        <v>70</v>
      </c>
      <c r="O7" s="101">
        <f t="shared" si="1"/>
        <v>0.73499999999999999</v>
      </c>
      <c r="P7" s="106"/>
      <c r="Q7" s="106"/>
      <c r="R7" s="106"/>
      <c r="S7" s="101" t="s">
        <v>733</v>
      </c>
      <c r="T7" s="101"/>
      <c r="AA7" s="70">
        <f t="shared" si="2"/>
        <v>0.73499999999999999</v>
      </c>
    </row>
    <row r="8" spans="1:31" ht="21.95" customHeight="1" x14ac:dyDescent="0.15">
      <c r="B8" s="86" t="s">
        <v>732</v>
      </c>
      <c r="C8" s="86" t="s">
        <v>445</v>
      </c>
      <c r="D8" s="53" t="s">
        <v>180</v>
      </c>
      <c r="E8" s="53" t="s">
        <v>181</v>
      </c>
      <c r="F8" s="101" t="s">
        <v>438</v>
      </c>
      <c r="G8" s="101">
        <f>내역서!G8</f>
        <v>84</v>
      </c>
      <c r="H8" s="101">
        <f t="shared" si="0"/>
        <v>4</v>
      </c>
      <c r="I8" s="101">
        <f>내역서!J8</f>
        <v>80</v>
      </c>
      <c r="J8" s="101">
        <v>5</v>
      </c>
      <c r="K8" s="53" t="s">
        <v>623</v>
      </c>
      <c r="L8" s="101" t="s">
        <v>578</v>
      </c>
      <c r="M8" s="101">
        <v>0.1</v>
      </c>
      <c r="N8" s="101">
        <v>70</v>
      </c>
      <c r="O8" s="101">
        <f t="shared" si="1"/>
        <v>5.6</v>
      </c>
      <c r="P8" s="106"/>
      <c r="Q8" s="106"/>
      <c r="R8" s="106"/>
      <c r="S8" s="101" t="s">
        <v>733</v>
      </c>
      <c r="T8" s="101"/>
      <c r="AA8" s="70">
        <f t="shared" si="2"/>
        <v>5.6</v>
      </c>
    </row>
    <row r="9" spans="1:31" ht="21.95" customHeight="1" x14ac:dyDescent="0.15">
      <c r="B9" s="86" t="s">
        <v>732</v>
      </c>
      <c r="C9" s="86" t="s">
        <v>446</v>
      </c>
      <c r="D9" s="53" t="s">
        <v>263</v>
      </c>
      <c r="E9" s="53" t="s">
        <v>264</v>
      </c>
      <c r="F9" s="101" t="s">
        <v>438</v>
      </c>
      <c r="G9" s="101">
        <f>내역서!G9</f>
        <v>13</v>
      </c>
      <c r="H9" s="101">
        <f t="shared" si="0"/>
        <v>2</v>
      </c>
      <c r="I9" s="101">
        <f>내역서!J9</f>
        <v>11</v>
      </c>
      <c r="J9" s="101">
        <v>10</v>
      </c>
      <c r="K9" s="53" t="s">
        <v>623</v>
      </c>
      <c r="L9" s="101" t="s">
        <v>578</v>
      </c>
      <c r="M9" s="101">
        <v>0.04</v>
      </c>
      <c r="N9" s="101">
        <v>100</v>
      </c>
      <c r="O9" s="101">
        <f t="shared" si="1"/>
        <v>0.44</v>
      </c>
      <c r="P9" s="106"/>
      <c r="Q9" s="106"/>
      <c r="R9" s="106"/>
      <c r="S9" s="101" t="s">
        <v>733</v>
      </c>
      <c r="T9" s="101"/>
      <c r="AA9" s="70">
        <f t="shared" si="2"/>
        <v>0.44</v>
      </c>
    </row>
    <row r="10" spans="1:31" ht="21.95" customHeight="1" x14ac:dyDescent="0.15">
      <c r="B10" s="86" t="s">
        <v>732</v>
      </c>
      <c r="C10" s="86" t="s">
        <v>448</v>
      </c>
      <c r="D10" s="53" t="s">
        <v>263</v>
      </c>
      <c r="E10" s="53" t="s">
        <v>272</v>
      </c>
      <c r="F10" s="101" t="s">
        <v>438</v>
      </c>
      <c r="G10" s="101">
        <f>내역서!G10</f>
        <v>26</v>
      </c>
      <c r="H10" s="101">
        <f t="shared" si="0"/>
        <v>3</v>
      </c>
      <c r="I10" s="101">
        <f>내역서!J10</f>
        <v>23</v>
      </c>
      <c r="J10" s="101">
        <v>10</v>
      </c>
      <c r="K10" s="53" t="s">
        <v>623</v>
      </c>
      <c r="L10" s="101" t="s">
        <v>578</v>
      </c>
      <c r="M10" s="101">
        <v>4.8000000000000001E-2</v>
      </c>
      <c r="N10" s="101">
        <v>100</v>
      </c>
      <c r="O10" s="101">
        <f t="shared" si="1"/>
        <v>1.1040000000000001</v>
      </c>
      <c r="P10" s="106"/>
      <c r="Q10" s="106"/>
      <c r="R10" s="106"/>
      <c r="S10" s="101" t="s">
        <v>733</v>
      </c>
      <c r="T10" s="101"/>
      <c r="AA10" s="70">
        <f t="shared" si="2"/>
        <v>1.1040000000000001</v>
      </c>
    </row>
    <row r="11" spans="1:31" ht="21.95" customHeight="1" x14ac:dyDescent="0.15">
      <c r="B11" s="86" t="s">
        <v>732</v>
      </c>
      <c r="C11" s="86" t="s">
        <v>449</v>
      </c>
      <c r="D11" s="53" t="s">
        <v>199</v>
      </c>
      <c r="E11" s="53" t="s">
        <v>200</v>
      </c>
      <c r="F11" s="101" t="s">
        <v>145</v>
      </c>
      <c r="G11" s="101">
        <f>내역서!G13</f>
        <v>2</v>
      </c>
      <c r="H11" s="101">
        <f t="shared" si="0"/>
        <v>0</v>
      </c>
      <c r="I11" s="101">
        <f>내역서!J13</f>
        <v>2</v>
      </c>
      <c r="J11" s="101"/>
      <c r="K11" s="53" t="s">
        <v>623</v>
      </c>
      <c r="L11" s="101" t="s">
        <v>578</v>
      </c>
      <c r="M11" s="101">
        <v>0.03</v>
      </c>
      <c r="N11" s="101">
        <v>100</v>
      </c>
      <c r="O11" s="101">
        <f t="shared" si="1"/>
        <v>0.06</v>
      </c>
      <c r="P11" s="106"/>
      <c r="Q11" s="106"/>
      <c r="R11" s="106"/>
      <c r="S11" s="101" t="s">
        <v>624</v>
      </c>
      <c r="T11" s="101"/>
      <c r="AA11" s="70">
        <f t="shared" si="2"/>
        <v>0.06</v>
      </c>
    </row>
    <row r="12" spans="1:31" ht="21.95" customHeight="1" x14ac:dyDescent="0.15">
      <c r="B12" s="86" t="s">
        <v>732</v>
      </c>
      <c r="C12" s="86" t="s">
        <v>452</v>
      </c>
      <c r="D12" s="53" t="s">
        <v>283</v>
      </c>
      <c r="E12" s="53" t="s">
        <v>284</v>
      </c>
      <c r="F12" s="101" t="s">
        <v>145</v>
      </c>
      <c r="G12" s="101">
        <f>내역서!G15</f>
        <v>4</v>
      </c>
      <c r="H12" s="101">
        <f t="shared" si="0"/>
        <v>0</v>
      </c>
      <c r="I12" s="101">
        <f>내역서!J15</f>
        <v>4</v>
      </c>
      <c r="J12" s="101"/>
      <c r="K12" s="53" t="s">
        <v>623</v>
      </c>
      <c r="L12" s="101" t="s">
        <v>578</v>
      </c>
      <c r="M12" s="101">
        <v>0.18</v>
      </c>
      <c r="N12" s="101">
        <v>100</v>
      </c>
      <c r="O12" s="101">
        <f t="shared" si="1"/>
        <v>0.72</v>
      </c>
      <c r="P12" s="106"/>
      <c r="Q12" s="106"/>
      <c r="R12" s="106"/>
      <c r="S12" s="101" t="s">
        <v>734</v>
      </c>
      <c r="T12" s="101"/>
      <c r="AA12" s="70">
        <f t="shared" si="2"/>
        <v>0.72</v>
      </c>
    </row>
    <row r="13" spans="1:31" ht="21.95" customHeight="1" x14ac:dyDescent="0.15">
      <c r="B13" s="86" t="s">
        <v>732</v>
      </c>
      <c r="C13" s="86" t="s">
        <v>455</v>
      </c>
      <c r="D13" s="53" t="s">
        <v>283</v>
      </c>
      <c r="E13" s="53" t="s">
        <v>293</v>
      </c>
      <c r="F13" s="101" t="s">
        <v>145</v>
      </c>
      <c r="G13" s="101">
        <f>내역서!G16</f>
        <v>2</v>
      </c>
      <c r="H13" s="101">
        <f t="shared" si="0"/>
        <v>0</v>
      </c>
      <c r="I13" s="101">
        <f>내역서!J16</f>
        <v>2</v>
      </c>
      <c r="J13" s="101"/>
      <c r="K13" s="53" t="s">
        <v>623</v>
      </c>
      <c r="L13" s="101" t="s">
        <v>578</v>
      </c>
      <c r="M13" s="101">
        <v>0.18</v>
      </c>
      <c r="N13" s="101">
        <v>100</v>
      </c>
      <c r="O13" s="101">
        <f t="shared" si="1"/>
        <v>0.36</v>
      </c>
      <c r="P13" s="106"/>
      <c r="Q13" s="106"/>
      <c r="R13" s="106"/>
      <c r="S13" s="101" t="s">
        <v>734</v>
      </c>
      <c r="T13" s="101"/>
      <c r="AA13" s="70">
        <f t="shared" si="2"/>
        <v>0.36</v>
      </c>
    </row>
    <row r="14" spans="1:31" ht="21.95" customHeight="1" x14ac:dyDescent="0.15">
      <c r="B14" s="86" t="s">
        <v>732</v>
      </c>
      <c r="C14" s="86" t="s">
        <v>458</v>
      </c>
      <c r="D14" s="53" t="s">
        <v>210</v>
      </c>
      <c r="E14" s="53" t="s">
        <v>211</v>
      </c>
      <c r="F14" s="101" t="s">
        <v>145</v>
      </c>
      <c r="G14" s="101">
        <f>내역서!G18</f>
        <v>2</v>
      </c>
      <c r="H14" s="101">
        <f t="shared" si="0"/>
        <v>0</v>
      </c>
      <c r="I14" s="101">
        <f>내역서!J18</f>
        <v>2</v>
      </c>
      <c r="J14" s="101"/>
      <c r="K14" s="53" t="s">
        <v>623</v>
      </c>
      <c r="L14" s="101" t="s">
        <v>578</v>
      </c>
      <c r="M14" s="101">
        <v>0.2</v>
      </c>
      <c r="N14" s="101">
        <v>100</v>
      </c>
      <c r="O14" s="101">
        <f t="shared" si="1"/>
        <v>0.4</v>
      </c>
      <c r="P14" s="106"/>
      <c r="Q14" s="106"/>
      <c r="R14" s="106"/>
      <c r="S14" s="101" t="s">
        <v>734</v>
      </c>
      <c r="T14" s="101"/>
      <c r="AA14" s="70">
        <f t="shared" si="2"/>
        <v>0.4</v>
      </c>
    </row>
    <row r="15" spans="1:31" ht="21.95" customHeight="1" x14ac:dyDescent="0.15">
      <c r="B15" s="86" t="s">
        <v>732</v>
      </c>
      <c r="C15" s="86" t="s">
        <v>470</v>
      </c>
      <c r="D15" s="53" t="s">
        <v>227</v>
      </c>
      <c r="E15" s="53" t="s">
        <v>228</v>
      </c>
      <c r="F15" s="101" t="s">
        <v>438</v>
      </c>
      <c r="G15" s="101">
        <f>내역서!G19</f>
        <v>27</v>
      </c>
      <c r="H15" s="101">
        <f t="shared" si="0"/>
        <v>3</v>
      </c>
      <c r="I15" s="101">
        <f>내역서!J19</f>
        <v>24</v>
      </c>
      <c r="J15" s="101">
        <v>10</v>
      </c>
      <c r="K15" s="53" t="s">
        <v>616</v>
      </c>
      <c r="L15" s="101" t="s">
        <v>585</v>
      </c>
      <c r="M15" s="101">
        <v>0.01</v>
      </c>
      <c r="N15" s="101">
        <v>150</v>
      </c>
      <c r="O15" s="101">
        <f t="shared" si="1"/>
        <v>0.36</v>
      </c>
      <c r="P15" s="106"/>
      <c r="Q15" s="106"/>
      <c r="R15" s="106"/>
      <c r="S15" s="101" t="s">
        <v>617</v>
      </c>
      <c r="T15" s="101"/>
      <c r="AC15" s="70">
        <f>O15</f>
        <v>0.36</v>
      </c>
    </row>
    <row r="16" spans="1:31" ht="21.95" customHeight="1" x14ac:dyDescent="0.15">
      <c r="B16" s="86" t="s">
        <v>732</v>
      </c>
      <c r="C16" s="86" t="s">
        <v>510</v>
      </c>
      <c r="D16" s="53" t="s">
        <v>303</v>
      </c>
      <c r="E16" s="53" t="s">
        <v>304</v>
      </c>
      <c r="F16" s="101" t="s">
        <v>438</v>
      </c>
      <c r="G16" s="101">
        <f>내역서!G20</f>
        <v>21</v>
      </c>
      <c r="H16" s="101">
        <f t="shared" si="0"/>
        <v>2</v>
      </c>
      <c r="I16" s="101">
        <f>내역서!J20</f>
        <v>19</v>
      </c>
      <c r="J16" s="101">
        <v>7.5</v>
      </c>
      <c r="K16" s="53" t="s">
        <v>634</v>
      </c>
      <c r="L16" s="101" t="s">
        <v>587</v>
      </c>
      <c r="M16" s="101">
        <v>9.1999999999999998E-3</v>
      </c>
      <c r="N16" s="101">
        <v>100</v>
      </c>
      <c r="O16" s="101">
        <f t="shared" si="1"/>
        <v>0.17480000000000001</v>
      </c>
      <c r="P16" s="106"/>
      <c r="Q16" s="106"/>
      <c r="R16" s="106"/>
      <c r="S16" s="101" t="s">
        <v>635</v>
      </c>
      <c r="T16" s="101"/>
      <c r="AD16" s="70">
        <f>O16</f>
        <v>0.17480000000000001</v>
      </c>
    </row>
    <row r="17" spans="2:31" ht="21.95" customHeight="1" x14ac:dyDescent="0.15">
      <c r="B17" s="86" t="s">
        <v>732</v>
      </c>
      <c r="C17" s="86" t="s">
        <v>510</v>
      </c>
      <c r="D17" s="53"/>
      <c r="E17" s="53"/>
      <c r="F17" s="101"/>
      <c r="G17" s="101">
        <f>내역서!G20</f>
        <v>21</v>
      </c>
      <c r="H17" s="101">
        <f t="shared" si="0"/>
        <v>2</v>
      </c>
      <c r="I17" s="101">
        <f>내역서!J20</f>
        <v>19</v>
      </c>
      <c r="J17" s="101">
        <v>7.5</v>
      </c>
      <c r="K17" s="53" t="s">
        <v>620</v>
      </c>
      <c r="L17" s="101" t="s">
        <v>591</v>
      </c>
      <c r="M17" s="101">
        <v>4.5999999999999999E-3</v>
      </c>
      <c r="N17" s="101">
        <v>100</v>
      </c>
      <c r="O17" s="101">
        <f t="shared" si="1"/>
        <v>8.7400000000000005E-2</v>
      </c>
      <c r="P17" s="106"/>
      <c r="Q17" s="106"/>
      <c r="R17" s="106"/>
      <c r="S17" s="101" t="s">
        <v>635</v>
      </c>
      <c r="T17" s="101"/>
      <c r="AE17" s="70">
        <f>O17</f>
        <v>8.7400000000000005E-2</v>
      </c>
    </row>
    <row r="18" spans="2:31" ht="21.95" customHeight="1" x14ac:dyDescent="0.15">
      <c r="B18" s="86" t="s">
        <v>732</v>
      </c>
      <c r="C18" s="86" t="s">
        <v>511</v>
      </c>
      <c r="D18" s="53" t="s">
        <v>311</v>
      </c>
      <c r="E18" s="53" t="s">
        <v>312</v>
      </c>
      <c r="F18" s="101" t="s">
        <v>145</v>
      </c>
      <c r="G18" s="101">
        <f>내역서!G21</f>
        <v>2</v>
      </c>
      <c r="H18" s="101">
        <f t="shared" si="0"/>
        <v>0</v>
      </c>
      <c r="I18" s="101">
        <f>내역서!J21</f>
        <v>2</v>
      </c>
      <c r="J18" s="101"/>
      <c r="K18" s="53" t="s">
        <v>634</v>
      </c>
      <c r="L18" s="101" t="s">
        <v>587</v>
      </c>
      <c r="M18" s="101">
        <v>1.7999999999999999E-2</v>
      </c>
      <c r="N18" s="101">
        <v>100</v>
      </c>
      <c r="O18" s="101">
        <f t="shared" si="1"/>
        <v>3.5999999999999997E-2</v>
      </c>
      <c r="P18" s="106"/>
      <c r="Q18" s="106"/>
      <c r="R18" s="106"/>
      <c r="S18" s="101" t="s">
        <v>635</v>
      </c>
      <c r="T18" s="101"/>
      <c r="AD18" s="70">
        <f>O18</f>
        <v>3.5999999999999997E-2</v>
      </c>
    </row>
    <row r="19" spans="2:31" ht="21.95" customHeight="1" x14ac:dyDescent="0.15">
      <c r="B19" s="86" t="s">
        <v>732</v>
      </c>
      <c r="C19" s="86" t="s">
        <v>486</v>
      </c>
      <c r="D19" s="53" t="s">
        <v>143</v>
      </c>
      <c r="E19" s="53" t="s">
        <v>288</v>
      </c>
      <c r="F19" s="101" t="s">
        <v>145</v>
      </c>
      <c r="G19" s="101">
        <f>내역서!G22</f>
        <v>4</v>
      </c>
      <c r="H19" s="101">
        <f t="shared" si="0"/>
        <v>0</v>
      </c>
      <c r="I19" s="101">
        <f>내역서!J22</f>
        <v>4</v>
      </c>
      <c r="J19" s="101"/>
      <c r="K19" s="53" t="s">
        <v>623</v>
      </c>
      <c r="L19" s="101" t="s">
        <v>578</v>
      </c>
      <c r="M19" s="101">
        <v>3.3599999999999998E-2</v>
      </c>
      <c r="N19" s="101">
        <v>100</v>
      </c>
      <c r="O19" s="101">
        <f t="shared" si="1"/>
        <v>0.13439999999999999</v>
      </c>
      <c r="P19" s="106"/>
      <c r="Q19" s="106"/>
      <c r="R19" s="106"/>
      <c r="S19" s="101" t="s">
        <v>730</v>
      </c>
      <c r="T19" s="101"/>
      <c r="AA19" s="70">
        <f>O19</f>
        <v>0.13439999999999999</v>
      </c>
    </row>
    <row r="20" spans="2:31" ht="21.95" customHeight="1" x14ac:dyDescent="0.15">
      <c r="B20" s="86" t="s">
        <v>732</v>
      </c>
      <c r="C20" s="86" t="s">
        <v>576</v>
      </c>
      <c r="D20" s="53" t="s">
        <v>577</v>
      </c>
      <c r="E20" s="53" t="s">
        <v>578</v>
      </c>
      <c r="F20" s="101" t="s">
        <v>579</v>
      </c>
      <c r="G20" s="101">
        <f>IF(H20*I20/100 &lt;1, TRUNC(H20*I20/100, 3), TRUNC(H20*I20/100, J20))</f>
        <v>14.27</v>
      </c>
      <c r="H20" s="101">
        <f>(옵션!$B$12*옵션!$B$42)/100</f>
        <v>100</v>
      </c>
      <c r="I20" s="101">
        <f>SUM(AA5:AA19)</f>
        <v>14.273400000000001</v>
      </c>
      <c r="J20" s="101">
        <f>옵션!$C$42</f>
        <v>2</v>
      </c>
      <c r="K20" s="53"/>
      <c r="L20" s="101"/>
      <c r="M20" s="101"/>
      <c r="N20" s="101"/>
      <c r="O20" s="101" t="str">
        <f t="shared" si="1"/>
        <v/>
      </c>
      <c r="P20" s="106"/>
      <c r="Q20" s="106"/>
      <c r="R20" s="106"/>
      <c r="S20" s="101"/>
      <c r="T20" s="101"/>
      <c r="AA20" s="70">
        <f>SUM(AA5:AA19)</f>
        <v>14.273400000000001</v>
      </c>
      <c r="AC20" s="70">
        <f>SUM(AC5:AC19)</f>
        <v>0.36</v>
      </c>
      <c r="AD20" s="70">
        <f>SUM(AD5:AD19)</f>
        <v>0.21080000000000002</v>
      </c>
      <c r="AE20" s="70">
        <f>SUM(AE5:AE19)</f>
        <v>8.7400000000000005E-2</v>
      </c>
    </row>
    <row r="21" spans="2:31" ht="21.95" customHeight="1" x14ac:dyDescent="0.15">
      <c r="B21" s="86" t="s">
        <v>732</v>
      </c>
      <c r="C21" s="86" t="s">
        <v>584</v>
      </c>
      <c r="D21" s="53" t="s">
        <v>577</v>
      </c>
      <c r="E21" s="53" t="s">
        <v>585</v>
      </c>
      <c r="F21" s="101" t="s">
        <v>579</v>
      </c>
      <c r="G21" s="101">
        <f>IF(H21*I21/100 &lt;1, TRUNC(H21*I21/100, 3), TRUNC(H21*I21/100, J21))</f>
        <v>0.36</v>
      </c>
      <c r="H21" s="101">
        <f>(옵션!$B$12*옵션!$B$42)/100</f>
        <v>100</v>
      </c>
      <c r="I21" s="101">
        <f>SUM(AC5:AC19)</f>
        <v>0.36</v>
      </c>
      <c r="J21" s="101">
        <f>옵션!$C$42</f>
        <v>2</v>
      </c>
      <c r="K21" s="53"/>
      <c r="L21" s="101"/>
      <c r="M21" s="101"/>
      <c r="N21" s="101"/>
      <c r="O21" s="101" t="str">
        <f t="shared" si="1"/>
        <v/>
      </c>
      <c r="P21" s="106"/>
      <c r="Q21" s="106"/>
      <c r="R21" s="106"/>
      <c r="S21" s="101"/>
      <c r="T21" s="101"/>
    </row>
    <row r="22" spans="2:31" ht="21.95" customHeight="1" x14ac:dyDescent="0.15">
      <c r="B22" s="86" t="s">
        <v>732</v>
      </c>
      <c r="C22" s="86" t="s">
        <v>586</v>
      </c>
      <c r="D22" s="53" t="s">
        <v>577</v>
      </c>
      <c r="E22" s="53" t="s">
        <v>587</v>
      </c>
      <c r="F22" s="101" t="s">
        <v>579</v>
      </c>
      <c r="G22" s="101">
        <f>IF(H22*I22/100 &lt;1, TRUNC(H22*I22/100, 3), TRUNC(H22*I22/100, J22))</f>
        <v>0.21</v>
      </c>
      <c r="H22" s="101">
        <f>(옵션!$B$12*옵션!$B$42)/100</f>
        <v>100</v>
      </c>
      <c r="I22" s="101">
        <f>SUM(AD5:AD19)</f>
        <v>0.21080000000000002</v>
      </c>
      <c r="J22" s="101">
        <f>옵션!$C$42</f>
        <v>2</v>
      </c>
      <c r="K22" s="53"/>
      <c r="L22" s="101"/>
      <c r="M22" s="101"/>
      <c r="N22" s="101"/>
      <c r="O22" s="101" t="str">
        <f t="shared" si="1"/>
        <v/>
      </c>
      <c r="P22" s="106"/>
      <c r="Q22" s="106"/>
      <c r="R22" s="106"/>
      <c r="S22" s="101"/>
      <c r="T22" s="101"/>
    </row>
    <row r="23" spans="2:31" ht="21.95" customHeight="1" x14ac:dyDescent="0.15">
      <c r="B23" s="86" t="s">
        <v>732</v>
      </c>
      <c r="C23" s="86" t="s">
        <v>590</v>
      </c>
      <c r="D23" s="53" t="s">
        <v>577</v>
      </c>
      <c r="E23" s="53" t="s">
        <v>591</v>
      </c>
      <c r="F23" s="101" t="s">
        <v>579</v>
      </c>
      <c r="G23" s="101">
        <f>IF(H23*I23/100 &lt;1, TRUNC(H23*I23/100, 3), TRUNC(H23*I23/100, J23))</f>
        <v>8.6999999999999994E-2</v>
      </c>
      <c r="H23" s="101">
        <f>(옵션!$B$12*옵션!$B$42)/100</f>
        <v>100</v>
      </c>
      <c r="I23" s="101">
        <f>SUM(AE5:AE19)</f>
        <v>8.7400000000000005E-2</v>
      </c>
      <c r="J23" s="101">
        <f>옵션!$C$42</f>
        <v>2</v>
      </c>
      <c r="K23" s="53"/>
      <c r="L23" s="101"/>
      <c r="M23" s="101"/>
      <c r="N23" s="101"/>
      <c r="O23" s="101" t="str">
        <f t="shared" si="1"/>
        <v/>
      </c>
      <c r="P23" s="106"/>
      <c r="Q23" s="106"/>
      <c r="R23" s="106"/>
      <c r="S23" s="101"/>
      <c r="T23" s="101"/>
    </row>
    <row r="24" spans="2:31" ht="21.95" customHeight="1" x14ac:dyDescent="0.15">
      <c r="D24" s="53"/>
      <c r="E24" s="53"/>
      <c r="F24" s="101"/>
      <c r="G24" s="101"/>
      <c r="H24" s="101" t="str">
        <f t="shared" ref="H24:H29" si="3">IF(I24&lt;&gt;0,G24-I24,"")</f>
        <v/>
      </c>
      <c r="I24" s="101"/>
      <c r="J24" s="101"/>
      <c r="K24" s="53"/>
      <c r="L24" s="101"/>
      <c r="M24" s="101"/>
      <c r="N24" s="101"/>
      <c r="O24" s="101" t="str">
        <f t="shared" si="1"/>
        <v/>
      </c>
      <c r="P24" s="106"/>
      <c r="Q24" s="106"/>
      <c r="R24" s="106"/>
      <c r="S24" s="101"/>
      <c r="T24" s="101"/>
    </row>
    <row r="25" spans="2:31" ht="21.95" customHeight="1" x14ac:dyDescent="0.15">
      <c r="D25" s="53"/>
      <c r="E25" s="53"/>
      <c r="F25" s="101"/>
      <c r="G25" s="101"/>
      <c r="H25" s="101" t="str">
        <f t="shared" si="3"/>
        <v/>
      </c>
      <c r="I25" s="101"/>
      <c r="J25" s="101"/>
      <c r="K25" s="53"/>
      <c r="L25" s="101"/>
      <c r="M25" s="101"/>
      <c r="N25" s="101"/>
      <c r="O25" s="101" t="str">
        <f t="shared" si="1"/>
        <v/>
      </c>
      <c r="P25" s="106"/>
      <c r="Q25" s="106"/>
      <c r="R25" s="106"/>
      <c r="S25" s="101"/>
      <c r="T25" s="101"/>
    </row>
    <row r="26" spans="2:31" ht="21.95" customHeight="1" x14ac:dyDescent="0.15">
      <c r="D26" s="53"/>
      <c r="E26" s="53"/>
      <c r="F26" s="101"/>
      <c r="G26" s="101"/>
      <c r="H26" s="101" t="str">
        <f t="shared" si="3"/>
        <v/>
      </c>
      <c r="I26" s="101"/>
      <c r="J26" s="101"/>
      <c r="K26" s="53"/>
      <c r="L26" s="101"/>
      <c r="M26" s="101"/>
      <c r="N26" s="101"/>
      <c r="O26" s="101" t="str">
        <f t="shared" si="1"/>
        <v/>
      </c>
      <c r="P26" s="106"/>
      <c r="Q26" s="106"/>
      <c r="R26" s="106"/>
      <c r="S26" s="101"/>
      <c r="T26" s="101"/>
    </row>
    <row r="27" spans="2:31" ht="21.95" customHeight="1" x14ac:dyDescent="0.15">
      <c r="D27" s="53"/>
      <c r="E27" s="53"/>
      <c r="F27" s="101"/>
      <c r="G27" s="101"/>
      <c r="H27" s="101" t="str">
        <f t="shared" si="3"/>
        <v/>
      </c>
      <c r="I27" s="101"/>
      <c r="J27" s="101"/>
      <c r="K27" s="53"/>
      <c r="L27" s="101"/>
      <c r="M27" s="101"/>
      <c r="N27" s="101"/>
      <c r="O27" s="101" t="str">
        <f t="shared" si="1"/>
        <v/>
      </c>
      <c r="P27" s="106"/>
      <c r="Q27" s="106"/>
      <c r="R27" s="106"/>
      <c r="S27" s="101"/>
      <c r="T27" s="101"/>
    </row>
    <row r="28" spans="2:31" ht="21.95" customHeight="1" x14ac:dyDescent="0.15">
      <c r="D28" s="53"/>
      <c r="E28" s="53"/>
      <c r="F28" s="101"/>
      <c r="G28" s="101"/>
      <c r="H28" s="101" t="str">
        <f t="shared" si="3"/>
        <v/>
      </c>
      <c r="I28" s="101"/>
      <c r="J28" s="101"/>
      <c r="K28" s="53"/>
      <c r="L28" s="101"/>
      <c r="M28" s="101"/>
      <c r="N28" s="101"/>
      <c r="O28" s="101" t="str">
        <f t="shared" si="1"/>
        <v/>
      </c>
      <c r="P28" s="106"/>
      <c r="Q28" s="106"/>
      <c r="R28" s="106"/>
      <c r="S28" s="101"/>
      <c r="T28" s="101"/>
    </row>
    <row r="29" spans="2:31" ht="21.95" customHeight="1" x14ac:dyDescent="0.15">
      <c r="D29" s="53"/>
      <c r="E29" s="53"/>
      <c r="F29" s="101"/>
      <c r="G29" s="101"/>
      <c r="H29" s="101" t="str">
        <f t="shared" si="3"/>
        <v/>
      </c>
      <c r="I29" s="101"/>
      <c r="J29" s="101"/>
      <c r="K29" s="53"/>
      <c r="L29" s="101"/>
      <c r="M29" s="101"/>
      <c r="N29" s="101"/>
      <c r="O29" s="101" t="str">
        <f t="shared" si="1"/>
        <v/>
      </c>
      <c r="P29" s="106"/>
      <c r="Q29" s="106"/>
      <c r="R29" s="106"/>
      <c r="S29" s="101"/>
      <c r="T29" s="101"/>
    </row>
    <row r="30" spans="2:31" ht="21.95" customHeight="1" x14ac:dyDescent="0.15">
      <c r="B30" s="86" t="s">
        <v>126</v>
      </c>
      <c r="D30" s="395" t="s">
        <v>898</v>
      </c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6"/>
      <c r="T30" s="397"/>
    </row>
    <row r="31" spans="2:31" ht="21.95" customHeight="1" x14ac:dyDescent="0.15">
      <c r="B31" s="86" t="s">
        <v>735</v>
      </c>
      <c r="C31" s="86" t="s">
        <v>437</v>
      </c>
      <c r="D31" s="53" t="s">
        <v>173</v>
      </c>
      <c r="E31" s="53" t="s">
        <v>174</v>
      </c>
      <c r="F31" s="101" t="s">
        <v>438</v>
      </c>
      <c r="G31" s="101">
        <f>내역서!G57</f>
        <v>5</v>
      </c>
      <c r="H31" s="101">
        <f t="shared" ref="H31:H37" si="4">IF(I31&lt;&gt;0,G31-I31,"")</f>
        <v>1</v>
      </c>
      <c r="I31" s="101">
        <f>내역서!J57</f>
        <v>4</v>
      </c>
      <c r="J31" s="101">
        <v>10</v>
      </c>
      <c r="K31" s="53" t="s">
        <v>623</v>
      </c>
      <c r="L31" s="101" t="s">
        <v>578</v>
      </c>
      <c r="M31" s="101">
        <v>0.2</v>
      </c>
      <c r="N31" s="101">
        <v>120</v>
      </c>
      <c r="O31" s="101">
        <f t="shared" ref="O31:O38" si="5">IF(I31*M31=0,"",I31*M31*(N31/100))</f>
        <v>0.96</v>
      </c>
      <c r="P31" s="106"/>
      <c r="Q31" s="106"/>
      <c r="R31" s="106"/>
      <c r="S31" s="101" t="s">
        <v>733</v>
      </c>
      <c r="T31" s="101"/>
      <c r="AA31" s="70">
        <f t="shared" ref="AA31:AA37" si="6">O31</f>
        <v>0.96</v>
      </c>
    </row>
    <row r="32" spans="2:31" ht="21.95" customHeight="1" x14ac:dyDescent="0.15">
      <c r="B32" s="86" t="s">
        <v>735</v>
      </c>
      <c r="C32" s="86" t="s">
        <v>441</v>
      </c>
      <c r="D32" s="53" t="s">
        <v>187</v>
      </c>
      <c r="E32" s="53" t="s">
        <v>181</v>
      </c>
      <c r="F32" s="101" t="s">
        <v>438</v>
      </c>
      <c r="G32" s="101">
        <f>내역서!G58</f>
        <v>16</v>
      </c>
      <c r="H32" s="101">
        <f t="shared" si="4"/>
        <v>2</v>
      </c>
      <c r="I32" s="101">
        <f>내역서!J58</f>
        <v>14</v>
      </c>
      <c r="J32" s="101">
        <v>10</v>
      </c>
      <c r="K32" s="53" t="s">
        <v>623</v>
      </c>
      <c r="L32" s="101" t="s">
        <v>578</v>
      </c>
      <c r="M32" s="101">
        <v>0.1</v>
      </c>
      <c r="N32" s="101">
        <v>100</v>
      </c>
      <c r="O32" s="101">
        <f t="shared" si="5"/>
        <v>1.4000000000000001</v>
      </c>
      <c r="P32" s="106"/>
      <c r="Q32" s="106"/>
      <c r="R32" s="106"/>
      <c r="S32" s="101" t="s">
        <v>733</v>
      </c>
      <c r="T32" s="101"/>
      <c r="AA32" s="70">
        <f t="shared" si="6"/>
        <v>1.4000000000000001</v>
      </c>
    </row>
    <row r="33" spans="2:27" ht="21.95" customHeight="1" x14ac:dyDescent="0.15">
      <c r="B33" s="86" t="s">
        <v>735</v>
      </c>
      <c r="C33" s="86" t="s">
        <v>445</v>
      </c>
      <c r="D33" s="53" t="s">
        <v>180</v>
      </c>
      <c r="E33" s="53" t="s">
        <v>181</v>
      </c>
      <c r="F33" s="101" t="s">
        <v>438</v>
      </c>
      <c r="G33" s="101">
        <f>내역서!G59</f>
        <v>42</v>
      </c>
      <c r="H33" s="101">
        <f t="shared" si="4"/>
        <v>2</v>
      </c>
      <c r="I33" s="101">
        <f>내역서!J59</f>
        <v>40</v>
      </c>
      <c r="J33" s="101">
        <v>5</v>
      </c>
      <c r="K33" s="53" t="s">
        <v>623</v>
      </c>
      <c r="L33" s="101" t="s">
        <v>578</v>
      </c>
      <c r="M33" s="101">
        <v>0.1</v>
      </c>
      <c r="N33" s="101">
        <v>70</v>
      </c>
      <c r="O33" s="101">
        <f t="shared" si="5"/>
        <v>2.8</v>
      </c>
      <c r="P33" s="106"/>
      <c r="Q33" s="106"/>
      <c r="R33" s="106"/>
      <c r="S33" s="101" t="s">
        <v>733</v>
      </c>
      <c r="T33" s="101"/>
      <c r="AA33" s="70">
        <f t="shared" si="6"/>
        <v>2.8</v>
      </c>
    </row>
    <row r="34" spans="2:27" ht="21.95" customHeight="1" x14ac:dyDescent="0.15">
      <c r="B34" s="86" t="s">
        <v>735</v>
      </c>
      <c r="C34" s="86" t="s">
        <v>446</v>
      </c>
      <c r="D34" s="53" t="s">
        <v>263</v>
      </c>
      <c r="E34" s="53" t="s">
        <v>264</v>
      </c>
      <c r="F34" s="101" t="s">
        <v>438</v>
      </c>
      <c r="G34" s="101">
        <f>내역서!G60</f>
        <v>17</v>
      </c>
      <c r="H34" s="101">
        <f t="shared" si="4"/>
        <v>2</v>
      </c>
      <c r="I34" s="101">
        <f>내역서!J60</f>
        <v>15</v>
      </c>
      <c r="J34" s="101">
        <v>10</v>
      </c>
      <c r="K34" s="53" t="s">
        <v>623</v>
      </c>
      <c r="L34" s="101" t="s">
        <v>578</v>
      </c>
      <c r="M34" s="101">
        <v>0.04</v>
      </c>
      <c r="N34" s="101">
        <v>100</v>
      </c>
      <c r="O34" s="101">
        <f t="shared" si="5"/>
        <v>0.6</v>
      </c>
      <c r="P34" s="106"/>
      <c r="Q34" s="106"/>
      <c r="R34" s="106"/>
      <c r="S34" s="101" t="s">
        <v>733</v>
      </c>
      <c r="T34" s="101"/>
      <c r="AA34" s="70">
        <f t="shared" si="6"/>
        <v>0.6</v>
      </c>
    </row>
    <row r="35" spans="2:27" ht="21.95" customHeight="1" x14ac:dyDescent="0.15">
      <c r="B35" s="86" t="s">
        <v>735</v>
      </c>
      <c r="C35" s="86" t="s">
        <v>449</v>
      </c>
      <c r="D35" s="53" t="s">
        <v>199</v>
      </c>
      <c r="E35" s="53" t="s">
        <v>200</v>
      </c>
      <c r="F35" s="101" t="s">
        <v>145</v>
      </c>
      <c r="G35" s="101">
        <f>내역서!G63</f>
        <v>1</v>
      </c>
      <c r="H35" s="101">
        <f t="shared" si="4"/>
        <v>0</v>
      </c>
      <c r="I35" s="101">
        <f>내역서!J63</f>
        <v>1</v>
      </c>
      <c r="J35" s="101"/>
      <c r="K35" s="53" t="s">
        <v>623</v>
      </c>
      <c r="L35" s="101" t="s">
        <v>578</v>
      </c>
      <c r="M35" s="101">
        <v>0.03</v>
      </c>
      <c r="N35" s="101">
        <v>100</v>
      </c>
      <c r="O35" s="101">
        <f t="shared" si="5"/>
        <v>0.03</v>
      </c>
      <c r="P35" s="106"/>
      <c r="Q35" s="106"/>
      <c r="R35" s="106"/>
      <c r="S35" s="101" t="s">
        <v>624</v>
      </c>
      <c r="T35" s="101"/>
      <c r="AA35" s="70">
        <f t="shared" si="6"/>
        <v>0.03</v>
      </c>
    </row>
    <row r="36" spans="2:27" ht="21.95" customHeight="1" x14ac:dyDescent="0.15">
      <c r="B36" s="86" t="s">
        <v>735</v>
      </c>
      <c r="C36" s="86" t="s">
        <v>452</v>
      </c>
      <c r="D36" s="53" t="s">
        <v>283</v>
      </c>
      <c r="E36" s="53" t="s">
        <v>284</v>
      </c>
      <c r="F36" s="101" t="s">
        <v>145</v>
      </c>
      <c r="G36" s="101">
        <f>내역서!G65</f>
        <v>2</v>
      </c>
      <c r="H36" s="101">
        <f t="shared" si="4"/>
        <v>0</v>
      </c>
      <c r="I36" s="101">
        <f>내역서!J65</f>
        <v>2</v>
      </c>
      <c r="J36" s="101"/>
      <c r="K36" s="53" t="s">
        <v>623</v>
      </c>
      <c r="L36" s="101" t="s">
        <v>578</v>
      </c>
      <c r="M36" s="101">
        <v>0.18</v>
      </c>
      <c r="N36" s="101">
        <v>100</v>
      </c>
      <c r="O36" s="101">
        <f t="shared" si="5"/>
        <v>0.36</v>
      </c>
      <c r="P36" s="106"/>
      <c r="Q36" s="106"/>
      <c r="R36" s="106"/>
      <c r="S36" s="101" t="s">
        <v>734</v>
      </c>
      <c r="T36" s="101"/>
      <c r="AA36" s="70">
        <f t="shared" si="6"/>
        <v>0.36</v>
      </c>
    </row>
    <row r="37" spans="2:27" ht="21.95" customHeight="1" x14ac:dyDescent="0.15">
      <c r="B37" s="86" t="s">
        <v>735</v>
      </c>
      <c r="C37" s="86" t="s">
        <v>487</v>
      </c>
      <c r="D37" s="53" t="s">
        <v>147</v>
      </c>
      <c r="E37" s="53" t="s">
        <v>336</v>
      </c>
      <c r="F37" s="101" t="s">
        <v>145</v>
      </c>
      <c r="G37" s="101">
        <f>내역서!G66</f>
        <v>2</v>
      </c>
      <c r="H37" s="101">
        <f t="shared" si="4"/>
        <v>0</v>
      </c>
      <c r="I37" s="101">
        <f>내역서!J66</f>
        <v>2</v>
      </c>
      <c r="J37" s="101"/>
      <c r="K37" s="53" t="s">
        <v>623</v>
      </c>
      <c r="L37" s="101" t="s">
        <v>578</v>
      </c>
      <c r="M37" s="101">
        <v>7.0000000000000007E-2</v>
      </c>
      <c r="N37" s="101">
        <v>100</v>
      </c>
      <c r="O37" s="101">
        <f t="shared" si="5"/>
        <v>0.14000000000000001</v>
      </c>
      <c r="P37" s="106"/>
      <c r="Q37" s="106"/>
      <c r="R37" s="106"/>
      <c r="S37" s="101" t="s">
        <v>731</v>
      </c>
      <c r="T37" s="101"/>
      <c r="AA37" s="70">
        <f t="shared" si="6"/>
        <v>0.14000000000000001</v>
      </c>
    </row>
    <row r="38" spans="2:27" ht="21.95" customHeight="1" x14ac:dyDescent="0.15">
      <c r="B38" s="86" t="s">
        <v>735</v>
      </c>
      <c r="C38" s="86" t="s">
        <v>576</v>
      </c>
      <c r="D38" s="53" t="s">
        <v>577</v>
      </c>
      <c r="E38" s="53" t="s">
        <v>578</v>
      </c>
      <c r="F38" s="101" t="s">
        <v>579</v>
      </c>
      <c r="G38" s="101">
        <f>IF(H38*I38/100 &lt;1, TRUNC(H38*I38/100, 3), TRUNC(H38*I38/100, J38))</f>
        <v>6.29</v>
      </c>
      <c r="H38" s="101">
        <f>(옵션!$B$12*옵션!$B$43)/100</f>
        <v>100</v>
      </c>
      <c r="I38" s="101">
        <f>SUM(AA31:AA37)</f>
        <v>6.29</v>
      </c>
      <c r="J38" s="101">
        <f>옵션!$C$43</f>
        <v>2</v>
      </c>
      <c r="K38" s="53"/>
      <c r="L38" s="101"/>
      <c r="M38" s="101"/>
      <c r="N38" s="101"/>
      <c r="O38" s="101" t="str">
        <f t="shared" si="5"/>
        <v/>
      </c>
      <c r="P38" s="106"/>
      <c r="Q38" s="106"/>
      <c r="R38" s="106"/>
      <c r="S38" s="101"/>
      <c r="T38" s="101"/>
      <c r="AA38" s="70">
        <f>SUM(AA31:AA37)</f>
        <v>6.29</v>
      </c>
    </row>
    <row r="39" spans="2:27" ht="21.95" customHeight="1" x14ac:dyDescent="0.15">
      <c r="D39" s="53"/>
      <c r="E39" s="53"/>
      <c r="F39" s="101"/>
      <c r="G39" s="101"/>
      <c r="H39" s="101"/>
      <c r="I39" s="101"/>
      <c r="J39" s="101"/>
      <c r="K39" s="53"/>
      <c r="L39" s="101"/>
      <c r="M39" s="101"/>
      <c r="N39" s="101"/>
      <c r="O39" s="101"/>
      <c r="P39" s="106"/>
      <c r="Q39" s="106"/>
      <c r="R39" s="106"/>
      <c r="S39" s="101"/>
      <c r="T39" s="101"/>
    </row>
    <row r="40" spans="2:27" ht="21.95" customHeight="1" x14ac:dyDescent="0.15">
      <c r="D40" s="53"/>
      <c r="E40" s="53"/>
      <c r="F40" s="101"/>
      <c r="G40" s="101"/>
      <c r="H40" s="101"/>
      <c r="I40" s="101"/>
      <c r="J40" s="101"/>
      <c r="K40" s="53"/>
      <c r="L40" s="101"/>
      <c r="M40" s="101"/>
      <c r="N40" s="101"/>
      <c r="O40" s="101"/>
      <c r="P40" s="106"/>
      <c r="Q40" s="106"/>
      <c r="R40" s="106"/>
      <c r="S40" s="101"/>
      <c r="T40" s="101"/>
    </row>
    <row r="41" spans="2:27" ht="21.95" customHeight="1" x14ac:dyDescent="0.15">
      <c r="D41" s="53"/>
      <c r="E41" s="53"/>
      <c r="F41" s="101"/>
      <c r="G41" s="101"/>
      <c r="H41" s="101"/>
      <c r="I41" s="101"/>
      <c r="J41" s="101"/>
      <c r="K41" s="53"/>
      <c r="L41" s="101"/>
      <c r="M41" s="101"/>
      <c r="N41" s="101"/>
      <c r="O41" s="101"/>
      <c r="P41" s="106"/>
      <c r="Q41" s="106"/>
      <c r="R41" s="106"/>
      <c r="S41" s="101"/>
      <c r="T41" s="101"/>
    </row>
    <row r="42" spans="2:27" ht="21.95" customHeight="1" x14ac:dyDescent="0.15">
      <c r="D42" s="53"/>
      <c r="E42" s="53"/>
      <c r="F42" s="101"/>
      <c r="G42" s="101"/>
      <c r="H42" s="101"/>
      <c r="I42" s="101"/>
      <c r="J42" s="101"/>
      <c r="K42" s="53"/>
      <c r="L42" s="101"/>
      <c r="M42" s="101"/>
      <c r="N42" s="101"/>
      <c r="O42" s="101"/>
      <c r="P42" s="106"/>
      <c r="Q42" s="106"/>
      <c r="R42" s="106"/>
      <c r="S42" s="101"/>
      <c r="T42" s="101"/>
    </row>
    <row r="43" spans="2:27" ht="21.95" customHeight="1" x14ac:dyDescent="0.15">
      <c r="D43" s="53"/>
      <c r="E43" s="53"/>
      <c r="F43" s="101"/>
      <c r="G43" s="101"/>
      <c r="H43" s="101"/>
      <c r="I43" s="101"/>
      <c r="J43" s="101"/>
      <c r="K43" s="53"/>
      <c r="L43" s="101"/>
      <c r="M43" s="101"/>
      <c r="N43" s="101"/>
      <c r="O43" s="101"/>
      <c r="P43" s="106"/>
      <c r="Q43" s="106"/>
      <c r="R43" s="106"/>
      <c r="S43" s="101"/>
      <c r="T43" s="101"/>
    </row>
    <row r="44" spans="2:27" ht="21.95" customHeight="1" x14ac:dyDescent="0.15">
      <c r="D44" s="53"/>
      <c r="E44" s="53"/>
      <c r="F44" s="101"/>
      <c r="G44" s="101"/>
      <c r="H44" s="101"/>
      <c r="I44" s="101"/>
      <c r="J44" s="101"/>
      <c r="K44" s="53"/>
      <c r="L44" s="101"/>
      <c r="M44" s="101"/>
      <c r="N44" s="101"/>
      <c r="O44" s="101"/>
      <c r="P44" s="106"/>
      <c r="Q44" s="106"/>
      <c r="R44" s="106"/>
      <c r="S44" s="101"/>
      <c r="T44" s="101"/>
    </row>
    <row r="45" spans="2:27" ht="21.95" customHeight="1" x14ac:dyDescent="0.15">
      <c r="D45" s="53"/>
      <c r="E45" s="53"/>
      <c r="F45" s="101"/>
      <c r="G45" s="101"/>
      <c r="H45" s="101"/>
      <c r="I45" s="101"/>
      <c r="J45" s="101"/>
      <c r="K45" s="53"/>
      <c r="L45" s="101"/>
      <c r="M45" s="101"/>
      <c r="N45" s="101"/>
      <c r="O45" s="101"/>
      <c r="P45" s="106"/>
      <c r="Q45" s="106"/>
      <c r="R45" s="106"/>
      <c r="S45" s="101"/>
      <c r="T45" s="101"/>
    </row>
    <row r="46" spans="2:27" ht="21.95" customHeight="1" x14ac:dyDescent="0.15">
      <c r="D46" s="53"/>
      <c r="E46" s="53"/>
      <c r="F46" s="101"/>
      <c r="G46" s="101"/>
      <c r="H46" s="101"/>
      <c r="I46" s="101"/>
      <c r="J46" s="101"/>
      <c r="K46" s="53"/>
      <c r="L46" s="101"/>
      <c r="M46" s="101"/>
      <c r="N46" s="101"/>
      <c r="O46" s="101"/>
      <c r="P46" s="106"/>
      <c r="Q46" s="106"/>
      <c r="R46" s="106"/>
      <c r="S46" s="101"/>
      <c r="T46" s="101"/>
    </row>
    <row r="47" spans="2:27" ht="21.95" customHeight="1" x14ac:dyDescent="0.15">
      <c r="D47" s="53"/>
      <c r="E47" s="53"/>
      <c r="F47" s="101"/>
      <c r="G47" s="101"/>
      <c r="H47" s="101"/>
      <c r="I47" s="101"/>
      <c r="J47" s="101"/>
      <c r="K47" s="53"/>
      <c r="L47" s="101"/>
      <c r="M47" s="101"/>
      <c r="N47" s="101"/>
      <c r="O47" s="101"/>
      <c r="P47" s="106"/>
      <c r="Q47" s="106"/>
      <c r="R47" s="106"/>
      <c r="S47" s="101"/>
      <c r="T47" s="101"/>
    </row>
    <row r="48" spans="2:27" ht="21.95" customHeight="1" x14ac:dyDescent="0.15">
      <c r="D48" s="53"/>
      <c r="E48" s="53"/>
      <c r="F48" s="101"/>
      <c r="G48" s="101"/>
      <c r="H48" s="101"/>
      <c r="I48" s="101"/>
      <c r="J48" s="101"/>
      <c r="K48" s="53"/>
      <c r="L48" s="101"/>
      <c r="M48" s="101"/>
      <c r="N48" s="101"/>
      <c r="O48" s="101"/>
      <c r="P48" s="106"/>
      <c r="Q48" s="106"/>
      <c r="R48" s="106"/>
      <c r="S48" s="101"/>
      <c r="T48" s="101"/>
    </row>
    <row r="49" spans="4:20" ht="21.95" customHeight="1" x14ac:dyDescent="0.15">
      <c r="D49" s="53"/>
      <c r="E49" s="53"/>
      <c r="F49" s="101"/>
      <c r="G49" s="101"/>
      <c r="H49" s="101"/>
      <c r="I49" s="101"/>
      <c r="J49" s="101"/>
      <c r="K49" s="53"/>
      <c r="L49" s="101"/>
      <c r="M49" s="101"/>
      <c r="N49" s="101"/>
      <c r="O49" s="101"/>
      <c r="P49" s="106"/>
      <c r="Q49" s="106"/>
      <c r="R49" s="106"/>
      <c r="S49" s="101"/>
      <c r="T49" s="101"/>
    </row>
    <row r="50" spans="4:20" ht="21.95" customHeight="1" x14ac:dyDescent="0.15">
      <c r="D50" s="53"/>
      <c r="E50" s="53"/>
      <c r="F50" s="101"/>
      <c r="G50" s="101"/>
      <c r="H50" s="101"/>
      <c r="I50" s="101"/>
      <c r="J50" s="101"/>
      <c r="K50" s="53"/>
      <c r="L50" s="101"/>
      <c r="M50" s="101"/>
      <c r="N50" s="101"/>
      <c r="O50" s="101"/>
      <c r="P50" s="106"/>
      <c r="Q50" s="106"/>
      <c r="R50" s="106"/>
      <c r="S50" s="101"/>
      <c r="T50" s="101"/>
    </row>
    <row r="51" spans="4:20" ht="21.95" customHeight="1" x14ac:dyDescent="0.15">
      <c r="D51" s="53"/>
      <c r="E51" s="53"/>
      <c r="F51" s="101"/>
      <c r="G51" s="101"/>
      <c r="H51" s="101"/>
      <c r="I51" s="101"/>
      <c r="J51" s="101"/>
      <c r="K51" s="53"/>
      <c r="L51" s="101"/>
      <c r="M51" s="101"/>
      <c r="N51" s="101"/>
      <c r="O51" s="101"/>
      <c r="P51" s="106"/>
      <c r="Q51" s="106"/>
      <c r="R51" s="106"/>
      <c r="S51" s="101"/>
      <c r="T51" s="101"/>
    </row>
    <row r="52" spans="4:20" ht="21.95" customHeight="1" x14ac:dyDescent="0.15">
      <c r="D52" s="53"/>
      <c r="E52" s="53"/>
      <c r="F52" s="101"/>
      <c r="G52" s="101"/>
      <c r="H52" s="101"/>
      <c r="I52" s="101"/>
      <c r="J52" s="101"/>
      <c r="K52" s="53"/>
      <c r="L52" s="101"/>
      <c r="M52" s="101"/>
      <c r="N52" s="101"/>
      <c r="O52" s="101"/>
      <c r="P52" s="106"/>
      <c r="Q52" s="106"/>
      <c r="R52" s="106"/>
      <c r="S52" s="101"/>
      <c r="T52" s="101"/>
    </row>
    <row r="53" spans="4:20" ht="21.95" customHeight="1" x14ac:dyDescent="0.15">
      <c r="D53" s="53"/>
      <c r="E53" s="53"/>
      <c r="F53" s="101"/>
      <c r="G53" s="101"/>
      <c r="H53" s="101"/>
      <c r="I53" s="101"/>
      <c r="J53" s="101"/>
      <c r="K53" s="53"/>
      <c r="L53" s="101"/>
      <c r="M53" s="101"/>
      <c r="N53" s="101"/>
      <c r="O53" s="101"/>
      <c r="P53" s="106"/>
      <c r="Q53" s="106"/>
      <c r="R53" s="106"/>
      <c r="S53" s="101"/>
      <c r="T53" s="101"/>
    </row>
    <row r="54" spans="4:20" ht="21.95" customHeight="1" x14ac:dyDescent="0.15">
      <c r="D54" s="53"/>
      <c r="E54" s="53"/>
      <c r="F54" s="101"/>
      <c r="G54" s="101"/>
      <c r="H54" s="101"/>
      <c r="I54" s="101"/>
      <c r="J54" s="101"/>
      <c r="K54" s="53"/>
      <c r="L54" s="101"/>
      <c r="M54" s="101"/>
      <c r="N54" s="101"/>
      <c r="O54" s="101"/>
      <c r="P54" s="106"/>
      <c r="Q54" s="106"/>
      <c r="R54" s="106"/>
      <c r="S54" s="101"/>
      <c r="T54" s="101"/>
    </row>
    <row r="55" spans="4:20" ht="21.95" customHeight="1" x14ac:dyDescent="0.15">
      <c r="D55" s="53"/>
      <c r="E55" s="53"/>
      <c r="F55" s="101"/>
      <c r="G55" s="101"/>
      <c r="H55" s="101"/>
      <c r="I55" s="101"/>
      <c r="J55" s="101"/>
      <c r="K55" s="53"/>
      <c r="L55" s="101"/>
      <c r="M55" s="101"/>
      <c r="N55" s="101"/>
      <c r="O55" s="101"/>
      <c r="P55" s="106"/>
      <c r="Q55" s="106"/>
      <c r="R55" s="106"/>
      <c r="S55" s="101"/>
      <c r="T55" s="101"/>
    </row>
  </sheetData>
  <mergeCells count="15">
    <mergeCell ref="D1:T1"/>
    <mergeCell ref="A2:A3"/>
    <mergeCell ref="B2:B3"/>
    <mergeCell ref="C2:C3"/>
    <mergeCell ref="D2:D3"/>
    <mergeCell ref="E2:E3"/>
    <mergeCell ref="F2:F3"/>
    <mergeCell ref="G2:J2"/>
    <mergeCell ref="K2:K3"/>
    <mergeCell ref="L2:O2"/>
    <mergeCell ref="D4:T4"/>
    <mergeCell ref="D30:T30"/>
    <mergeCell ref="P2:R2"/>
    <mergeCell ref="S2:S3"/>
    <mergeCell ref="T2:T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M19"/>
  <sheetViews>
    <sheetView zoomScaleNormal="100" zoomScaleSheetLayoutView="85" workbookViewId="0">
      <selection activeCell="E17" sqref="E17"/>
    </sheetView>
  </sheetViews>
  <sheetFormatPr defaultRowHeight="13.5" x14ac:dyDescent="0.1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 x14ac:dyDescent="0.15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 x14ac:dyDescent="0.15">
      <c r="B3" s="128" t="str">
        <f>표지!B3</f>
        <v>양지리 농어촌취약지역 생활여건 개조사업 통신공사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 x14ac:dyDescent="0.15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 x14ac:dyDescent="0.15">
      <c r="B5" s="132"/>
      <c r="C5" s="129"/>
      <c r="D5" s="129"/>
      <c r="E5" s="268" t="s">
        <v>888</v>
      </c>
      <c r="F5" s="268"/>
      <c r="G5" s="268"/>
      <c r="H5" s="268"/>
      <c r="I5" s="268"/>
      <c r="J5" s="268"/>
      <c r="K5" s="129"/>
      <c r="L5" s="129"/>
      <c r="M5" s="129"/>
    </row>
    <row r="6" spans="2:13" s="130" customFormat="1" ht="24" customHeight="1" x14ac:dyDescent="0.15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 x14ac:dyDescent="0.15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 x14ac:dyDescent="0.15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 x14ac:dyDescent="0.15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 x14ac:dyDescent="0.15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 x14ac:dyDescent="0.15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 x14ac:dyDescent="0.15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 x14ac:dyDescent="0.15">
      <c r="B13" s="131"/>
      <c r="C13" s="131"/>
      <c r="D13" s="131"/>
      <c r="E13" s="131"/>
      <c r="F13" s="131"/>
      <c r="G13" s="131"/>
      <c r="H13" s="131" t="s">
        <v>758</v>
      </c>
      <c r="I13" s="131"/>
      <c r="J13" s="131"/>
      <c r="K13" s="131"/>
      <c r="L13" s="131"/>
      <c r="M13" s="131"/>
    </row>
    <row r="14" spans="2:13" s="130" customFormat="1" ht="24" customHeight="1" x14ac:dyDescent="0.15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 x14ac:dyDescent="0.15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 x14ac:dyDescent="0.15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 x14ac:dyDescent="0.15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 x14ac:dyDescent="0.15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 x14ac:dyDescent="0.15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1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93"/>
  <sheetViews>
    <sheetView topLeftCell="D1" zoomScaleNormal="100" workbookViewId="0">
      <pane ySplit="3" topLeftCell="A4" activePane="bottomLeft" state="frozen"/>
      <selection activeCell="J20" sqref="J20"/>
      <selection pane="bottomLeft" activeCell="J10" sqref="J10"/>
    </sheetView>
  </sheetViews>
  <sheetFormatPr defaultRowHeight="18.95" customHeight="1" x14ac:dyDescent="0.15"/>
  <cols>
    <col min="1" max="1" width="6.21875" style="86" hidden="1" customWidth="1"/>
    <col min="2" max="2" width="10.33203125" style="86" hidden="1" customWidth="1"/>
    <col min="3" max="3" width="15.44140625" style="86" hidden="1" customWidth="1"/>
    <col min="4" max="5" width="22.77734375" style="86" customWidth="1"/>
    <col min="6" max="6" width="4.5546875" style="84" customWidth="1"/>
    <col min="7" max="7" width="11.109375" style="109" customWidth="1"/>
    <col min="8" max="8" width="9.88671875" style="110" customWidth="1"/>
    <col min="9" max="9" width="11.21875" style="69" hidden="1" customWidth="1"/>
    <col min="10" max="10" width="9.88671875" style="110" customWidth="1"/>
    <col min="11" max="11" width="5.44140625" style="111" customWidth="1"/>
    <col min="12" max="12" width="9.88671875" style="110" customWidth="1"/>
    <col min="13" max="13" width="5.44140625" style="111" customWidth="1"/>
    <col min="14" max="14" width="9.88671875" style="110" customWidth="1"/>
    <col min="15" max="15" width="5.44140625" style="111" customWidth="1"/>
    <col min="16" max="16" width="9.88671875" style="110" customWidth="1"/>
    <col min="17" max="17" width="5.44140625" style="111" customWidth="1"/>
    <col min="18" max="18" width="3" style="110" hidden="1" customWidth="1"/>
    <col min="19" max="19" width="4.88671875" style="111" hidden="1" customWidth="1"/>
    <col min="20" max="20" width="10.77734375" style="86" customWidth="1"/>
    <col min="21" max="16384" width="8.88671875" style="70"/>
  </cols>
  <sheetData>
    <row r="1" spans="1:20" ht="18.95" customHeight="1" x14ac:dyDescent="0.15">
      <c r="A1" s="86" t="s">
        <v>125</v>
      </c>
      <c r="B1" s="86" t="s">
        <v>599</v>
      </c>
      <c r="D1" s="412" t="s">
        <v>754</v>
      </c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</row>
    <row r="2" spans="1:20" ht="18.95" customHeight="1" x14ac:dyDescent="0.15">
      <c r="A2" s="391" t="s">
        <v>1</v>
      </c>
      <c r="B2" s="391" t="s">
        <v>2</v>
      </c>
      <c r="C2" s="391" t="s">
        <v>18</v>
      </c>
      <c r="D2" s="392" t="s">
        <v>48</v>
      </c>
      <c r="E2" s="392" t="s">
        <v>49</v>
      </c>
      <c r="F2" s="392" t="s">
        <v>5</v>
      </c>
      <c r="G2" s="401" t="s">
        <v>71</v>
      </c>
      <c r="H2" s="104" t="s">
        <v>72</v>
      </c>
      <c r="I2" s="104"/>
      <c r="J2" s="392" t="s">
        <v>73</v>
      </c>
      <c r="K2" s="392"/>
      <c r="L2" s="392" t="s">
        <v>74</v>
      </c>
      <c r="M2" s="392"/>
      <c r="N2" s="392" t="s">
        <v>598</v>
      </c>
      <c r="O2" s="392"/>
      <c r="P2" s="392" t="s">
        <v>75</v>
      </c>
      <c r="Q2" s="392"/>
      <c r="R2" s="392" t="s">
        <v>76</v>
      </c>
      <c r="S2" s="392"/>
      <c r="T2" s="392" t="s">
        <v>44</v>
      </c>
    </row>
    <row r="3" spans="1:20" ht="18.95" customHeight="1" x14ac:dyDescent="0.15">
      <c r="A3" s="391"/>
      <c r="B3" s="391"/>
      <c r="C3" s="391"/>
      <c r="D3" s="393"/>
      <c r="E3" s="393"/>
      <c r="F3" s="393"/>
      <c r="G3" s="402"/>
      <c r="H3" s="105" t="s">
        <v>45</v>
      </c>
      <c r="I3" s="72" t="s">
        <v>18</v>
      </c>
      <c r="J3" s="105" t="s">
        <v>45</v>
      </c>
      <c r="K3" s="72" t="s">
        <v>77</v>
      </c>
      <c r="L3" s="105" t="s">
        <v>45</v>
      </c>
      <c r="M3" s="72" t="s">
        <v>77</v>
      </c>
      <c r="N3" s="105" t="s">
        <v>45</v>
      </c>
      <c r="O3" s="72" t="s">
        <v>77</v>
      </c>
      <c r="P3" s="105" t="s">
        <v>45</v>
      </c>
      <c r="Q3" s="72" t="s">
        <v>77</v>
      </c>
      <c r="R3" s="105" t="s">
        <v>45</v>
      </c>
      <c r="S3" s="72" t="s">
        <v>77</v>
      </c>
      <c r="T3" s="393"/>
    </row>
    <row r="4" spans="1:20" ht="18.95" customHeight="1" x14ac:dyDescent="0.15">
      <c r="C4" s="86" t="s">
        <v>437</v>
      </c>
      <c r="D4" s="53" t="s">
        <v>173</v>
      </c>
      <c r="E4" s="53" t="s">
        <v>174</v>
      </c>
      <c r="F4" s="76" t="s">
        <v>438</v>
      </c>
      <c r="G4" s="106">
        <v>5134</v>
      </c>
      <c r="H4" s="107">
        <v>5134</v>
      </c>
      <c r="I4" s="75"/>
      <c r="J4" s="107">
        <v>6040</v>
      </c>
      <c r="K4" s="108" t="s">
        <v>439</v>
      </c>
      <c r="L4" s="107">
        <v>7306</v>
      </c>
      <c r="M4" s="108" t="s">
        <v>440</v>
      </c>
      <c r="N4" s="107"/>
      <c r="O4" s="108"/>
      <c r="P4" s="107"/>
      <c r="Q4" s="108"/>
      <c r="R4" s="107"/>
      <c r="S4" s="108"/>
      <c r="T4" s="53"/>
    </row>
    <row r="5" spans="1:20" ht="18.95" customHeight="1" x14ac:dyDescent="0.15">
      <c r="C5" s="86" t="s">
        <v>441</v>
      </c>
      <c r="D5" s="53" t="s">
        <v>187</v>
      </c>
      <c r="E5" s="53" t="s">
        <v>181</v>
      </c>
      <c r="F5" s="76" t="s">
        <v>438</v>
      </c>
      <c r="G5" s="106">
        <v>1007</v>
      </c>
      <c r="H5" s="107">
        <v>1007</v>
      </c>
      <c r="I5" s="75"/>
      <c r="J5" s="107">
        <v>1441</v>
      </c>
      <c r="K5" s="108" t="s">
        <v>442</v>
      </c>
      <c r="L5" s="107">
        <v>1373</v>
      </c>
      <c r="M5" s="108" t="s">
        <v>443</v>
      </c>
      <c r="N5" s="107"/>
      <c r="O5" s="108"/>
      <c r="P5" s="107"/>
      <c r="Q5" s="108"/>
      <c r="R5" s="107"/>
      <c r="S5" s="108"/>
      <c r="T5" s="53"/>
    </row>
    <row r="6" spans="1:20" ht="18.95" customHeight="1" x14ac:dyDescent="0.15">
      <c r="C6" s="86" t="s">
        <v>444</v>
      </c>
      <c r="D6" s="53" t="s">
        <v>180</v>
      </c>
      <c r="E6" s="53" t="s">
        <v>224</v>
      </c>
      <c r="F6" s="76" t="s">
        <v>438</v>
      </c>
      <c r="G6" s="106">
        <v>294</v>
      </c>
      <c r="H6" s="107">
        <v>294</v>
      </c>
      <c r="I6" s="75"/>
      <c r="J6" s="107">
        <v>398</v>
      </c>
      <c r="K6" s="108" t="s">
        <v>442</v>
      </c>
      <c r="L6" s="107">
        <v>440</v>
      </c>
      <c r="M6" s="108" t="s">
        <v>443</v>
      </c>
      <c r="N6" s="107"/>
      <c r="O6" s="108"/>
      <c r="P6" s="107"/>
      <c r="Q6" s="108"/>
      <c r="R6" s="107"/>
      <c r="S6" s="108"/>
      <c r="T6" s="53"/>
    </row>
    <row r="7" spans="1:20" ht="18.95" customHeight="1" x14ac:dyDescent="0.15">
      <c r="C7" s="86" t="s">
        <v>445</v>
      </c>
      <c r="D7" s="53" t="s">
        <v>180</v>
      </c>
      <c r="E7" s="53" t="s">
        <v>181</v>
      </c>
      <c r="F7" s="76" t="s">
        <v>438</v>
      </c>
      <c r="G7" s="106">
        <v>1007</v>
      </c>
      <c r="H7" s="107">
        <v>1007</v>
      </c>
      <c r="I7" s="75"/>
      <c r="J7" s="107">
        <v>1441</v>
      </c>
      <c r="K7" s="108" t="s">
        <v>442</v>
      </c>
      <c r="L7" s="107">
        <v>1373</v>
      </c>
      <c r="M7" s="108" t="s">
        <v>443</v>
      </c>
      <c r="N7" s="107"/>
      <c r="O7" s="108"/>
      <c r="P7" s="107"/>
      <c r="Q7" s="108"/>
      <c r="R7" s="107"/>
      <c r="S7" s="108"/>
      <c r="T7" s="53"/>
    </row>
    <row r="8" spans="1:20" ht="18.95" customHeight="1" x14ac:dyDescent="0.15">
      <c r="C8" s="86" t="s">
        <v>446</v>
      </c>
      <c r="D8" s="53" t="s">
        <v>263</v>
      </c>
      <c r="E8" s="53" t="s">
        <v>264</v>
      </c>
      <c r="F8" s="76" t="s">
        <v>438</v>
      </c>
      <c r="G8" s="106">
        <v>170</v>
      </c>
      <c r="H8" s="107">
        <v>170</v>
      </c>
      <c r="I8" s="75"/>
      <c r="J8" s="107">
        <v>325</v>
      </c>
      <c r="K8" s="108" t="s">
        <v>447</v>
      </c>
      <c r="L8" s="107">
        <v>275</v>
      </c>
      <c r="M8" s="108" t="s">
        <v>443</v>
      </c>
      <c r="N8" s="107"/>
      <c r="O8" s="108"/>
      <c r="P8" s="107"/>
      <c r="Q8" s="108"/>
      <c r="R8" s="107"/>
      <c r="S8" s="108"/>
      <c r="T8" s="53"/>
    </row>
    <row r="9" spans="1:20" ht="18.95" customHeight="1" x14ac:dyDescent="0.15">
      <c r="C9" s="86" t="s">
        <v>448</v>
      </c>
      <c r="D9" s="53" t="s">
        <v>263</v>
      </c>
      <c r="E9" s="53" t="s">
        <v>272</v>
      </c>
      <c r="F9" s="76" t="s">
        <v>438</v>
      </c>
      <c r="G9" s="106">
        <v>255</v>
      </c>
      <c r="H9" s="107">
        <v>255</v>
      </c>
      <c r="I9" s="75"/>
      <c r="J9" s="107">
        <v>455</v>
      </c>
      <c r="K9" s="108" t="s">
        <v>447</v>
      </c>
      <c r="L9" s="107">
        <v>412</v>
      </c>
      <c r="M9" s="108" t="s">
        <v>443</v>
      </c>
      <c r="N9" s="107"/>
      <c r="O9" s="108"/>
      <c r="P9" s="107"/>
      <c r="Q9" s="108"/>
      <c r="R9" s="107"/>
      <c r="S9" s="108"/>
      <c r="T9" s="53"/>
    </row>
    <row r="10" spans="1:20" ht="18.95" customHeight="1" x14ac:dyDescent="0.15">
      <c r="C10" s="86" t="s">
        <v>449</v>
      </c>
      <c r="D10" s="53" t="s">
        <v>199</v>
      </c>
      <c r="E10" s="53" t="s">
        <v>200</v>
      </c>
      <c r="F10" s="76" t="s">
        <v>145</v>
      </c>
      <c r="G10" s="106">
        <v>4392</v>
      </c>
      <c r="H10" s="107">
        <v>4392</v>
      </c>
      <c r="I10" s="75"/>
      <c r="J10" s="107">
        <v>5240</v>
      </c>
      <c r="K10" s="108" t="s">
        <v>439</v>
      </c>
      <c r="L10" s="107">
        <v>5940</v>
      </c>
      <c r="M10" s="108" t="s">
        <v>450</v>
      </c>
      <c r="N10" s="107"/>
      <c r="O10" s="108"/>
      <c r="P10" s="107"/>
      <c r="Q10" s="108"/>
      <c r="R10" s="107"/>
      <c r="S10" s="108"/>
      <c r="T10" s="53"/>
    </row>
    <row r="11" spans="1:20" ht="18.95" customHeight="1" x14ac:dyDescent="0.15">
      <c r="C11" s="86" t="s">
        <v>451</v>
      </c>
      <c r="D11" s="53" t="s">
        <v>205</v>
      </c>
      <c r="E11" s="53" t="s">
        <v>206</v>
      </c>
      <c r="F11" s="76" t="s">
        <v>145</v>
      </c>
      <c r="G11" s="106">
        <v>956</v>
      </c>
      <c r="H11" s="107">
        <v>956</v>
      </c>
      <c r="I11" s="75"/>
      <c r="J11" s="107">
        <v>1500</v>
      </c>
      <c r="K11" s="108" t="s">
        <v>447</v>
      </c>
      <c r="L11" s="107">
        <v>2040</v>
      </c>
      <c r="M11" s="108" t="s">
        <v>443</v>
      </c>
      <c r="N11" s="107"/>
      <c r="O11" s="108"/>
      <c r="P11" s="107"/>
      <c r="Q11" s="108"/>
      <c r="R11" s="107"/>
      <c r="S11" s="108"/>
      <c r="T11" s="53"/>
    </row>
    <row r="12" spans="1:20" ht="18.95" customHeight="1" x14ac:dyDescent="0.15">
      <c r="C12" s="86" t="s">
        <v>452</v>
      </c>
      <c r="D12" s="53" t="s">
        <v>283</v>
      </c>
      <c r="E12" s="53" t="s">
        <v>284</v>
      </c>
      <c r="F12" s="76" t="s">
        <v>145</v>
      </c>
      <c r="G12" s="106">
        <v>591</v>
      </c>
      <c r="H12" s="107">
        <v>591</v>
      </c>
      <c r="I12" s="75"/>
      <c r="J12" s="107">
        <v>650</v>
      </c>
      <c r="K12" s="108" t="s">
        <v>453</v>
      </c>
      <c r="L12" s="107">
        <v>700</v>
      </c>
      <c r="M12" s="108" t="s">
        <v>454</v>
      </c>
      <c r="N12" s="107"/>
      <c r="O12" s="108"/>
      <c r="P12" s="107"/>
      <c r="Q12" s="108"/>
      <c r="R12" s="107"/>
      <c r="S12" s="108"/>
      <c r="T12" s="53"/>
    </row>
    <row r="13" spans="1:20" ht="18.95" customHeight="1" x14ac:dyDescent="0.15">
      <c r="C13" s="86" t="s">
        <v>455</v>
      </c>
      <c r="D13" s="53" t="s">
        <v>283</v>
      </c>
      <c r="E13" s="53" t="s">
        <v>293</v>
      </c>
      <c r="F13" s="76" t="s">
        <v>145</v>
      </c>
      <c r="G13" s="106">
        <v>726</v>
      </c>
      <c r="H13" s="107">
        <v>823</v>
      </c>
      <c r="I13" s="75"/>
      <c r="J13" s="107">
        <v>1000</v>
      </c>
      <c r="K13" s="108" t="s">
        <v>453</v>
      </c>
      <c r="L13" s="107">
        <v>726</v>
      </c>
      <c r="M13" s="108" t="s">
        <v>454</v>
      </c>
      <c r="N13" s="107"/>
      <c r="O13" s="108"/>
      <c r="P13" s="107"/>
      <c r="Q13" s="108"/>
      <c r="R13" s="107"/>
      <c r="S13" s="108"/>
      <c r="T13" s="53"/>
    </row>
    <row r="14" spans="1:20" ht="18.95" customHeight="1" x14ac:dyDescent="0.15">
      <c r="C14" s="86" t="s">
        <v>456</v>
      </c>
      <c r="D14" s="53" t="s">
        <v>297</v>
      </c>
      <c r="E14" s="53" t="s">
        <v>298</v>
      </c>
      <c r="F14" s="76" t="s">
        <v>145</v>
      </c>
      <c r="G14" s="106">
        <v>343</v>
      </c>
      <c r="H14" s="107"/>
      <c r="I14" s="75"/>
      <c r="J14" s="107">
        <v>400</v>
      </c>
      <c r="K14" s="108" t="s">
        <v>453</v>
      </c>
      <c r="L14" s="107">
        <v>343</v>
      </c>
      <c r="M14" s="108" t="s">
        <v>457</v>
      </c>
      <c r="N14" s="107"/>
      <c r="O14" s="108"/>
      <c r="P14" s="107"/>
      <c r="Q14" s="108"/>
      <c r="R14" s="107"/>
      <c r="S14" s="108"/>
      <c r="T14" s="53"/>
    </row>
    <row r="15" spans="1:20" ht="18.95" customHeight="1" x14ac:dyDescent="0.15">
      <c r="C15" s="86" t="s">
        <v>458</v>
      </c>
      <c r="D15" s="53" t="s">
        <v>210</v>
      </c>
      <c r="E15" s="53" t="s">
        <v>211</v>
      </c>
      <c r="F15" s="76" t="s">
        <v>145</v>
      </c>
      <c r="G15" s="106">
        <v>7675</v>
      </c>
      <c r="H15" s="107">
        <v>7675</v>
      </c>
      <c r="I15" s="75"/>
      <c r="J15" s="107">
        <v>16800</v>
      </c>
      <c r="K15" s="108" t="s">
        <v>453</v>
      </c>
      <c r="L15" s="107">
        <v>9030</v>
      </c>
      <c r="M15" s="108" t="s">
        <v>457</v>
      </c>
      <c r="N15" s="107"/>
      <c r="O15" s="108"/>
      <c r="P15" s="107"/>
      <c r="Q15" s="108"/>
      <c r="R15" s="107"/>
      <c r="S15" s="108"/>
      <c r="T15" s="53"/>
    </row>
    <row r="16" spans="1:20" ht="18.95" customHeight="1" x14ac:dyDescent="0.15">
      <c r="C16" s="86" t="s">
        <v>459</v>
      </c>
      <c r="D16" s="53" t="s">
        <v>460</v>
      </c>
      <c r="E16" s="53" t="s">
        <v>461</v>
      </c>
      <c r="F16" s="76" t="s">
        <v>145</v>
      </c>
      <c r="G16" s="106">
        <v>373</v>
      </c>
      <c r="H16" s="107">
        <v>373</v>
      </c>
      <c r="I16" s="75"/>
      <c r="J16" s="107">
        <v>420</v>
      </c>
      <c r="K16" s="108" t="s">
        <v>439</v>
      </c>
      <c r="L16" s="107">
        <v>828</v>
      </c>
      <c r="M16" s="108" t="s">
        <v>450</v>
      </c>
      <c r="N16" s="107"/>
      <c r="O16" s="108"/>
      <c r="P16" s="107"/>
      <c r="Q16" s="108"/>
      <c r="R16" s="107"/>
      <c r="S16" s="108"/>
      <c r="T16" s="53"/>
    </row>
    <row r="17" spans="3:20" ht="18.95" customHeight="1" x14ac:dyDescent="0.15">
      <c r="C17" s="86" t="s">
        <v>462</v>
      </c>
      <c r="D17" s="53" t="s">
        <v>463</v>
      </c>
      <c r="E17" s="53" t="s">
        <v>464</v>
      </c>
      <c r="F17" s="76" t="s">
        <v>145</v>
      </c>
      <c r="G17" s="106">
        <v>200</v>
      </c>
      <c r="H17" s="107"/>
      <c r="I17" s="75"/>
      <c r="J17" s="107"/>
      <c r="K17" s="108"/>
      <c r="L17" s="107">
        <v>200</v>
      </c>
      <c r="M17" s="108" t="s">
        <v>465</v>
      </c>
      <c r="N17" s="107"/>
      <c r="O17" s="108"/>
      <c r="P17" s="107"/>
      <c r="Q17" s="108"/>
      <c r="R17" s="107"/>
      <c r="S17" s="108"/>
      <c r="T17" s="53"/>
    </row>
    <row r="18" spans="3:20" ht="18.95" customHeight="1" x14ac:dyDescent="0.15">
      <c r="C18" s="86" t="s">
        <v>466</v>
      </c>
      <c r="D18" s="53" t="s">
        <v>467</v>
      </c>
      <c r="E18" s="53" t="s">
        <v>468</v>
      </c>
      <c r="F18" s="76" t="s">
        <v>145</v>
      </c>
      <c r="G18" s="106">
        <v>1017</v>
      </c>
      <c r="H18" s="107">
        <v>1017</v>
      </c>
      <c r="I18" s="75"/>
      <c r="J18" s="107"/>
      <c r="K18" s="108"/>
      <c r="L18" s="107">
        <v>1226</v>
      </c>
      <c r="M18" s="108" t="s">
        <v>469</v>
      </c>
      <c r="N18" s="107"/>
      <c r="O18" s="108"/>
      <c r="P18" s="107"/>
      <c r="Q18" s="108"/>
      <c r="R18" s="107"/>
      <c r="S18" s="108"/>
      <c r="T18" s="53"/>
    </row>
    <row r="19" spans="3:20" ht="18.95" customHeight="1" x14ac:dyDescent="0.15">
      <c r="C19" s="86" t="s">
        <v>470</v>
      </c>
      <c r="D19" s="53" t="s">
        <v>227</v>
      </c>
      <c r="E19" s="53" t="s">
        <v>228</v>
      </c>
      <c r="F19" s="76" t="s">
        <v>438</v>
      </c>
      <c r="G19" s="106">
        <v>1106</v>
      </c>
      <c r="H19" s="107">
        <v>1106</v>
      </c>
      <c r="I19" s="75"/>
      <c r="J19" s="107">
        <v>1666</v>
      </c>
      <c r="K19" s="108" t="s">
        <v>471</v>
      </c>
      <c r="L19" s="107">
        <v>1720</v>
      </c>
      <c r="M19" s="108" t="s">
        <v>472</v>
      </c>
      <c r="N19" s="107"/>
      <c r="O19" s="108"/>
      <c r="P19" s="107"/>
      <c r="Q19" s="108"/>
      <c r="R19" s="107"/>
      <c r="S19" s="108"/>
      <c r="T19" s="53"/>
    </row>
    <row r="20" spans="3:20" ht="18.95" customHeight="1" x14ac:dyDescent="0.15">
      <c r="C20" s="86" t="s">
        <v>473</v>
      </c>
      <c r="D20" s="53" t="s">
        <v>227</v>
      </c>
      <c r="E20" s="53" t="s">
        <v>474</v>
      </c>
      <c r="F20" s="76" t="s">
        <v>438</v>
      </c>
      <c r="G20" s="106">
        <v>5522</v>
      </c>
      <c r="H20" s="107">
        <v>5522</v>
      </c>
      <c r="I20" s="75"/>
      <c r="J20" s="107">
        <v>7139</v>
      </c>
      <c r="K20" s="108" t="s">
        <v>471</v>
      </c>
      <c r="L20" s="107">
        <v>8584</v>
      </c>
      <c r="M20" s="108" t="s">
        <v>472</v>
      </c>
      <c r="N20" s="107"/>
      <c r="O20" s="108"/>
      <c r="P20" s="107"/>
      <c r="Q20" s="108"/>
      <c r="R20" s="107"/>
      <c r="S20" s="108"/>
      <c r="T20" s="53"/>
    </row>
    <row r="21" spans="3:20" ht="18.95" customHeight="1" x14ac:dyDescent="0.15">
      <c r="C21" s="86" t="s">
        <v>475</v>
      </c>
      <c r="D21" s="53" t="s">
        <v>328</v>
      </c>
      <c r="E21" s="53" t="s">
        <v>476</v>
      </c>
      <c r="F21" s="76" t="s">
        <v>438</v>
      </c>
      <c r="G21" s="106">
        <v>495</v>
      </c>
      <c r="H21" s="107">
        <v>514</v>
      </c>
      <c r="I21" s="75"/>
      <c r="J21" s="107">
        <v>495</v>
      </c>
      <c r="K21" s="108" t="s">
        <v>477</v>
      </c>
      <c r="L21" s="107">
        <v>1343</v>
      </c>
      <c r="M21" s="108" t="s">
        <v>478</v>
      </c>
      <c r="N21" s="107"/>
      <c r="O21" s="108"/>
      <c r="P21" s="107"/>
      <c r="Q21" s="108"/>
      <c r="R21" s="107"/>
      <c r="S21" s="108"/>
      <c r="T21" s="53"/>
    </row>
    <row r="22" spans="3:20" ht="18.95" customHeight="1" x14ac:dyDescent="0.15">
      <c r="C22" s="86" t="s">
        <v>479</v>
      </c>
      <c r="D22" s="53" t="s">
        <v>267</v>
      </c>
      <c r="E22" s="53" t="s">
        <v>480</v>
      </c>
      <c r="F22" s="76" t="s">
        <v>438</v>
      </c>
      <c r="G22" s="106">
        <v>570</v>
      </c>
      <c r="H22" s="107">
        <v>570</v>
      </c>
      <c r="I22" s="75"/>
      <c r="J22" s="107">
        <v>670</v>
      </c>
      <c r="K22" s="108" t="s">
        <v>481</v>
      </c>
      <c r="L22" s="107">
        <v>1574</v>
      </c>
      <c r="M22" s="108" t="s">
        <v>482</v>
      </c>
      <c r="N22" s="107"/>
      <c r="O22" s="108"/>
      <c r="P22" s="107"/>
      <c r="Q22" s="108"/>
      <c r="R22" s="107"/>
      <c r="S22" s="108"/>
      <c r="T22" s="53"/>
    </row>
    <row r="23" spans="3:20" ht="18.95" customHeight="1" x14ac:dyDescent="0.15">
      <c r="C23" s="86" t="s">
        <v>483</v>
      </c>
      <c r="D23" s="53" t="s">
        <v>143</v>
      </c>
      <c r="E23" s="53" t="s">
        <v>144</v>
      </c>
      <c r="F23" s="76" t="s">
        <v>145</v>
      </c>
      <c r="G23" s="106">
        <v>2730</v>
      </c>
      <c r="H23" s="107">
        <v>2730</v>
      </c>
      <c r="I23" s="75"/>
      <c r="J23" s="107">
        <v>2750</v>
      </c>
      <c r="K23" s="108" t="s">
        <v>484</v>
      </c>
      <c r="L23" s="107">
        <v>3055</v>
      </c>
      <c r="M23" s="108" t="s">
        <v>485</v>
      </c>
      <c r="N23" s="107"/>
      <c r="O23" s="108"/>
      <c r="P23" s="107"/>
      <c r="Q23" s="108"/>
      <c r="R23" s="107"/>
      <c r="S23" s="108"/>
      <c r="T23" s="53"/>
    </row>
    <row r="24" spans="3:20" ht="18.95" customHeight="1" x14ac:dyDescent="0.15">
      <c r="C24" s="86" t="s">
        <v>486</v>
      </c>
      <c r="D24" s="53" t="s">
        <v>143</v>
      </c>
      <c r="E24" s="53" t="s">
        <v>288</v>
      </c>
      <c r="F24" s="76" t="s">
        <v>145</v>
      </c>
      <c r="G24" s="106">
        <v>5460</v>
      </c>
      <c r="H24" s="107">
        <v>5460</v>
      </c>
      <c r="I24" s="75"/>
      <c r="J24" s="107">
        <v>5500</v>
      </c>
      <c r="K24" s="108" t="s">
        <v>484</v>
      </c>
      <c r="L24" s="107">
        <v>6110</v>
      </c>
      <c r="M24" s="108" t="s">
        <v>485</v>
      </c>
      <c r="N24" s="107"/>
      <c r="O24" s="108"/>
      <c r="P24" s="107"/>
      <c r="Q24" s="108"/>
      <c r="R24" s="107"/>
      <c r="S24" s="108"/>
      <c r="T24" s="53"/>
    </row>
    <row r="25" spans="3:20" ht="18.95" customHeight="1" x14ac:dyDescent="0.15">
      <c r="C25" s="86" t="s">
        <v>487</v>
      </c>
      <c r="D25" s="53" t="s">
        <v>147</v>
      </c>
      <c r="E25" s="53" t="s">
        <v>336</v>
      </c>
      <c r="F25" s="76" t="s">
        <v>145</v>
      </c>
      <c r="G25" s="106">
        <v>2304</v>
      </c>
      <c r="H25" s="107">
        <v>2304</v>
      </c>
      <c r="I25" s="75"/>
      <c r="J25" s="107"/>
      <c r="K25" s="108"/>
      <c r="L25" s="107">
        <v>3689</v>
      </c>
      <c r="M25" s="108" t="s">
        <v>485</v>
      </c>
      <c r="N25" s="107"/>
      <c r="O25" s="108"/>
      <c r="P25" s="107"/>
      <c r="Q25" s="108"/>
      <c r="R25" s="107"/>
      <c r="S25" s="108"/>
      <c r="T25" s="53"/>
    </row>
    <row r="26" spans="3:20" ht="18.95" customHeight="1" x14ac:dyDescent="0.15">
      <c r="C26" s="86" t="s">
        <v>488</v>
      </c>
      <c r="D26" s="53" t="s">
        <v>147</v>
      </c>
      <c r="E26" s="53" t="s">
        <v>148</v>
      </c>
      <c r="F26" s="76" t="s">
        <v>145</v>
      </c>
      <c r="G26" s="106">
        <v>2304</v>
      </c>
      <c r="H26" s="107">
        <v>2304</v>
      </c>
      <c r="I26" s="75"/>
      <c r="J26" s="107"/>
      <c r="K26" s="108"/>
      <c r="L26" s="107">
        <v>4169</v>
      </c>
      <c r="M26" s="108" t="s">
        <v>485</v>
      </c>
      <c r="N26" s="107"/>
      <c r="O26" s="108"/>
      <c r="P26" s="107"/>
      <c r="Q26" s="108"/>
      <c r="R26" s="107"/>
      <c r="S26" s="108"/>
      <c r="T26" s="53"/>
    </row>
    <row r="27" spans="3:20" ht="18.95" customHeight="1" x14ac:dyDescent="0.15">
      <c r="C27" s="86" t="s">
        <v>489</v>
      </c>
      <c r="D27" s="53" t="s">
        <v>490</v>
      </c>
      <c r="E27" s="53" t="s">
        <v>491</v>
      </c>
      <c r="F27" s="76" t="s">
        <v>145</v>
      </c>
      <c r="G27" s="106">
        <v>3316</v>
      </c>
      <c r="H27" s="107">
        <v>3316</v>
      </c>
      <c r="I27" s="75"/>
      <c r="J27" s="107"/>
      <c r="K27" s="108"/>
      <c r="L27" s="107">
        <v>6500</v>
      </c>
      <c r="M27" s="108" t="s">
        <v>492</v>
      </c>
      <c r="N27" s="107"/>
      <c r="O27" s="108"/>
      <c r="P27" s="107"/>
      <c r="Q27" s="108"/>
      <c r="R27" s="107"/>
      <c r="S27" s="108"/>
      <c r="T27" s="53"/>
    </row>
    <row r="28" spans="3:20" ht="18.95" customHeight="1" x14ac:dyDescent="0.15">
      <c r="C28" s="86" t="s">
        <v>493</v>
      </c>
      <c r="D28" s="53" t="s">
        <v>490</v>
      </c>
      <c r="E28" s="53" t="s">
        <v>494</v>
      </c>
      <c r="F28" s="76" t="s">
        <v>145</v>
      </c>
      <c r="G28" s="106">
        <v>5023</v>
      </c>
      <c r="H28" s="107">
        <v>5023</v>
      </c>
      <c r="I28" s="75"/>
      <c r="J28" s="107"/>
      <c r="K28" s="108"/>
      <c r="L28" s="107">
        <v>10500</v>
      </c>
      <c r="M28" s="108" t="s">
        <v>492</v>
      </c>
      <c r="N28" s="107"/>
      <c r="O28" s="108"/>
      <c r="P28" s="107"/>
      <c r="Q28" s="108"/>
      <c r="R28" s="107"/>
      <c r="S28" s="108"/>
      <c r="T28" s="53"/>
    </row>
    <row r="29" spans="3:20" ht="18.95" customHeight="1" x14ac:dyDescent="0.15">
      <c r="C29" s="86" t="s">
        <v>495</v>
      </c>
      <c r="D29" s="53" t="s">
        <v>496</v>
      </c>
      <c r="E29" s="53" t="s">
        <v>497</v>
      </c>
      <c r="F29" s="76" t="s">
        <v>498</v>
      </c>
      <c r="G29" s="106">
        <v>110000</v>
      </c>
      <c r="H29" s="107"/>
      <c r="I29" s="75"/>
      <c r="J29" s="107"/>
      <c r="K29" s="108"/>
      <c r="L29" s="107">
        <v>110000</v>
      </c>
      <c r="M29" s="108" t="s">
        <v>499</v>
      </c>
      <c r="N29" s="107"/>
      <c r="O29" s="108"/>
      <c r="P29" s="107"/>
      <c r="Q29" s="108"/>
      <c r="R29" s="107"/>
      <c r="S29" s="108"/>
      <c r="T29" s="53"/>
    </row>
    <row r="30" spans="3:20" ht="18.95" customHeight="1" x14ac:dyDescent="0.15">
      <c r="C30" s="86" t="s">
        <v>500</v>
      </c>
      <c r="D30" s="53" t="s">
        <v>501</v>
      </c>
      <c r="E30" s="53" t="s">
        <v>502</v>
      </c>
      <c r="F30" s="76" t="s">
        <v>498</v>
      </c>
      <c r="G30" s="106">
        <v>230000</v>
      </c>
      <c r="H30" s="107"/>
      <c r="I30" s="75"/>
      <c r="J30" s="107"/>
      <c r="K30" s="108"/>
      <c r="L30" s="107">
        <v>230000</v>
      </c>
      <c r="M30" s="108" t="s">
        <v>499</v>
      </c>
      <c r="N30" s="107"/>
      <c r="O30" s="108"/>
      <c r="P30" s="107"/>
      <c r="Q30" s="108"/>
      <c r="R30" s="107"/>
      <c r="S30" s="108"/>
      <c r="T30" s="53"/>
    </row>
    <row r="31" spans="3:20" ht="18.95" customHeight="1" x14ac:dyDescent="0.15">
      <c r="C31" s="86" t="s">
        <v>503</v>
      </c>
      <c r="D31" s="53" t="s">
        <v>504</v>
      </c>
      <c r="E31" s="53" t="s">
        <v>505</v>
      </c>
      <c r="F31" s="76" t="s">
        <v>137</v>
      </c>
      <c r="G31" s="106">
        <v>28.7</v>
      </c>
      <c r="H31" s="107"/>
      <c r="I31" s="75"/>
      <c r="J31" s="107"/>
      <c r="K31" s="108"/>
      <c r="L31" s="107">
        <v>28.7</v>
      </c>
      <c r="M31" s="108" t="s">
        <v>506</v>
      </c>
      <c r="N31" s="107"/>
      <c r="O31" s="108"/>
      <c r="P31" s="107"/>
      <c r="Q31" s="108"/>
      <c r="R31" s="107"/>
      <c r="S31" s="108"/>
      <c r="T31" s="53"/>
    </row>
    <row r="32" spans="3:20" ht="18.95" customHeight="1" x14ac:dyDescent="0.15">
      <c r="C32" s="86" t="s">
        <v>507</v>
      </c>
      <c r="D32" s="53" t="s">
        <v>508</v>
      </c>
      <c r="E32" s="53" t="s">
        <v>509</v>
      </c>
      <c r="F32" s="76" t="s">
        <v>145</v>
      </c>
      <c r="G32" s="106">
        <v>10</v>
      </c>
      <c r="H32" s="107"/>
      <c r="I32" s="75"/>
      <c r="J32" s="107"/>
      <c r="K32" s="108"/>
      <c r="L32" s="107">
        <v>10</v>
      </c>
      <c r="M32" s="108"/>
      <c r="N32" s="107"/>
      <c r="O32" s="108"/>
      <c r="P32" s="107"/>
      <c r="Q32" s="108"/>
      <c r="R32" s="107"/>
      <c r="S32" s="108"/>
      <c r="T32" s="53"/>
    </row>
    <row r="33" spans="3:20" ht="18.95" customHeight="1" x14ac:dyDescent="0.15">
      <c r="C33" s="86" t="s">
        <v>510</v>
      </c>
      <c r="D33" s="53" t="s">
        <v>303</v>
      </c>
      <c r="E33" s="53" t="s">
        <v>304</v>
      </c>
      <c r="F33" s="76" t="s">
        <v>438</v>
      </c>
      <c r="G33" s="106">
        <v>1200</v>
      </c>
      <c r="H33" s="107"/>
      <c r="I33" s="75"/>
      <c r="J33" s="107">
        <v>1200</v>
      </c>
      <c r="K33" s="108" t="s">
        <v>481</v>
      </c>
      <c r="L33" s="107"/>
      <c r="M33" s="108"/>
      <c r="N33" s="107"/>
      <c r="O33" s="108"/>
      <c r="P33" s="107"/>
      <c r="Q33" s="108"/>
      <c r="R33" s="107"/>
      <c r="S33" s="108"/>
      <c r="T33" s="53"/>
    </row>
    <row r="34" spans="3:20" ht="18.95" customHeight="1" x14ac:dyDescent="0.15">
      <c r="C34" s="86" t="s">
        <v>511</v>
      </c>
      <c r="D34" s="53" t="s">
        <v>311</v>
      </c>
      <c r="E34" s="53" t="s">
        <v>312</v>
      </c>
      <c r="F34" s="76" t="s">
        <v>145</v>
      </c>
      <c r="G34" s="106">
        <v>17000</v>
      </c>
      <c r="H34" s="107"/>
      <c r="I34" s="75"/>
      <c r="J34" s="107">
        <v>17000</v>
      </c>
      <c r="K34" s="108" t="s">
        <v>512</v>
      </c>
      <c r="L34" s="107"/>
      <c r="M34" s="108"/>
      <c r="N34" s="107"/>
      <c r="O34" s="108"/>
      <c r="P34" s="107"/>
      <c r="Q34" s="108"/>
      <c r="R34" s="107"/>
      <c r="S34" s="108"/>
      <c r="T34" s="53"/>
    </row>
    <row r="35" spans="3:20" ht="18.95" customHeight="1" x14ac:dyDescent="0.15">
      <c r="C35" s="86" t="s">
        <v>513</v>
      </c>
      <c r="D35" s="53" t="s">
        <v>514</v>
      </c>
      <c r="E35" s="53" t="s">
        <v>515</v>
      </c>
      <c r="F35" s="76" t="s">
        <v>137</v>
      </c>
      <c r="G35" s="106">
        <v>8000</v>
      </c>
      <c r="H35" s="107"/>
      <c r="I35" s="75"/>
      <c r="J35" s="107">
        <v>8400</v>
      </c>
      <c r="K35" s="108" t="s">
        <v>516</v>
      </c>
      <c r="L35" s="107">
        <v>8000</v>
      </c>
      <c r="M35" s="108" t="s">
        <v>517</v>
      </c>
      <c r="N35" s="107">
        <v>8900</v>
      </c>
      <c r="O35" s="108" t="s">
        <v>518</v>
      </c>
      <c r="P35" s="107"/>
      <c r="Q35" s="108"/>
      <c r="R35" s="107"/>
      <c r="S35" s="108"/>
      <c r="T35" s="53"/>
    </row>
    <row r="36" spans="3:20" ht="18.95" customHeight="1" x14ac:dyDescent="0.15">
      <c r="C36" s="86" t="s">
        <v>519</v>
      </c>
      <c r="D36" s="53" t="s">
        <v>520</v>
      </c>
      <c r="E36" s="53" t="s">
        <v>521</v>
      </c>
      <c r="F36" s="76" t="s">
        <v>137</v>
      </c>
      <c r="G36" s="106">
        <v>25000</v>
      </c>
      <c r="H36" s="107"/>
      <c r="I36" s="75"/>
      <c r="J36" s="107">
        <v>26500</v>
      </c>
      <c r="K36" s="108" t="s">
        <v>516</v>
      </c>
      <c r="L36" s="107">
        <v>25000</v>
      </c>
      <c r="M36" s="108" t="s">
        <v>517</v>
      </c>
      <c r="N36" s="107">
        <v>28000</v>
      </c>
      <c r="O36" s="108" t="s">
        <v>518</v>
      </c>
      <c r="P36" s="107"/>
      <c r="Q36" s="108"/>
      <c r="R36" s="107"/>
      <c r="S36" s="108"/>
      <c r="T36" s="53"/>
    </row>
    <row r="37" spans="3:20" ht="18.95" customHeight="1" x14ac:dyDescent="0.15">
      <c r="C37" s="86" t="s">
        <v>522</v>
      </c>
      <c r="D37" s="53" t="s">
        <v>523</v>
      </c>
      <c r="E37" s="53" t="s">
        <v>524</v>
      </c>
      <c r="F37" s="76" t="s">
        <v>137</v>
      </c>
      <c r="G37" s="106">
        <v>78000</v>
      </c>
      <c r="H37" s="107"/>
      <c r="I37" s="75"/>
      <c r="J37" s="107">
        <v>86000</v>
      </c>
      <c r="K37" s="108" t="s">
        <v>516</v>
      </c>
      <c r="L37" s="107">
        <v>78000</v>
      </c>
      <c r="M37" s="108" t="s">
        <v>517</v>
      </c>
      <c r="N37" s="107">
        <v>97000</v>
      </c>
      <c r="O37" s="108" t="s">
        <v>518</v>
      </c>
      <c r="P37" s="107"/>
      <c r="Q37" s="108"/>
      <c r="R37" s="107"/>
      <c r="S37" s="108"/>
      <c r="T37" s="53"/>
    </row>
    <row r="38" spans="3:20" ht="18.95" customHeight="1" x14ac:dyDescent="0.15">
      <c r="C38" s="86" t="s">
        <v>525</v>
      </c>
      <c r="D38" s="53" t="s">
        <v>526</v>
      </c>
      <c r="E38" s="53" t="s">
        <v>527</v>
      </c>
      <c r="F38" s="76" t="s">
        <v>137</v>
      </c>
      <c r="G38" s="106">
        <v>435000</v>
      </c>
      <c r="H38" s="107"/>
      <c r="I38" s="75"/>
      <c r="J38" s="107">
        <v>450000</v>
      </c>
      <c r="K38" s="108" t="s">
        <v>516</v>
      </c>
      <c r="L38" s="107">
        <v>435000</v>
      </c>
      <c r="M38" s="108" t="s">
        <v>517</v>
      </c>
      <c r="N38" s="107">
        <v>475000</v>
      </c>
      <c r="O38" s="108" t="s">
        <v>518</v>
      </c>
      <c r="P38" s="107"/>
      <c r="Q38" s="108"/>
      <c r="R38" s="107"/>
      <c r="S38" s="108"/>
      <c r="T38" s="53"/>
    </row>
    <row r="39" spans="3:20" ht="18.95" customHeight="1" x14ac:dyDescent="0.15">
      <c r="C39" s="86" t="s">
        <v>528</v>
      </c>
      <c r="D39" s="53" t="s">
        <v>529</v>
      </c>
      <c r="E39" s="53" t="s">
        <v>530</v>
      </c>
      <c r="F39" s="76" t="s">
        <v>137</v>
      </c>
      <c r="G39" s="106">
        <v>60000</v>
      </c>
      <c r="H39" s="107"/>
      <c r="I39" s="75"/>
      <c r="J39" s="107">
        <v>70000</v>
      </c>
      <c r="K39" s="108" t="s">
        <v>516</v>
      </c>
      <c r="L39" s="107">
        <v>60000</v>
      </c>
      <c r="M39" s="108" t="s">
        <v>517</v>
      </c>
      <c r="N39" s="107">
        <v>80000</v>
      </c>
      <c r="O39" s="108" t="s">
        <v>518</v>
      </c>
      <c r="P39" s="107"/>
      <c r="Q39" s="108"/>
      <c r="R39" s="107"/>
      <c r="S39" s="108"/>
      <c r="T39" s="53"/>
    </row>
    <row r="40" spans="3:20" ht="18.95" customHeight="1" x14ac:dyDescent="0.15">
      <c r="C40" s="86" t="s">
        <v>531</v>
      </c>
      <c r="D40" s="53" t="s">
        <v>532</v>
      </c>
      <c r="E40" s="53" t="s">
        <v>533</v>
      </c>
      <c r="F40" s="76" t="s">
        <v>137</v>
      </c>
      <c r="G40" s="106">
        <v>4000</v>
      </c>
      <c r="H40" s="107"/>
      <c r="I40" s="75"/>
      <c r="J40" s="107">
        <v>4200</v>
      </c>
      <c r="K40" s="108" t="s">
        <v>516</v>
      </c>
      <c r="L40" s="107">
        <v>4000</v>
      </c>
      <c r="M40" s="108" t="s">
        <v>517</v>
      </c>
      <c r="N40" s="107">
        <v>4500</v>
      </c>
      <c r="O40" s="108" t="s">
        <v>518</v>
      </c>
      <c r="P40" s="107"/>
      <c r="Q40" s="108"/>
      <c r="R40" s="107"/>
      <c r="S40" s="108"/>
      <c r="T40" s="53"/>
    </row>
    <row r="41" spans="3:20" ht="18.95" customHeight="1" x14ac:dyDescent="0.15">
      <c r="C41" s="86" t="s">
        <v>534</v>
      </c>
      <c r="D41" s="53" t="s">
        <v>535</v>
      </c>
      <c r="E41" s="53" t="s">
        <v>536</v>
      </c>
      <c r="F41" s="76" t="s">
        <v>137</v>
      </c>
      <c r="G41" s="106">
        <v>150000</v>
      </c>
      <c r="H41" s="107"/>
      <c r="I41" s="75"/>
      <c r="J41" s="107">
        <v>165000</v>
      </c>
      <c r="K41" s="108" t="s">
        <v>516</v>
      </c>
      <c r="L41" s="107">
        <v>150000</v>
      </c>
      <c r="M41" s="108" t="s">
        <v>517</v>
      </c>
      <c r="N41" s="107">
        <v>179000</v>
      </c>
      <c r="O41" s="108" t="s">
        <v>518</v>
      </c>
      <c r="P41" s="107"/>
      <c r="Q41" s="108"/>
      <c r="R41" s="107"/>
      <c r="S41" s="108"/>
      <c r="T41" s="53"/>
    </row>
    <row r="42" spans="3:20" ht="18.95" customHeight="1" x14ac:dyDescent="0.15">
      <c r="C42" s="86" t="s">
        <v>537</v>
      </c>
      <c r="D42" s="53" t="s">
        <v>139</v>
      </c>
      <c r="E42" s="53" t="s">
        <v>140</v>
      </c>
      <c r="F42" s="76" t="s">
        <v>137</v>
      </c>
      <c r="G42" s="106"/>
      <c r="H42" s="107"/>
      <c r="I42" s="75"/>
      <c r="J42" s="107"/>
      <c r="K42" s="108"/>
      <c r="L42" s="107"/>
      <c r="M42" s="108"/>
      <c r="N42" s="107"/>
      <c r="O42" s="108"/>
      <c r="P42" s="107"/>
      <c r="Q42" s="108"/>
      <c r="R42" s="107"/>
      <c r="S42" s="108"/>
      <c r="T42" s="53"/>
    </row>
    <row r="43" spans="3:20" ht="18.95" customHeight="1" x14ac:dyDescent="0.15">
      <c r="C43" s="86" t="s">
        <v>538</v>
      </c>
      <c r="D43" s="53" t="s">
        <v>539</v>
      </c>
      <c r="E43" s="53" t="s">
        <v>540</v>
      </c>
      <c r="F43" s="76" t="s">
        <v>137</v>
      </c>
      <c r="G43" s="106">
        <v>3500</v>
      </c>
      <c r="H43" s="107"/>
      <c r="I43" s="75"/>
      <c r="J43" s="107">
        <v>3800</v>
      </c>
      <c r="K43" s="108" t="s">
        <v>516</v>
      </c>
      <c r="L43" s="107">
        <v>3500</v>
      </c>
      <c r="M43" s="108" t="s">
        <v>517</v>
      </c>
      <c r="N43" s="107">
        <v>4300</v>
      </c>
      <c r="O43" s="108" t="s">
        <v>518</v>
      </c>
      <c r="P43" s="107"/>
      <c r="Q43" s="108"/>
      <c r="R43" s="107"/>
      <c r="S43" s="108"/>
      <c r="T43" s="53"/>
    </row>
    <row r="44" spans="3:20" ht="18.95" customHeight="1" x14ac:dyDescent="0.15">
      <c r="C44" s="86" t="s">
        <v>541</v>
      </c>
      <c r="D44" s="53" t="s">
        <v>542</v>
      </c>
      <c r="E44" s="53" t="s">
        <v>543</v>
      </c>
      <c r="F44" s="76" t="s">
        <v>137</v>
      </c>
      <c r="G44" s="106">
        <v>150000</v>
      </c>
      <c r="H44" s="107"/>
      <c r="I44" s="75"/>
      <c r="J44" s="107">
        <v>156800</v>
      </c>
      <c r="K44" s="108" t="s">
        <v>516</v>
      </c>
      <c r="L44" s="107">
        <v>150000</v>
      </c>
      <c r="M44" s="108" t="s">
        <v>517</v>
      </c>
      <c r="N44" s="107">
        <v>163900</v>
      </c>
      <c r="O44" s="108" t="s">
        <v>518</v>
      </c>
      <c r="P44" s="107"/>
      <c r="Q44" s="108"/>
      <c r="R44" s="107"/>
      <c r="S44" s="108"/>
      <c r="T44" s="53"/>
    </row>
    <row r="45" spans="3:20" ht="18.95" customHeight="1" x14ac:dyDescent="0.15">
      <c r="C45" s="86" t="s">
        <v>544</v>
      </c>
      <c r="D45" s="53" t="s">
        <v>545</v>
      </c>
      <c r="E45" s="53" t="s">
        <v>546</v>
      </c>
      <c r="F45" s="76" t="s">
        <v>137</v>
      </c>
      <c r="G45" s="106">
        <v>7000</v>
      </c>
      <c r="H45" s="107"/>
      <c r="I45" s="75"/>
      <c r="J45" s="107">
        <v>7800</v>
      </c>
      <c r="K45" s="108" t="s">
        <v>516</v>
      </c>
      <c r="L45" s="107">
        <v>7000</v>
      </c>
      <c r="M45" s="108" t="s">
        <v>517</v>
      </c>
      <c r="N45" s="107">
        <v>8300</v>
      </c>
      <c r="O45" s="108" t="s">
        <v>518</v>
      </c>
      <c r="P45" s="107"/>
      <c r="Q45" s="108"/>
      <c r="R45" s="107"/>
      <c r="S45" s="108"/>
      <c r="T45" s="53"/>
    </row>
    <row r="46" spans="3:20" ht="18.95" customHeight="1" x14ac:dyDescent="0.15">
      <c r="C46" s="86" t="s">
        <v>547</v>
      </c>
      <c r="D46" s="53" t="s">
        <v>548</v>
      </c>
      <c r="E46" s="53" t="s">
        <v>549</v>
      </c>
      <c r="F46" s="76" t="s">
        <v>137</v>
      </c>
      <c r="G46" s="106">
        <v>10000</v>
      </c>
      <c r="H46" s="107"/>
      <c r="I46" s="75"/>
      <c r="J46" s="107">
        <v>10400</v>
      </c>
      <c r="K46" s="108" t="s">
        <v>516</v>
      </c>
      <c r="L46" s="107">
        <v>10000</v>
      </c>
      <c r="M46" s="108" t="s">
        <v>517</v>
      </c>
      <c r="N46" s="107">
        <v>11000</v>
      </c>
      <c r="O46" s="108" t="s">
        <v>518</v>
      </c>
      <c r="P46" s="107"/>
      <c r="Q46" s="108"/>
      <c r="R46" s="107"/>
      <c r="S46" s="108"/>
      <c r="T46" s="53"/>
    </row>
    <row r="47" spans="3:20" ht="18.95" customHeight="1" x14ac:dyDescent="0.15">
      <c r="C47" s="86" t="s">
        <v>550</v>
      </c>
      <c r="D47" s="53" t="s">
        <v>156</v>
      </c>
      <c r="E47" s="53" t="s">
        <v>157</v>
      </c>
      <c r="F47" s="76" t="s">
        <v>137</v>
      </c>
      <c r="G47" s="106"/>
      <c r="H47" s="107"/>
      <c r="I47" s="75"/>
      <c r="J47" s="107"/>
      <c r="K47" s="108"/>
      <c r="L47" s="107"/>
      <c r="M47" s="108"/>
      <c r="N47" s="107"/>
      <c r="O47" s="108"/>
      <c r="P47" s="107"/>
      <c r="Q47" s="108"/>
      <c r="R47" s="107"/>
      <c r="S47" s="108"/>
      <c r="T47" s="53"/>
    </row>
    <row r="48" spans="3:20" ht="18.95" customHeight="1" x14ac:dyDescent="0.15">
      <c r="C48" s="86" t="s">
        <v>551</v>
      </c>
      <c r="D48" s="53" t="s">
        <v>135</v>
      </c>
      <c r="E48" s="53" t="s">
        <v>136</v>
      </c>
      <c r="F48" s="76" t="s">
        <v>137</v>
      </c>
      <c r="G48" s="106"/>
      <c r="H48" s="107"/>
      <c r="I48" s="75"/>
      <c r="J48" s="107"/>
      <c r="K48" s="108"/>
      <c r="L48" s="107"/>
      <c r="M48" s="108"/>
      <c r="N48" s="107"/>
      <c r="O48" s="108"/>
      <c r="P48" s="107"/>
      <c r="Q48" s="108"/>
      <c r="R48" s="107"/>
      <c r="S48" s="108"/>
      <c r="T48" s="53"/>
    </row>
    <row r="49" spans="3:20" ht="18.95" customHeight="1" x14ac:dyDescent="0.15">
      <c r="C49" s="86" t="s">
        <v>552</v>
      </c>
      <c r="D49" s="53" t="s">
        <v>553</v>
      </c>
      <c r="E49" s="53" t="s">
        <v>554</v>
      </c>
      <c r="F49" s="76" t="s">
        <v>112</v>
      </c>
      <c r="G49" s="106"/>
      <c r="H49" s="107"/>
      <c r="I49" s="75"/>
      <c r="J49" s="107"/>
      <c r="K49" s="108"/>
      <c r="L49" s="107"/>
      <c r="M49" s="108"/>
      <c r="N49" s="107"/>
      <c r="O49" s="108"/>
      <c r="P49" s="107"/>
      <c r="Q49" s="108"/>
      <c r="R49" s="107"/>
      <c r="S49" s="108"/>
      <c r="T49" s="53"/>
    </row>
    <row r="50" spans="3:20" ht="18.95" customHeight="1" x14ac:dyDescent="0.15">
      <c r="C50" s="86" t="s">
        <v>555</v>
      </c>
      <c r="D50" s="53" t="s">
        <v>556</v>
      </c>
      <c r="E50" s="53" t="s">
        <v>557</v>
      </c>
      <c r="F50" s="76" t="s">
        <v>137</v>
      </c>
      <c r="G50" s="106">
        <v>3000</v>
      </c>
      <c r="H50" s="107"/>
      <c r="I50" s="75"/>
      <c r="J50" s="107">
        <v>3200</v>
      </c>
      <c r="K50" s="108" t="s">
        <v>516</v>
      </c>
      <c r="L50" s="107">
        <v>3000</v>
      </c>
      <c r="M50" s="108" t="s">
        <v>517</v>
      </c>
      <c r="N50" s="107">
        <v>3400</v>
      </c>
      <c r="O50" s="108" t="s">
        <v>518</v>
      </c>
      <c r="P50" s="107"/>
      <c r="Q50" s="108"/>
      <c r="R50" s="107"/>
      <c r="S50" s="108"/>
      <c r="T50" s="53"/>
    </row>
    <row r="51" spans="3:20" ht="18.95" customHeight="1" x14ac:dyDescent="0.15">
      <c r="C51" s="86" t="s">
        <v>558</v>
      </c>
      <c r="D51" s="53" t="s">
        <v>559</v>
      </c>
      <c r="E51" s="53" t="s">
        <v>560</v>
      </c>
      <c r="F51" s="76" t="s">
        <v>137</v>
      </c>
      <c r="G51" s="106">
        <v>258000</v>
      </c>
      <c r="H51" s="107"/>
      <c r="I51" s="75"/>
      <c r="J51" s="107">
        <v>281000</v>
      </c>
      <c r="K51" s="108" t="s">
        <v>516</v>
      </c>
      <c r="L51" s="107">
        <v>258000</v>
      </c>
      <c r="M51" s="108" t="s">
        <v>517</v>
      </c>
      <c r="N51" s="107">
        <v>323000</v>
      </c>
      <c r="O51" s="108" t="s">
        <v>518</v>
      </c>
      <c r="P51" s="107"/>
      <c r="Q51" s="108"/>
      <c r="R51" s="107"/>
      <c r="S51" s="108"/>
      <c r="T51" s="53"/>
    </row>
    <row r="52" spans="3:20" ht="18.95" customHeight="1" x14ac:dyDescent="0.15">
      <c r="C52" s="86" t="s">
        <v>561</v>
      </c>
      <c r="D52" s="53" t="s">
        <v>562</v>
      </c>
      <c r="E52" s="53" t="s">
        <v>563</v>
      </c>
      <c r="F52" s="76" t="s">
        <v>137</v>
      </c>
      <c r="G52" s="106">
        <v>15000</v>
      </c>
      <c r="H52" s="107"/>
      <c r="I52" s="75"/>
      <c r="J52" s="107">
        <v>16400</v>
      </c>
      <c r="K52" s="108" t="s">
        <v>516</v>
      </c>
      <c r="L52" s="107">
        <v>15000</v>
      </c>
      <c r="M52" s="108" t="s">
        <v>517</v>
      </c>
      <c r="N52" s="107">
        <v>17900</v>
      </c>
      <c r="O52" s="108" t="s">
        <v>518</v>
      </c>
      <c r="P52" s="107"/>
      <c r="Q52" s="108"/>
      <c r="R52" s="107"/>
      <c r="S52" s="108"/>
      <c r="T52" s="53"/>
    </row>
    <row r="53" spans="3:20" ht="18.95" customHeight="1" x14ac:dyDescent="0.15">
      <c r="C53" s="86" t="s">
        <v>564</v>
      </c>
      <c r="D53" s="53" t="s">
        <v>565</v>
      </c>
      <c r="E53" s="53" t="s">
        <v>566</v>
      </c>
      <c r="F53" s="76" t="s">
        <v>245</v>
      </c>
      <c r="G53" s="106" t="s">
        <v>567</v>
      </c>
      <c r="H53" s="107">
        <v>442</v>
      </c>
      <c r="I53" s="75" t="s">
        <v>568</v>
      </c>
      <c r="J53" s="107">
        <v>1354</v>
      </c>
      <c r="K53" s="108" t="s">
        <v>569</v>
      </c>
      <c r="L53" s="107">
        <v>537</v>
      </c>
      <c r="M53" s="108" t="s">
        <v>567</v>
      </c>
      <c r="N53" s="107"/>
      <c r="O53" s="108"/>
      <c r="P53" s="107"/>
      <c r="Q53" s="108"/>
      <c r="R53" s="107"/>
      <c r="S53" s="108"/>
      <c r="T53" s="53"/>
    </row>
    <row r="54" spans="3:20" ht="18.95" customHeight="1" x14ac:dyDescent="0.15">
      <c r="C54" s="86" t="s">
        <v>570</v>
      </c>
      <c r="D54" s="53" t="s">
        <v>571</v>
      </c>
      <c r="E54" s="53" t="s">
        <v>566</v>
      </c>
      <c r="F54" s="76" t="s">
        <v>245</v>
      </c>
      <c r="G54" s="106" t="s">
        <v>567</v>
      </c>
      <c r="H54" s="107">
        <v>442</v>
      </c>
      <c r="I54" s="75" t="s">
        <v>568</v>
      </c>
      <c r="J54" s="107">
        <v>1354</v>
      </c>
      <c r="K54" s="108" t="s">
        <v>569</v>
      </c>
      <c r="L54" s="107">
        <v>537</v>
      </c>
      <c r="M54" s="108" t="s">
        <v>567</v>
      </c>
      <c r="N54" s="107"/>
      <c r="O54" s="108"/>
      <c r="P54" s="107"/>
      <c r="Q54" s="108"/>
      <c r="R54" s="107"/>
      <c r="S54" s="108"/>
      <c r="T54" s="53"/>
    </row>
    <row r="55" spans="3:20" ht="18.95" customHeight="1" x14ac:dyDescent="0.15">
      <c r="C55" s="86" t="s">
        <v>572</v>
      </c>
      <c r="D55" s="53" t="s">
        <v>573</v>
      </c>
      <c r="E55" s="53" t="s">
        <v>574</v>
      </c>
      <c r="F55" s="76" t="s">
        <v>575</v>
      </c>
      <c r="G55" s="106" t="s">
        <v>567</v>
      </c>
      <c r="H55" s="107">
        <v>319</v>
      </c>
      <c r="I55" s="75" t="s">
        <v>568</v>
      </c>
      <c r="J55" s="107">
        <v>830</v>
      </c>
      <c r="K55" s="108" t="s">
        <v>569</v>
      </c>
      <c r="L55" s="107">
        <v>397</v>
      </c>
      <c r="M55" s="108" t="s">
        <v>567</v>
      </c>
      <c r="N55" s="107"/>
      <c r="O55" s="108"/>
      <c r="P55" s="107"/>
      <c r="Q55" s="108"/>
      <c r="R55" s="107"/>
      <c r="S55" s="108"/>
      <c r="T55" s="53"/>
    </row>
    <row r="56" spans="3:20" ht="18.95" customHeight="1" x14ac:dyDescent="0.15">
      <c r="C56" s="86" t="s">
        <v>576</v>
      </c>
      <c r="D56" s="53" t="s">
        <v>577</v>
      </c>
      <c r="E56" s="53" t="s">
        <v>578</v>
      </c>
      <c r="F56" s="76" t="s">
        <v>579</v>
      </c>
      <c r="G56" s="106">
        <v>284880</v>
      </c>
      <c r="H56" s="107"/>
      <c r="I56" s="75"/>
      <c r="J56" s="107"/>
      <c r="K56" s="108"/>
      <c r="L56" s="107"/>
      <c r="M56" s="108"/>
      <c r="N56" s="107"/>
      <c r="O56" s="108"/>
      <c r="P56" s="107"/>
      <c r="Q56" s="108"/>
      <c r="R56" s="107"/>
      <c r="S56" s="108"/>
      <c r="T56" s="53"/>
    </row>
    <row r="57" spans="3:20" ht="18.95" customHeight="1" x14ac:dyDescent="0.15">
      <c r="C57" s="86" t="s">
        <v>580</v>
      </c>
      <c r="D57" s="53" t="s">
        <v>577</v>
      </c>
      <c r="E57" s="53" t="s">
        <v>581</v>
      </c>
      <c r="F57" s="76" t="s">
        <v>579</v>
      </c>
      <c r="G57" s="106">
        <v>436224</v>
      </c>
      <c r="H57" s="107"/>
      <c r="I57" s="75"/>
      <c r="J57" s="107"/>
      <c r="K57" s="108"/>
      <c r="L57" s="107"/>
      <c r="M57" s="108"/>
      <c r="N57" s="107"/>
      <c r="O57" s="108"/>
      <c r="P57" s="107"/>
      <c r="Q57" s="108"/>
      <c r="R57" s="107"/>
      <c r="S57" s="108"/>
      <c r="T57" s="53"/>
    </row>
    <row r="58" spans="3:20" ht="18.95" customHeight="1" x14ac:dyDescent="0.15">
      <c r="C58" s="86" t="s">
        <v>582</v>
      </c>
      <c r="D58" s="53" t="s">
        <v>577</v>
      </c>
      <c r="E58" s="53" t="s">
        <v>583</v>
      </c>
      <c r="F58" s="76" t="s">
        <v>579</v>
      </c>
      <c r="G58" s="106">
        <v>315528</v>
      </c>
      <c r="H58" s="107"/>
      <c r="I58" s="75"/>
      <c r="J58" s="107"/>
      <c r="K58" s="108"/>
      <c r="L58" s="107"/>
      <c r="M58" s="108"/>
      <c r="N58" s="107"/>
      <c r="O58" s="108"/>
      <c r="P58" s="107"/>
      <c r="Q58" s="108"/>
      <c r="R58" s="107"/>
      <c r="S58" s="108"/>
      <c r="T58" s="53"/>
    </row>
    <row r="59" spans="3:20" ht="18.95" customHeight="1" x14ac:dyDescent="0.15">
      <c r="C59" s="86" t="s">
        <v>584</v>
      </c>
      <c r="D59" s="53" t="s">
        <v>577</v>
      </c>
      <c r="E59" s="53" t="s">
        <v>585</v>
      </c>
      <c r="F59" s="76" t="s">
        <v>579</v>
      </c>
      <c r="G59" s="106">
        <v>408942</v>
      </c>
      <c r="H59" s="107"/>
      <c r="I59" s="75"/>
      <c r="J59" s="107"/>
      <c r="K59" s="108"/>
      <c r="L59" s="107"/>
      <c r="M59" s="108"/>
      <c r="N59" s="107"/>
      <c r="O59" s="108"/>
      <c r="P59" s="107"/>
      <c r="Q59" s="108"/>
      <c r="R59" s="107"/>
      <c r="S59" s="108"/>
      <c r="T59" s="53"/>
    </row>
    <row r="60" spans="3:20" ht="18.95" customHeight="1" x14ac:dyDescent="0.15">
      <c r="C60" s="86" t="s">
        <v>586</v>
      </c>
      <c r="D60" s="53" t="s">
        <v>577</v>
      </c>
      <c r="E60" s="53" t="s">
        <v>587</v>
      </c>
      <c r="F60" s="76" t="s">
        <v>579</v>
      </c>
      <c r="G60" s="106">
        <v>471349</v>
      </c>
      <c r="H60" s="107"/>
      <c r="I60" s="75"/>
      <c r="J60" s="107"/>
      <c r="K60" s="108"/>
      <c r="L60" s="107"/>
      <c r="M60" s="108"/>
      <c r="N60" s="107"/>
      <c r="O60" s="108"/>
      <c r="P60" s="107"/>
      <c r="Q60" s="108"/>
      <c r="R60" s="107"/>
      <c r="S60" s="108"/>
      <c r="T60" s="53"/>
    </row>
    <row r="61" spans="3:20" ht="18.95" customHeight="1" x14ac:dyDescent="0.15">
      <c r="C61" s="86" t="s">
        <v>588</v>
      </c>
      <c r="D61" s="53" t="s">
        <v>577</v>
      </c>
      <c r="E61" s="53" t="s">
        <v>589</v>
      </c>
      <c r="F61" s="76" t="s">
        <v>579</v>
      </c>
      <c r="G61" s="106">
        <v>172068</v>
      </c>
      <c r="H61" s="107"/>
      <c r="I61" s="75"/>
      <c r="J61" s="107"/>
      <c r="K61" s="108"/>
      <c r="L61" s="107"/>
      <c r="M61" s="108"/>
      <c r="N61" s="107"/>
      <c r="O61" s="108"/>
      <c r="P61" s="107"/>
      <c r="Q61" s="108"/>
      <c r="R61" s="107"/>
      <c r="S61" s="108"/>
      <c r="T61" s="53"/>
    </row>
    <row r="62" spans="3:20" ht="18.95" customHeight="1" x14ac:dyDescent="0.15">
      <c r="C62" s="86" t="s">
        <v>590</v>
      </c>
      <c r="D62" s="53" t="s">
        <v>577</v>
      </c>
      <c r="E62" s="53" t="s">
        <v>591</v>
      </c>
      <c r="F62" s="76" t="s">
        <v>579</v>
      </c>
      <c r="G62" s="106">
        <v>226122</v>
      </c>
      <c r="H62" s="107"/>
      <c r="I62" s="75"/>
      <c r="J62" s="107"/>
      <c r="K62" s="108"/>
      <c r="L62" s="107"/>
      <c r="M62" s="108"/>
      <c r="N62" s="107"/>
      <c r="O62" s="108"/>
      <c r="P62" s="107"/>
      <c r="Q62" s="108"/>
      <c r="R62" s="107"/>
      <c r="S62" s="108"/>
      <c r="T62" s="53"/>
    </row>
    <row r="63" spans="3:20" ht="18.95" customHeight="1" x14ac:dyDescent="0.15">
      <c r="C63" s="86" t="s">
        <v>592</v>
      </c>
      <c r="D63" s="53" t="s">
        <v>577</v>
      </c>
      <c r="E63" s="53" t="s">
        <v>593</v>
      </c>
      <c r="F63" s="76" t="s">
        <v>579</v>
      </c>
      <c r="G63" s="106">
        <v>393090</v>
      </c>
      <c r="H63" s="107"/>
      <c r="I63" s="75"/>
      <c r="J63" s="107"/>
      <c r="K63" s="108"/>
      <c r="L63" s="107"/>
      <c r="M63" s="108"/>
      <c r="N63" s="107"/>
      <c r="O63" s="108"/>
      <c r="P63" s="107"/>
      <c r="Q63" s="108"/>
      <c r="R63" s="107"/>
      <c r="S63" s="108"/>
      <c r="T63" s="53"/>
    </row>
    <row r="64" spans="3:20" ht="18.95" customHeight="1" x14ac:dyDescent="0.15">
      <c r="C64" s="86" t="s">
        <v>594</v>
      </c>
      <c r="D64" s="53" t="s">
        <v>577</v>
      </c>
      <c r="E64" s="53" t="s">
        <v>595</v>
      </c>
      <c r="F64" s="76" t="s">
        <v>579</v>
      </c>
      <c r="G64" s="106">
        <v>446358</v>
      </c>
      <c r="H64" s="107"/>
      <c r="I64" s="75"/>
      <c r="J64" s="107"/>
      <c r="K64" s="108"/>
      <c r="L64" s="107"/>
      <c r="M64" s="108"/>
      <c r="N64" s="107"/>
      <c r="O64" s="108"/>
      <c r="P64" s="107"/>
      <c r="Q64" s="108"/>
      <c r="R64" s="107"/>
      <c r="S64" s="108"/>
      <c r="T64" s="53"/>
    </row>
    <row r="65" spans="3:20" ht="18.95" customHeight="1" x14ac:dyDescent="0.15">
      <c r="C65" s="86" t="s">
        <v>596</v>
      </c>
      <c r="D65" s="53" t="s">
        <v>577</v>
      </c>
      <c r="E65" s="53" t="s">
        <v>597</v>
      </c>
      <c r="F65" s="76" t="s">
        <v>579</v>
      </c>
      <c r="G65" s="106">
        <v>273676</v>
      </c>
      <c r="H65" s="107"/>
      <c r="I65" s="75"/>
      <c r="J65" s="107"/>
      <c r="K65" s="108"/>
      <c r="L65" s="107"/>
      <c r="M65" s="108"/>
      <c r="N65" s="107"/>
      <c r="O65" s="108"/>
      <c r="P65" s="107"/>
      <c r="Q65" s="108"/>
      <c r="R65" s="107"/>
      <c r="S65" s="108"/>
      <c r="T65" s="53"/>
    </row>
    <row r="66" spans="3:20" ht="18.95" customHeight="1" x14ac:dyDescent="0.15">
      <c r="D66" s="53"/>
      <c r="E66" s="53"/>
      <c r="F66" s="76"/>
      <c r="G66" s="106"/>
      <c r="H66" s="107"/>
      <c r="I66" s="75"/>
      <c r="J66" s="107"/>
      <c r="K66" s="108"/>
      <c r="L66" s="107"/>
      <c r="M66" s="108"/>
      <c r="N66" s="107"/>
      <c r="O66" s="108"/>
      <c r="P66" s="107"/>
      <c r="Q66" s="108"/>
      <c r="R66" s="107"/>
      <c r="S66" s="108"/>
      <c r="T66" s="53"/>
    </row>
    <row r="67" spans="3:20" ht="18.95" customHeight="1" x14ac:dyDescent="0.15">
      <c r="D67" s="53"/>
      <c r="E67" s="53"/>
      <c r="F67" s="76"/>
      <c r="G67" s="106"/>
      <c r="H67" s="107"/>
      <c r="I67" s="75"/>
      <c r="J67" s="107"/>
      <c r="K67" s="108"/>
      <c r="L67" s="107"/>
      <c r="M67" s="108"/>
      <c r="N67" s="107"/>
      <c r="O67" s="108"/>
      <c r="P67" s="107"/>
      <c r="Q67" s="108"/>
      <c r="R67" s="107"/>
      <c r="S67" s="108"/>
      <c r="T67" s="53"/>
    </row>
    <row r="68" spans="3:20" ht="18.95" customHeight="1" x14ac:dyDescent="0.15">
      <c r="D68" s="53"/>
      <c r="E68" s="53"/>
      <c r="F68" s="76"/>
      <c r="G68" s="106"/>
      <c r="H68" s="107"/>
      <c r="I68" s="75"/>
      <c r="J68" s="107"/>
      <c r="K68" s="108"/>
      <c r="L68" s="107"/>
      <c r="M68" s="108"/>
      <c r="N68" s="107"/>
      <c r="O68" s="108"/>
      <c r="P68" s="107"/>
      <c r="Q68" s="108"/>
      <c r="R68" s="107"/>
      <c r="S68" s="108"/>
      <c r="T68" s="53"/>
    </row>
    <row r="69" spans="3:20" ht="18.95" customHeight="1" x14ac:dyDescent="0.15">
      <c r="D69" s="53"/>
      <c r="E69" s="53"/>
      <c r="F69" s="76"/>
      <c r="G69" s="106"/>
      <c r="H69" s="107"/>
      <c r="I69" s="75"/>
      <c r="J69" s="107"/>
      <c r="K69" s="108"/>
      <c r="L69" s="107"/>
      <c r="M69" s="108"/>
      <c r="N69" s="107"/>
      <c r="O69" s="108"/>
      <c r="P69" s="107"/>
      <c r="Q69" s="108"/>
      <c r="R69" s="107"/>
      <c r="S69" s="108"/>
      <c r="T69" s="53"/>
    </row>
    <row r="70" spans="3:20" ht="18.95" customHeight="1" x14ac:dyDescent="0.15">
      <c r="D70" s="53"/>
      <c r="E70" s="53"/>
      <c r="F70" s="76"/>
      <c r="G70" s="106"/>
      <c r="H70" s="107"/>
      <c r="I70" s="75"/>
      <c r="J70" s="107"/>
      <c r="K70" s="108"/>
      <c r="L70" s="107"/>
      <c r="M70" s="108"/>
      <c r="N70" s="107"/>
      <c r="O70" s="108"/>
      <c r="P70" s="107"/>
      <c r="Q70" s="108"/>
      <c r="R70" s="107"/>
      <c r="S70" s="108"/>
      <c r="T70" s="53"/>
    </row>
    <row r="71" spans="3:20" ht="18.95" customHeight="1" x14ac:dyDescent="0.15">
      <c r="D71" s="53"/>
      <c r="E71" s="53"/>
      <c r="F71" s="76"/>
      <c r="G71" s="106"/>
      <c r="H71" s="107"/>
      <c r="I71" s="75"/>
      <c r="J71" s="107"/>
      <c r="K71" s="108"/>
      <c r="L71" s="107"/>
      <c r="M71" s="108"/>
      <c r="N71" s="107"/>
      <c r="O71" s="108"/>
      <c r="P71" s="107"/>
      <c r="Q71" s="108"/>
      <c r="R71" s="107"/>
      <c r="S71" s="108"/>
      <c r="T71" s="53"/>
    </row>
    <row r="72" spans="3:20" ht="18.95" customHeight="1" x14ac:dyDescent="0.15">
      <c r="D72" s="53"/>
      <c r="E72" s="53"/>
      <c r="F72" s="76"/>
      <c r="G72" s="106"/>
      <c r="H72" s="107"/>
      <c r="I72" s="75"/>
      <c r="J72" s="107"/>
      <c r="K72" s="108"/>
      <c r="L72" s="107"/>
      <c r="M72" s="108"/>
      <c r="N72" s="107"/>
      <c r="O72" s="108"/>
      <c r="P72" s="107"/>
      <c r="Q72" s="108"/>
      <c r="R72" s="107"/>
      <c r="S72" s="108"/>
      <c r="T72" s="53"/>
    </row>
    <row r="73" spans="3:20" ht="18.95" customHeight="1" x14ac:dyDescent="0.15">
      <c r="D73" s="53"/>
      <c r="E73" s="53"/>
      <c r="F73" s="76"/>
      <c r="G73" s="106"/>
      <c r="H73" s="107"/>
      <c r="I73" s="75"/>
      <c r="J73" s="107"/>
      <c r="K73" s="108"/>
      <c r="L73" s="107"/>
      <c r="M73" s="108"/>
      <c r="N73" s="107"/>
      <c r="O73" s="108"/>
      <c r="P73" s="107"/>
      <c r="Q73" s="108"/>
      <c r="R73" s="107"/>
      <c r="S73" s="108"/>
      <c r="T73" s="53"/>
    </row>
    <row r="74" spans="3:20" ht="18.95" customHeight="1" x14ac:dyDescent="0.15">
      <c r="D74" s="53"/>
      <c r="E74" s="53"/>
      <c r="F74" s="76"/>
      <c r="G74" s="106"/>
      <c r="H74" s="107"/>
      <c r="I74" s="75"/>
      <c r="J74" s="107"/>
      <c r="K74" s="108"/>
      <c r="L74" s="107"/>
      <c r="M74" s="108"/>
      <c r="N74" s="107"/>
      <c r="O74" s="108"/>
      <c r="P74" s="107"/>
      <c r="Q74" s="108"/>
      <c r="R74" s="107"/>
      <c r="S74" s="108"/>
      <c r="T74" s="53"/>
    </row>
    <row r="75" spans="3:20" ht="18.95" customHeight="1" x14ac:dyDescent="0.15">
      <c r="D75" s="53"/>
      <c r="E75" s="53"/>
      <c r="F75" s="76"/>
      <c r="G75" s="106"/>
      <c r="H75" s="107"/>
      <c r="I75" s="75"/>
      <c r="J75" s="107"/>
      <c r="K75" s="108"/>
      <c r="L75" s="107"/>
      <c r="M75" s="108"/>
      <c r="N75" s="107"/>
      <c r="O75" s="108"/>
      <c r="P75" s="107"/>
      <c r="Q75" s="108"/>
      <c r="R75" s="107"/>
      <c r="S75" s="108"/>
      <c r="T75" s="53"/>
    </row>
    <row r="76" spans="3:20" ht="18.95" customHeight="1" x14ac:dyDescent="0.15">
      <c r="D76" s="53"/>
      <c r="E76" s="53"/>
      <c r="F76" s="76"/>
      <c r="G76" s="106"/>
      <c r="H76" s="107"/>
      <c r="I76" s="75"/>
      <c r="J76" s="107"/>
      <c r="K76" s="108"/>
      <c r="L76" s="107"/>
      <c r="M76" s="108"/>
      <c r="N76" s="107"/>
      <c r="O76" s="108"/>
      <c r="P76" s="107"/>
      <c r="Q76" s="108"/>
      <c r="R76" s="107"/>
      <c r="S76" s="108"/>
      <c r="T76" s="53"/>
    </row>
    <row r="77" spans="3:20" ht="18.95" customHeight="1" x14ac:dyDescent="0.15">
      <c r="D77" s="53"/>
      <c r="E77" s="53"/>
      <c r="F77" s="76"/>
      <c r="G77" s="106"/>
      <c r="H77" s="107"/>
      <c r="I77" s="75"/>
      <c r="J77" s="107"/>
      <c r="K77" s="108"/>
      <c r="L77" s="107"/>
      <c r="M77" s="108"/>
      <c r="N77" s="107"/>
      <c r="O77" s="108"/>
      <c r="P77" s="107"/>
      <c r="Q77" s="108"/>
      <c r="R77" s="107"/>
      <c r="S77" s="108"/>
      <c r="T77" s="53"/>
    </row>
    <row r="78" spans="3:20" ht="18.95" customHeight="1" x14ac:dyDescent="0.15">
      <c r="D78" s="53"/>
      <c r="E78" s="53"/>
      <c r="F78" s="76"/>
      <c r="G78" s="106"/>
      <c r="H78" s="107"/>
      <c r="I78" s="75"/>
      <c r="J78" s="107"/>
      <c r="K78" s="108"/>
      <c r="L78" s="107"/>
      <c r="M78" s="108"/>
      <c r="N78" s="107"/>
      <c r="O78" s="108"/>
      <c r="P78" s="107"/>
      <c r="Q78" s="108"/>
      <c r="R78" s="107"/>
      <c r="S78" s="108"/>
      <c r="T78" s="53"/>
    </row>
    <row r="79" spans="3:20" ht="18.95" customHeight="1" x14ac:dyDescent="0.15">
      <c r="D79" s="53"/>
      <c r="E79" s="53"/>
      <c r="F79" s="76"/>
      <c r="G79" s="106"/>
      <c r="H79" s="107"/>
      <c r="I79" s="75"/>
      <c r="J79" s="107"/>
      <c r="K79" s="108"/>
      <c r="L79" s="107"/>
      <c r="M79" s="108"/>
      <c r="N79" s="107"/>
      <c r="O79" s="108"/>
      <c r="P79" s="107"/>
      <c r="Q79" s="108"/>
      <c r="R79" s="107"/>
      <c r="S79" s="108"/>
      <c r="T79" s="53"/>
    </row>
    <row r="80" spans="3:20" ht="18.95" customHeight="1" x14ac:dyDescent="0.15">
      <c r="D80" s="53"/>
      <c r="E80" s="53"/>
      <c r="F80" s="76"/>
      <c r="G80" s="106"/>
      <c r="H80" s="107"/>
      <c r="I80" s="75"/>
      <c r="J80" s="107"/>
      <c r="K80" s="108"/>
      <c r="L80" s="107"/>
      <c r="M80" s="108"/>
      <c r="N80" s="107"/>
      <c r="O80" s="108"/>
      <c r="P80" s="107"/>
      <c r="Q80" s="108"/>
      <c r="R80" s="107"/>
      <c r="S80" s="108"/>
      <c r="T80" s="53"/>
    </row>
    <row r="81" spans="4:20" ht="18.95" customHeight="1" x14ac:dyDescent="0.15">
      <c r="D81" s="53"/>
      <c r="E81" s="53"/>
      <c r="F81" s="76"/>
      <c r="G81" s="106"/>
      <c r="H81" s="107"/>
      <c r="I81" s="75"/>
      <c r="J81" s="107"/>
      <c r="K81" s="108"/>
      <c r="L81" s="107"/>
      <c r="M81" s="108"/>
      <c r="N81" s="107"/>
      <c r="O81" s="108"/>
      <c r="P81" s="107"/>
      <c r="Q81" s="108"/>
      <c r="R81" s="107"/>
      <c r="S81" s="108"/>
      <c r="T81" s="53"/>
    </row>
    <row r="82" spans="4:20" ht="18.95" customHeight="1" x14ac:dyDescent="0.15">
      <c r="D82" s="53"/>
      <c r="E82" s="53"/>
      <c r="F82" s="76"/>
      <c r="G82" s="106"/>
      <c r="H82" s="107"/>
      <c r="I82" s="75"/>
      <c r="J82" s="107"/>
      <c r="K82" s="108"/>
      <c r="L82" s="107"/>
      <c r="M82" s="108"/>
      <c r="N82" s="107"/>
      <c r="O82" s="108"/>
      <c r="P82" s="107"/>
      <c r="Q82" s="108"/>
      <c r="R82" s="107"/>
      <c r="S82" s="108"/>
      <c r="T82" s="53"/>
    </row>
    <row r="83" spans="4:20" ht="18.95" customHeight="1" x14ac:dyDescent="0.15">
      <c r="D83" s="53"/>
      <c r="E83" s="53"/>
      <c r="F83" s="76"/>
      <c r="G83" s="106"/>
      <c r="H83" s="107"/>
      <c r="I83" s="75"/>
      <c r="J83" s="107"/>
      <c r="K83" s="108"/>
      <c r="L83" s="107"/>
      <c r="M83" s="108"/>
      <c r="N83" s="107"/>
      <c r="O83" s="108"/>
      <c r="P83" s="107"/>
      <c r="Q83" s="108"/>
      <c r="R83" s="107"/>
      <c r="S83" s="108"/>
      <c r="T83" s="53"/>
    </row>
    <row r="84" spans="4:20" ht="18.95" customHeight="1" x14ac:dyDescent="0.15">
      <c r="D84" s="53"/>
      <c r="E84" s="53"/>
      <c r="F84" s="76"/>
      <c r="G84" s="106"/>
      <c r="H84" s="107"/>
      <c r="I84" s="75"/>
      <c r="J84" s="107"/>
      <c r="K84" s="108"/>
      <c r="L84" s="107"/>
      <c r="M84" s="108"/>
      <c r="N84" s="107"/>
      <c r="O84" s="108"/>
      <c r="P84" s="107"/>
      <c r="Q84" s="108"/>
      <c r="R84" s="107"/>
      <c r="S84" s="108"/>
      <c r="T84" s="53"/>
    </row>
    <row r="85" spans="4:20" ht="18.95" customHeight="1" x14ac:dyDescent="0.15">
      <c r="D85" s="53"/>
      <c r="E85" s="53"/>
      <c r="F85" s="76"/>
      <c r="G85" s="106"/>
      <c r="H85" s="107"/>
      <c r="I85" s="75"/>
      <c r="J85" s="107"/>
      <c r="K85" s="108"/>
      <c r="L85" s="107"/>
      <c r="M85" s="108"/>
      <c r="N85" s="107"/>
      <c r="O85" s="108"/>
      <c r="P85" s="107"/>
      <c r="Q85" s="108"/>
      <c r="R85" s="107"/>
      <c r="S85" s="108"/>
      <c r="T85" s="53"/>
    </row>
    <row r="86" spans="4:20" ht="18.95" customHeight="1" x14ac:dyDescent="0.15">
      <c r="D86" s="53"/>
      <c r="E86" s="53"/>
      <c r="F86" s="76"/>
      <c r="G86" s="106"/>
      <c r="H86" s="107"/>
      <c r="I86" s="75"/>
      <c r="J86" s="107"/>
      <c r="K86" s="108"/>
      <c r="L86" s="107"/>
      <c r="M86" s="108"/>
      <c r="N86" s="107"/>
      <c r="O86" s="108"/>
      <c r="P86" s="107"/>
      <c r="Q86" s="108"/>
      <c r="R86" s="107"/>
      <c r="S86" s="108"/>
      <c r="T86" s="53"/>
    </row>
    <row r="87" spans="4:20" ht="18.95" customHeight="1" x14ac:dyDescent="0.15">
      <c r="D87" s="53"/>
      <c r="E87" s="53"/>
      <c r="F87" s="76"/>
      <c r="G87" s="106"/>
      <c r="H87" s="107"/>
      <c r="I87" s="75"/>
      <c r="J87" s="107"/>
      <c r="K87" s="108"/>
      <c r="L87" s="107"/>
      <c r="M87" s="108"/>
      <c r="N87" s="107"/>
      <c r="O87" s="108"/>
      <c r="P87" s="107"/>
      <c r="Q87" s="108"/>
      <c r="R87" s="107"/>
      <c r="S87" s="108"/>
      <c r="T87" s="53"/>
    </row>
    <row r="88" spans="4:20" ht="18.95" customHeight="1" x14ac:dyDescent="0.15">
      <c r="D88" s="53"/>
      <c r="E88" s="53"/>
      <c r="F88" s="76"/>
      <c r="G88" s="106"/>
      <c r="H88" s="107"/>
      <c r="I88" s="75"/>
      <c r="J88" s="107"/>
      <c r="K88" s="108"/>
      <c r="L88" s="107"/>
      <c r="M88" s="108"/>
      <c r="N88" s="107"/>
      <c r="O88" s="108"/>
      <c r="P88" s="107"/>
      <c r="Q88" s="108"/>
      <c r="R88" s="107"/>
      <c r="S88" s="108"/>
      <c r="T88" s="53"/>
    </row>
    <row r="89" spans="4:20" ht="18.95" customHeight="1" x14ac:dyDescent="0.15">
      <c r="D89" s="53"/>
      <c r="E89" s="53"/>
      <c r="F89" s="76"/>
      <c r="G89" s="106"/>
      <c r="H89" s="107"/>
      <c r="I89" s="75"/>
      <c r="J89" s="107"/>
      <c r="K89" s="108"/>
      <c r="L89" s="107"/>
      <c r="M89" s="108"/>
      <c r="N89" s="107"/>
      <c r="O89" s="108"/>
      <c r="P89" s="107"/>
      <c r="Q89" s="108"/>
      <c r="R89" s="107"/>
      <c r="S89" s="108"/>
      <c r="T89" s="53"/>
    </row>
    <row r="90" spans="4:20" ht="18.95" customHeight="1" x14ac:dyDescent="0.15">
      <c r="D90" s="53"/>
      <c r="E90" s="53"/>
      <c r="F90" s="76"/>
      <c r="G90" s="106"/>
      <c r="H90" s="107"/>
      <c r="I90" s="75"/>
      <c r="J90" s="107"/>
      <c r="K90" s="108"/>
      <c r="L90" s="107"/>
      <c r="M90" s="108"/>
      <c r="N90" s="107"/>
      <c r="O90" s="108"/>
      <c r="P90" s="107"/>
      <c r="Q90" s="108"/>
      <c r="R90" s="107"/>
      <c r="S90" s="108"/>
      <c r="T90" s="53"/>
    </row>
    <row r="91" spans="4:20" ht="18.95" customHeight="1" x14ac:dyDescent="0.15">
      <c r="D91" s="53"/>
      <c r="E91" s="53"/>
      <c r="F91" s="76"/>
      <c r="G91" s="106"/>
      <c r="H91" s="107"/>
      <c r="I91" s="75"/>
      <c r="J91" s="107"/>
      <c r="K91" s="108"/>
      <c r="L91" s="107"/>
      <c r="M91" s="108"/>
      <c r="N91" s="107"/>
      <c r="O91" s="108"/>
      <c r="P91" s="107"/>
      <c r="Q91" s="108"/>
      <c r="R91" s="107"/>
      <c r="S91" s="108"/>
      <c r="T91" s="53"/>
    </row>
    <row r="92" spans="4:20" ht="18.95" customHeight="1" x14ac:dyDescent="0.15">
      <c r="D92" s="53"/>
      <c r="E92" s="53"/>
      <c r="F92" s="76"/>
      <c r="G92" s="106"/>
      <c r="H92" s="107"/>
      <c r="I92" s="75"/>
      <c r="J92" s="107"/>
      <c r="K92" s="108"/>
      <c r="L92" s="107"/>
      <c r="M92" s="108"/>
      <c r="N92" s="107"/>
      <c r="O92" s="108"/>
      <c r="P92" s="107"/>
      <c r="Q92" s="108"/>
      <c r="R92" s="107"/>
      <c r="S92" s="108"/>
      <c r="T92" s="53"/>
    </row>
    <row r="93" spans="4:20" ht="18.95" customHeight="1" x14ac:dyDescent="0.15">
      <c r="D93" s="53"/>
      <c r="E93" s="53"/>
      <c r="F93" s="76"/>
      <c r="G93" s="106"/>
      <c r="H93" s="107"/>
      <c r="I93" s="75"/>
      <c r="J93" s="107"/>
      <c r="K93" s="108"/>
      <c r="L93" s="107"/>
      <c r="M93" s="108"/>
      <c r="N93" s="107"/>
      <c r="O93" s="108"/>
      <c r="P93" s="107"/>
      <c r="Q93" s="108"/>
      <c r="R93" s="107"/>
      <c r="S93" s="108"/>
      <c r="T93" s="53"/>
    </row>
  </sheetData>
  <mergeCells count="14">
    <mergeCell ref="A2:A3"/>
    <mergeCell ref="B2:B3"/>
    <mergeCell ref="C2:C3"/>
    <mergeCell ref="D2:D3"/>
    <mergeCell ref="E2:E3"/>
    <mergeCell ref="N2:O2"/>
    <mergeCell ref="P2:Q2"/>
    <mergeCell ref="R2:S2"/>
    <mergeCell ref="T2:T3"/>
    <mergeCell ref="D1:T1"/>
    <mergeCell ref="F2:F3"/>
    <mergeCell ref="G2:G3"/>
    <mergeCell ref="J2:K2"/>
    <mergeCell ref="L2:M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43"/>
  <sheetViews>
    <sheetView workbookViewId="0">
      <selection activeCell="D1" sqref="D1:N1"/>
    </sheetView>
  </sheetViews>
  <sheetFormatPr defaultRowHeight="13.5" x14ac:dyDescent="0.15"/>
  <cols>
    <col min="1" max="1" width="36.109375" style="25" customWidth="1"/>
    <col min="2" max="2" width="15.109375" style="1" bestFit="1" customWidth="1"/>
    <col min="3" max="6" width="15.109375" style="1" customWidth="1"/>
    <col min="7" max="7" width="8.6640625" style="1" customWidth="1"/>
    <col min="8" max="8" width="8.77734375" style="1" customWidth="1"/>
    <col min="9" max="16384" width="8.88671875" style="1"/>
  </cols>
  <sheetData>
    <row r="1" spans="1:13" ht="14.25" thickBot="1" x14ac:dyDescent="0.2">
      <c r="A1" s="54" t="s">
        <v>35</v>
      </c>
      <c r="B1" s="55" t="s">
        <v>41</v>
      </c>
      <c r="C1" s="55" t="s">
        <v>42</v>
      </c>
      <c r="D1" s="55" t="s">
        <v>43</v>
      </c>
      <c r="E1" s="55" t="s">
        <v>35</v>
      </c>
      <c r="F1" s="56" t="s">
        <v>12</v>
      </c>
      <c r="H1" s="57"/>
    </row>
    <row r="2" spans="1:13" x14ac:dyDescent="0.15">
      <c r="A2" s="7" t="s">
        <v>78</v>
      </c>
      <c r="B2" s="58">
        <f>총괄표!I29</f>
        <v>2473176</v>
      </c>
      <c r="C2" s="58">
        <f>총괄표!L29</f>
        <v>8661025</v>
      </c>
      <c r="D2" s="58">
        <f>총괄표!N29</f>
        <v>40242</v>
      </c>
      <c r="E2" s="58"/>
      <c r="F2" s="58">
        <f>SUM(B2,C2,D2)</f>
        <v>11174443</v>
      </c>
    </row>
    <row r="3" spans="1:13" x14ac:dyDescent="0.15">
      <c r="A3" s="8" t="s">
        <v>79</v>
      </c>
      <c r="B3" s="50"/>
      <c r="C3" s="50"/>
      <c r="D3" s="50"/>
      <c r="E3" s="50"/>
      <c r="F3" s="58">
        <f>SUM(B3,C3,D3)</f>
        <v>0</v>
      </c>
      <c r="H3" s="413" t="s">
        <v>80</v>
      </c>
      <c r="I3" s="414"/>
      <c r="J3" s="414"/>
      <c r="K3" s="414"/>
      <c r="L3" s="414"/>
      <c r="M3" s="415"/>
    </row>
    <row r="4" spans="1:13" x14ac:dyDescent="0.15">
      <c r="A4" s="8" t="s">
        <v>35</v>
      </c>
      <c r="B4" s="50"/>
      <c r="C4" s="50"/>
      <c r="D4" s="50"/>
      <c r="E4" s="50"/>
      <c r="F4" s="50"/>
      <c r="H4" s="416"/>
      <c r="I4" s="417"/>
      <c r="J4" s="417"/>
      <c r="K4" s="417"/>
      <c r="L4" s="417"/>
      <c r="M4" s="418"/>
    </row>
    <row r="5" spans="1:13" x14ac:dyDescent="0.15">
      <c r="A5" s="8" t="s">
        <v>35</v>
      </c>
      <c r="B5" s="50"/>
      <c r="C5" s="50" t="s">
        <v>35</v>
      </c>
      <c r="D5" s="50"/>
      <c r="E5" s="50"/>
      <c r="F5" s="50"/>
    </row>
    <row r="6" spans="1:13" x14ac:dyDescent="0.15">
      <c r="A6" s="8" t="s">
        <v>35</v>
      </c>
      <c r="B6" s="50"/>
      <c r="C6" s="50"/>
      <c r="D6" s="50"/>
      <c r="E6" s="50"/>
      <c r="F6" s="50"/>
      <c r="H6" s="419" t="s">
        <v>81</v>
      </c>
      <c r="I6" s="420"/>
      <c r="J6" s="420"/>
      <c r="K6" s="420"/>
      <c r="L6" s="420"/>
      <c r="M6" s="421"/>
    </row>
    <row r="7" spans="1:13" x14ac:dyDescent="0.15">
      <c r="A7" s="8"/>
      <c r="B7" s="50"/>
      <c r="C7" s="50"/>
      <c r="D7" s="50"/>
      <c r="E7" s="50"/>
      <c r="F7" s="50"/>
      <c r="H7" s="422"/>
      <c r="I7" s="423"/>
      <c r="J7" s="423"/>
      <c r="K7" s="423"/>
      <c r="L7" s="423"/>
      <c r="M7" s="424"/>
    </row>
    <row r="8" spans="1:13" x14ac:dyDescent="0.15">
      <c r="A8" s="8"/>
      <c r="B8" s="50"/>
      <c r="C8" s="50"/>
      <c r="D8" s="50"/>
      <c r="E8" s="50"/>
      <c r="F8" s="50"/>
    </row>
    <row r="9" spans="1:13" ht="14.25" thickBot="1" x14ac:dyDescent="0.2">
      <c r="B9" s="59"/>
      <c r="C9" s="59"/>
      <c r="D9" s="59"/>
      <c r="E9" s="59"/>
      <c r="F9" s="59"/>
      <c r="H9" s="419" t="s">
        <v>82</v>
      </c>
      <c r="I9" s="420"/>
      <c r="J9" s="420"/>
      <c r="K9" s="420"/>
      <c r="L9" s="420"/>
      <c r="M9" s="421"/>
    </row>
    <row r="10" spans="1:13" ht="14.25" thickBot="1" x14ac:dyDescent="0.2">
      <c r="A10" s="54"/>
      <c r="B10" s="55" t="s">
        <v>83</v>
      </c>
      <c r="C10" s="55" t="s">
        <v>84</v>
      </c>
      <c r="D10" s="55" t="s">
        <v>85</v>
      </c>
      <c r="E10" s="55" t="s">
        <v>86</v>
      </c>
      <c r="F10" s="56"/>
      <c r="H10" s="422"/>
      <c r="I10" s="423"/>
      <c r="J10" s="423"/>
      <c r="K10" s="423"/>
      <c r="L10" s="423"/>
      <c r="M10" s="424"/>
    </row>
    <row r="11" spans="1:13" x14ac:dyDescent="0.15">
      <c r="A11" s="7" t="s">
        <v>87</v>
      </c>
      <c r="B11" s="22">
        <v>100</v>
      </c>
      <c r="C11" s="22">
        <v>1</v>
      </c>
      <c r="D11" s="22">
        <f>$B$11/100</f>
        <v>1</v>
      </c>
      <c r="E11" s="22"/>
      <c r="F11" s="22"/>
    </row>
    <row r="12" spans="1:13" x14ac:dyDescent="0.15">
      <c r="A12" s="8" t="s">
        <v>88</v>
      </c>
      <c r="B12" s="24">
        <v>100</v>
      </c>
      <c r="C12" s="24">
        <v>1</v>
      </c>
      <c r="D12" s="22">
        <f>$B$12/100</f>
        <v>1</v>
      </c>
      <c r="E12" s="24">
        <v>2</v>
      </c>
      <c r="F12" s="24"/>
      <c r="H12" s="419" t="s">
        <v>89</v>
      </c>
      <c r="I12" s="420"/>
      <c r="J12" s="420"/>
      <c r="K12" s="420"/>
      <c r="L12" s="420"/>
      <c r="M12" s="421"/>
    </row>
    <row r="13" spans="1:13" x14ac:dyDescent="0.15">
      <c r="A13" s="8" t="s">
        <v>90</v>
      </c>
      <c r="B13" s="24">
        <v>100</v>
      </c>
      <c r="C13" s="24">
        <v>1</v>
      </c>
      <c r="D13" s="22">
        <f>$B$13/100</f>
        <v>1</v>
      </c>
      <c r="E13" s="24">
        <v>5</v>
      </c>
      <c r="F13" s="24"/>
      <c r="H13" s="422"/>
      <c r="I13" s="423"/>
      <c r="J13" s="423"/>
      <c r="K13" s="423"/>
      <c r="L13" s="423"/>
      <c r="M13" s="424"/>
    </row>
    <row r="14" spans="1:13" x14ac:dyDescent="0.15">
      <c r="A14" s="8"/>
      <c r="B14" s="24"/>
      <c r="C14" s="24"/>
      <c r="D14" s="24"/>
      <c r="E14" s="24"/>
      <c r="F14" s="24"/>
    </row>
    <row r="15" spans="1:13" x14ac:dyDescent="0.15">
      <c r="A15" s="8"/>
      <c r="B15" s="24"/>
      <c r="C15" s="24"/>
      <c r="D15" s="24"/>
      <c r="E15" s="24"/>
      <c r="F15" s="24"/>
    </row>
    <row r="16" spans="1:13" x14ac:dyDescent="0.15">
      <c r="A16" s="8"/>
      <c r="B16" s="24"/>
      <c r="C16" s="24"/>
      <c r="D16" s="24"/>
      <c r="E16" s="24"/>
      <c r="F16" s="24"/>
    </row>
    <row r="17" spans="1:6" x14ac:dyDescent="0.15">
      <c r="A17" s="8"/>
      <c r="B17" s="24"/>
      <c r="C17" s="24"/>
      <c r="D17" s="24"/>
      <c r="E17" s="24"/>
      <c r="F17" s="24"/>
    </row>
    <row r="18" spans="1:6" x14ac:dyDescent="0.15">
      <c r="A18" s="8" t="s">
        <v>35</v>
      </c>
      <c r="B18" s="24"/>
      <c r="C18" s="24"/>
      <c r="D18" s="24"/>
      <c r="E18" s="24"/>
      <c r="F18" s="24"/>
    </row>
    <row r="19" spans="1:6" ht="14.25" thickBot="1" x14ac:dyDescent="0.2">
      <c r="A19" s="60" t="s">
        <v>35</v>
      </c>
      <c r="B19" s="61"/>
      <c r="C19" s="61"/>
      <c r="D19" s="61"/>
      <c r="E19" s="61"/>
      <c r="F19" s="61"/>
    </row>
    <row r="20" spans="1:6" ht="14.25" thickBot="1" x14ac:dyDescent="0.2">
      <c r="A20" s="54" t="s">
        <v>91</v>
      </c>
      <c r="B20" s="55" t="s">
        <v>83</v>
      </c>
      <c r="C20" s="55"/>
      <c r="D20" s="55" t="s">
        <v>85</v>
      </c>
      <c r="E20" s="55"/>
      <c r="F20" s="56"/>
    </row>
    <row r="21" spans="1:6" x14ac:dyDescent="0.15">
      <c r="A21" s="7" t="s">
        <v>92</v>
      </c>
      <c r="B21" s="22">
        <f>B11</f>
        <v>100</v>
      </c>
      <c r="C21" s="22"/>
      <c r="D21" s="22">
        <f>$B$21/100</f>
        <v>1</v>
      </c>
      <c r="E21" s="22"/>
      <c r="F21" s="22"/>
    </row>
    <row r="22" spans="1:6" x14ac:dyDescent="0.15">
      <c r="A22" s="8" t="s">
        <v>93</v>
      </c>
      <c r="B22" s="24">
        <f>B11</f>
        <v>100</v>
      </c>
      <c r="C22" s="22"/>
      <c r="D22" s="22">
        <f>$B$22/100</f>
        <v>1</v>
      </c>
      <c r="E22" s="24"/>
      <c r="F22" s="24"/>
    </row>
    <row r="23" spans="1:6" x14ac:dyDescent="0.15">
      <c r="A23" s="8" t="s">
        <v>94</v>
      </c>
      <c r="B23" s="24">
        <f>B11</f>
        <v>100</v>
      </c>
      <c r="C23" s="22"/>
      <c r="D23" s="22">
        <f>$B$23/100</f>
        <v>1</v>
      </c>
      <c r="E23" s="24"/>
      <c r="F23" s="24"/>
    </row>
    <row r="24" spans="1:6" x14ac:dyDescent="0.15">
      <c r="A24" s="8" t="s">
        <v>95</v>
      </c>
      <c r="B24" s="24">
        <f>B11</f>
        <v>100</v>
      </c>
      <c r="C24" s="22"/>
      <c r="D24" s="22">
        <f>$B$24/100</f>
        <v>1</v>
      </c>
      <c r="E24" s="24"/>
      <c r="F24" s="24"/>
    </row>
    <row r="25" spans="1:6" x14ac:dyDescent="0.15">
      <c r="A25" s="8" t="s">
        <v>96</v>
      </c>
      <c r="B25" s="24">
        <f>B11</f>
        <v>100</v>
      </c>
      <c r="C25" s="22"/>
      <c r="D25" s="22">
        <f>$B$25/100</f>
        <v>1</v>
      </c>
      <c r="E25" s="24"/>
      <c r="F25" s="24"/>
    </row>
    <row r="26" spans="1:6" x14ac:dyDescent="0.15">
      <c r="A26" s="8"/>
      <c r="B26" s="24"/>
      <c r="C26" s="24"/>
      <c r="D26" s="24"/>
      <c r="E26" s="24"/>
      <c r="F26" s="24"/>
    </row>
    <row r="27" spans="1:6" x14ac:dyDescent="0.15">
      <c r="A27" s="8"/>
      <c r="B27" s="24"/>
      <c r="C27" s="24"/>
      <c r="D27" s="24"/>
      <c r="E27" s="24"/>
      <c r="F27" s="24"/>
    </row>
    <row r="28" spans="1:6" x14ac:dyDescent="0.15">
      <c r="A28" s="8"/>
      <c r="B28" s="24"/>
      <c r="C28" s="24"/>
      <c r="D28" s="24"/>
      <c r="E28" s="24"/>
      <c r="F28" s="24"/>
    </row>
    <row r="29" spans="1:6" ht="14.25" customHeight="1" thickBot="1" x14ac:dyDescent="0.2">
      <c r="A29" s="60"/>
      <c r="B29" s="61"/>
      <c r="C29" s="61"/>
      <c r="D29" s="61"/>
      <c r="E29" s="61"/>
      <c r="F29" s="61"/>
    </row>
    <row r="30" spans="1:6" ht="14.25" customHeight="1" thickBot="1" x14ac:dyDescent="0.2">
      <c r="A30" s="54" t="s">
        <v>97</v>
      </c>
      <c r="B30" s="55" t="s">
        <v>98</v>
      </c>
      <c r="C30" s="55" t="s">
        <v>99</v>
      </c>
      <c r="D30" s="55" t="s">
        <v>100</v>
      </c>
      <c r="E30" s="55"/>
      <c r="F30" s="56"/>
    </row>
    <row r="31" spans="1:6" x14ac:dyDescent="0.15">
      <c r="A31" s="7" t="s">
        <v>101</v>
      </c>
      <c r="B31" s="22">
        <v>20</v>
      </c>
      <c r="C31" s="22">
        <v>15</v>
      </c>
      <c r="D31" s="22">
        <v>20</v>
      </c>
      <c r="E31" s="22"/>
      <c r="F31" s="22"/>
    </row>
    <row r="32" spans="1:6" x14ac:dyDescent="0.15">
      <c r="A32" s="7" t="s">
        <v>102</v>
      </c>
      <c r="B32" s="24">
        <v>40</v>
      </c>
      <c r="C32" s="24">
        <v>40</v>
      </c>
      <c r="D32" s="24">
        <v>40</v>
      </c>
      <c r="E32" s="24"/>
      <c r="F32" s="24"/>
    </row>
    <row r="33" spans="1:13" x14ac:dyDescent="0.15">
      <c r="A33" s="8" t="s">
        <v>103</v>
      </c>
      <c r="B33" s="24">
        <v>2</v>
      </c>
      <c r="C33" s="24"/>
      <c r="D33" s="24"/>
      <c r="E33" s="24"/>
      <c r="F33" s="24"/>
      <c r="H33" s="419" t="s">
        <v>747</v>
      </c>
      <c r="I33" s="420"/>
      <c r="J33" s="420"/>
      <c r="K33" s="420"/>
      <c r="L33" s="420"/>
      <c r="M33" s="421"/>
    </row>
    <row r="34" spans="1:13" x14ac:dyDescent="0.15">
      <c r="A34" s="8" t="s">
        <v>104</v>
      </c>
      <c r="B34" s="24"/>
      <c r="C34" s="24"/>
      <c r="D34" s="24"/>
      <c r="E34" s="24"/>
      <c r="F34" s="24"/>
      <c r="H34" s="422"/>
      <c r="I34" s="423"/>
      <c r="J34" s="423"/>
      <c r="K34" s="423"/>
      <c r="L34" s="423"/>
      <c r="M34" s="424"/>
    </row>
    <row r="35" spans="1:13" x14ac:dyDescent="0.15">
      <c r="A35" s="8" t="s">
        <v>105</v>
      </c>
      <c r="B35" s="24">
        <v>2</v>
      </c>
      <c r="C35" s="24"/>
      <c r="D35" s="24"/>
      <c r="E35" s="24"/>
      <c r="F35" s="24"/>
    </row>
    <row r="36" spans="1:13" x14ac:dyDescent="0.15">
      <c r="A36" s="8" t="s">
        <v>106</v>
      </c>
      <c r="B36" s="24">
        <v>3</v>
      </c>
      <c r="C36" s="24"/>
      <c r="D36" s="24"/>
      <c r="E36" s="24"/>
      <c r="F36" s="24"/>
    </row>
    <row r="37" spans="1:13" x14ac:dyDescent="0.15">
      <c r="A37" s="8"/>
      <c r="B37" s="24"/>
      <c r="C37" s="24"/>
      <c r="D37" s="24"/>
      <c r="E37" s="24"/>
      <c r="F37" s="24"/>
    </row>
    <row r="38" spans="1:13" x14ac:dyDescent="0.15">
      <c r="A38" s="8"/>
      <c r="B38" s="24"/>
      <c r="C38" s="24"/>
      <c r="D38" s="24"/>
      <c r="E38" s="24"/>
      <c r="F38" s="24"/>
    </row>
    <row r="39" spans="1:13" ht="14.25" thickBot="1" x14ac:dyDescent="0.2">
      <c r="A39" s="60"/>
      <c r="B39" s="61"/>
      <c r="C39" s="61"/>
      <c r="D39" s="61"/>
      <c r="E39" s="61"/>
      <c r="F39" s="61"/>
    </row>
    <row r="40" spans="1:13" ht="14.25" thickBot="1" x14ac:dyDescent="0.2">
      <c r="A40" s="54" t="s">
        <v>107</v>
      </c>
      <c r="B40" s="55" t="s">
        <v>83</v>
      </c>
      <c r="C40" s="55" t="s">
        <v>108</v>
      </c>
      <c r="D40" s="55"/>
      <c r="E40" s="55"/>
      <c r="F40" s="56"/>
    </row>
    <row r="41" spans="1:13" x14ac:dyDescent="0.15">
      <c r="A41" s="25" t="s">
        <v>434</v>
      </c>
      <c r="B41" s="1">
        <v>100</v>
      </c>
      <c r="C41" s="1">
        <v>2</v>
      </c>
    </row>
    <row r="42" spans="1:13" x14ac:dyDescent="0.15">
      <c r="A42" s="25" t="s">
        <v>435</v>
      </c>
      <c r="B42" s="1">
        <v>100</v>
      </c>
      <c r="C42" s="1">
        <v>2</v>
      </c>
    </row>
    <row r="43" spans="1:13" x14ac:dyDescent="0.15">
      <c r="A43" s="25" t="s">
        <v>436</v>
      </c>
      <c r="B43" s="1">
        <v>100</v>
      </c>
      <c r="C43" s="1">
        <v>2</v>
      </c>
    </row>
  </sheetData>
  <mergeCells count="5">
    <mergeCell ref="H3:M4"/>
    <mergeCell ref="H6:M7"/>
    <mergeCell ref="H9:M10"/>
    <mergeCell ref="H12:M13"/>
    <mergeCell ref="H33:M34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"/>
  <dimension ref="A1:AD32"/>
  <sheetViews>
    <sheetView zoomScaleNormal="100" workbookViewId="0">
      <pane ySplit="3" topLeftCell="A4" activePane="bottomLeft" state="frozen"/>
      <selection activeCell="D1" sqref="D1:N1"/>
      <selection pane="bottomLeft" activeCell="D1" sqref="D1:N1"/>
    </sheetView>
  </sheetViews>
  <sheetFormatPr defaultRowHeight="15.6" customHeight="1" x14ac:dyDescent="0.15"/>
  <cols>
    <col min="1" max="1" width="13" style="34" hidden="1" customWidth="1"/>
    <col min="2" max="2" width="12" style="34" hidden="1" customWidth="1"/>
    <col min="3" max="3" width="17.33203125" style="34" hidden="1" customWidth="1"/>
    <col min="4" max="4" width="12.33203125" style="34" customWidth="1"/>
    <col min="5" max="5" width="78.6640625" style="34" customWidth="1"/>
    <col min="6" max="6" width="5.21875" style="38" customWidth="1"/>
    <col min="7" max="7" width="6.44140625" style="40" customWidth="1"/>
    <col min="8" max="8" width="27.77734375" style="34" customWidth="1"/>
    <col min="9" max="9" width="5.5546875" style="35" customWidth="1"/>
    <col min="10" max="10" width="10.44140625" style="35" customWidth="1"/>
    <col min="11" max="11" width="11.77734375" style="35" customWidth="1"/>
    <col min="12" max="12" width="8.44140625" style="35" customWidth="1"/>
    <col min="13" max="13" width="9.109375" style="35" customWidth="1"/>
    <col min="14" max="14" width="6" style="35" customWidth="1"/>
    <col min="15" max="15" width="13" style="35" customWidth="1"/>
    <col min="16" max="16" width="11.109375" style="34" customWidth="1"/>
    <col min="17" max="25" width="8.88671875" style="32"/>
    <col min="26" max="30" width="11.77734375" style="35" customWidth="1"/>
    <col min="31" max="16384" width="8.88671875" style="32"/>
  </cols>
  <sheetData>
    <row r="1" spans="1:30" ht="15.6" customHeight="1" x14ac:dyDescent="0.15">
      <c r="A1" s="32" t="s">
        <v>125</v>
      </c>
      <c r="B1" s="32">
        <v>32</v>
      </c>
      <c r="C1" s="32"/>
      <c r="D1" s="34" t="s">
        <v>109</v>
      </c>
      <c r="F1" s="34"/>
      <c r="I1" s="32"/>
      <c r="J1" s="32"/>
      <c r="K1" s="32"/>
      <c r="L1" s="32"/>
      <c r="M1" s="32"/>
      <c r="N1" s="32"/>
      <c r="O1" s="32"/>
      <c r="P1" s="32"/>
      <c r="Z1" s="32"/>
      <c r="AA1" s="32"/>
      <c r="AB1" s="32"/>
      <c r="AC1" s="32"/>
      <c r="AD1" s="32"/>
    </row>
    <row r="2" spans="1:30" ht="15.6" customHeight="1" x14ac:dyDescent="0.15">
      <c r="A2" s="33" t="s">
        <v>1</v>
      </c>
      <c r="B2" s="33" t="s">
        <v>2</v>
      </c>
      <c r="C2" s="33" t="s">
        <v>0</v>
      </c>
      <c r="D2" s="425" t="s">
        <v>25</v>
      </c>
      <c r="E2" s="425" t="s">
        <v>13</v>
      </c>
      <c r="F2" s="425" t="s">
        <v>5</v>
      </c>
      <c r="G2" s="427" t="s">
        <v>9</v>
      </c>
      <c r="H2" s="425" t="s">
        <v>20</v>
      </c>
      <c r="I2" s="32"/>
      <c r="J2" s="32"/>
      <c r="K2" s="32"/>
      <c r="L2" s="32"/>
      <c r="M2" s="32"/>
      <c r="N2" s="32"/>
      <c r="O2" s="32"/>
      <c r="P2" s="32"/>
      <c r="Z2" s="32"/>
      <c r="AA2" s="32"/>
      <c r="AB2" s="32"/>
      <c r="AC2" s="32"/>
      <c r="AD2" s="32"/>
    </row>
    <row r="3" spans="1:30" ht="15.6" customHeight="1" x14ac:dyDescent="0.15">
      <c r="A3" s="33"/>
      <c r="B3" s="33"/>
      <c r="C3" s="33"/>
      <c r="D3" s="426"/>
      <c r="E3" s="426"/>
      <c r="F3" s="426"/>
      <c r="G3" s="428"/>
      <c r="H3" s="426"/>
      <c r="I3" s="32"/>
      <c r="J3" s="32"/>
      <c r="K3" s="32"/>
      <c r="L3" s="32"/>
      <c r="M3" s="32"/>
      <c r="N3" s="32"/>
      <c r="O3" s="32"/>
      <c r="P3" s="32"/>
      <c r="Z3" s="32"/>
      <c r="AA3" s="32"/>
      <c r="AB3" s="32"/>
      <c r="AC3" s="32"/>
      <c r="AD3" s="32"/>
    </row>
    <row r="4" spans="1:30" ht="15.6" customHeight="1" x14ac:dyDescent="0.15">
      <c r="A4" s="32"/>
      <c r="B4" s="32"/>
      <c r="C4" s="32"/>
      <c r="D4" s="36" t="s">
        <v>110</v>
      </c>
      <c r="E4" s="36" t="s">
        <v>111</v>
      </c>
      <c r="F4" s="37" t="s">
        <v>112</v>
      </c>
      <c r="G4" s="39">
        <v>1</v>
      </c>
      <c r="H4" s="36" t="s">
        <v>419</v>
      </c>
      <c r="I4" s="32"/>
      <c r="J4" s="32"/>
      <c r="K4" s="32"/>
      <c r="L4" s="32"/>
      <c r="M4" s="32"/>
      <c r="N4" s="32"/>
      <c r="O4" s="32"/>
      <c r="P4" s="32"/>
      <c r="Z4" s="32"/>
      <c r="AA4" s="32"/>
      <c r="AB4" s="32"/>
      <c r="AC4" s="32"/>
      <c r="AD4" s="32"/>
    </row>
    <row r="5" spans="1:30" ht="15.6" customHeight="1" x14ac:dyDescent="0.15">
      <c r="A5" s="32"/>
      <c r="B5" s="32"/>
      <c r="C5" s="32"/>
      <c r="D5" s="36" t="s">
        <v>110</v>
      </c>
      <c r="E5" s="36" t="s">
        <v>113</v>
      </c>
      <c r="F5" s="37" t="s">
        <v>112</v>
      </c>
      <c r="G5" s="39">
        <v>1</v>
      </c>
      <c r="H5" s="36" t="s">
        <v>420</v>
      </c>
      <c r="I5" s="32"/>
      <c r="J5" s="32"/>
      <c r="K5" s="32"/>
      <c r="L5" s="32"/>
      <c r="M5" s="32"/>
      <c r="N5" s="32"/>
      <c r="O5" s="32"/>
      <c r="P5" s="32"/>
      <c r="Z5" s="32"/>
      <c r="AA5" s="32"/>
      <c r="AB5" s="32"/>
      <c r="AC5" s="32"/>
      <c r="AD5" s="32"/>
    </row>
    <row r="6" spans="1:30" ht="15.6" customHeight="1" x14ac:dyDescent="0.15">
      <c r="D6" s="36" t="s">
        <v>110</v>
      </c>
      <c r="E6" s="36" t="s">
        <v>114</v>
      </c>
      <c r="F6" s="37" t="s">
        <v>112</v>
      </c>
      <c r="G6" s="39">
        <v>1</v>
      </c>
      <c r="H6" s="36" t="s">
        <v>421</v>
      </c>
    </row>
    <row r="7" spans="1:30" ht="15.6" customHeight="1" x14ac:dyDescent="0.15">
      <c r="D7" s="36" t="s">
        <v>115</v>
      </c>
      <c r="E7" s="36" t="s">
        <v>116</v>
      </c>
      <c r="F7" s="37" t="s">
        <v>112</v>
      </c>
      <c r="G7" s="39">
        <v>1</v>
      </c>
      <c r="H7" s="36"/>
    </row>
    <row r="8" spans="1:30" ht="15.6" customHeight="1" x14ac:dyDescent="0.15">
      <c r="D8" s="36" t="s">
        <v>115</v>
      </c>
      <c r="E8" s="36" t="s">
        <v>117</v>
      </c>
      <c r="F8" s="37" t="s">
        <v>112</v>
      </c>
      <c r="G8" s="39">
        <v>1</v>
      </c>
      <c r="H8" s="36"/>
    </row>
    <row r="9" spans="1:30" ht="15.6" customHeight="1" x14ac:dyDescent="0.15">
      <c r="D9" s="36" t="s">
        <v>115</v>
      </c>
      <c r="E9" s="36" t="s">
        <v>111</v>
      </c>
      <c r="F9" s="37" t="s">
        <v>112</v>
      </c>
      <c r="G9" s="39">
        <v>1</v>
      </c>
      <c r="H9" s="36"/>
    </row>
    <row r="10" spans="1:30" ht="15.6" customHeight="1" x14ac:dyDescent="0.15">
      <c r="D10" s="36" t="s">
        <v>118</v>
      </c>
      <c r="E10" s="36" t="s">
        <v>119</v>
      </c>
      <c r="F10" s="37" t="s">
        <v>112</v>
      </c>
      <c r="G10" s="39">
        <v>1</v>
      </c>
      <c r="H10" s="36" t="s">
        <v>422</v>
      </c>
    </row>
    <row r="11" spans="1:30" ht="15.6" customHeight="1" x14ac:dyDescent="0.15">
      <c r="D11" s="36" t="s">
        <v>118</v>
      </c>
      <c r="E11" s="36" t="s">
        <v>120</v>
      </c>
      <c r="F11" s="37" t="s">
        <v>112</v>
      </c>
      <c r="G11" s="39">
        <v>1</v>
      </c>
      <c r="H11" s="36" t="s">
        <v>423</v>
      </c>
    </row>
    <row r="12" spans="1:30" ht="15.6" customHeight="1" x14ac:dyDescent="0.15">
      <c r="D12" s="36" t="s">
        <v>115</v>
      </c>
      <c r="E12" s="36" t="s">
        <v>121</v>
      </c>
      <c r="F12" s="37" t="s">
        <v>112</v>
      </c>
      <c r="G12" s="39">
        <v>1</v>
      </c>
      <c r="H12" s="36"/>
    </row>
    <row r="13" spans="1:30" ht="15.6" customHeight="1" x14ac:dyDescent="0.15">
      <c r="D13" s="36" t="s">
        <v>115</v>
      </c>
      <c r="E13" s="36" t="s">
        <v>113</v>
      </c>
      <c r="F13" s="37" t="s">
        <v>112</v>
      </c>
      <c r="G13" s="39">
        <v>1</v>
      </c>
      <c r="H13" s="36"/>
    </row>
    <row r="14" spans="1:30" ht="15.6" customHeight="1" x14ac:dyDescent="0.15">
      <c r="D14" s="36" t="s">
        <v>118</v>
      </c>
      <c r="E14" s="36" t="s">
        <v>122</v>
      </c>
      <c r="F14" s="37" t="s">
        <v>112</v>
      </c>
      <c r="G14" s="39">
        <v>1</v>
      </c>
      <c r="H14" s="36" t="s">
        <v>424</v>
      </c>
    </row>
    <row r="15" spans="1:30" ht="15.6" customHeight="1" x14ac:dyDescent="0.15">
      <c r="D15" s="36" t="s">
        <v>118</v>
      </c>
      <c r="E15" s="36" t="s">
        <v>119</v>
      </c>
      <c r="F15" s="37" t="s">
        <v>112</v>
      </c>
      <c r="G15" s="39">
        <v>1</v>
      </c>
      <c r="H15" s="36" t="s">
        <v>425</v>
      </c>
    </row>
    <row r="16" spans="1:30" ht="15.6" customHeight="1" x14ac:dyDescent="0.15">
      <c r="D16" s="36" t="s">
        <v>115</v>
      </c>
      <c r="E16" s="36" t="s">
        <v>114</v>
      </c>
      <c r="F16" s="37" t="s">
        <v>112</v>
      </c>
      <c r="G16" s="39">
        <v>1</v>
      </c>
      <c r="H16" s="36"/>
    </row>
    <row r="17" spans="4:8" ht="15.6" customHeight="1" x14ac:dyDescent="0.15">
      <c r="D17" s="36" t="s">
        <v>118</v>
      </c>
      <c r="E17" s="36" t="s">
        <v>122</v>
      </c>
      <c r="F17" s="37" t="s">
        <v>112</v>
      </c>
      <c r="G17" s="39">
        <v>1</v>
      </c>
      <c r="H17" s="36" t="s">
        <v>426</v>
      </c>
    </row>
    <row r="18" spans="4:8" ht="15.6" customHeight="1" x14ac:dyDescent="0.15">
      <c r="D18" s="36" t="s">
        <v>118</v>
      </c>
      <c r="E18" s="36" t="s">
        <v>119</v>
      </c>
      <c r="F18" s="37" t="s">
        <v>112</v>
      </c>
      <c r="G18" s="39">
        <v>1</v>
      </c>
      <c r="H18" s="36" t="s">
        <v>427</v>
      </c>
    </row>
    <row r="19" spans="4:8" ht="15.6" customHeight="1" x14ac:dyDescent="0.15">
      <c r="D19" s="36" t="s">
        <v>123</v>
      </c>
      <c r="E19" s="36" t="s">
        <v>116</v>
      </c>
      <c r="F19" s="37" t="s">
        <v>112</v>
      </c>
      <c r="G19" s="39">
        <v>1</v>
      </c>
      <c r="H19" s="36"/>
    </row>
    <row r="20" spans="4:8" ht="15.6" customHeight="1" x14ac:dyDescent="0.15">
      <c r="D20" s="36" t="s">
        <v>123</v>
      </c>
      <c r="E20" s="36" t="s">
        <v>117</v>
      </c>
      <c r="F20" s="37" t="s">
        <v>112</v>
      </c>
      <c r="G20" s="39">
        <v>1</v>
      </c>
      <c r="H20" s="36"/>
    </row>
    <row r="21" spans="4:8" ht="15.6" customHeight="1" x14ac:dyDescent="0.15">
      <c r="D21" s="36" t="s">
        <v>123</v>
      </c>
      <c r="E21" s="36" t="s">
        <v>111</v>
      </c>
      <c r="F21" s="37" t="s">
        <v>112</v>
      </c>
      <c r="G21" s="39">
        <v>1</v>
      </c>
      <c r="H21" s="36"/>
    </row>
    <row r="22" spans="4:8" ht="15.6" customHeight="1" x14ac:dyDescent="0.15">
      <c r="D22" s="36" t="s">
        <v>124</v>
      </c>
      <c r="E22" s="36" t="s">
        <v>119</v>
      </c>
      <c r="F22" s="37" t="s">
        <v>112</v>
      </c>
      <c r="G22" s="39">
        <v>1</v>
      </c>
      <c r="H22" s="36" t="s">
        <v>428</v>
      </c>
    </row>
    <row r="23" spans="4:8" ht="15.6" customHeight="1" x14ac:dyDescent="0.15">
      <c r="D23" s="36" t="s">
        <v>124</v>
      </c>
      <c r="E23" s="36" t="s">
        <v>120</v>
      </c>
      <c r="F23" s="37" t="s">
        <v>112</v>
      </c>
      <c r="G23" s="39">
        <v>1</v>
      </c>
      <c r="H23" s="36" t="s">
        <v>429</v>
      </c>
    </row>
    <row r="24" spans="4:8" ht="15.6" customHeight="1" x14ac:dyDescent="0.15">
      <c r="D24" s="36" t="s">
        <v>123</v>
      </c>
      <c r="E24" s="36" t="s">
        <v>121</v>
      </c>
      <c r="F24" s="37" t="s">
        <v>112</v>
      </c>
      <c r="G24" s="39">
        <v>1</v>
      </c>
      <c r="H24" s="36"/>
    </row>
    <row r="25" spans="4:8" ht="15.6" customHeight="1" x14ac:dyDescent="0.15">
      <c r="D25" s="36" t="s">
        <v>123</v>
      </c>
      <c r="E25" s="36" t="s">
        <v>113</v>
      </c>
      <c r="F25" s="37" t="s">
        <v>112</v>
      </c>
      <c r="G25" s="39">
        <v>1</v>
      </c>
      <c r="H25" s="36"/>
    </row>
    <row r="26" spans="4:8" ht="15.6" customHeight="1" x14ac:dyDescent="0.15">
      <c r="D26" s="36" t="s">
        <v>124</v>
      </c>
      <c r="E26" s="36" t="s">
        <v>122</v>
      </c>
      <c r="F26" s="37" t="s">
        <v>112</v>
      </c>
      <c r="G26" s="39">
        <v>1</v>
      </c>
      <c r="H26" s="36" t="s">
        <v>430</v>
      </c>
    </row>
    <row r="27" spans="4:8" ht="15.6" customHeight="1" x14ac:dyDescent="0.15">
      <c r="D27" s="36" t="s">
        <v>124</v>
      </c>
      <c r="E27" s="36" t="s">
        <v>119</v>
      </c>
      <c r="F27" s="37" t="s">
        <v>112</v>
      </c>
      <c r="G27" s="39">
        <v>1</v>
      </c>
      <c r="H27" s="36" t="s">
        <v>431</v>
      </c>
    </row>
    <row r="28" spans="4:8" ht="15.6" customHeight="1" x14ac:dyDescent="0.15">
      <c r="D28" s="36" t="s">
        <v>123</v>
      </c>
      <c r="E28" s="36" t="s">
        <v>114</v>
      </c>
      <c r="F28" s="37" t="s">
        <v>112</v>
      </c>
      <c r="G28" s="39">
        <v>1</v>
      </c>
      <c r="H28" s="36"/>
    </row>
    <row r="29" spans="4:8" ht="15.6" customHeight="1" x14ac:dyDescent="0.15">
      <c r="D29" s="36" t="s">
        <v>124</v>
      </c>
      <c r="E29" s="36" t="s">
        <v>122</v>
      </c>
      <c r="F29" s="37" t="s">
        <v>112</v>
      </c>
      <c r="G29" s="39">
        <v>1</v>
      </c>
      <c r="H29" s="36" t="s">
        <v>432</v>
      </c>
    </row>
    <row r="30" spans="4:8" ht="15.6" customHeight="1" x14ac:dyDescent="0.15">
      <c r="D30" s="36" t="s">
        <v>124</v>
      </c>
      <c r="E30" s="36" t="s">
        <v>119</v>
      </c>
      <c r="F30" s="37" t="s">
        <v>112</v>
      </c>
      <c r="G30" s="39">
        <v>1</v>
      </c>
      <c r="H30" s="36" t="s">
        <v>433</v>
      </c>
    </row>
    <row r="31" spans="4:8" ht="15.6" customHeight="1" x14ac:dyDescent="0.15">
      <c r="D31" s="36"/>
      <c r="E31" s="36"/>
      <c r="F31" s="37"/>
      <c r="G31" s="39"/>
      <c r="H31" s="36"/>
    </row>
    <row r="32" spans="4:8" ht="15.6" customHeight="1" x14ac:dyDescent="0.15">
      <c r="D32" s="36"/>
      <c r="E32" s="36"/>
      <c r="F32" s="37"/>
      <c r="G32" s="39"/>
      <c r="H32" s="36"/>
    </row>
  </sheetData>
  <mergeCells count="5">
    <mergeCell ref="H2:H3"/>
    <mergeCell ref="D2:D3"/>
    <mergeCell ref="E2:E3"/>
    <mergeCell ref="F2:F3"/>
    <mergeCell ref="G2:G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2:M19"/>
  <sheetViews>
    <sheetView zoomScaleNormal="100" zoomScaleSheetLayoutView="85" workbookViewId="0">
      <selection activeCell="E17" sqref="E17"/>
    </sheetView>
  </sheetViews>
  <sheetFormatPr defaultRowHeight="13.5" x14ac:dyDescent="0.1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 x14ac:dyDescent="0.15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 x14ac:dyDescent="0.15">
      <c r="B3" s="128" t="str">
        <f>표지!B3</f>
        <v>양지리 농어촌취약지역 생활여건 개조사업 통신공사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 x14ac:dyDescent="0.15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 x14ac:dyDescent="0.15">
      <c r="B5" s="132"/>
      <c r="C5" s="129"/>
      <c r="D5" s="129"/>
      <c r="E5" s="268" t="s">
        <v>889</v>
      </c>
      <c r="F5" s="268"/>
      <c r="G5" s="268"/>
      <c r="H5" s="268"/>
      <c r="I5" s="268"/>
      <c r="J5" s="268"/>
      <c r="K5" s="129"/>
      <c r="L5" s="129"/>
      <c r="M5" s="129"/>
    </row>
    <row r="6" spans="2:13" s="130" customFormat="1" ht="24" customHeight="1" x14ac:dyDescent="0.15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 x14ac:dyDescent="0.15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 x14ac:dyDescent="0.15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 x14ac:dyDescent="0.15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 x14ac:dyDescent="0.15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 x14ac:dyDescent="0.15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 x14ac:dyDescent="0.15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 x14ac:dyDescent="0.15">
      <c r="B13" s="131"/>
      <c r="C13" s="131"/>
      <c r="D13" s="131"/>
      <c r="E13" s="131"/>
      <c r="F13" s="131"/>
      <c r="G13" s="131"/>
      <c r="H13" s="131" t="s">
        <v>758</v>
      </c>
      <c r="I13" s="131"/>
      <c r="J13" s="131"/>
      <c r="K13" s="131"/>
      <c r="L13" s="131"/>
      <c r="M13" s="131"/>
    </row>
    <row r="14" spans="2:13" s="130" customFormat="1" ht="24" customHeight="1" x14ac:dyDescent="0.15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 x14ac:dyDescent="0.15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 x14ac:dyDescent="0.15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 x14ac:dyDescent="0.15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 x14ac:dyDescent="0.15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 x14ac:dyDescent="0.15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1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2:M19"/>
  <sheetViews>
    <sheetView zoomScaleNormal="100" zoomScaleSheetLayoutView="85" workbookViewId="0">
      <selection activeCell="E17" sqref="E17"/>
    </sheetView>
  </sheetViews>
  <sheetFormatPr defaultRowHeight="13.5" x14ac:dyDescent="0.1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 x14ac:dyDescent="0.15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 x14ac:dyDescent="0.15">
      <c r="B3" s="128" t="str">
        <f>표지!B3</f>
        <v>양지리 농어촌취약지역 생활여건 개조사업 통신공사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 x14ac:dyDescent="0.15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 x14ac:dyDescent="0.15">
      <c r="B5" s="132"/>
      <c r="C5" s="129"/>
      <c r="D5" s="129"/>
      <c r="E5" s="268" t="s">
        <v>890</v>
      </c>
      <c r="F5" s="268"/>
      <c r="G5" s="268"/>
      <c r="H5" s="268"/>
      <c r="I5" s="268"/>
      <c r="J5" s="268"/>
      <c r="K5" s="129"/>
      <c r="L5" s="129"/>
      <c r="M5" s="129"/>
    </row>
    <row r="6" spans="2:13" s="130" customFormat="1" ht="24" customHeight="1" x14ac:dyDescent="0.15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 x14ac:dyDescent="0.15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 x14ac:dyDescent="0.15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 x14ac:dyDescent="0.15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 x14ac:dyDescent="0.15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 x14ac:dyDescent="0.15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 x14ac:dyDescent="0.15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 x14ac:dyDescent="0.15">
      <c r="B13" s="131"/>
      <c r="C13" s="131"/>
      <c r="D13" s="131"/>
      <c r="E13" s="131"/>
      <c r="F13" s="131"/>
      <c r="G13" s="131"/>
      <c r="H13" s="131" t="s">
        <v>758</v>
      </c>
      <c r="I13" s="131"/>
      <c r="J13" s="131"/>
      <c r="K13" s="131"/>
      <c r="L13" s="131"/>
      <c r="M13" s="131"/>
    </row>
    <row r="14" spans="2:13" s="130" customFormat="1" ht="24" customHeight="1" x14ac:dyDescent="0.15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 x14ac:dyDescent="0.15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 x14ac:dyDescent="0.15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 x14ac:dyDescent="0.15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 x14ac:dyDescent="0.15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 x14ac:dyDescent="0.15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1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"/>
  <dimension ref="A1:Y74"/>
  <sheetViews>
    <sheetView topLeftCell="D1" workbookViewId="0">
      <selection activeCell="D39" sqref="D39"/>
    </sheetView>
  </sheetViews>
  <sheetFormatPr defaultRowHeight="22.5" customHeight="1" x14ac:dyDescent="0.15"/>
  <cols>
    <col min="1" max="1" width="8.5546875" style="87" hidden="1" customWidth="1"/>
    <col min="2" max="2" width="15.21875" style="87" hidden="1" customWidth="1"/>
    <col min="3" max="3" width="16" style="87" hidden="1" customWidth="1"/>
    <col min="4" max="4" width="23.88671875" style="70" customWidth="1"/>
    <col min="5" max="5" width="23.6640625" style="70" customWidth="1"/>
    <col min="6" max="6" width="4.33203125" style="73" customWidth="1"/>
    <col min="7" max="7" width="3.88671875" style="84" hidden="1" customWidth="1"/>
    <col min="8" max="25" width="7.77734375" style="70" customWidth="1"/>
    <col min="26" max="16384" width="8.88671875" style="70"/>
  </cols>
  <sheetData>
    <row r="1" spans="1:25" ht="22.5" customHeight="1" x14ac:dyDescent="0.15">
      <c r="B1" s="87" t="s">
        <v>126</v>
      </c>
      <c r="D1" s="429" t="s">
        <v>895</v>
      </c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</row>
    <row r="2" spans="1:25" ht="22.5" customHeight="1" x14ac:dyDescent="0.15">
      <c r="A2" s="88"/>
      <c r="B2" s="88"/>
      <c r="C2" s="88"/>
      <c r="D2" s="89"/>
      <c r="E2" s="89"/>
      <c r="F2" s="89"/>
      <c r="G2" s="9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</row>
    <row r="3" spans="1:25" ht="22.5" customHeight="1" x14ac:dyDescent="0.15">
      <c r="A3" s="88"/>
      <c r="B3" s="88"/>
      <c r="C3" s="88"/>
      <c r="D3" s="91" t="s">
        <v>412</v>
      </c>
      <c r="E3" s="91" t="s">
        <v>413</v>
      </c>
      <c r="F3" s="91" t="s">
        <v>414</v>
      </c>
      <c r="G3" s="92"/>
      <c r="H3" s="74" t="s">
        <v>415</v>
      </c>
      <c r="I3" s="74" t="s">
        <v>416</v>
      </c>
      <c r="J3" s="74" t="s">
        <v>363</v>
      </c>
      <c r="K3" s="74" t="s">
        <v>418</v>
      </c>
      <c r="L3" s="74" t="s">
        <v>417</v>
      </c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</row>
    <row r="4" spans="1:25" ht="22.5" customHeight="1" x14ac:dyDescent="0.15">
      <c r="A4" s="88"/>
      <c r="B4" s="88"/>
      <c r="C4" s="88"/>
      <c r="D4" s="93"/>
      <c r="E4" s="93"/>
      <c r="F4" s="93"/>
      <c r="G4" s="94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</row>
    <row r="5" spans="1:25" ht="22.5" customHeight="1" x14ac:dyDescent="0.15">
      <c r="D5" s="96" t="s">
        <v>173</v>
      </c>
      <c r="E5" s="96" t="s">
        <v>174</v>
      </c>
      <c r="F5" s="97" t="s">
        <v>175</v>
      </c>
      <c r="G5" s="98"/>
      <c r="H5" s="99">
        <f t="shared" ref="H5:H28" si="0">IF(I5&lt;&gt;0,IF(TRUNC(J5*(I5+100)/100+0.9,0)&lt;&gt;0,TRUNC(J5*(I5+100)/100+0.9,0),  ),IF(J5&lt;&gt;0,J5,  ))</f>
        <v>9</v>
      </c>
      <c r="I5" s="99">
        <v>10</v>
      </c>
      <c r="J5" s="99">
        <f t="shared" ref="J5:J28" si="1">IF(SUM(K5:BA5)&lt;&gt;0,TRUNC(SUM(K5:BA5)+0.9,0),  )</f>
        <v>8</v>
      </c>
      <c r="K5" s="99">
        <f>TRUNC(기본산출서!F322+0.9,0)</f>
        <v>8</v>
      </c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</row>
    <row r="6" spans="1:25" ht="22.5" customHeight="1" x14ac:dyDescent="0.15">
      <c r="D6" s="53" t="s">
        <v>187</v>
      </c>
      <c r="E6" s="53" t="s">
        <v>181</v>
      </c>
      <c r="F6" s="100" t="s">
        <v>175</v>
      </c>
      <c r="G6" s="76"/>
      <c r="H6" s="101">
        <f t="shared" si="0"/>
        <v>31</v>
      </c>
      <c r="I6" s="101">
        <v>10</v>
      </c>
      <c r="J6" s="101">
        <f t="shared" si="1"/>
        <v>28</v>
      </c>
      <c r="K6" s="101">
        <f>TRUNC(기본산출서!G322+0.9,0)</f>
        <v>28</v>
      </c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</row>
    <row r="7" spans="1:25" ht="22.5" customHeight="1" x14ac:dyDescent="0.15">
      <c r="D7" s="53" t="s">
        <v>180</v>
      </c>
      <c r="E7" s="53" t="s">
        <v>224</v>
      </c>
      <c r="F7" s="100" t="s">
        <v>175</v>
      </c>
      <c r="G7" s="76"/>
      <c r="H7" s="101">
        <f t="shared" si="0"/>
        <v>22</v>
      </c>
      <c r="I7" s="101">
        <v>5</v>
      </c>
      <c r="J7" s="101">
        <f t="shared" si="1"/>
        <v>21</v>
      </c>
      <c r="K7" s="101">
        <f>TRUNC(기본산출서!H322+0.9,0)</f>
        <v>21</v>
      </c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</row>
    <row r="8" spans="1:25" ht="22.5" customHeight="1" x14ac:dyDescent="0.15">
      <c r="D8" s="53" t="s">
        <v>180</v>
      </c>
      <c r="E8" s="53" t="s">
        <v>181</v>
      </c>
      <c r="F8" s="100" t="s">
        <v>175</v>
      </c>
      <c r="G8" s="76"/>
      <c r="H8" s="101">
        <f t="shared" si="0"/>
        <v>84</v>
      </c>
      <c r="I8" s="101">
        <v>5</v>
      </c>
      <c r="J8" s="101">
        <f t="shared" si="1"/>
        <v>80</v>
      </c>
      <c r="K8" s="101">
        <f>TRUNC(기본산출서!I322+0.9,0)</f>
        <v>80</v>
      </c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</row>
    <row r="9" spans="1:25" ht="22.5" customHeight="1" x14ac:dyDescent="0.15">
      <c r="D9" s="53" t="s">
        <v>263</v>
      </c>
      <c r="E9" s="53" t="s">
        <v>264</v>
      </c>
      <c r="F9" s="100" t="s">
        <v>175</v>
      </c>
      <c r="G9" s="76"/>
      <c r="H9" s="101">
        <f t="shared" si="0"/>
        <v>13</v>
      </c>
      <c r="I9" s="101">
        <v>10</v>
      </c>
      <c r="J9" s="101">
        <f t="shared" si="1"/>
        <v>11</v>
      </c>
      <c r="K9" s="101"/>
      <c r="L9" s="101">
        <f>TRUNC(기본산출서!F414+0.9,0)</f>
        <v>11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</row>
    <row r="10" spans="1:25" ht="22.5" customHeight="1" x14ac:dyDescent="0.15">
      <c r="D10" s="53" t="s">
        <v>263</v>
      </c>
      <c r="E10" s="53" t="s">
        <v>272</v>
      </c>
      <c r="F10" s="100" t="s">
        <v>175</v>
      </c>
      <c r="G10" s="76"/>
      <c r="H10" s="101">
        <f t="shared" si="0"/>
        <v>26</v>
      </c>
      <c r="I10" s="101">
        <v>10</v>
      </c>
      <c r="J10" s="101">
        <f t="shared" si="1"/>
        <v>23</v>
      </c>
      <c r="K10" s="101"/>
      <c r="L10" s="101">
        <f>TRUNC(기본산출서!G414+0.9,0)</f>
        <v>23</v>
      </c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</row>
    <row r="11" spans="1:25" ht="22.5" customHeight="1" x14ac:dyDescent="0.15">
      <c r="D11" s="53" t="s">
        <v>199</v>
      </c>
      <c r="E11" s="53" t="s">
        <v>200</v>
      </c>
      <c r="F11" s="100" t="s">
        <v>145</v>
      </c>
      <c r="G11" s="76"/>
      <c r="H11" s="101">
        <f t="shared" si="0"/>
        <v>2</v>
      </c>
      <c r="I11" s="101"/>
      <c r="J11" s="101">
        <f t="shared" si="1"/>
        <v>2</v>
      </c>
      <c r="K11" s="101">
        <f>IF(AND(TRUNC(기본산출서!J322,1)&gt;0,TRUNC(기본산출서!J322,1)&lt;1),1,TRUNC(기본산출서!J322+0.5,0))</f>
        <v>2</v>
      </c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</row>
    <row r="12" spans="1:25" ht="22.5" customHeight="1" x14ac:dyDescent="0.15">
      <c r="D12" s="53" t="s">
        <v>205</v>
      </c>
      <c r="E12" s="53" t="s">
        <v>206</v>
      </c>
      <c r="F12" s="100" t="s">
        <v>145</v>
      </c>
      <c r="G12" s="76"/>
      <c r="H12" s="101">
        <f t="shared" si="0"/>
        <v>4</v>
      </c>
      <c r="I12" s="101"/>
      <c r="J12" s="101">
        <f t="shared" si="1"/>
        <v>4</v>
      </c>
      <c r="K12" s="101">
        <f>IF(AND(TRUNC(기본산출서!K322,1)&gt;0,TRUNC(기본산출서!K322,1)&lt;1),1,TRUNC(기본산출서!K322+0.5,0))</f>
        <v>4</v>
      </c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</row>
    <row r="13" spans="1:25" ht="22.5" customHeight="1" x14ac:dyDescent="0.15">
      <c r="D13" s="53" t="s">
        <v>283</v>
      </c>
      <c r="E13" s="53" t="s">
        <v>284</v>
      </c>
      <c r="F13" s="100" t="s">
        <v>145</v>
      </c>
      <c r="G13" s="76"/>
      <c r="H13" s="101">
        <f t="shared" si="0"/>
        <v>4</v>
      </c>
      <c r="I13" s="101"/>
      <c r="J13" s="101">
        <f t="shared" si="1"/>
        <v>4</v>
      </c>
      <c r="K13" s="101"/>
      <c r="L13" s="101">
        <f>IF(AND(TRUNC(기본산출서!H414,1)&gt;0,TRUNC(기본산출서!H414,1)&lt;1),1,TRUNC(기본산출서!H414+0.5,0))</f>
        <v>4</v>
      </c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</row>
    <row r="14" spans="1:25" ht="22.5" customHeight="1" x14ac:dyDescent="0.15">
      <c r="D14" s="53" t="s">
        <v>283</v>
      </c>
      <c r="E14" s="53" t="s">
        <v>293</v>
      </c>
      <c r="F14" s="100" t="s">
        <v>145</v>
      </c>
      <c r="G14" s="76"/>
      <c r="H14" s="101">
        <f t="shared" si="0"/>
        <v>2</v>
      </c>
      <c r="I14" s="101"/>
      <c r="J14" s="101">
        <f t="shared" si="1"/>
        <v>2</v>
      </c>
      <c r="K14" s="101"/>
      <c r="L14" s="101">
        <f>IF(AND(TRUNC(기본산출서!I414,1)&gt;0,TRUNC(기본산출서!I414,1)&lt;1),1,TRUNC(기본산출서!I414+0.5,0))</f>
        <v>2</v>
      </c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</row>
    <row r="15" spans="1:25" ht="22.5" customHeight="1" x14ac:dyDescent="0.15">
      <c r="D15" s="53" t="s">
        <v>297</v>
      </c>
      <c r="E15" s="53" t="s">
        <v>298</v>
      </c>
      <c r="F15" s="100" t="s">
        <v>145</v>
      </c>
      <c r="G15" s="76"/>
      <c r="H15" s="101">
        <f t="shared" si="0"/>
        <v>2</v>
      </c>
      <c r="I15" s="101"/>
      <c r="J15" s="101">
        <f t="shared" si="1"/>
        <v>2</v>
      </c>
      <c r="K15" s="101"/>
      <c r="L15" s="101">
        <f>IF(AND(TRUNC(기본산출서!J414,1)&gt;0,TRUNC(기본산출서!J414,1)&lt;1),1,TRUNC(기본산출서!J414+0.5,0))</f>
        <v>2</v>
      </c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</row>
    <row r="16" spans="1:25" ht="22.5" customHeight="1" x14ac:dyDescent="0.15">
      <c r="D16" s="53" t="s">
        <v>210</v>
      </c>
      <c r="E16" s="53" t="s">
        <v>211</v>
      </c>
      <c r="F16" s="100" t="s">
        <v>145</v>
      </c>
      <c r="G16" s="76"/>
      <c r="H16" s="101">
        <f t="shared" si="0"/>
        <v>2</v>
      </c>
      <c r="I16" s="101"/>
      <c r="J16" s="101">
        <f t="shared" si="1"/>
        <v>2</v>
      </c>
      <c r="K16" s="101">
        <f>IF(AND(TRUNC(기본산출서!L322,1)&gt;0,TRUNC(기본산출서!L322,1)&lt;1),1,TRUNC(기본산출서!L322+0.5,0))</f>
        <v>2</v>
      </c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</row>
    <row r="17" spans="4:25" ht="22.5" customHeight="1" x14ac:dyDescent="0.15">
      <c r="D17" s="53" t="s">
        <v>227</v>
      </c>
      <c r="E17" s="53" t="s">
        <v>228</v>
      </c>
      <c r="F17" s="100" t="s">
        <v>175</v>
      </c>
      <c r="G17" s="76"/>
      <c r="H17" s="101">
        <f t="shared" si="0"/>
        <v>27</v>
      </c>
      <c r="I17" s="101">
        <v>10</v>
      </c>
      <c r="J17" s="101">
        <f t="shared" si="1"/>
        <v>24</v>
      </c>
      <c r="K17" s="101">
        <f>TRUNC(기본산출서!M322+0.9,0)</f>
        <v>24</v>
      </c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</row>
    <row r="18" spans="4:25" ht="22.5" customHeight="1" x14ac:dyDescent="0.15">
      <c r="D18" s="53" t="s">
        <v>143</v>
      </c>
      <c r="E18" s="53" t="s">
        <v>288</v>
      </c>
      <c r="F18" s="100" t="s">
        <v>145</v>
      </c>
      <c r="G18" s="76"/>
      <c r="H18" s="101">
        <f t="shared" si="0"/>
        <v>4</v>
      </c>
      <c r="I18" s="101"/>
      <c r="J18" s="101">
        <f t="shared" si="1"/>
        <v>4</v>
      </c>
      <c r="K18" s="101"/>
      <c r="L18" s="101">
        <f>IF(AND(TRUNC(기본산출서!K414,1)&gt;0,TRUNC(기본산출서!K414,1)&lt;1),1,TRUNC(기본산출서!K414+0.5,0))</f>
        <v>4</v>
      </c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</row>
    <row r="19" spans="4:25" ht="22.5" customHeight="1" x14ac:dyDescent="0.15">
      <c r="D19" s="53" t="s">
        <v>191</v>
      </c>
      <c r="E19" s="53" t="s">
        <v>192</v>
      </c>
      <c r="F19" s="100" t="s">
        <v>193</v>
      </c>
      <c r="G19" s="76"/>
      <c r="H19" s="101">
        <f t="shared" si="0"/>
        <v>13</v>
      </c>
      <c r="I19" s="101"/>
      <c r="J19" s="101">
        <f t="shared" si="1"/>
        <v>13</v>
      </c>
      <c r="K19" s="101">
        <f>IF(AND(TRUNC(기본산출서!N322,1)&gt;0,TRUNC(기본산출서!N322,1)&lt;1),1,TRUNC(기본산출서!N322+0.5,0))</f>
        <v>13</v>
      </c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</row>
    <row r="20" spans="4:25" ht="22.5" customHeight="1" x14ac:dyDescent="0.15">
      <c r="D20" s="53" t="s">
        <v>303</v>
      </c>
      <c r="E20" s="53" t="s">
        <v>304</v>
      </c>
      <c r="F20" s="100" t="s">
        <v>175</v>
      </c>
      <c r="G20" s="76"/>
      <c r="H20" s="101">
        <f t="shared" si="0"/>
        <v>21</v>
      </c>
      <c r="I20" s="101">
        <v>7.5</v>
      </c>
      <c r="J20" s="101">
        <f t="shared" si="1"/>
        <v>19</v>
      </c>
      <c r="K20" s="101"/>
      <c r="L20" s="101">
        <f>TRUNC(기본산출서!L414+0.9,0)</f>
        <v>19</v>
      </c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</row>
    <row r="21" spans="4:25" ht="22.5" customHeight="1" x14ac:dyDescent="0.15">
      <c r="D21" s="53" t="s">
        <v>311</v>
      </c>
      <c r="E21" s="53" t="s">
        <v>312</v>
      </c>
      <c r="F21" s="100" t="s">
        <v>145</v>
      </c>
      <c r="G21" s="76"/>
      <c r="H21" s="101">
        <f t="shared" si="0"/>
        <v>2</v>
      </c>
      <c r="I21" s="101"/>
      <c r="J21" s="101">
        <f t="shared" si="1"/>
        <v>2</v>
      </c>
      <c r="K21" s="101"/>
      <c r="L21" s="101">
        <f>IF(AND(TRUNC(기본산출서!M414,1)&gt;0,TRUNC(기본산출서!M414,1)&lt;1),1,TRUNC(기본산출서!M414+0.5,0))</f>
        <v>2</v>
      </c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</row>
    <row r="22" spans="4:25" ht="22.5" customHeight="1" x14ac:dyDescent="0.15">
      <c r="D22" s="53" t="s">
        <v>267</v>
      </c>
      <c r="E22" s="53" t="s">
        <v>268</v>
      </c>
      <c r="F22" s="100" t="s">
        <v>175</v>
      </c>
      <c r="G22" s="76"/>
      <c r="H22" s="101">
        <f t="shared" si="0"/>
        <v>22</v>
      </c>
      <c r="I22" s="101"/>
      <c r="J22" s="101">
        <f t="shared" si="1"/>
        <v>22</v>
      </c>
      <c r="K22" s="101"/>
      <c r="L22" s="101">
        <f>TRUNC(기본산출서!N414+0.9,0)</f>
        <v>22</v>
      </c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</row>
    <row r="23" spans="4:25" ht="22.5" customHeight="1" x14ac:dyDescent="0.15">
      <c r="D23" s="53" t="s">
        <v>267</v>
      </c>
      <c r="E23" s="53" t="s">
        <v>275</v>
      </c>
      <c r="F23" s="100" t="s">
        <v>175</v>
      </c>
      <c r="G23" s="76"/>
      <c r="H23" s="101">
        <f t="shared" si="0"/>
        <v>44</v>
      </c>
      <c r="I23" s="101"/>
      <c r="J23" s="101">
        <f t="shared" si="1"/>
        <v>44</v>
      </c>
      <c r="K23" s="101"/>
      <c r="L23" s="101">
        <f>TRUNC(기본산출서!O414+0.9,0)</f>
        <v>44</v>
      </c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</row>
    <row r="24" spans="4:25" ht="22.5" customHeight="1" x14ac:dyDescent="0.15">
      <c r="D24" s="53" t="s">
        <v>236</v>
      </c>
      <c r="E24" s="53" t="s">
        <v>237</v>
      </c>
      <c r="F24" s="100" t="s">
        <v>193</v>
      </c>
      <c r="G24" s="76"/>
      <c r="H24" s="101">
        <f t="shared" si="0"/>
        <v>1</v>
      </c>
      <c r="I24" s="101"/>
      <c r="J24" s="101">
        <f t="shared" si="1"/>
        <v>1</v>
      </c>
      <c r="K24" s="101">
        <f>IF(AND(TRUNC(기본산출서!O322,1)&gt;0,TRUNC(기본산출서!O322,1)&lt;1),1,TRUNC(기본산출서!O322+0.5,0))</f>
        <v>1</v>
      </c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</row>
    <row r="25" spans="4:25" ht="22.5" customHeight="1" x14ac:dyDescent="0.15">
      <c r="D25" s="53" t="s">
        <v>215</v>
      </c>
      <c r="E25" s="53" t="s">
        <v>216</v>
      </c>
      <c r="F25" s="100" t="s">
        <v>112</v>
      </c>
      <c r="G25" s="76"/>
      <c r="H25" s="101">
        <f t="shared" si="0"/>
        <v>1</v>
      </c>
      <c r="I25" s="101"/>
      <c r="J25" s="101">
        <f t="shared" si="1"/>
        <v>1</v>
      </c>
      <c r="K25" s="101">
        <f>IF(AND(TRUNC(기본산출서!P322,1)&gt;0,TRUNC(기본산출서!P322,1)&lt;1),1,TRUNC(기본산출서!P322+0.5,0))</f>
        <v>1</v>
      </c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</row>
    <row r="26" spans="4:25" ht="22.5" customHeight="1" x14ac:dyDescent="0.15">
      <c r="D26" s="53" t="s">
        <v>243</v>
      </c>
      <c r="E26" s="53" t="s">
        <v>244</v>
      </c>
      <c r="F26" s="100" t="s">
        <v>245</v>
      </c>
      <c r="G26" s="76"/>
      <c r="H26" s="101">
        <f t="shared" si="0"/>
        <v>17</v>
      </c>
      <c r="I26" s="101"/>
      <c r="J26" s="101">
        <f t="shared" si="1"/>
        <v>17</v>
      </c>
      <c r="K26" s="101">
        <f>TRUNC(기본산출서!Q322+0.9,0)</f>
        <v>17</v>
      </c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</row>
    <row r="27" spans="4:25" ht="22.5" customHeight="1" x14ac:dyDescent="0.15">
      <c r="D27" s="53" t="s">
        <v>249</v>
      </c>
      <c r="E27" s="53" t="s">
        <v>244</v>
      </c>
      <c r="F27" s="100" t="s">
        <v>245</v>
      </c>
      <c r="G27" s="76"/>
      <c r="H27" s="101">
        <f t="shared" si="0"/>
        <v>17</v>
      </c>
      <c r="I27" s="101"/>
      <c r="J27" s="101">
        <f t="shared" si="1"/>
        <v>17</v>
      </c>
      <c r="K27" s="101">
        <f>TRUNC(기본산출서!R322+0.9,0)</f>
        <v>17</v>
      </c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</row>
    <row r="28" spans="4:25" ht="22.5" customHeight="1" x14ac:dyDescent="0.15">
      <c r="D28" s="53" t="s">
        <v>254</v>
      </c>
      <c r="E28" s="53"/>
      <c r="F28" s="100" t="s">
        <v>255</v>
      </c>
      <c r="G28" s="76"/>
      <c r="H28" s="101">
        <f t="shared" si="0"/>
        <v>1</v>
      </c>
      <c r="I28" s="101"/>
      <c r="J28" s="101">
        <f t="shared" si="1"/>
        <v>1</v>
      </c>
      <c r="K28" s="101">
        <f>TRUNC(기본산출서!S322+0.9,0)</f>
        <v>1</v>
      </c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</row>
    <row r="29" spans="4:25" ht="22.5" customHeight="1" x14ac:dyDescent="0.15">
      <c r="D29" s="53"/>
      <c r="E29" s="53"/>
      <c r="F29" s="100"/>
      <c r="G29" s="76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</row>
    <row r="30" spans="4:25" ht="22.5" customHeight="1" x14ac:dyDescent="0.15">
      <c r="D30" s="53"/>
      <c r="E30" s="53"/>
      <c r="F30" s="100"/>
      <c r="G30" s="76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</row>
    <row r="31" spans="4:25" ht="22.5" customHeight="1" x14ac:dyDescent="0.15">
      <c r="D31" s="53"/>
      <c r="E31" s="53"/>
      <c r="F31" s="100"/>
      <c r="G31" s="76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</row>
    <row r="32" spans="4:25" ht="22.5" customHeight="1" x14ac:dyDescent="0.15">
      <c r="D32" s="53"/>
      <c r="E32" s="53"/>
      <c r="F32" s="100"/>
      <c r="G32" s="76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</row>
    <row r="33" spans="1:25" ht="22.5" customHeight="1" x14ac:dyDescent="0.15">
      <c r="D33" s="53"/>
      <c r="E33" s="53"/>
      <c r="F33" s="100"/>
      <c r="G33" s="76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</row>
    <row r="34" spans="1:25" ht="22.5" customHeight="1" x14ac:dyDescent="0.15">
      <c r="D34" s="53"/>
      <c r="E34" s="53"/>
      <c r="F34" s="100"/>
      <c r="G34" s="76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</row>
    <row r="35" spans="1:25" ht="22.5" customHeight="1" x14ac:dyDescent="0.15">
      <c r="D35" s="53"/>
      <c r="E35" s="53"/>
      <c r="F35" s="100"/>
      <c r="G35" s="76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</row>
    <row r="36" spans="1:25" ht="22.5" customHeight="1" x14ac:dyDescent="0.15">
      <c r="D36" s="82"/>
      <c r="E36" s="82"/>
      <c r="F36" s="102"/>
      <c r="G36" s="80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</row>
    <row r="37" spans="1:25" ht="22.5" customHeight="1" x14ac:dyDescent="0.15">
      <c r="D37" s="53"/>
      <c r="E37" s="53"/>
      <c r="F37" s="100"/>
      <c r="G37" s="76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</row>
    <row r="38" spans="1:25" ht="22.5" customHeight="1" x14ac:dyDescent="0.15">
      <c r="B38" s="87" t="s">
        <v>126</v>
      </c>
      <c r="D38" s="429" t="s">
        <v>896</v>
      </c>
      <c r="E38" s="430"/>
      <c r="F38" s="430"/>
      <c r="G38" s="430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0"/>
      <c r="T38" s="430"/>
      <c r="U38" s="430"/>
      <c r="V38" s="430"/>
      <c r="W38" s="430"/>
      <c r="X38" s="430"/>
      <c r="Y38" s="430"/>
    </row>
    <row r="39" spans="1:25" ht="22.5" customHeight="1" x14ac:dyDescent="0.15">
      <c r="A39" s="88"/>
      <c r="B39" s="88"/>
      <c r="C39" s="88"/>
      <c r="D39" s="89"/>
      <c r="E39" s="89"/>
      <c r="F39" s="89"/>
      <c r="G39" s="9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</row>
    <row r="40" spans="1:25" ht="22.5" customHeight="1" x14ac:dyDescent="0.15">
      <c r="A40" s="88"/>
      <c r="B40" s="88"/>
      <c r="C40" s="88"/>
      <c r="D40" s="91" t="s">
        <v>412</v>
      </c>
      <c r="E40" s="91" t="s">
        <v>413</v>
      </c>
      <c r="F40" s="91" t="s">
        <v>414</v>
      </c>
      <c r="G40" s="92"/>
      <c r="H40" s="74" t="s">
        <v>415</v>
      </c>
      <c r="I40" s="74" t="s">
        <v>416</v>
      </c>
      <c r="J40" s="74" t="s">
        <v>363</v>
      </c>
      <c r="K40" s="74" t="s">
        <v>418</v>
      </c>
      <c r="L40" s="74" t="s">
        <v>417</v>
      </c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</row>
    <row r="41" spans="1:25" ht="22.5" customHeight="1" x14ac:dyDescent="0.15">
      <c r="A41" s="88"/>
      <c r="B41" s="88"/>
      <c r="C41" s="88"/>
      <c r="D41" s="93"/>
      <c r="E41" s="93"/>
      <c r="F41" s="93"/>
      <c r="G41" s="94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</row>
    <row r="42" spans="1:25" ht="22.5" customHeight="1" x14ac:dyDescent="0.15">
      <c r="D42" s="96" t="s">
        <v>173</v>
      </c>
      <c r="E42" s="96" t="s">
        <v>174</v>
      </c>
      <c r="F42" s="97" t="s">
        <v>175</v>
      </c>
      <c r="G42" s="98"/>
      <c r="H42" s="99">
        <f t="shared" ref="H42:H51" si="2">IF(I42&lt;&gt;0,IF(TRUNC(J42*(I42+100)/100+0.9,0)&lt;&gt;0,TRUNC(J42*(I42+100)/100+0.9,0),  ),IF(J42&lt;&gt;0,J42,  ))</f>
        <v>5</v>
      </c>
      <c r="I42" s="99">
        <v>10</v>
      </c>
      <c r="J42" s="99">
        <f t="shared" ref="J42:J51" si="3">IF(SUM(K42:BA42)&lt;&gt;0,TRUNC(SUM(K42:BA42)+0.9,0),  )</f>
        <v>4</v>
      </c>
      <c r="K42" s="99">
        <f>TRUNC(기본산출서!F460+0.9,0)</f>
        <v>4</v>
      </c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</row>
    <row r="43" spans="1:25" ht="22.5" customHeight="1" x14ac:dyDescent="0.15">
      <c r="D43" s="53" t="s">
        <v>187</v>
      </c>
      <c r="E43" s="53" t="s">
        <v>181</v>
      </c>
      <c r="F43" s="100" t="s">
        <v>175</v>
      </c>
      <c r="G43" s="76"/>
      <c r="H43" s="101">
        <f t="shared" si="2"/>
        <v>16</v>
      </c>
      <c r="I43" s="101">
        <v>10</v>
      </c>
      <c r="J43" s="101">
        <f t="shared" si="3"/>
        <v>14</v>
      </c>
      <c r="K43" s="101">
        <f>TRUNC(기본산출서!G460+0.9,0)</f>
        <v>14</v>
      </c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</row>
    <row r="44" spans="1:25" ht="22.5" customHeight="1" x14ac:dyDescent="0.15">
      <c r="D44" s="53" t="s">
        <v>180</v>
      </c>
      <c r="E44" s="53" t="s">
        <v>181</v>
      </c>
      <c r="F44" s="100" t="s">
        <v>175</v>
      </c>
      <c r="G44" s="76"/>
      <c r="H44" s="101">
        <f t="shared" si="2"/>
        <v>42</v>
      </c>
      <c r="I44" s="101">
        <v>5</v>
      </c>
      <c r="J44" s="101">
        <f t="shared" si="3"/>
        <v>40</v>
      </c>
      <c r="K44" s="101">
        <f>TRUNC(기본산출서!H460+0.9,0)</f>
        <v>40</v>
      </c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</row>
    <row r="45" spans="1:25" ht="22.5" customHeight="1" x14ac:dyDescent="0.15">
      <c r="D45" s="53" t="s">
        <v>263</v>
      </c>
      <c r="E45" s="53" t="s">
        <v>264</v>
      </c>
      <c r="F45" s="100" t="s">
        <v>175</v>
      </c>
      <c r="G45" s="76"/>
      <c r="H45" s="101">
        <f t="shared" si="2"/>
        <v>17</v>
      </c>
      <c r="I45" s="101">
        <v>10</v>
      </c>
      <c r="J45" s="101">
        <f t="shared" si="3"/>
        <v>15</v>
      </c>
      <c r="K45" s="101"/>
      <c r="L45" s="101">
        <f>TRUNC(기본산출서!F506+0.9,0)</f>
        <v>15</v>
      </c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</row>
    <row r="46" spans="1:25" ht="22.5" customHeight="1" x14ac:dyDescent="0.15">
      <c r="D46" s="53" t="s">
        <v>199</v>
      </c>
      <c r="E46" s="53" t="s">
        <v>200</v>
      </c>
      <c r="F46" s="100" t="s">
        <v>145</v>
      </c>
      <c r="G46" s="76"/>
      <c r="H46" s="101">
        <f t="shared" si="2"/>
        <v>1</v>
      </c>
      <c r="I46" s="101"/>
      <c r="J46" s="101">
        <f t="shared" si="3"/>
        <v>1</v>
      </c>
      <c r="K46" s="101">
        <f>IF(AND(TRUNC(기본산출서!I460,1)&gt;0,TRUNC(기본산출서!I460,1)&lt;1),1,TRUNC(기본산출서!I460+0.5,0))</f>
        <v>1</v>
      </c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</row>
    <row r="47" spans="1:25" ht="22.5" customHeight="1" x14ac:dyDescent="0.15">
      <c r="D47" s="53" t="s">
        <v>205</v>
      </c>
      <c r="E47" s="53" t="s">
        <v>206</v>
      </c>
      <c r="F47" s="100" t="s">
        <v>145</v>
      </c>
      <c r="G47" s="76"/>
      <c r="H47" s="101">
        <f t="shared" si="2"/>
        <v>2</v>
      </c>
      <c r="I47" s="101"/>
      <c r="J47" s="101">
        <f t="shared" si="3"/>
        <v>2</v>
      </c>
      <c r="K47" s="101">
        <f>IF(AND(TRUNC(기본산출서!J460,1)&gt;0,TRUNC(기본산출서!J460,1)&lt;1),1,TRUNC(기본산출서!J460+0.5,0))</f>
        <v>2</v>
      </c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</row>
    <row r="48" spans="1:25" ht="22.5" customHeight="1" x14ac:dyDescent="0.15">
      <c r="D48" s="53" t="s">
        <v>283</v>
      </c>
      <c r="E48" s="53" t="s">
        <v>284</v>
      </c>
      <c r="F48" s="100" t="s">
        <v>145</v>
      </c>
      <c r="G48" s="76"/>
      <c r="H48" s="101">
        <f t="shared" si="2"/>
        <v>2</v>
      </c>
      <c r="I48" s="101"/>
      <c r="J48" s="101">
        <f t="shared" si="3"/>
        <v>2</v>
      </c>
      <c r="K48" s="101"/>
      <c r="L48" s="101">
        <f>IF(AND(TRUNC(기본산출서!G506,1)&gt;0,TRUNC(기본산출서!G506,1)&lt;1),1,TRUNC(기본산출서!G506+0.5,0))</f>
        <v>2</v>
      </c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</row>
    <row r="49" spans="4:25" ht="22.5" customHeight="1" x14ac:dyDescent="0.15">
      <c r="D49" s="53" t="s">
        <v>147</v>
      </c>
      <c r="E49" s="53" t="s">
        <v>336</v>
      </c>
      <c r="F49" s="100" t="s">
        <v>145</v>
      </c>
      <c r="G49" s="76"/>
      <c r="H49" s="101">
        <f t="shared" si="2"/>
        <v>2</v>
      </c>
      <c r="I49" s="101"/>
      <c r="J49" s="101">
        <f t="shared" si="3"/>
        <v>2</v>
      </c>
      <c r="K49" s="101"/>
      <c r="L49" s="101">
        <f>IF(AND(TRUNC(기본산출서!H506,1)&gt;0,TRUNC(기본산출서!H506,1)&lt;1),1,TRUNC(기본산출서!H506+0.5,0))</f>
        <v>2</v>
      </c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</row>
    <row r="50" spans="4:25" ht="22.5" customHeight="1" x14ac:dyDescent="0.15">
      <c r="D50" s="53" t="s">
        <v>191</v>
      </c>
      <c r="E50" s="53" t="s">
        <v>192</v>
      </c>
      <c r="F50" s="100" t="s">
        <v>193</v>
      </c>
      <c r="G50" s="76"/>
      <c r="H50" s="101">
        <f t="shared" si="2"/>
        <v>7</v>
      </c>
      <c r="I50" s="101"/>
      <c r="J50" s="101">
        <f t="shared" si="3"/>
        <v>7</v>
      </c>
      <c r="K50" s="101">
        <f>IF(AND(TRUNC(기본산출서!K460,1)&gt;0,TRUNC(기본산출서!K460,1)&lt;1),1,TRUNC(기본산출서!K460+0.5,0))</f>
        <v>7</v>
      </c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</row>
    <row r="51" spans="4:25" ht="22.5" customHeight="1" x14ac:dyDescent="0.15">
      <c r="D51" s="53" t="s">
        <v>328</v>
      </c>
      <c r="E51" s="53" t="s">
        <v>329</v>
      </c>
      <c r="F51" s="100" t="s">
        <v>175</v>
      </c>
      <c r="G51" s="76"/>
      <c r="H51" s="101">
        <f t="shared" si="2"/>
        <v>18</v>
      </c>
      <c r="I51" s="101"/>
      <c r="J51" s="101">
        <f t="shared" si="3"/>
        <v>18</v>
      </c>
      <c r="K51" s="101"/>
      <c r="L51" s="101">
        <f>TRUNC(기본산출서!I506+0.9,0)</f>
        <v>18</v>
      </c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</row>
    <row r="52" spans="4:25" ht="22.5" customHeight="1" x14ac:dyDescent="0.15">
      <c r="D52" s="53"/>
      <c r="E52" s="53"/>
      <c r="F52" s="100"/>
      <c r="G52" s="76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</row>
    <row r="53" spans="4:25" ht="22.5" customHeight="1" x14ac:dyDescent="0.15">
      <c r="D53" s="53"/>
      <c r="E53" s="53"/>
      <c r="F53" s="100"/>
      <c r="G53" s="76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</row>
    <row r="54" spans="4:25" ht="22.5" customHeight="1" x14ac:dyDescent="0.15">
      <c r="D54" s="53"/>
      <c r="E54" s="53"/>
      <c r="F54" s="100"/>
      <c r="G54" s="76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</row>
    <row r="55" spans="4:25" ht="22.5" customHeight="1" x14ac:dyDescent="0.15">
      <c r="D55" s="53"/>
      <c r="E55" s="53"/>
      <c r="F55" s="100"/>
      <c r="G55" s="76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</row>
    <row r="56" spans="4:25" ht="22.5" customHeight="1" x14ac:dyDescent="0.15">
      <c r="D56" s="53"/>
      <c r="E56" s="53"/>
      <c r="F56" s="100"/>
      <c r="G56" s="76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</row>
    <row r="57" spans="4:25" ht="22.5" customHeight="1" x14ac:dyDescent="0.15">
      <c r="D57" s="53"/>
      <c r="E57" s="53"/>
      <c r="F57" s="100"/>
      <c r="G57" s="76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</row>
    <row r="58" spans="4:25" ht="22.5" customHeight="1" x14ac:dyDescent="0.15">
      <c r="D58" s="53"/>
      <c r="E58" s="53"/>
      <c r="F58" s="100"/>
      <c r="G58" s="76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</row>
    <row r="59" spans="4:25" ht="22.5" customHeight="1" x14ac:dyDescent="0.15">
      <c r="D59" s="53"/>
      <c r="E59" s="53"/>
      <c r="F59" s="100"/>
      <c r="G59" s="76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</row>
    <row r="60" spans="4:25" ht="22.5" customHeight="1" x14ac:dyDescent="0.15">
      <c r="D60" s="53"/>
      <c r="E60" s="53"/>
      <c r="F60" s="100"/>
      <c r="G60" s="76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</row>
    <row r="61" spans="4:25" ht="22.5" customHeight="1" x14ac:dyDescent="0.15">
      <c r="D61" s="53"/>
      <c r="E61" s="53"/>
      <c r="F61" s="100"/>
      <c r="G61" s="76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</row>
    <row r="62" spans="4:25" ht="22.5" customHeight="1" x14ac:dyDescent="0.15">
      <c r="D62" s="53"/>
      <c r="E62" s="53"/>
      <c r="F62" s="100"/>
      <c r="G62" s="76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</row>
    <row r="63" spans="4:25" ht="22.5" customHeight="1" x14ac:dyDescent="0.15">
      <c r="D63" s="53"/>
      <c r="E63" s="53"/>
      <c r="F63" s="100"/>
      <c r="G63" s="76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</row>
    <row r="64" spans="4:25" ht="22.5" customHeight="1" x14ac:dyDescent="0.15">
      <c r="D64" s="53"/>
      <c r="E64" s="53"/>
      <c r="F64" s="100"/>
      <c r="G64" s="76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</row>
    <row r="65" spans="4:25" ht="22.5" customHeight="1" x14ac:dyDescent="0.15">
      <c r="D65" s="53"/>
      <c r="E65" s="53"/>
      <c r="F65" s="100"/>
      <c r="G65" s="76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</row>
    <row r="66" spans="4:25" ht="22.5" customHeight="1" x14ac:dyDescent="0.15">
      <c r="D66" s="53"/>
      <c r="E66" s="53"/>
      <c r="F66" s="100"/>
      <c r="G66" s="76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</row>
    <row r="67" spans="4:25" ht="22.5" customHeight="1" x14ac:dyDescent="0.15">
      <c r="D67" s="53"/>
      <c r="E67" s="53"/>
      <c r="F67" s="100"/>
      <c r="G67" s="76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</row>
    <row r="68" spans="4:25" ht="22.5" customHeight="1" x14ac:dyDescent="0.15">
      <c r="D68" s="53"/>
      <c r="E68" s="53"/>
      <c r="F68" s="100"/>
      <c r="G68" s="76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</row>
    <row r="69" spans="4:25" ht="22.5" customHeight="1" x14ac:dyDescent="0.15">
      <c r="D69" s="53"/>
      <c r="E69" s="53"/>
      <c r="F69" s="100"/>
      <c r="G69" s="76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</row>
    <row r="70" spans="4:25" ht="22.5" customHeight="1" x14ac:dyDescent="0.15">
      <c r="D70" s="53"/>
      <c r="E70" s="53"/>
      <c r="F70" s="100"/>
      <c r="G70" s="76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</row>
    <row r="71" spans="4:25" ht="22.5" customHeight="1" x14ac:dyDescent="0.15">
      <c r="D71" s="53"/>
      <c r="E71" s="53"/>
      <c r="F71" s="100"/>
      <c r="G71" s="76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</row>
    <row r="72" spans="4:25" ht="22.5" customHeight="1" x14ac:dyDescent="0.15">
      <c r="D72" s="53"/>
      <c r="E72" s="53"/>
      <c r="F72" s="100"/>
      <c r="G72" s="76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</row>
    <row r="73" spans="4:25" ht="22.5" customHeight="1" x14ac:dyDescent="0.15">
      <c r="D73" s="53"/>
      <c r="E73" s="53"/>
      <c r="F73" s="100"/>
      <c r="G73" s="76"/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</row>
    <row r="74" spans="4:25" ht="22.5" customHeight="1" x14ac:dyDescent="0.15">
      <c r="D74" s="53"/>
      <c r="E74" s="53"/>
      <c r="F74" s="100"/>
      <c r="G74" s="76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</row>
  </sheetData>
  <mergeCells count="2">
    <mergeCell ref="D1:Y1"/>
    <mergeCell ref="D38:Y38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"/>
  <dimension ref="A1:EZ506"/>
  <sheetViews>
    <sheetView topLeftCell="C1" workbookViewId="0">
      <selection activeCell="D1" sqref="D1:N1"/>
    </sheetView>
  </sheetViews>
  <sheetFormatPr defaultRowHeight="20.100000000000001" customHeight="1" x14ac:dyDescent="0.15"/>
  <cols>
    <col min="1" max="1" width="9.44140625" style="30" hidden="1" customWidth="1"/>
    <col min="2" max="2" width="9.21875" style="25" hidden="1" customWidth="1"/>
    <col min="3" max="3" width="3.109375" style="15" bestFit="1" customWidth="1"/>
    <col min="4" max="4" width="36.6640625" style="1" customWidth="1"/>
    <col min="5" max="5" width="6.6640625" style="1" customWidth="1"/>
    <col min="6" max="26" width="7.77734375" style="1" customWidth="1"/>
    <col min="27" max="27" width="8" style="1" customWidth="1"/>
    <col min="28" max="16384" width="8.88671875" style="1"/>
  </cols>
  <sheetData>
    <row r="1" spans="1:156" s="14" customFormat="1" ht="20.100000000000001" customHeight="1" x14ac:dyDescent="0.15">
      <c r="A1" s="30" t="s">
        <v>125</v>
      </c>
      <c r="B1" s="25" t="s">
        <v>410</v>
      </c>
      <c r="C1" s="386" t="s">
        <v>128</v>
      </c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</row>
    <row r="2" spans="1:156" s="14" customFormat="1" ht="20.100000000000001" customHeight="1" x14ac:dyDescent="0.15">
      <c r="A2" s="30"/>
      <c r="B2" s="30" t="s">
        <v>411</v>
      </c>
      <c r="C2" s="20"/>
      <c r="D2" s="46"/>
      <c r="E2" s="46"/>
      <c r="F2" s="18" t="s">
        <v>338</v>
      </c>
      <c r="G2" s="18" t="s">
        <v>339</v>
      </c>
      <c r="H2" s="16" t="s">
        <v>340</v>
      </c>
      <c r="I2" s="16" t="s">
        <v>341</v>
      </c>
      <c r="J2" s="16" t="s">
        <v>135</v>
      </c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156" s="14" customFormat="1" ht="20.100000000000001" customHeight="1" x14ac:dyDescent="0.15">
      <c r="A3" s="31"/>
      <c r="B3" s="30"/>
      <c r="C3" s="4" t="s">
        <v>342</v>
      </c>
      <c r="D3" s="4" t="s">
        <v>343</v>
      </c>
      <c r="E3" s="4" t="s">
        <v>344</v>
      </c>
      <c r="F3" s="12" t="s">
        <v>345</v>
      </c>
      <c r="G3" s="12" t="s">
        <v>346</v>
      </c>
      <c r="H3" s="4" t="s">
        <v>140</v>
      </c>
      <c r="I3" s="4" t="s">
        <v>157</v>
      </c>
      <c r="J3" s="4" t="s">
        <v>347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156" s="14" customFormat="1" ht="20.100000000000001" customHeight="1" x14ac:dyDescent="0.15">
      <c r="A4" s="31"/>
      <c r="B4" s="30"/>
      <c r="C4" s="21"/>
      <c r="D4" s="21"/>
      <c r="E4" s="21"/>
      <c r="F4" s="19" t="s">
        <v>348</v>
      </c>
      <c r="G4" s="19" t="s">
        <v>349</v>
      </c>
      <c r="H4" s="17" t="s">
        <v>137</v>
      </c>
      <c r="I4" s="17" t="s">
        <v>137</v>
      </c>
      <c r="J4" s="17" t="s">
        <v>137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156" s="9" customFormat="1" ht="20.100000000000001" customHeight="1" x14ac:dyDescent="0.15">
      <c r="A5" s="31"/>
      <c r="B5" s="25"/>
      <c r="C5" s="16"/>
      <c r="D5" s="28" t="s">
        <v>130</v>
      </c>
      <c r="E5" s="7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</row>
    <row r="6" spans="1:156" s="9" customFormat="1" ht="20.100000000000001" customHeight="1" x14ac:dyDescent="0.15">
      <c r="A6" s="31"/>
      <c r="B6" s="25"/>
      <c r="C6" s="6" t="s">
        <v>127</v>
      </c>
      <c r="D6" s="42"/>
      <c r="E6" s="27" t="str">
        <f>IF(egTextCal(D6)&lt;&gt;0, egTextCal(D6),"")</f>
        <v/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</row>
    <row r="7" spans="1:156" s="9" customFormat="1" ht="20.100000000000001" customHeight="1" x14ac:dyDescent="0.15">
      <c r="A7" s="31"/>
      <c r="B7" s="25"/>
      <c r="C7" s="16"/>
      <c r="D7" s="29" t="s">
        <v>132</v>
      </c>
      <c r="E7" s="8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</row>
    <row r="8" spans="1:156" s="9" customFormat="1" ht="20.100000000000001" customHeight="1" x14ac:dyDescent="0.15">
      <c r="A8" s="31"/>
      <c r="B8" s="25"/>
      <c r="C8" s="6" t="s">
        <v>189</v>
      </c>
      <c r="D8" s="43"/>
      <c r="E8" s="27" t="str">
        <f>IF(egTextCal(D8)&lt;&gt;0, egTextCal(D8),"")</f>
        <v/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</row>
    <row r="9" spans="1:156" s="9" customFormat="1" ht="20.100000000000001" customHeight="1" x14ac:dyDescent="0.15">
      <c r="A9" s="31"/>
      <c r="B9" s="25"/>
      <c r="C9" s="16"/>
      <c r="D9" s="29" t="s">
        <v>133</v>
      </c>
      <c r="E9" s="8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</row>
    <row r="10" spans="1:156" s="9" customFormat="1" ht="20.100000000000001" customHeight="1" x14ac:dyDescent="0.15">
      <c r="A10" s="31"/>
      <c r="B10" s="25"/>
      <c r="C10" s="6" t="s">
        <v>281</v>
      </c>
      <c r="D10" s="43"/>
      <c r="E10" s="27" t="str">
        <f>IF(egTextCal(D10)&lt;&gt;0, egTextCal(D10),"")</f>
        <v/>
      </c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</row>
    <row r="11" spans="1:156" s="9" customFormat="1" ht="20.100000000000001" customHeight="1" x14ac:dyDescent="0.15">
      <c r="A11" s="31"/>
      <c r="B11" s="25"/>
      <c r="C11" s="16"/>
      <c r="D11" s="28" t="s">
        <v>134</v>
      </c>
      <c r="E11" s="7"/>
      <c r="F11" s="45"/>
      <c r="G11" s="45"/>
      <c r="H11" s="45"/>
      <c r="I11" s="45"/>
      <c r="J11" s="45">
        <v>1</v>
      </c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</row>
    <row r="12" spans="1:156" s="9" customFormat="1" ht="20.100000000000001" customHeight="1" x14ac:dyDescent="0.15">
      <c r="A12" s="31"/>
      <c r="B12" s="25"/>
      <c r="C12" s="6" t="s">
        <v>286</v>
      </c>
      <c r="D12" s="64" t="e">
        <f>목록별산출서!#REF!</f>
        <v>#REF!</v>
      </c>
      <c r="E12" s="27" t="e">
        <f>IF(egTextCal(D12)&lt;&gt;0, egTextCal(D12),"")</f>
        <v>#VALUE!</v>
      </c>
      <c r="F12" s="26"/>
      <c r="G12" s="26"/>
      <c r="H12" s="26"/>
      <c r="I12" s="26"/>
      <c r="J12" s="26" t="e">
        <f>IF(E12*J11&lt;&gt;0,E12*J11,  )</f>
        <v>#VALUE!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 t="e">
        <f>J12</f>
        <v>#VALUE!</v>
      </c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</row>
    <row r="13" spans="1:156" s="9" customFormat="1" ht="20.100000000000001" customHeight="1" x14ac:dyDescent="0.15">
      <c r="A13" s="31"/>
      <c r="B13" s="25"/>
      <c r="C13" s="16"/>
      <c r="D13" s="28" t="s">
        <v>138</v>
      </c>
      <c r="E13" s="7"/>
      <c r="F13" s="45"/>
      <c r="G13" s="45"/>
      <c r="H13" s="45">
        <v>1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</row>
    <row r="14" spans="1:156" s="9" customFormat="1" ht="20.100000000000001" customHeight="1" x14ac:dyDescent="0.15">
      <c r="A14" s="31"/>
      <c r="B14" s="25"/>
      <c r="C14" s="6" t="s">
        <v>261</v>
      </c>
      <c r="D14" s="64" t="e">
        <f>목록별산출서!#REF!</f>
        <v>#REF!</v>
      </c>
      <c r="E14" s="27" t="e">
        <f>IF(egTextCal(D14)&lt;&gt;0, egTextCal(D14),"")</f>
        <v>#VALUE!</v>
      </c>
      <c r="F14" s="26"/>
      <c r="G14" s="26"/>
      <c r="H14" s="26" t="e">
        <f>IF(E14*H13&lt;&gt;0,E14*H13,  )</f>
        <v>#VALUE!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 t="e">
        <f>H14</f>
        <v>#VALUE!</v>
      </c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</row>
    <row r="15" spans="1:156" s="9" customFormat="1" ht="20.100000000000001" customHeight="1" x14ac:dyDescent="0.15">
      <c r="A15" s="31"/>
      <c r="B15" s="25"/>
      <c r="C15" s="16"/>
      <c r="D15" s="28" t="s">
        <v>141</v>
      </c>
      <c r="E15" s="7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</row>
    <row r="16" spans="1:156" s="9" customFormat="1" ht="20.100000000000001" customHeight="1" x14ac:dyDescent="0.15">
      <c r="A16" s="31"/>
      <c r="B16" s="25"/>
      <c r="C16" s="6" t="s">
        <v>295</v>
      </c>
      <c r="D16" s="42"/>
      <c r="E16" s="27" t="str">
        <f>IF(egTextCal(D16)&lt;&gt;0, egTextCal(D16),"")</f>
        <v/>
      </c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</row>
    <row r="17" spans="1:156" s="9" customFormat="1" ht="20.100000000000001" customHeight="1" x14ac:dyDescent="0.15">
      <c r="A17" s="31"/>
      <c r="B17" s="25"/>
      <c r="C17" s="16"/>
      <c r="D17" s="28" t="s">
        <v>142</v>
      </c>
      <c r="E17" s="7"/>
      <c r="F17" s="45">
        <v>1</v>
      </c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</row>
    <row r="18" spans="1:156" s="9" customFormat="1" ht="20.100000000000001" customHeight="1" x14ac:dyDescent="0.15">
      <c r="A18" s="31"/>
      <c r="B18" s="25"/>
      <c r="C18" s="6" t="s">
        <v>299</v>
      </c>
      <c r="D18" s="64" t="e">
        <f>목록별산출서!#REF!</f>
        <v>#REF!</v>
      </c>
      <c r="E18" s="27" t="e">
        <f>IF(egTextCal(D18)&lt;&gt;0, egTextCal(D18),"")</f>
        <v>#VALUE!</v>
      </c>
      <c r="F18" s="26" t="e">
        <f>IF(E18*F17&lt;&gt;0,E18*F17,  )</f>
        <v>#VALUE!</v>
      </c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 t="e">
        <f>F18</f>
        <v>#VALUE!</v>
      </c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</row>
    <row r="19" spans="1:156" s="9" customFormat="1" ht="20.100000000000001" customHeight="1" x14ac:dyDescent="0.15">
      <c r="A19" s="31"/>
      <c r="B19" s="25"/>
      <c r="C19" s="16"/>
      <c r="D19" s="28" t="s">
        <v>146</v>
      </c>
      <c r="E19" s="7"/>
      <c r="F19" s="45"/>
      <c r="G19" s="45">
        <v>1</v>
      </c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</row>
    <row r="20" spans="1:156" s="9" customFormat="1" ht="20.100000000000001" customHeight="1" x14ac:dyDescent="0.15">
      <c r="A20" s="31"/>
      <c r="B20" s="25"/>
      <c r="C20" s="6" t="s">
        <v>350</v>
      </c>
      <c r="D20" s="64" t="e">
        <f>목록별산출서!#REF!</f>
        <v>#REF!</v>
      </c>
      <c r="E20" s="27" t="e">
        <f>IF(egTextCal(D20)&lt;&gt;0, egTextCal(D20),"")</f>
        <v>#VALUE!</v>
      </c>
      <c r="F20" s="26"/>
      <c r="G20" s="26" t="e">
        <f>IF(E20*G19&lt;&gt;0,E20*G19,  )</f>
        <v>#VALUE!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 t="e">
        <f>G20</f>
        <v>#VALUE!</v>
      </c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</row>
    <row r="21" spans="1:156" s="9" customFormat="1" ht="20.100000000000001" customHeight="1" x14ac:dyDescent="0.15">
      <c r="A21" s="31"/>
      <c r="B21" s="25"/>
      <c r="C21" s="16"/>
      <c r="D21" s="28"/>
      <c r="E21" s="7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</row>
    <row r="22" spans="1:156" s="9" customFormat="1" ht="20.100000000000001" customHeight="1" x14ac:dyDescent="0.15">
      <c r="A22" s="31"/>
      <c r="B22" s="25"/>
      <c r="C22" s="6" t="s">
        <v>351</v>
      </c>
      <c r="D22" s="42"/>
      <c r="E22" s="27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</row>
    <row r="23" spans="1:156" s="9" customFormat="1" ht="20.100000000000001" customHeight="1" x14ac:dyDescent="0.15">
      <c r="A23" s="31"/>
      <c r="B23" s="25"/>
      <c r="C23" s="16"/>
      <c r="D23" s="28" t="s">
        <v>149</v>
      </c>
      <c r="E23" s="7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</row>
    <row r="24" spans="1:156" s="9" customFormat="1" ht="20.100000000000001" customHeight="1" x14ac:dyDescent="0.15">
      <c r="A24" s="31"/>
      <c r="B24" s="25"/>
      <c r="C24" s="6" t="s">
        <v>322</v>
      </c>
      <c r="D24" s="42"/>
      <c r="E24" s="27" t="str">
        <f>IF(egTextCal(D24)&lt;&gt;0, egTextCal(D24),"")</f>
        <v/>
      </c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1"/>
      <c r="EZ24" s="41"/>
    </row>
    <row r="25" spans="1:156" s="9" customFormat="1" ht="20.100000000000001" customHeight="1" x14ac:dyDescent="0.15">
      <c r="A25" s="31"/>
      <c r="B25" s="25"/>
      <c r="C25" s="16"/>
      <c r="D25" s="28" t="s">
        <v>133</v>
      </c>
      <c r="E25" s="7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</row>
    <row r="26" spans="1:156" s="9" customFormat="1" ht="20.100000000000001" customHeight="1" x14ac:dyDescent="0.15">
      <c r="A26" s="31"/>
      <c r="B26" s="25"/>
      <c r="C26" s="6" t="s">
        <v>352</v>
      </c>
      <c r="D26" s="42"/>
      <c r="E26" s="27" t="str">
        <f>IF(egTextCal(D26)&lt;&gt;0, egTextCal(D26),"")</f>
        <v/>
      </c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</row>
    <row r="27" spans="1:156" s="9" customFormat="1" ht="20.100000000000001" customHeight="1" x14ac:dyDescent="0.15">
      <c r="A27" s="31"/>
      <c r="B27" s="25"/>
      <c r="C27" s="16"/>
      <c r="D27" s="28" t="s">
        <v>134</v>
      </c>
      <c r="E27" s="7"/>
      <c r="F27" s="45"/>
      <c r="G27" s="45"/>
      <c r="H27" s="45"/>
      <c r="I27" s="45"/>
      <c r="J27" s="45">
        <v>1</v>
      </c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</row>
    <row r="28" spans="1:156" s="9" customFormat="1" ht="20.100000000000001" customHeight="1" x14ac:dyDescent="0.15">
      <c r="A28" s="31"/>
      <c r="B28" s="25"/>
      <c r="C28" s="6" t="s">
        <v>353</v>
      </c>
      <c r="D28" s="64" t="e">
        <f>목록별산출서!#REF!</f>
        <v>#REF!</v>
      </c>
      <c r="E28" s="27" t="e">
        <f>IF(egTextCal(D28)&lt;&gt;0, egTextCal(D28),"")</f>
        <v>#VALUE!</v>
      </c>
      <c r="F28" s="26"/>
      <c r="G28" s="26"/>
      <c r="H28" s="26"/>
      <c r="I28" s="26"/>
      <c r="J28" s="26" t="e">
        <f>IF(E28*J27&lt;&gt;0,E28*J27,  )</f>
        <v>#VALUE!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 t="e">
        <f>J28</f>
        <v>#VALUE!</v>
      </c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</row>
    <row r="29" spans="1:156" s="9" customFormat="1" ht="20.100000000000001" customHeight="1" x14ac:dyDescent="0.15">
      <c r="A29" s="31"/>
      <c r="B29" s="25"/>
      <c r="C29" s="16"/>
      <c r="D29" s="28" t="s">
        <v>138</v>
      </c>
      <c r="E29" s="7"/>
      <c r="F29" s="45"/>
      <c r="G29" s="45"/>
      <c r="H29" s="45">
        <v>1</v>
      </c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</row>
    <row r="30" spans="1:156" s="9" customFormat="1" ht="20.100000000000001" customHeight="1" x14ac:dyDescent="0.15">
      <c r="A30" s="31"/>
      <c r="B30" s="25"/>
      <c r="C30" s="6" t="s">
        <v>354</v>
      </c>
      <c r="D30" s="64" t="e">
        <f>목록별산출서!#REF!</f>
        <v>#REF!</v>
      </c>
      <c r="E30" s="27" t="e">
        <f>IF(egTextCal(D30)&lt;&gt;0, egTextCal(D30),"")</f>
        <v>#VALUE!</v>
      </c>
      <c r="F30" s="26"/>
      <c r="G30" s="26"/>
      <c r="H30" s="26" t="e">
        <f>IF(E30*H29&lt;&gt;0,E30*H29,  )</f>
        <v>#VALUE!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 t="e">
        <f>H30</f>
        <v>#VALUE!</v>
      </c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</row>
    <row r="31" spans="1:156" s="9" customFormat="1" ht="20.100000000000001" customHeight="1" x14ac:dyDescent="0.15">
      <c r="A31" s="31"/>
      <c r="B31" s="25"/>
      <c r="C31" s="16"/>
      <c r="D31" s="28" t="s">
        <v>141</v>
      </c>
      <c r="E31" s="7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</row>
    <row r="32" spans="1:156" s="9" customFormat="1" ht="20.100000000000001" customHeight="1" x14ac:dyDescent="0.15">
      <c r="A32" s="31"/>
      <c r="B32" s="25"/>
      <c r="C32" s="6" t="s">
        <v>355</v>
      </c>
      <c r="D32" s="42"/>
      <c r="E32" s="27" t="str">
        <f>IF(egTextCal(D32)&lt;&gt;0, egTextCal(D32),"")</f>
        <v/>
      </c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</row>
    <row r="33" spans="1:156" s="9" customFormat="1" ht="20.100000000000001" customHeight="1" x14ac:dyDescent="0.15">
      <c r="A33" s="31"/>
      <c r="B33" s="25"/>
      <c r="C33" s="16"/>
      <c r="D33" s="28" t="s">
        <v>142</v>
      </c>
      <c r="E33" s="7"/>
      <c r="F33" s="45">
        <v>1</v>
      </c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  <c r="EW33" s="41"/>
      <c r="EX33" s="41"/>
      <c r="EY33" s="41"/>
      <c r="EZ33" s="41"/>
    </row>
    <row r="34" spans="1:156" s="9" customFormat="1" ht="20.100000000000001" customHeight="1" x14ac:dyDescent="0.15">
      <c r="A34" s="31"/>
      <c r="B34" s="25"/>
      <c r="C34" s="6" t="s">
        <v>356</v>
      </c>
      <c r="D34" s="64" t="e">
        <f>목록별산출서!#REF!</f>
        <v>#REF!</v>
      </c>
      <c r="E34" s="27" t="e">
        <f>IF(egTextCal(D34)&lt;&gt;0, egTextCal(D34),"")</f>
        <v>#VALUE!</v>
      </c>
      <c r="F34" s="26" t="e">
        <f>IF(E34*F33&lt;&gt;0,E34*F33,  )</f>
        <v>#VALUE!</v>
      </c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 t="e">
        <f>F34</f>
        <v>#VALUE!</v>
      </c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  <c r="EK34" s="41"/>
      <c r="EL34" s="41"/>
      <c r="EM34" s="41"/>
      <c r="EN34" s="41"/>
      <c r="EO34" s="41"/>
      <c r="EP34" s="41"/>
      <c r="EQ34" s="41"/>
      <c r="ER34" s="41"/>
      <c r="ES34" s="41"/>
      <c r="ET34" s="41"/>
      <c r="EU34" s="41"/>
      <c r="EV34" s="41"/>
      <c r="EW34" s="41"/>
      <c r="EX34" s="41"/>
      <c r="EY34" s="41"/>
      <c r="EZ34" s="41"/>
    </row>
    <row r="35" spans="1:156" s="9" customFormat="1" ht="20.100000000000001" customHeight="1" x14ac:dyDescent="0.15">
      <c r="A35" s="31"/>
      <c r="B35" s="25"/>
      <c r="C35" s="16"/>
      <c r="D35" s="28" t="s">
        <v>146</v>
      </c>
      <c r="E35" s="7"/>
      <c r="F35" s="45"/>
      <c r="G35" s="45">
        <v>1</v>
      </c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</row>
    <row r="36" spans="1:156" s="9" customFormat="1" ht="20.100000000000001" customHeight="1" x14ac:dyDescent="0.15">
      <c r="A36" s="31"/>
      <c r="B36" s="25"/>
      <c r="C36" s="6" t="s">
        <v>357</v>
      </c>
      <c r="D36" s="64" t="e">
        <f>목록별산출서!#REF!</f>
        <v>#REF!</v>
      </c>
      <c r="E36" s="27" t="e">
        <f>IF(egTextCal(D36)&lt;&gt;0, egTextCal(D36),"")</f>
        <v>#VALUE!</v>
      </c>
      <c r="F36" s="26"/>
      <c r="G36" s="26" t="e">
        <f>IF(E36*G35&lt;&gt;0,E36*G35,  )</f>
        <v>#VALUE!</v>
      </c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 t="e">
        <f>G36</f>
        <v>#VALUE!</v>
      </c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41"/>
      <c r="EM36" s="41"/>
      <c r="EN36" s="41"/>
      <c r="EO36" s="41"/>
      <c r="EP36" s="41"/>
      <c r="EQ36" s="41"/>
      <c r="ER36" s="41"/>
      <c r="ES36" s="41"/>
      <c r="ET36" s="41"/>
      <c r="EU36" s="41"/>
      <c r="EV36" s="41"/>
      <c r="EW36" s="41"/>
      <c r="EX36" s="41"/>
      <c r="EY36" s="41"/>
      <c r="EZ36" s="41"/>
    </row>
    <row r="37" spans="1:156" s="9" customFormat="1" ht="20.100000000000001" customHeight="1" x14ac:dyDescent="0.15">
      <c r="A37" s="31"/>
      <c r="B37" s="25"/>
      <c r="C37" s="16"/>
      <c r="D37" s="28"/>
      <c r="E37" s="7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</row>
    <row r="38" spans="1:156" s="9" customFormat="1" ht="20.100000000000001" customHeight="1" x14ac:dyDescent="0.15">
      <c r="A38" s="31"/>
      <c r="B38" s="25"/>
      <c r="C38" s="6" t="s">
        <v>358</v>
      </c>
      <c r="D38" s="42"/>
      <c r="E38" s="27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</row>
    <row r="39" spans="1:156" s="9" customFormat="1" ht="20.100000000000001" customHeight="1" x14ac:dyDescent="0.15">
      <c r="A39" s="31"/>
      <c r="B39" s="25"/>
      <c r="C39" s="16"/>
      <c r="D39" s="28" t="s">
        <v>150</v>
      </c>
      <c r="E39" s="7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41"/>
      <c r="DB39" s="41"/>
      <c r="DC39" s="41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41"/>
      <c r="DO39" s="41"/>
      <c r="DP39" s="41"/>
      <c r="DQ39" s="41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1"/>
      <c r="EC39" s="41"/>
      <c r="ED39" s="41"/>
      <c r="EE39" s="41"/>
      <c r="EF39" s="41"/>
      <c r="EG39" s="41"/>
      <c r="EH39" s="41"/>
      <c r="EI39" s="41"/>
      <c r="EJ39" s="41"/>
      <c r="EK39" s="41"/>
      <c r="EL39" s="41"/>
      <c r="EM39" s="41"/>
      <c r="EN39" s="41"/>
      <c r="EO39" s="41"/>
      <c r="EP39" s="41"/>
      <c r="EQ39" s="41"/>
      <c r="ER39" s="41"/>
      <c r="ES39" s="41"/>
      <c r="ET39" s="41"/>
      <c r="EU39" s="41"/>
      <c r="EV39" s="41"/>
      <c r="EW39" s="41"/>
      <c r="EX39" s="41"/>
      <c r="EY39" s="41"/>
      <c r="EZ39" s="41"/>
    </row>
    <row r="40" spans="1:156" s="9" customFormat="1" ht="20.100000000000001" customHeight="1" x14ac:dyDescent="0.15">
      <c r="A40" s="31"/>
      <c r="B40" s="25"/>
      <c r="C40" s="6" t="s">
        <v>359</v>
      </c>
      <c r="D40" s="42"/>
      <c r="E40" s="27" t="str">
        <f>IF(egTextCal(D40)&lt;&gt;0, egTextCal(D40),"")</f>
        <v/>
      </c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41"/>
      <c r="EP40" s="41"/>
      <c r="EQ40" s="41"/>
      <c r="ER40" s="41"/>
      <c r="ES40" s="41"/>
      <c r="ET40" s="41"/>
      <c r="EU40" s="41"/>
      <c r="EV40" s="41"/>
      <c r="EW40" s="41"/>
      <c r="EX40" s="41"/>
      <c r="EY40" s="41"/>
      <c r="EZ40" s="41"/>
    </row>
    <row r="41" spans="1:156" s="9" customFormat="1" ht="20.100000000000001" customHeight="1" x14ac:dyDescent="0.15">
      <c r="A41" s="31"/>
      <c r="B41" s="25"/>
      <c r="C41" s="16"/>
      <c r="D41" s="28" t="s">
        <v>133</v>
      </c>
      <c r="E41" s="7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  <c r="DD41" s="41"/>
      <c r="DE41" s="41"/>
      <c r="DF41" s="41"/>
      <c r="DG41" s="41"/>
      <c r="DH41" s="41"/>
      <c r="DI41" s="41"/>
      <c r="DJ41" s="41"/>
      <c r="DK41" s="41"/>
      <c r="DL41" s="41"/>
      <c r="DM41" s="41"/>
      <c r="DN41" s="41"/>
      <c r="DO41" s="41"/>
      <c r="DP41" s="41"/>
      <c r="DQ41" s="41"/>
      <c r="DR41" s="41"/>
      <c r="DS41" s="41"/>
      <c r="DT41" s="41"/>
      <c r="DU41" s="41"/>
      <c r="DV41" s="41"/>
      <c r="DW41" s="41"/>
      <c r="DX41" s="41"/>
      <c r="DY41" s="41"/>
      <c r="DZ41" s="41"/>
      <c r="EA41" s="41"/>
      <c r="EB41" s="41"/>
      <c r="EC41" s="41"/>
      <c r="ED41" s="41"/>
      <c r="EE41" s="41"/>
      <c r="EF41" s="41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41"/>
      <c r="EW41" s="41"/>
      <c r="EX41" s="41"/>
      <c r="EY41" s="41"/>
      <c r="EZ41" s="41"/>
    </row>
    <row r="42" spans="1:156" s="9" customFormat="1" ht="20.100000000000001" customHeight="1" x14ac:dyDescent="0.15">
      <c r="A42" s="31"/>
      <c r="B42" s="25"/>
      <c r="C42" s="6" t="s">
        <v>360</v>
      </c>
      <c r="D42" s="42"/>
      <c r="E42" s="27" t="str">
        <f>IF(egTextCal(D42)&lt;&gt;0, egTextCal(D42),"")</f>
        <v/>
      </c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41"/>
      <c r="DO42" s="41"/>
      <c r="DP42" s="41"/>
      <c r="DQ42" s="41"/>
      <c r="DR42" s="41"/>
      <c r="DS42" s="41"/>
      <c r="DT42" s="41"/>
      <c r="DU42" s="41"/>
      <c r="DV42" s="41"/>
      <c r="DW42" s="41"/>
      <c r="DX42" s="41"/>
      <c r="DY42" s="41"/>
      <c r="DZ42" s="41"/>
      <c r="EA42" s="41"/>
      <c r="EB42" s="41"/>
      <c r="EC42" s="41"/>
      <c r="ED42" s="41"/>
      <c r="EE42" s="41"/>
      <c r="EF42" s="41"/>
      <c r="EG42" s="41"/>
      <c r="EH42" s="41"/>
      <c r="EI42" s="41"/>
      <c r="EJ42" s="41"/>
      <c r="EK42" s="41"/>
      <c r="EL42" s="41"/>
      <c r="EM42" s="41"/>
      <c r="EN42" s="41"/>
      <c r="EO42" s="41"/>
      <c r="EP42" s="41"/>
      <c r="EQ42" s="41"/>
      <c r="ER42" s="41"/>
      <c r="ES42" s="41"/>
      <c r="ET42" s="41"/>
      <c r="EU42" s="41"/>
      <c r="EV42" s="41"/>
      <c r="EW42" s="41"/>
      <c r="EX42" s="41"/>
      <c r="EY42" s="41"/>
      <c r="EZ42" s="41"/>
    </row>
    <row r="43" spans="1:156" s="9" customFormat="1" ht="20.100000000000001" customHeight="1" x14ac:dyDescent="0.15">
      <c r="A43" s="31"/>
      <c r="B43" s="25"/>
      <c r="C43" s="16"/>
      <c r="D43" s="28" t="s">
        <v>134</v>
      </c>
      <c r="E43" s="7"/>
      <c r="F43" s="45"/>
      <c r="G43" s="45"/>
      <c r="H43" s="45"/>
      <c r="I43" s="45"/>
      <c r="J43" s="45">
        <v>1</v>
      </c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  <c r="EW43" s="41"/>
      <c r="EX43" s="41"/>
      <c r="EY43" s="41"/>
      <c r="EZ43" s="41"/>
    </row>
    <row r="44" spans="1:156" s="9" customFormat="1" ht="20.100000000000001" customHeight="1" x14ac:dyDescent="0.15">
      <c r="A44" s="31"/>
      <c r="B44" s="25"/>
      <c r="C44" s="6" t="s">
        <v>222</v>
      </c>
      <c r="D44" s="64" t="e">
        <f>목록별산출서!#REF!</f>
        <v>#REF!</v>
      </c>
      <c r="E44" s="27" t="e">
        <f>IF(egTextCal(D44)&lt;&gt;0, egTextCal(D44),"")</f>
        <v>#VALUE!</v>
      </c>
      <c r="F44" s="26"/>
      <c r="G44" s="26"/>
      <c r="H44" s="26"/>
      <c r="I44" s="26"/>
      <c r="J44" s="26" t="e">
        <f>IF(E44*J43&lt;&gt;0,E44*J43,  )</f>
        <v>#VALUE!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 t="e">
        <f>J44</f>
        <v>#VALUE!</v>
      </c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1"/>
      <c r="DB44" s="41"/>
      <c r="DC44" s="41"/>
      <c r="DD44" s="41"/>
      <c r="DE44" s="41"/>
      <c r="DF44" s="41"/>
      <c r="DG44" s="41"/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1"/>
      <c r="DX44" s="41"/>
      <c r="DY44" s="41"/>
      <c r="DZ44" s="41"/>
      <c r="EA44" s="41"/>
      <c r="EB44" s="41"/>
      <c r="EC44" s="41"/>
      <c r="ED44" s="41"/>
      <c r="EE44" s="41"/>
      <c r="EF44" s="41"/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V44" s="41"/>
      <c r="EW44" s="41"/>
      <c r="EX44" s="41"/>
      <c r="EY44" s="41"/>
      <c r="EZ44" s="41"/>
    </row>
    <row r="45" spans="1:156" s="9" customFormat="1" ht="20.100000000000001" customHeight="1" x14ac:dyDescent="0.15">
      <c r="A45" s="31"/>
      <c r="B45" s="25"/>
      <c r="C45" s="16"/>
      <c r="D45" s="28" t="s">
        <v>141</v>
      </c>
      <c r="E45" s="7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41"/>
      <c r="DB45" s="41"/>
      <c r="DC45" s="41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N45" s="41"/>
      <c r="DO45" s="41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E45" s="41"/>
      <c r="EF45" s="41"/>
      <c r="EG45" s="41"/>
      <c r="EH45" s="41"/>
      <c r="EI45" s="41"/>
      <c r="EJ45" s="41"/>
      <c r="EK45" s="41"/>
      <c r="EL45" s="41"/>
      <c r="EM45" s="41"/>
      <c r="EN45" s="41"/>
      <c r="EO45" s="41"/>
      <c r="EP45" s="41"/>
      <c r="EQ45" s="41"/>
      <c r="ER45" s="41"/>
      <c r="ES45" s="41"/>
      <c r="ET45" s="41"/>
      <c r="EU45" s="41"/>
      <c r="EV45" s="41"/>
      <c r="EW45" s="41"/>
      <c r="EX45" s="41"/>
      <c r="EY45" s="41"/>
      <c r="EZ45" s="41"/>
    </row>
    <row r="46" spans="1:156" s="9" customFormat="1" ht="20.100000000000001" customHeight="1" x14ac:dyDescent="0.15">
      <c r="A46" s="31"/>
      <c r="B46" s="25"/>
      <c r="C46" s="6" t="s">
        <v>361</v>
      </c>
      <c r="D46" s="42"/>
      <c r="E46" s="27" t="str">
        <f>IF(egTextCal(D46)&lt;&gt;0, egTextCal(D46),"")</f>
        <v/>
      </c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  <c r="DQ46" s="41"/>
      <c r="DR46" s="41"/>
      <c r="DS46" s="41"/>
      <c r="DT46" s="41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E46" s="41"/>
      <c r="EF46" s="41"/>
      <c r="EG46" s="41"/>
      <c r="EH46" s="41"/>
      <c r="EI46" s="41"/>
      <c r="EJ46" s="41"/>
      <c r="EK46" s="41"/>
      <c r="EL46" s="41"/>
      <c r="EM46" s="41"/>
      <c r="EN46" s="41"/>
      <c r="EO46" s="41"/>
      <c r="EP46" s="41"/>
      <c r="EQ46" s="41"/>
      <c r="ER46" s="41"/>
      <c r="ES46" s="41"/>
      <c r="ET46" s="41"/>
      <c r="EU46" s="41"/>
      <c r="EV46" s="41"/>
      <c r="EW46" s="41"/>
      <c r="EX46" s="41"/>
      <c r="EY46" s="41"/>
      <c r="EZ46" s="41"/>
    </row>
    <row r="47" spans="1:156" ht="20.100000000000001" customHeight="1" x14ac:dyDescent="0.15">
      <c r="D47" s="14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156" ht="20.100000000000001" customHeight="1" x14ac:dyDescent="0.15">
      <c r="B48" s="30"/>
      <c r="C48" s="20"/>
      <c r="D48" s="46"/>
      <c r="E48" s="46"/>
      <c r="F48" s="18" t="s">
        <v>338</v>
      </c>
      <c r="G48" s="18" t="s">
        <v>339</v>
      </c>
      <c r="H48" s="16" t="s">
        <v>340</v>
      </c>
      <c r="I48" s="16" t="s">
        <v>341</v>
      </c>
      <c r="J48" s="16" t="s">
        <v>135</v>
      </c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83" ht="20.100000000000001" customHeight="1" x14ac:dyDescent="0.15">
      <c r="A49" s="31"/>
      <c r="B49" s="30"/>
      <c r="C49" s="4" t="s">
        <v>342</v>
      </c>
      <c r="D49" s="4" t="s">
        <v>343</v>
      </c>
      <c r="E49" s="4" t="s">
        <v>344</v>
      </c>
      <c r="F49" s="12" t="s">
        <v>345</v>
      </c>
      <c r="G49" s="12" t="s">
        <v>346</v>
      </c>
      <c r="H49" s="4" t="s">
        <v>140</v>
      </c>
      <c r="I49" s="4" t="s">
        <v>157</v>
      </c>
      <c r="J49" s="4" t="s">
        <v>347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83" ht="20.100000000000001" customHeight="1" x14ac:dyDescent="0.15">
      <c r="A50" s="31"/>
      <c r="B50" s="30"/>
      <c r="C50" s="21"/>
      <c r="D50" s="21"/>
      <c r="E50" s="21"/>
      <c r="F50" s="19" t="s">
        <v>348</v>
      </c>
      <c r="G50" s="19" t="s">
        <v>349</v>
      </c>
      <c r="H50" s="17" t="s">
        <v>137</v>
      </c>
      <c r="I50" s="17" t="s">
        <v>137</v>
      </c>
      <c r="J50" s="17" t="s">
        <v>137</v>
      </c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83" ht="20.100000000000001" customHeight="1" x14ac:dyDescent="0.15">
      <c r="A51" s="31"/>
      <c r="C51" s="16"/>
      <c r="D51" s="28" t="s">
        <v>142</v>
      </c>
      <c r="E51" s="7"/>
      <c r="F51" s="44">
        <v>1</v>
      </c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spans="1:83" ht="20.100000000000001" customHeight="1" x14ac:dyDescent="0.15">
      <c r="A52" s="31"/>
      <c r="C52" s="6" t="s">
        <v>127</v>
      </c>
      <c r="D52" s="64" t="e">
        <f>목록별산출서!#REF!</f>
        <v>#REF!</v>
      </c>
      <c r="E52" s="27" t="e">
        <f>IF(egTextCal(D52)&lt;&gt;0, egTextCal(D52),"")</f>
        <v>#VALUE!</v>
      </c>
      <c r="F52" s="26" t="e">
        <f>IF(E52*F51&lt;&gt;0,E52*F51,  )</f>
        <v>#VALUE!</v>
      </c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CA52" s="1" t="e">
        <f>F52</f>
        <v>#VALUE!</v>
      </c>
    </row>
    <row r="53" spans="1:83" ht="20.100000000000001" customHeight="1" x14ac:dyDescent="0.15">
      <c r="A53" s="31"/>
      <c r="C53" s="16"/>
      <c r="D53" s="29"/>
      <c r="E53" s="8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83" ht="20.100000000000001" customHeight="1" x14ac:dyDescent="0.15">
      <c r="A54" s="31"/>
      <c r="C54" s="6" t="s">
        <v>189</v>
      </c>
      <c r="D54" s="43"/>
      <c r="E54" s="27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1:83" ht="20.100000000000001" customHeight="1" x14ac:dyDescent="0.15">
      <c r="A55" s="31"/>
      <c r="C55" s="16"/>
      <c r="D55" s="29" t="s">
        <v>151</v>
      </c>
      <c r="E55" s="8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83" ht="20.100000000000001" customHeight="1" x14ac:dyDescent="0.15">
      <c r="A56" s="31"/>
      <c r="C56" s="6" t="s">
        <v>281</v>
      </c>
      <c r="D56" s="43"/>
      <c r="E56" s="27" t="str">
        <f>IF(egTextCal(D56)&lt;&gt;0, egTextCal(D56),"")</f>
        <v/>
      </c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spans="1:83" ht="20.100000000000001" customHeight="1" x14ac:dyDescent="0.15">
      <c r="A57" s="31"/>
      <c r="C57" s="16"/>
      <c r="D57" s="28" t="s">
        <v>133</v>
      </c>
      <c r="E57" s="7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83" ht="20.100000000000001" customHeight="1" x14ac:dyDescent="0.15">
      <c r="A58" s="31"/>
      <c r="C58" s="6" t="s">
        <v>286</v>
      </c>
      <c r="D58" s="42"/>
      <c r="E58" s="27" t="str">
        <f>IF(egTextCal(D58)&lt;&gt;0, egTextCal(D58),"")</f>
        <v/>
      </c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1:83" ht="20.100000000000001" customHeight="1" x14ac:dyDescent="0.15">
      <c r="A59" s="31"/>
      <c r="C59" s="16"/>
      <c r="D59" s="28" t="s">
        <v>134</v>
      </c>
      <c r="E59" s="7"/>
      <c r="F59" s="45"/>
      <c r="G59" s="45"/>
      <c r="H59" s="45"/>
      <c r="I59" s="45"/>
      <c r="J59" s="45">
        <v>1</v>
      </c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83" ht="20.100000000000001" customHeight="1" x14ac:dyDescent="0.15">
      <c r="A60" s="31"/>
      <c r="C60" s="6" t="s">
        <v>261</v>
      </c>
      <c r="D60" s="64" t="e">
        <f>목록별산출서!#REF!</f>
        <v>#REF!</v>
      </c>
      <c r="E60" s="27" t="e">
        <f>IF(egTextCal(D60)&lt;&gt;0, egTextCal(D60),"")</f>
        <v>#VALUE!</v>
      </c>
      <c r="F60" s="26"/>
      <c r="G60" s="26"/>
      <c r="H60" s="26"/>
      <c r="I60" s="26"/>
      <c r="J60" s="26" t="e">
        <f>IF(E60*J59&lt;&gt;0,E60*J59,  )</f>
        <v>#VALUE!</v>
      </c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CE60" s="1" t="e">
        <f>J60</f>
        <v>#VALUE!</v>
      </c>
    </row>
    <row r="61" spans="1:83" ht="20.100000000000001" customHeight="1" x14ac:dyDescent="0.15">
      <c r="A61" s="31"/>
      <c r="C61" s="16"/>
      <c r="D61" s="28" t="s">
        <v>138</v>
      </c>
      <c r="E61" s="7"/>
      <c r="F61" s="45"/>
      <c r="G61" s="45"/>
      <c r="H61" s="45">
        <v>1</v>
      </c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83" ht="20.100000000000001" customHeight="1" x14ac:dyDescent="0.15">
      <c r="A62" s="31"/>
      <c r="C62" s="6" t="s">
        <v>295</v>
      </c>
      <c r="D62" s="64" t="e">
        <f>목록별산출서!#REF!</f>
        <v>#REF!</v>
      </c>
      <c r="E62" s="27" t="e">
        <f>IF(egTextCal(D62)&lt;&gt;0, egTextCal(D62),"")</f>
        <v>#VALUE!</v>
      </c>
      <c r="F62" s="26"/>
      <c r="G62" s="26"/>
      <c r="H62" s="26" t="e">
        <f>IF(E62*H61&lt;&gt;0,E62*H61,  )</f>
        <v>#VALUE!</v>
      </c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CC62" s="1" t="e">
        <f>H62</f>
        <v>#VALUE!</v>
      </c>
    </row>
    <row r="63" spans="1:83" ht="20.100000000000001" customHeight="1" x14ac:dyDescent="0.15">
      <c r="A63" s="31"/>
      <c r="C63" s="16"/>
      <c r="D63" s="28" t="s">
        <v>141</v>
      </c>
      <c r="E63" s="7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83" ht="20.100000000000001" customHeight="1" x14ac:dyDescent="0.15">
      <c r="A64" s="31"/>
      <c r="C64" s="6" t="s">
        <v>299</v>
      </c>
      <c r="D64" s="42"/>
      <c r="E64" s="27" t="str">
        <f>IF(egTextCal(D64)&lt;&gt;0, egTextCal(D64),"")</f>
        <v/>
      </c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83" ht="20.100000000000001" customHeight="1" x14ac:dyDescent="0.15">
      <c r="A65" s="31"/>
      <c r="C65" s="16"/>
      <c r="D65" s="28" t="s">
        <v>142</v>
      </c>
      <c r="E65" s="7"/>
      <c r="F65" s="45">
        <v>1</v>
      </c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83" ht="20.100000000000001" customHeight="1" x14ac:dyDescent="0.15">
      <c r="A66" s="31"/>
      <c r="C66" s="6" t="s">
        <v>350</v>
      </c>
      <c r="D66" s="64" t="e">
        <f>목록별산출서!#REF!</f>
        <v>#REF!</v>
      </c>
      <c r="E66" s="27" t="e">
        <f>IF(egTextCal(D66)&lt;&gt;0, egTextCal(D66),"")</f>
        <v>#VALUE!</v>
      </c>
      <c r="F66" s="26" t="e">
        <f>IF(E66*F65&lt;&gt;0,E66*F65,  )</f>
        <v>#VALUE!</v>
      </c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CA66" s="1" t="e">
        <f>F66</f>
        <v>#VALUE!</v>
      </c>
    </row>
    <row r="67" spans="1:83" ht="20.100000000000001" customHeight="1" x14ac:dyDescent="0.15">
      <c r="A67" s="31"/>
      <c r="C67" s="16"/>
      <c r="D67" s="28" t="s">
        <v>146</v>
      </c>
      <c r="E67" s="7"/>
      <c r="F67" s="45"/>
      <c r="G67" s="45">
        <v>1</v>
      </c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83" ht="20.100000000000001" customHeight="1" x14ac:dyDescent="0.15">
      <c r="A68" s="31"/>
      <c r="C68" s="6" t="s">
        <v>351</v>
      </c>
      <c r="D68" s="64" t="e">
        <f>목록별산출서!#REF!</f>
        <v>#REF!</v>
      </c>
      <c r="E68" s="27" t="e">
        <f>IF(egTextCal(D68)&lt;&gt;0, egTextCal(D68),"")</f>
        <v>#VALUE!</v>
      </c>
      <c r="F68" s="26"/>
      <c r="G68" s="26" t="e">
        <f>IF(E68*G67&lt;&gt;0,E68*G67,  )</f>
        <v>#VALUE!</v>
      </c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CB68" s="1" t="e">
        <f>G68</f>
        <v>#VALUE!</v>
      </c>
    </row>
    <row r="69" spans="1:83" ht="20.100000000000001" customHeight="1" x14ac:dyDescent="0.15">
      <c r="A69" s="31"/>
      <c r="C69" s="16"/>
      <c r="D69" s="28"/>
      <c r="E69" s="7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83" ht="20.100000000000001" customHeight="1" x14ac:dyDescent="0.15">
      <c r="A70" s="31"/>
      <c r="C70" s="6" t="s">
        <v>322</v>
      </c>
      <c r="D70" s="42"/>
      <c r="E70" s="27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83" ht="20.100000000000001" customHeight="1" x14ac:dyDescent="0.15">
      <c r="A71" s="31"/>
      <c r="C71" s="16"/>
      <c r="D71" s="28" t="s">
        <v>152</v>
      </c>
      <c r="E71" s="7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83" ht="20.100000000000001" customHeight="1" x14ac:dyDescent="0.15">
      <c r="A72" s="31"/>
      <c r="C72" s="6" t="s">
        <v>352</v>
      </c>
      <c r="D72" s="42"/>
      <c r="E72" s="27" t="str">
        <f>IF(egTextCal(D72)&lt;&gt;0, egTextCal(D72),"")</f>
        <v/>
      </c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83" ht="20.100000000000001" customHeight="1" x14ac:dyDescent="0.15">
      <c r="A73" s="31"/>
      <c r="C73" s="16"/>
      <c r="D73" s="28" t="s">
        <v>133</v>
      </c>
      <c r="E73" s="7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83" ht="20.100000000000001" customHeight="1" x14ac:dyDescent="0.15">
      <c r="A74" s="31"/>
      <c r="C74" s="6" t="s">
        <v>353</v>
      </c>
      <c r="D74" s="42"/>
      <c r="E74" s="27" t="str">
        <f>IF(egTextCal(D74)&lt;&gt;0, egTextCal(D74),"")</f>
        <v/>
      </c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83" ht="20.100000000000001" customHeight="1" x14ac:dyDescent="0.15">
      <c r="A75" s="31"/>
      <c r="C75" s="16"/>
      <c r="D75" s="28" t="s">
        <v>134</v>
      </c>
      <c r="E75" s="7"/>
      <c r="F75" s="45"/>
      <c r="G75" s="45"/>
      <c r="H75" s="45"/>
      <c r="I75" s="45"/>
      <c r="J75" s="45">
        <v>1</v>
      </c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83" ht="20.100000000000001" customHeight="1" x14ac:dyDescent="0.15">
      <c r="A76" s="31"/>
      <c r="C76" s="6" t="s">
        <v>354</v>
      </c>
      <c r="D76" s="64" t="e">
        <f>목록별산출서!#REF!</f>
        <v>#REF!</v>
      </c>
      <c r="E76" s="27" t="e">
        <f>IF(egTextCal(D76)&lt;&gt;0, egTextCal(D76),"")</f>
        <v>#VALUE!</v>
      </c>
      <c r="F76" s="26"/>
      <c r="G76" s="26"/>
      <c r="H76" s="26"/>
      <c r="I76" s="26"/>
      <c r="J76" s="26" t="e">
        <f>IF(E76*J75&lt;&gt;0,E76*J75,  )</f>
        <v>#VALUE!</v>
      </c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CE76" s="1" t="e">
        <f>J76</f>
        <v>#VALUE!</v>
      </c>
    </row>
    <row r="77" spans="1:83" ht="20.100000000000001" customHeight="1" x14ac:dyDescent="0.15">
      <c r="A77" s="31"/>
      <c r="C77" s="16"/>
      <c r="D77" s="28" t="s">
        <v>138</v>
      </c>
      <c r="E77" s="7"/>
      <c r="F77" s="45"/>
      <c r="G77" s="45"/>
      <c r="H77" s="45">
        <v>1</v>
      </c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83" ht="20.100000000000001" customHeight="1" x14ac:dyDescent="0.15">
      <c r="A78" s="31"/>
      <c r="C78" s="6" t="s">
        <v>355</v>
      </c>
      <c r="D78" s="64" t="e">
        <f>목록별산출서!#REF!</f>
        <v>#REF!</v>
      </c>
      <c r="E78" s="27" t="e">
        <f>IF(egTextCal(D78)&lt;&gt;0, egTextCal(D78),"")</f>
        <v>#VALUE!</v>
      </c>
      <c r="F78" s="26"/>
      <c r="G78" s="26"/>
      <c r="H78" s="26" t="e">
        <f>IF(E78*H77&lt;&gt;0,E78*H77,  )</f>
        <v>#VALUE!</v>
      </c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CC78" s="1" t="e">
        <f>H78</f>
        <v>#VALUE!</v>
      </c>
    </row>
    <row r="79" spans="1:83" ht="20.100000000000001" customHeight="1" x14ac:dyDescent="0.15">
      <c r="A79" s="31"/>
      <c r="C79" s="16"/>
      <c r="D79" s="28" t="s">
        <v>141</v>
      </c>
      <c r="E79" s="7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83" ht="20.100000000000001" customHeight="1" x14ac:dyDescent="0.15">
      <c r="A80" s="31"/>
      <c r="C80" s="6" t="s">
        <v>356</v>
      </c>
      <c r="D80" s="42"/>
      <c r="E80" s="27" t="str">
        <f>IF(egTextCal(D80)&lt;&gt;0, egTextCal(D80),"")</f>
        <v/>
      </c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82" ht="20.100000000000001" customHeight="1" x14ac:dyDescent="0.15">
      <c r="A81" s="31"/>
      <c r="C81" s="16"/>
      <c r="D81" s="28" t="s">
        <v>142</v>
      </c>
      <c r="E81" s="7"/>
      <c r="F81" s="45">
        <v>1</v>
      </c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82" ht="20.100000000000001" customHeight="1" x14ac:dyDescent="0.15">
      <c r="A82" s="31"/>
      <c r="C82" s="6" t="s">
        <v>357</v>
      </c>
      <c r="D82" s="64" t="e">
        <f>목록별산출서!#REF!</f>
        <v>#REF!</v>
      </c>
      <c r="E82" s="27" t="e">
        <f>IF(egTextCal(D82)&lt;&gt;0, egTextCal(D82),"")</f>
        <v>#VALUE!</v>
      </c>
      <c r="F82" s="26" t="e">
        <f>IF(E82*F81&lt;&gt;0,E82*F81,  )</f>
        <v>#VALUE!</v>
      </c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CA82" s="1" t="e">
        <f>F82</f>
        <v>#VALUE!</v>
      </c>
    </row>
    <row r="83" spans="1:82" ht="20.100000000000001" customHeight="1" x14ac:dyDescent="0.15">
      <c r="A83" s="31"/>
      <c r="C83" s="16"/>
      <c r="D83" s="28" t="s">
        <v>146</v>
      </c>
      <c r="E83" s="7"/>
      <c r="F83" s="45"/>
      <c r="G83" s="45">
        <v>1</v>
      </c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82" ht="20.100000000000001" customHeight="1" x14ac:dyDescent="0.15">
      <c r="A84" s="31"/>
      <c r="C84" s="6" t="s">
        <v>358</v>
      </c>
      <c r="D84" s="64" t="e">
        <f>목록별산출서!#REF!</f>
        <v>#REF!</v>
      </c>
      <c r="E84" s="27" t="e">
        <f>IF(egTextCal(D84)&lt;&gt;0, egTextCal(D84),"")</f>
        <v>#VALUE!</v>
      </c>
      <c r="F84" s="26"/>
      <c r="G84" s="26" t="e">
        <f>IF(E84*G83&lt;&gt;0,E84*G83,  )</f>
        <v>#VALUE!</v>
      </c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CB84" s="1" t="e">
        <f>G84</f>
        <v>#VALUE!</v>
      </c>
    </row>
    <row r="85" spans="1:82" ht="20.100000000000001" customHeight="1" x14ac:dyDescent="0.15">
      <c r="A85" s="31"/>
      <c r="C85" s="16"/>
      <c r="D85" s="28"/>
      <c r="E85" s="7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82" ht="20.100000000000001" customHeight="1" x14ac:dyDescent="0.15">
      <c r="A86" s="31"/>
      <c r="C86" s="6" t="s">
        <v>359</v>
      </c>
      <c r="D86" s="42"/>
      <c r="E86" s="27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82" ht="20.100000000000001" customHeight="1" x14ac:dyDescent="0.15">
      <c r="A87" s="31"/>
      <c r="C87" s="16"/>
      <c r="D87" s="28" t="s">
        <v>153</v>
      </c>
      <c r="E87" s="7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82" ht="20.100000000000001" customHeight="1" x14ac:dyDescent="0.15">
      <c r="A88" s="31"/>
      <c r="C88" s="6" t="s">
        <v>360</v>
      </c>
      <c r="D88" s="42"/>
      <c r="E88" s="27" t="str">
        <f>IF(egTextCal(D88)&lt;&gt;0, egTextCal(D88),"")</f>
        <v/>
      </c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82" ht="20.100000000000001" customHeight="1" x14ac:dyDescent="0.15">
      <c r="A89" s="31"/>
      <c r="C89" s="16"/>
      <c r="D89" s="28" t="s">
        <v>154</v>
      </c>
      <c r="E89" s="7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82" ht="20.100000000000001" customHeight="1" x14ac:dyDescent="0.15">
      <c r="A90" s="31"/>
      <c r="C90" s="6" t="s">
        <v>222</v>
      </c>
      <c r="D90" s="42"/>
      <c r="E90" s="27" t="str">
        <f>IF(egTextCal(D90)&lt;&gt;0, egTextCal(D90),"")</f>
        <v/>
      </c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82" ht="20.100000000000001" customHeight="1" x14ac:dyDescent="0.15">
      <c r="A91" s="31"/>
      <c r="C91" s="16"/>
      <c r="D91" s="28" t="s">
        <v>155</v>
      </c>
      <c r="E91" s="7"/>
      <c r="F91" s="45"/>
      <c r="G91" s="45"/>
      <c r="H91" s="45"/>
      <c r="I91" s="45">
        <v>1</v>
      </c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82" ht="20.100000000000001" customHeight="1" x14ac:dyDescent="0.15">
      <c r="A92" s="31"/>
      <c r="C92" s="6" t="s">
        <v>361</v>
      </c>
      <c r="D92" s="64" t="e">
        <f>목록별산출서!#REF!</f>
        <v>#REF!</v>
      </c>
      <c r="E92" s="27" t="e">
        <f>IF(egTextCal(D92)&lt;&gt;0, egTextCal(D92),"")</f>
        <v>#VALUE!</v>
      </c>
      <c r="F92" s="26"/>
      <c r="G92" s="26"/>
      <c r="H92" s="26"/>
      <c r="I92" s="26" t="e">
        <f>IF(E92*I91&lt;&gt;0,E92*I91,  )</f>
        <v>#VALUE!</v>
      </c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CD92" s="1" t="e">
        <f>I92</f>
        <v>#VALUE!</v>
      </c>
    </row>
    <row r="93" spans="1:82" ht="20.100000000000001" customHeight="1" x14ac:dyDescent="0.15">
      <c r="D93" s="14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spans="1:82" ht="20.100000000000001" customHeight="1" x14ac:dyDescent="0.15">
      <c r="B94" s="30"/>
      <c r="C94" s="20"/>
      <c r="D94" s="46"/>
      <c r="E94" s="46"/>
      <c r="F94" s="18" t="s">
        <v>338</v>
      </c>
      <c r="G94" s="18" t="s">
        <v>339</v>
      </c>
      <c r="H94" s="16" t="s">
        <v>340</v>
      </c>
      <c r="I94" s="16" t="s">
        <v>341</v>
      </c>
      <c r="J94" s="16" t="s">
        <v>135</v>
      </c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82" ht="20.100000000000001" customHeight="1" x14ac:dyDescent="0.15">
      <c r="A95" s="31"/>
      <c r="B95" s="30"/>
      <c r="C95" s="4" t="s">
        <v>342</v>
      </c>
      <c r="D95" s="4" t="s">
        <v>343</v>
      </c>
      <c r="E95" s="4" t="s">
        <v>344</v>
      </c>
      <c r="F95" s="12" t="s">
        <v>345</v>
      </c>
      <c r="G95" s="12" t="s">
        <v>346</v>
      </c>
      <c r="H95" s="4" t="s">
        <v>140</v>
      </c>
      <c r="I95" s="4" t="s">
        <v>157</v>
      </c>
      <c r="J95" s="4" t="s">
        <v>347</v>
      </c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82" ht="20.100000000000001" customHeight="1" x14ac:dyDescent="0.15">
      <c r="A96" s="31"/>
      <c r="B96" s="30"/>
      <c r="C96" s="21"/>
      <c r="D96" s="21"/>
      <c r="E96" s="21"/>
      <c r="F96" s="19" t="s">
        <v>348</v>
      </c>
      <c r="G96" s="19" t="s">
        <v>349</v>
      </c>
      <c r="H96" s="17" t="s">
        <v>137</v>
      </c>
      <c r="I96" s="17" t="s">
        <v>137</v>
      </c>
      <c r="J96" s="17" t="s">
        <v>137</v>
      </c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83" ht="20.100000000000001" customHeight="1" x14ac:dyDescent="0.15">
      <c r="A97" s="31"/>
      <c r="C97" s="16"/>
      <c r="D97" s="28"/>
      <c r="E97" s="7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spans="1:83" ht="20.100000000000001" customHeight="1" x14ac:dyDescent="0.15">
      <c r="A98" s="31"/>
      <c r="C98" s="6" t="s">
        <v>127</v>
      </c>
      <c r="D98" s="42"/>
      <c r="E98" s="27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83" ht="20.100000000000001" customHeight="1" x14ac:dyDescent="0.15">
      <c r="A99" s="31"/>
      <c r="C99" s="16"/>
      <c r="D99" s="29" t="s">
        <v>158</v>
      </c>
      <c r="E99" s="8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83" ht="20.100000000000001" customHeight="1" x14ac:dyDescent="0.15">
      <c r="A100" s="31"/>
      <c r="C100" s="6" t="s">
        <v>189</v>
      </c>
      <c r="D100" s="43"/>
      <c r="E100" s="27" t="str">
        <f>IF(egTextCal(D100)&lt;&gt;0, egTextCal(D100),"")</f>
        <v/>
      </c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spans="1:83" ht="20.100000000000001" customHeight="1" x14ac:dyDescent="0.15">
      <c r="A101" s="31"/>
      <c r="C101" s="16"/>
      <c r="D101" s="29" t="s">
        <v>133</v>
      </c>
      <c r="E101" s="8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83" ht="20.100000000000001" customHeight="1" x14ac:dyDescent="0.15">
      <c r="A102" s="31"/>
      <c r="C102" s="6" t="s">
        <v>281</v>
      </c>
      <c r="D102" s="43"/>
      <c r="E102" s="27" t="str">
        <f>IF(egTextCal(D102)&lt;&gt;0, egTextCal(D102),"")</f>
        <v/>
      </c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83" ht="20.100000000000001" customHeight="1" x14ac:dyDescent="0.15">
      <c r="A103" s="31"/>
      <c r="C103" s="16"/>
      <c r="D103" s="28" t="s">
        <v>134</v>
      </c>
      <c r="E103" s="7"/>
      <c r="F103" s="45"/>
      <c r="G103" s="45"/>
      <c r="H103" s="45"/>
      <c r="I103" s="45"/>
      <c r="J103" s="45">
        <v>1</v>
      </c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83" ht="20.100000000000001" customHeight="1" x14ac:dyDescent="0.15">
      <c r="A104" s="31"/>
      <c r="C104" s="6" t="s">
        <v>286</v>
      </c>
      <c r="D104" s="64" t="e">
        <f>목록별산출서!#REF!</f>
        <v>#REF!</v>
      </c>
      <c r="E104" s="27" t="e">
        <f>IF(egTextCal(D104)&lt;&gt;0, egTextCal(D104),"")</f>
        <v>#VALUE!</v>
      </c>
      <c r="F104" s="26"/>
      <c r="G104" s="26"/>
      <c r="H104" s="26"/>
      <c r="I104" s="26"/>
      <c r="J104" s="26" t="e">
        <f>IF(E104*J103&lt;&gt;0,E104*J103,  )</f>
        <v>#VALUE!</v>
      </c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CE104" s="1" t="e">
        <f>J104</f>
        <v>#VALUE!</v>
      </c>
    </row>
    <row r="105" spans="1:83" ht="20.100000000000001" customHeight="1" x14ac:dyDescent="0.15">
      <c r="A105" s="31"/>
      <c r="C105" s="16"/>
      <c r="D105" s="28" t="s">
        <v>138</v>
      </c>
      <c r="E105" s="7"/>
      <c r="F105" s="45"/>
      <c r="G105" s="45"/>
      <c r="H105" s="45">
        <v>1</v>
      </c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83" ht="20.100000000000001" customHeight="1" x14ac:dyDescent="0.15">
      <c r="A106" s="31"/>
      <c r="C106" s="6" t="s">
        <v>261</v>
      </c>
      <c r="D106" s="64" t="e">
        <f>목록별산출서!#REF!</f>
        <v>#REF!</v>
      </c>
      <c r="E106" s="27" t="e">
        <f>IF(egTextCal(D106)&lt;&gt;0, egTextCal(D106),"")</f>
        <v>#VALUE!</v>
      </c>
      <c r="F106" s="26"/>
      <c r="G106" s="26"/>
      <c r="H106" s="26" t="e">
        <f>IF(E106*H105&lt;&gt;0,E106*H105,  )</f>
        <v>#VALUE!</v>
      </c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CC106" s="1" t="e">
        <f>H106</f>
        <v>#VALUE!</v>
      </c>
    </row>
    <row r="107" spans="1:83" ht="20.100000000000001" customHeight="1" x14ac:dyDescent="0.15">
      <c r="A107" s="31"/>
      <c r="C107" s="16"/>
      <c r="D107" s="28" t="s">
        <v>141</v>
      </c>
      <c r="E107" s="7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83" ht="20.100000000000001" customHeight="1" x14ac:dyDescent="0.15">
      <c r="A108" s="31"/>
      <c r="C108" s="6" t="s">
        <v>295</v>
      </c>
      <c r="D108" s="42"/>
      <c r="E108" s="27" t="str">
        <f>IF(egTextCal(D108)&lt;&gt;0, egTextCal(D108),"")</f>
        <v/>
      </c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83" ht="20.100000000000001" customHeight="1" x14ac:dyDescent="0.15">
      <c r="A109" s="31"/>
      <c r="C109" s="16"/>
      <c r="D109" s="28" t="s">
        <v>142</v>
      </c>
      <c r="E109" s="7"/>
      <c r="F109" s="45">
        <v>1</v>
      </c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83" ht="20.100000000000001" customHeight="1" x14ac:dyDescent="0.15">
      <c r="A110" s="31"/>
      <c r="C110" s="6" t="s">
        <v>299</v>
      </c>
      <c r="D110" s="64" t="e">
        <f>목록별산출서!#REF!</f>
        <v>#REF!</v>
      </c>
      <c r="E110" s="27" t="e">
        <f>IF(egTextCal(D110)&lt;&gt;0, egTextCal(D110),"")</f>
        <v>#VALUE!</v>
      </c>
      <c r="F110" s="26" t="e">
        <f>IF(E110*F109&lt;&gt;0,E110*F109,  )</f>
        <v>#VALUE!</v>
      </c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CA110" s="1" t="e">
        <f>F110</f>
        <v>#VALUE!</v>
      </c>
    </row>
    <row r="111" spans="1:83" ht="20.100000000000001" customHeight="1" x14ac:dyDescent="0.15">
      <c r="A111" s="31"/>
      <c r="C111" s="16"/>
      <c r="D111" s="28" t="s">
        <v>146</v>
      </c>
      <c r="E111" s="7"/>
      <c r="F111" s="45"/>
      <c r="G111" s="45">
        <v>1</v>
      </c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83" ht="20.100000000000001" customHeight="1" x14ac:dyDescent="0.15">
      <c r="A112" s="31"/>
      <c r="C112" s="6" t="s">
        <v>350</v>
      </c>
      <c r="D112" s="64" t="e">
        <f>목록별산출서!#REF!</f>
        <v>#REF!</v>
      </c>
      <c r="E112" s="27" t="e">
        <f>IF(egTextCal(D112)&lt;&gt;0, egTextCal(D112),"")</f>
        <v>#VALUE!</v>
      </c>
      <c r="F112" s="26"/>
      <c r="G112" s="26" t="e">
        <f>IF(E112*G111&lt;&gt;0,E112*G111,  )</f>
        <v>#VALUE!</v>
      </c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CB112" s="1" t="e">
        <f>G112</f>
        <v>#VALUE!</v>
      </c>
    </row>
    <row r="113" spans="1:26" ht="20.100000000000001" customHeight="1" x14ac:dyDescent="0.15">
      <c r="A113" s="31"/>
      <c r="C113" s="16"/>
      <c r="D113" s="28"/>
      <c r="E113" s="7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 ht="20.100000000000001" customHeight="1" x14ac:dyDescent="0.15">
      <c r="A114" s="31"/>
      <c r="C114" s="6" t="s">
        <v>351</v>
      </c>
      <c r="D114" s="42"/>
      <c r="E114" s="27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spans="1:26" ht="20.100000000000001" customHeight="1" x14ac:dyDescent="0.15">
      <c r="A115" s="31"/>
      <c r="C115" s="16"/>
      <c r="D115" s="28"/>
      <c r="E115" s="7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 ht="20.100000000000001" customHeight="1" x14ac:dyDescent="0.15">
      <c r="A116" s="31"/>
      <c r="C116" s="6" t="s">
        <v>322</v>
      </c>
      <c r="D116" s="42"/>
      <c r="E116" s="27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ht="20.100000000000001" customHeight="1" x14ac:dyDescent="0.15">
      <c r="A117" s="31"/>
      <c r="C117" s="16"/>
      <c r="D117" s="28"/>
      <c r="E117" s="7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 ht="20.100000000000001" customHeight="1" x14ac:dyDescent="0.15">
      <c r="A118" s="31"/>
      <c r="C118" s="6" t="s">
        <v>352</v>
      </c>
      <c r="D118" s="42"/>
      <c r="E118" s="27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</row>
    <row r="119" spans="1:26" ht="20.100000000000001" customHeight="1" x14ac:dyDescent="0.15">
      <c r="A119" s="31"/>
      <c r="C119" s="16"/>
      <c r="D119" s="28"/>
      <c r="E119" s="7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 ht="20.100000000000001" customHeight="1" x14ac:dyDescent="0.15">
      <c r="A120" s="31"/>
      <c r="C120" s="6" t="s">
        <v>353</v>
      </c>
      <c r="D120" s="42"/>
      <c r="E120" s="27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 ht="20.100000000000001" customHeight="1" x14ac:dyDescent="0.15">
      <c r="A121" s="31"/>
      <c r="C121" s="16"/>
      <c r="D121" s="28"/>
      <c r="E121" s="7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 ht="20.100000000000001" customHeight="1" x14ac:dyDescent="0.15">
      <c r="A122" s="31"/>
      <c r="C122" s="6" t="s">
        <v>354</v>
      </c>
      <c r="D122" s="42"/>
      <c r="E122" s="27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26" ht="20.100000000000001" customHeight="1" x14ac:dyDescent="0.15">
      <c r="A123" s="31"/>
      <c r="C123" s="16"/>
      <c r="D123" s="28"/>
      <c r="E123" s="7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 ht="20.100000000000001" customHeight="1" x14ac:dyDescent="0.15">
      <c r="A124" s="31"/>
      <c r="C124" s="6" t="s">
        <v>355</v>
      </c>
      <c r="D124" s="42"/>
      <c r="E124" s="27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</row>
    <row r="125" spans="1:26" ht="20.100000000000001" customHeight="1" x14ac:dyDescent="0.15">
      <c r="A125" s="31"/>
      <c r="C125" s="16"/>
      <c r="D125" s="28"/>
      <c r="E125" s="7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 ht="20.100000000000001" customHeight="1" x14ac:dyDescent="0.15">
      <c r="A126" s="31"/>
      <c r="C126" s="6" t="s">
        <v>356</v>
      </c>
      <c r="D126" s="42"/>
      <c r="E126" s="27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spans="1:26" ht="20.100000000000001" customHeight="1" x14ac:dyDescent="0.15">
      <c r="A127" s="31"/>
      <c r="C127" s="16"/>
      <c r="D127" s="28"/>
      <c r="E127" s="7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 ht="20.100000000000001" customHeight="1" x14ac:dyDescent="0.15">
      <c r="A128" s="31"/>
      <c r="C128" s="6" t="s">
        <v>357</v>
      </c>
      <c r="D128" s="42"/>
      <c r="E128" s="27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spans="1:82" ht="20.100000000000001" customHeight="1" x14ac:dyDescent="0.15">
      <c r="A129" s="31"/>
      <c r="C129" s="16"/>
      <c r="D129" s="28"/>
      <c r="E129" s="7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82" ht="20.100000000000001" customHeight="1" x14ac:dyDescent="0.15">
      <c r="A130" s="31"/>
      <c r="C130" s="6" t="s">
        <v>358</v>
      </c>
      <c r="D130" s="42"/>
      <c r="E130" s="27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82" ht="20.100000000000001" customHeight="1" x14ac:dyDescent="0.15">
      <c r="A131" s="31"/>
      <c r="C131" s="16"/>
      <c r="D131" s="28"/>
      <c r="E131" s="7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82" ht="20.100000000000001" customHeight="1" x14ac:dyDescent="0.15">
      <c r="A132" s="31"/>
      <c r="C132" s="6" t="s">
        <v>359</v>
      </c>
      <c r="D132" s="42"/>
      <c r="E132" s="27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spans="1:82" ht="20.100000000000001" customHeight="1" x14ac:dyDescent="0.15">
      <c r="A133" s="31"/>
      <c r="C133" s="16"/>
      <c r="D133" s="28"/>
      <c r="E133" s="7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82" ht="20.100000000000001" customHeight="1" x14ac:dyDescent="0.15">
      <c r="A134" s="31"/>
      <c r="C134" s="6" t="s">
        <v>360</v>
      </c>
      <c r="D134" s="42"/>
      <c r="E134" s="27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</row>
    <row r="135" spans="1:82" ht="20.100000000000001" customHeight="1" x14ac:dyDescent="0.15">
      <c r="A135" s="31"/>
      <c r="C135" s="16"/>
      <c r="D135" s="28"/>
      <c r="E135" s="7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82" ht="20.100000000000001" customHeight="1" x14ac:dyDescent="0.15">
      <c r="A136" s="31"/>
      <c r="C136" s="6" t="s">
        <v>222</v>
      </c>
      <c r="D136" s="42"/>
      <c r="E136" s="27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</row>
    <row r="137" spans="1:82" ht="20.100000000000001" customHeight="1" x14ac:dyDescent="0.15">
      <c r="A137" s="31"/>
      <c r="B137" s="25" t="s">
        <v>362</v>
      </c>
      <c r="C137" s="16"/>
      <c r="D137" s="67" t="s">
        <v>363</v>
      </c>
      <c r="E137" s="63" t="s">
        <v>112</v>
      </c>
      <c r="F137" s="45" t="e">
        <f>SUM(CA6:CA136)</f>
        <v>#VALUE!</v>
      </c>
      <c r="G137" s="45" t="e">
        <f>SUM(CB6:CB136)</f>
        <v>#VALUE!</v>
      </c>
      <c r="H137" s="45" t="e">
        <f>SUM(CC6:CC136)</f>
        <v>#VALUE!</v>
      </c>
      <c r="I137" s="45" t="e">
        <f>SUM(CD6:CD136)</f>
        <v>#VALUE!</v>
      </c>
      <c r="J137" s="45" t="e">
        <f>SUM(CE6:CE136)</f>
        <v>#VALUE!</v>
      </c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82" ht="20.100000000000001" customHeight="1" x14ac:dyDescent="0.15">
      <c r="A138" s="31"/>
      <c r="C138" s="5" t="s">
        <v>361</v>
      </c>
      <c r="D138" s="27" t="s">
        <v>364</v>
      </c>
      <c r="E138" s="27">
        <v>1</v>
      </c>
      <c r="F138" s="27" t="e">
        <f>E138*F137</f>
        <v>#VALUE!</v>
      </c>
      <c r="G138" s="27" t="e">
        <f>E138*G137</f>
        <v>#VALUE!</v>
      </c>
      <c r="H138" s="27" t="e">
        <f>E138*H137</f>
        <v>#VALUE!</v>
      </c>
      <c r="I138" s="27" t="e">
        <f>E138*I137</f>
        <v>#VALUE!</v>
      </c>
      <c r="J138" s="27" t="e">
        <f>E138*J137</f>
        <v>#VALUE!</v>
      </c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82" ht="20.100000000000001" customHeight="1" x14ac:dyDescent="0.15">
      <c r="B139" s="25" t="s">
        <v>126</v>
      </c>
      <c r="C139" s="386" t="s">
        <v>159</v>
      </c>
      <c r="D139" s="409"/>
      <c r="E139" s="409"/>
      <c r="F139" s="409"/>
      <c r="G139" s="409"/>
      <c r="H139" s="409"/>
      <c r="I139" s="409"/>
      <c r="J139" s="409"/>
      <c r="K139" s="409"/>
      <c r="L139" s="409"/>
      <c r="M139" s="409"/>
      <c r="N139" s="409"/>
      <c r="O139" s="409"/>
      <c r="P139" s="409"/>
      <c r="Q139" s="409"/>
      <c r="R139" s="409"/>
      <c r="S139" s="409"/>
      <c r="T139" s="409"/>
      <c r="U139" s="409"/>
      <c r="V139" s="409"/>
      <c r="W139" s="409"/>
      <c r="X139" s="409"/>
      <c r="Y139" s="409"/>
      <c r="Z139" s="409"/>
    </row>
    <row r="140" spans="1:82" ht="20.100000000000001" customHeight="1" x14ac:dyDescent="0.15">
      <c r="B140" s="30"/>
      <c r="C140" s="20"/>
      <c r="D140" s="46"/>
      <c r="E140" s="46"/>
      <c r="F140" s="18" t="s">
        <v>338</v>
      </c>
      <c r="G140" s="18" t="s">
        <v>339</v>
      </c>
      <c r="H140" s="16" t="s">
        <v>340</v>
      </c>
      <c r="I140" s="16" t="s">
        <v>135</v>
      </c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CA140" s="1" t="s">
        <v>338</v>
      </c>
      <c r="CB140" s="1" t="s">
        <v>339</v>
      </c>
      <c r="CC140" s="1" t="s">
        <v>340</v>
      </c>
      <c r="CD140" s="1" t="s">
        <v>135</v>
      </c>
    </row>
    <row r="141" spans="1:82" ht="20.100000000000001" customHeight="1" x14ac:dyDescent="0.15">
      <c r="A141" s="31"/>
      <c r="B141" s="30"/>
      <c r="C141" s="4" t="s">
        <v>342</v>
      </c>
      <c r="D141" s="4" t="s">
        <v>343</v>
      </c>
      <c r="E141" s="4" t="s">
        <v>344</v>
      </c>
      <c r="F141" s="12" t="s">
        <v>345</v>
      </c>
      <c r="G141" s="12" t="s">
        <v>346</v>
      </c>
      <c r="H141" s="4" t="s">
        <v>140</v>
      </c>
      <c r="I141" s="4" t="s">
        <v>347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CA141" s="1" t="s">
        <v>345</v>
      </c>
      <c r="CB141" s="1" t="s">
        <v>346</v>
      </c>
      <c r="CC141" s="1" t="s">
        <v>140</v>
      </c>
      <c r="CD141" s="1" t="s">
        <v>347</v>
      </c>
    </row>
    <row r="142" spans="1:82" ht="20.100000000000001" customHeight="1" x14ac:dyDescent="0.15">
      <c r="A142" s="31"/>
      <c r="B142" s="30"/>
      <c r="C142" s="21"/>
      <c r="D142" s="21"/>
      <c r="E142" s="21"/>
      <c r="F142" s="19" t="s">
        <v>348</v>
      </c>
      <c r="G142" s="19" t="s">
        <v>349</v>
      </c>
      <c r="H142" s="17" t="s">
        <v>137</v>
      </c>
      <c r="I142" s="17" t="s">
        <v>137</v>
      </c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CA142" s="1" t="s">
        <v>348</v>
      </c>
      <c r="CB142" s="1" t="s">
        <v>349</v>
      </c>
      <c r="CC142" s="1" t="s">
        <v>137</v>
      </c>
      <c r="CD142" s="1" t="s">
        <v>137</v>
      </c>
    </row>
    <row r="143" spans="1:82" ht="20.100000000000001" customHeight="1" x14ac:dyDescent="0.15">
      <c r="A143" s="31"/>
      <c r="C143" s="16"/>
      <c r="D143" s="28" t="s">
        <v>160</v>
      </c>
      <c r="E143" s="7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spans="1:82" ht="20.100000000000001" customHeight="1" x14ac:dyDescent="0.15">
      <c r="A144" s="31"/>
      <c r="C144" s="6" t="s">
        <v>127</v>
      </c>
      <c r="D144" s="42"/>
      <c r="E144" s="27" t="str">
        <f>IF(egTextCal(D144)&lt;&gt;0, egTextCal(D144),"")</f>
        <v/>
      </c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82" ht="20.100000000000001" customHeight="1" x14ac:dyDescent="0.15">
      <c r="A145" s="31"/>
      <c r="C145" s="16"/>
      <c r="D145" s="29" t="s">
        <v>161</v>
      </c>
      <c r="E145" s="8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82" ht="20.100000000000001" customHeight="1" x14ac:dyDescent="0.15">
      <c r="A146" s="31"/>
      <c r="C146" s="6" t="s">
        <v>189</v>
      </c>
      <c r="D146" s="43"/>
      <c r="E146" s="27" t="str">
        <f>IF(egTextCal(D146)&lt;&gt;0, egTextCal(D146),"")</f>
        <v/>
      </c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spans="1:82" ht="20.100000000000001" customHeight="1" x14ac:dyDescent="0.15">
      <c r="A147" s="31"/>
      <c r="C147" s="16"/>
      <c r="D147" s="29" t="s">
        <v>133</v>
      </c>
      <c r="E147" s="8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82" ht="20.100000000000001" customHeight="1" x14ac:dyDescent="0.15">
      <c r="A148" s="31"/>
      <c r="C148" s="6" t="s">
        <v>281</v>
      </c>
      <c r="D148" s="43"/>
      <c r="E148" s="27" t="str">
        <f>IF(egTextCal(D148)&lt;&gt;0, egTextCal(D148),"")</f>
        <v/>
      </c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</row>
    <row r="149" spans="1:82" ht="20.100000000000001" customHeight="1" x14ac:dyDescent="0.15">
      <c r="A149" s="31"/>
      <c r="C149" s="16"/>
      <c r="D149" s="28" t="s">
        <v>134</v>
      </c>
      <c r="E149" s="7"/>
      <c r="F149" s="45"/>
      <c r="G149" s="45"/>
      <c r="H149" s="45"/>
      <c r="I149" s="45">
        <v>1</v>
      </c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82" ht="20.100000000000001" customHeight="1" x14ac:dyDescent="0.15">
      <c r="A150" s="31"/>
      <c r="C150" s="6" t="s">
        <v>286</v>
      </c>
      <c r="D150" s="64" t="e">
        <f>목록별산출서!#REF!</f>
        <v>#REF!</v>
      </c>
      <c r="E150" s="27" t="e">
        <f>IF(egTextCal(D150)&lt;&gt;0, egTextCal(D150),"")</f>
        <v>#VALUE!</v>
      </c>
      <c r="F150" s="26"/>
      <c r="G150" s="26"/>
      <c r="H150" s="26"/>
      <c r="I150" s="26" t="e">
        <f>IF(E150*I149&lt;&gt;0,E150*I149,  )</f>
        <v>#VALUE!</v>
      </c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CD150" s="1" t="e">
        <f>I150</f>
        <v>#VALUE!</v>
      </c>
    </row>
    <row r="151" spans="1:82" ht="20.100000000000001" customHeight="1" x14ac:dyDescent="0.15">
      <c r="A151" s="31"/>
      <c r="C151" s="16"/>
      <c r="D151" s="28" t="s">
        <v>138</v>
      </c>
      <c r="E151" s="7"/>
      <c r="F151" s="45"/>
      <c r="G151" s="45"/>
      <c r="H151" s="45">
        <v>1</v>
      </c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82" ht="20.100000000000001" customHeight="1" x14ac:dyDescent="0.15">
      <c r="A152" s="31"/>
      <c r="C152" s="6" t="s">
        <v>261</v>
      </c>
      <c r="D152" s="64" t="e">
        <f>목록별산출서!#REF!</f>
        <v>#REF!</v>
      </c>
      <c r="E152" s="27" t="e">
        <f>IF(egTextCal(D152)&lt;&gt;0, egTextCal(D152),"")</f>
        <v>#VALUE!</v>
      </c>
      <c r="F152" s="26"/>
      <c r="G152" s="26"/>
      <c r="H152" s="26" t="e">
        <f>IF(E152*H151&lt;&gt;0,E152*H151,  )</f>
        <v>#VALUE!</v>
      </c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CC152" s="1" t="e">
        <f>H152</f>
        <v>#VALUE!</v>
      </c>
    </row>
    <row r="153" spans="1:82" ht="20.100000000000001" customHeight="1" x14ac:dyDescent="0.15">
      <c r="A153" s="31"/>
      <c r="C153" s="16"/>
      <c r="D153" s="28" t="s">
        <v>141</v>
      </c>
      <c r="E153" s="7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82" ht="20.100000000000001" customHeight="1" x14ac:dyDescent="0.15">
      <c r="A154" s="31"/>
      <c r="C154" s="6" t="s">
        <v>295</v>
      </c>
      <c r="D154" s="42"/>
      <c r="E154" s="27" t="str">
        <f>IF(egTextCal(D154)&lt;&gt;0, egTextCal(D154),"")</f>
        <v/>
      </c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82" ht="20.100000000000001" customHeight="1" x14ac:dyDescent="0.15">
      <c r="A155" s="31"/>
      <c r="C155" s="16"/>
      <c r="D155" s="28" t="s">
        <v>142</v>
      </c>
      <c r="E155" s="7"/>
      <c r="F155" s="45">
        <v>1</v>
      </c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82" ht="20.100000000000001" customHeight="1" x14ac:dyDescent="0.15">
      <c r="A156" s="31"/>
      <c r="C156" s="6" t="s">
        <v>299</v>
      </c>
      <c r="D156" s="64" t="e">
        <f>목록별산출서!#REF!</f>
        <v>#REF!</v>
      </c>
      <c r="E156" s="27" t="e">
        <f>IF(egTextCal(D156)&lt;&gt;0, egTextCal(D156),"")</f>
        <v>#VALUE!</v>
      </c>
      <c r="F156" s="26" t="e">
        <f>IF(E156*F155&lt;&gt;0,E156*F155,  )</f>
        <v>#VALUE!</v>
      </c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CA156" s="1" t="e">
        <f>F156</f>
        <v>#VALUE!</v>
      </c>
    </row>
    <row r="157" spans="1:82" ht="20.100000000000001" customHeight="1" x14ac:dyDescent="0.15">
      <c r="A157" s="31"/>
      <c r="C157" s="16"/>
      <c r="D157" s="28" t="s">
        <v>146</v>
      </c>
      <c r="E157" s="7"/>
      <c r="F157" s="45"/>
      <c r="G157" s="45">
        <v>1</v>
      </c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82" ht="20.100000000000001" customHeight="1" x14ac:dyDescent="0.15">
      <c r="A158" s="31"/>
      <c r="C158" s="6" t="s">
        <v>350</v>
      </c>
      <c r="D158" s="64" t="e">
        <f>목록별산출서!#REF!</f>
        <v>#REF!</v>
      </c>
      <c r="E158" s="27" t="e">
        <f>IF(egTextCal(D158)&lt;&gt;0, egTextCal(D158),"")</f>
        <v>#VALUE!</v>
      </c>
      <c r="F158" s="26"/>
      <c r="G158" s="26" t="e">
        <f>IF(E158*G157&lt;&gt;0,E158*G157,  )</f>
        <v>#VALUE!</v>
      </c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CB158" s="1" t="e">
        <f>G158</f>
        <v>#VALUE!</v>
      </c>
    </row>
    <row r="159" spans="1:82" ht="20.100000000000001" customHeight="1" x14ac:dyDescent="0.15">
      <c r="A159" s="31"/>
      <c r="C159" s="16"/>
      <c r="D159" s="28"/>
      <c r="E159" s="7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82" ht="20.100000000000001" customHeight="1" x14ac:dyDescent="0.15">
      <c r="A160" s="31"/>
      <c r="C160" s="6" t="s">
        <v>351</v>
      </c>
      <c r="D160" s="42"/>
      <c r="E160" s="27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82" ht="20.100000000000001" customHeight="1" x14ac:dyDescent="0.15">
      <c r="A161" s="31"/>
      <c r="C161" s="16"/>
      <c r="D161" s="28" t="s">
        <v>162</v>
      </c>
      <c r="E161" s="7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82" ht="20.100000000000001" customHeight="1" x14ac:dyDescent="0.15">
      <c r="A162" s="31"/>
      <c r="C162" s="6" t="s">
        <v>322</v>
      </c>
      <c r="D162" s="42"/>
      <c r="E162" s="27" t="str">
        <f>IF(egTextCal(D162)&lt;&gt;0, egTextCal(D162),"")</f>
        <v/>
      </c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</row>
    <row r="163" spans="1:82" ht="20.100000000000001" customHeight="1" x14ac:dyDescent="0.15">
      <c r="A163" s="31"/>
      <c r="C163" s="16"/>
      <c r="D163" s="28" t="s">
        <v>133</v>
      </c>
      <c r="E163" s="7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82" ht="20.100000000000001" customHeight="1" x14ac:dyDescent="0.15">
      <c r="A164" s="31"/>
      <c r="C164" s="6" t="s">
        <v>352</v>
      </c>
      <c r="D164" s="42"/>
      <c r="E164" s="27" t="str">
        <f>IF(egTextCal(D164)&lt;&gt;0, egTextCal(D164),"")</f>
        <v/>
      </c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spans="1:82" ht="20.100000000000001" customHeight="1" x14ac:dyDescent="0.15">
      <c r="A165" s="31"/>
      <c r="C165" s="16"/>
      <c r="D165" s="28" t="s">
        <v>134</v>
      </c>
      <c r="E165" s="7"/>
      <c r="F165" s="45"/>
      <c r="G165" s="45"/>
      <c r="H165" s="45"/>
      <c r="I165" s="45">
        <v>1</v>
      </c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82" ht="20.100000000000001" customHeight="1" x14ac:dyDescent="0.15">
      <c r="A166" s="31"/>
      <c r="C166" s="6" t="s">
        <v>353</v>
      </c>
      <c r="D166" s="64" t="e">
        <f>목록별산출서!#REF!</f>
        <v>#REF!</v>
      </c>
      <c r="E166" s="27" t="e">
        <f>IF(egTextCal(D166)&lt;&gt;0, egTextCal(D166),"")</f>
        <v>#VALUE!</v>
      </c>
      <c r="F166" s="26"/>
      <c r="G166" s="26"/>
      <c r="H166" s="26"/>
      <c r="I166" s="26" t="e">
        <f>IF(E166*I165&lt;&gt;0,E166*I165,  )</f>
        <v>#VALUE!</v>
      </c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CD166" s="1" t="e">
        <f>I166</f>
        <v>#VALUE!</v>
      </c>
    </row>
    <row r="167" spans="1:82" ht="20.100000000000001" customHeight="1" x14ac:dyDescent="0.15">
      <c r="A167" s="31"/>
      <c r="C167" s="16"/>
      <c r="D167" s="28" t="s">
        <v>138</v>
      </c>
      <c r="E167" s="7"/>
      <c r="F167" s="45"/>
      <c r="G167" s="45"/>
      <c r="H167" s="45">
        <v>1</v>
      </c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82" ht="20.100000000000001" customHeight="1" x14ac:dyDescent="0.15">
      <c r="A168" s="31"/>
      <c r="C168" s="6" t="s">
        <v>354</v>
      </c>
      <c r="D168" s="64" t="e">
        <f>목록별산출서!#REF!</f>
        <v>#REF!</v>
      </c>
      <c r="E168" s="27" t="e">
        <f>IF(egTextCal(D168)&lt;&gt;0, egTextCal(D168),"")</f>
        <v>#VALUE!</v>
      </c>
      <c r="F168" s="26"/>
      <c r="G168" s="26"/>
      <c r="H168" s="26" t="e">
        <f>IF(E168*H167&lt;&gt;0,E168*H167,  )</f>
        <v>#VALUE!</v>
      </c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CC168" s="1" t="e">
        <f>H168</f>
        <v>#VALUE!</v>
      </c>
    </row>
    <row r="169" spans="1:82" ht="20.100000000000001" customHeight="1" x14ac:dyDescent="0.15">
      <c r="A169" s="31"/>
      <c r="C169" s="16"/>
      <c r="D169" s="28" t="s">
        <v>141</v>
      </c>
      <c r="E169" s="7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82" ht="20.100000000000001" customHeight="1" x14ac:dyDescent="0.15">
      <c r="A170" s="31"/>
      <c r="C170" s="6" t="s">
        <v>355</v>
      </c>
      <c r="D170" s="42"/>
      <c r="E170" s="27" t="str">
        <f>IF(egTextCal(D170)&lt;&gt;0, egTextCal(D170),"")</f>
        <v/>
      </c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82" ht="20.100000000000001" customHeight="1" x14ac:dyDescent="0.15">
      <c r="A171" s="31"/>
      <c r="C171" s="16"/>
      <c r="D171" s="28" t="s">
        <v>142</v>
      </c>
      <c r="E171" s="7"/>
      <c r="F171" s="45">
        <v>1</v>
      </c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82" ht="20.100000000000001" customHeight="1" x14ac:dyDescent="0.15">
      <c r="A172" s="31"/>
      <c r="C172" s="6" t="s">
        <v>356</v>
      </c>
      <c r="D172" s="64" t="e">
        <f>목록별산출서!#REF!</f>
        <v>#REF!</v>
      </c>
      <c r="E172" s="27" t="e">
        <f>IF(egTextCal(D172)&lt;&gt;0, egTextCal(D172),"")</f>
        <v>#VALUE!</v>
      </c>
      <c r="F172" s="26" t="e">
        <f>IF(E172*F171&lt;&gt;0,E172*F171,  )</f>
        <v>#VALUE!</v>
      </c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CA172" s="1" t="e">
        <f>F172</f>
        <v>#VALUE!</v>
      </c>
    </row>
    <row r="173" spans="1:82" ht="20.100000000000001" customHeight="1" x14ac:dyDescent="0.15">
      <c r="A173" s="31"/>
      <c r="C173" s="16"/>
      <c r="D173" s="28" t="s">
        <v>146</v>
      </c>
      <c r="E173" s="7"/>
      <c r="F173" s="45"/>
      <c r="G173" s="45">
        <v>1</v>
      </c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82" ht="20.100000000000001" customHeight="1" x14ac:dyDescent="0.15">
      <c r="A174" s="31"/>
      <c r="C174" s="6" t="s">
        <v>357</v>
      </c>
      <c r="D174" s="64" t="e">
        <f>목록별산출서!#REF!</f>
        <v>#REF!</v>
      </c>
      <c r="E174" s="27" t="e">
        <f>IF(egTextCal(D174)&lt;&gt;0, egTextCal(D174),"")</f>
        <v>#VALUE!</v>
      </c>
      <c r="F174" s="26"/>
      <c r="G174" s="26" t="e">
        <f>IF(E174*G173&lt;&gt;0,E174*G173,  )</f>
        <v>#VALUE!</v>
      </c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CB174" s="1" t="e">
        <f>G174</f>
        <v>#VALUE!</v>
      </c>
    </row>
    <row r="175" spans="1:82" ht="20.100000000000001" customHeight="1" x14ac:dyDescent="0.15">
      <c r="A175" s="31"/>
      <c r="C175" s="16"/>
      <c r="D175" s="28"/>
      <c r="E175" s="7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82" ht="20.100000000000001" customHeight="1" x14ac:dyDescent="0.15">
      <c r="A176" s="31"/>
      <c r="C176" s="6" t="s">
        <v>358</v>
      </c>
      <c r="D176" s="42"/>
      <c r="E176" s="27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82" ht="20.100000000000001" customHeight="1" x14ac:dyDescent="0.15">
      <c r="A177" s="31"/>
      <c r="C177" s="16"/>
      <c r="D177" s="28" t="s">
        <v>163</v>
      </c>
      <c r="E177" s="7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82" ht="20.100000000000001" customHeight="1" x14ac:dyDescent="0.15">
      <c r="A178" s="31"/>
      <c r="C178" s="6" t="s">
        <v>359</v>
      </c>
      <c r="D178" s="42"/>
      <c r="E178" s="27" t="str">
        <f>IF(egTextCal(D178)&lt;&gt;0, egTextCal(D178),"")</f>
        <v/>
      </c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spans="1:82" ht="20.100000000000001" customHeight="1" x14ac:dyDescent="0.15">
      <c r="A179" s="31"/>
      <c r="C179" s="16"/>
      <c r="D179" s="28" t="s">
        <v>133</v>
      </c>
      <c r="E179" s="7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82" ht="20.100000000000001" customHeight="1" x14ac:dyDescent="0.15">
      <c r="A180" s="31"/>
      <c r="C180" s="6" t="s">
        <v>360</v>
      </c>
      <c r="D180" s="42"/>
      <c r="E180" s="27" t="str">
        <f>IF(egTextCal(D180)&lt;&gt;0, egTextCal(D180),"")</f>
        <v/>
      </c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spans="1:82" ht="20.100000000000001" customHeight="1" x14ac:dyDescent="0.15">
      <c r="A181" s="31"/>
      <c r="C181" s="16"/>
      <c r="D181" s="28" t="s">
        <v>134</v>
      </c>
      <c r="E181" s="7"/>
      <c r="F181" s="45"/>
      <c r="G181" s="45"/>
      <c r="H181" s="45"/>
      <c r="I181" s="45">
        <v>1</v>
      </c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82" ht="20.100000000000001" customHeight="1" x14ac:dyDescent="0.15">
      <c r="A182" s="31"/>
      <c r="C182" s="6" t="s">
        <v>222</v>
      </c>
      <c r="D182" s="64" t="e">
        <f>목록별산출서!#REF!</f>
        <v>#REF!</v>
      </c>
      <c r="E182" s="27" t="e">
        <f>IF(egTextCal(D182)&lt;&gt;0, egTextCal(D182),"")</f>
        <v>#VALUE!</v>
      </c>
      <c r="F182" s="26"/>
      <c r="G182" s="26"/>
      <c r="H182" s="26"/>
      <c r="I182" s="26" t="e">
        <f>IF(E182*I181&lt;&gt;0,E182*I181,  )</f>
        <v>#VALUE!</v>
      </c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CD182" s="1" t="e">
        <f>I182</f>
        <v>#VALUE!</v>
      </c>
    </row>
    <row r="183" spans="1:82" ht="20.100000000000001" customHeight="1" x14ac:dyDescent="0.15">
      <c r="A183" s="31"/>
      <c r="C183" s="16"/>
      <c r="D183" s="28" t="s">
        <v>138</v>
      </c>
      <c r="E183" s="7"/>
      <c r="F183" s="45"/>
      <c r="G183" s="45"/>
      <c r="H183" s="45">
        <v>1</v>
      </c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82" ht="20.100000000000001" customHeight="1" x14ac:dyDescent="0.15">
      <c r="A184" s="31"/>
      <c r="C184" s="6" t="s">
        <v>361</v>
      </c>
      <c r="D184" s="64" t="e">
        <f>목록별산출서!#REF!</f>
        <v>#REF!</v>
      </c>
      <c r="E184" s="27" t="e">
        <f>IF(egTextCal(D184)&lt;&gt;0, egTextCal(D184),"")</f>
        <v>#VALUE!</v>
      </c>
      <c r="F184" s="26"/>
      <c r="G184" s="26"/>
      <c r="H184" s="26" t="e">
        <f>IF(E184*H183&lt;&gt;0,E184*H183,  )</f>
        <v>#VALUE!</v>
      </c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CC184" s="1" t="e">
        <f>H184</f>
        <v>#VALUE!</v>
      </c>
    </row>
    <row r="185" spans="1:82" ht="20.100000000000001" customHeight="1" x14ac:dyDescent="0.15">
      <c r="D185" s="14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82" ht="20.100000000000001" customHeight="1" x14ac:dyDescent="0.15">
      <c r="B186" s="30"/>
      <c r="C186" s="20"/>
      <c r="D186" s="46"/>
      <c r="E186" s="46"/>
      <c r="F186" s="18" t="s">
        <v>338</v>
      </c>
      <c r="G186" s="18" t="s">
        <v>339</v>
      </c>
      <c r="H186" s="16" t="s">
        <v>340</v>
      </c>
      <c r="I186" s="16" t="s">
        <v>135</v>
      </c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82" ht="20.100000000000001" customHeight="1" x14ac:dyDescent="0.15">
      <c r="A187" s="31"/>
      <c r="B187" s="30"/>
      <c r="C187" s="4" t="s">
        <v>342</v>
      </c>
      <c r="D187" s="4" t="s">
        <v>343</v>
      </c>
      <c r="E187" s="4" t="s">
        <v>344</v>
      </c>
      <c r="F187" s="12" t="s">
        <v>345</v>
      </c>
      <c r="G187" s="12" t="s">
        <v>346</v>
      </c>
      <c r="H187" s="4" t="s">
        <v>140</v>
      </c>
      <c r="I187" s="4" t="s">
        <v>347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82" ht="20.100000000000001" customHeight="1" x14ac:dyDescent="0.15">
      <c r="A188" s="31"/>
      <c r="B188" s="30"/>
      <c r="C188" s="21"/>
      <c r="D188" s="21"/>
      <c r="E188" s="21"/>
      <c r="F188" s="19" t="s">
        <v>348</v>
      </c>
      <c r="G188" s="19" t="s">
        <v>349</v>
      </c>
      <c r="H188" s="17" t="s">
        <v>137</v>
      </c>
      <c r="I188" s="17" t="s">
        <v>137</v>
      </c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82" ht="20.100000000000001" customHeight="1" x14ac:dyDescent="0.15">
      <c r="A189" s="31"/>
      <c r="C189" s="16"/>
      <c r="D189" s="28" t="s">
        <v>141</v>
      </c>
      <c r="E189" s="7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spans="1:82" ht="20.100000000000001" customHeight="1" x14ac:dyDescent="0.15">
      <c r="A190" s="31"/>
      <c r="C190" s="6" t="s">
        <v>127</v>
      </c>
      <c r="D190" s="42"/>
      <c r="E190" s="27" t="str">
        <f>IF(egTextCal(D190)&lt;&gt;0, egTextCal(D190),"")</f>
        <v/>
      </c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spans="1:82" ht="20.100000000000001" customHeight="1" x14ac:dyDescent="0.15">
      <c r="A191" s="31"/>
      <c r="C191" s="16"/>
      <c r="D191" s="29" t="s">
        <v>142</v>
      </c>
      <c r="E191" s="8"/>
      <c r="F191" s="45">
        <v>1</v>
      </c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82" ht="20.100000000000001" customHeight="1" x14ac:dyDescent="0.15">
      <c r="A192" s="31"/>
      <c r="C192" s="6" t="s">
        <v>189</v>
      </c>
      <c r="D192" s="65" t="e">
        <f>목록별산출서!#REF!</f>
        <v>#REF!</v>
      </c>
      <c r="E192" s="27" t="e">
        <f>IF(egTextCal(D192)&lt;&gt;0, egTextCal(D192),"")</f>
        <v>#VALUE!</v>
      </c>
      <c r="F192" s="26" t="e">
        <f>IF(E192*F191&lt;&gt;0,E192*F191,  )</f>
        <v>#VALUE!</v>
      </c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CA192" s="1" t="e">
        <f>F192</f>
        <v>#VALUE!</v>
      </c>
    </row>
    <row r="193" spans="1:80" ht="20.100000000000001" customHeight="1" x14ac:dyDescent="0.15">
      <c r="A193" s="31"/>
      <c r="C193" s="16"/>
      <c r="D193" s="29" t="s">
        <v>146</v>
      </c>
      <c r="E193" s="8"/>
      <c r="F193" s="45"/>
      <c r="G193" s="45">
        <v>1</v>
      </c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80" ht="20.100000000000001" customHeight="1" x14ac:dyDescent="0.15">
      <c r="A194" s="31"/>
      <c r="C194" s="6" t="s">
        <v>281</v>
      </c>
      <c r="D194" s="65" t="e">
        <f>목록별산출서!#REF!</f>
        <v>#REF!</v>
      </c>
      <c r="E194" s="27" t="e">
        <f>IF(egTextCal(D194)&lt;&gt;0, egTextCal(D194),"")</f>
        <v>#VALUE!</v>
      </c>
      <c r="F194" s="26"/>
      <c r="G194" s="26" t="e">
        <f>IF(E194*G193&lt;&gt;0,E194*G193,  )</f>
        <v>#VALUE!</v>
      </c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CB194" s="1" t="e">
        <f>G194</f>
        <v>#VALUE!</v>
      </c>
    </row>
    <row r="195" spans="1:80" ht="20.100000000000001" customHeight="1" x14ac:dyDescent="0.15">
      <c r="A195" s="31"/>
      <c r="C195" s="16"/>
      <c r="D195" s="28"/>
      <c r="E195" s="7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80" ht="20.100000000000001" customHeight="1" x14ac:dyDescent="0.15">
      <c r="A196" s="31"/>
      <c r="C196" s="6" t="s">
        <v>286</v>
      </c>
      <c r="D196" s="42"/>
      <c r="E196" s="27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spans="1:80" ht="20.100000000000001" customHeight="1" x14ac:dyDescent="0.15">
      <c r="A197" s="31"/>
      <c r="C197" s="16"/>
      <c r="D197" s="28"/>
      <c r="E197" s="7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80" ht="20.100000000000001" customHeight="1" x14ac:dyDescent="0.15">
      <c r="A198" s="31"/>
      <c r="C198" s="6" t="s">
        <v>261</v>
      </c>
      <c r="D198" s="42"/>
      <c r="E198" s="27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</row>
    <row r="199" spans="1:80" ht="20.100000000000001" customHeight="1" x14ac:dyDescent="0.15">
      <c r="A199" s="31"/>
      <c r="C199" s="16"/>
      <c r="D199" s="28"/>
      <c r="E199" s="7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80" ht="20.100000000000001" customHeight="1" x14ac:dyDescent="0.15">
      <c r="A200" s="31"/>
      <c r="C200" s="6" t="s">
        <v>295</v>
      </c>
      <c r="D200" s="42"/>
      <c r="E200" s="27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</row>
    <row r="201" spans="1:80" ht="20.100000000000001" customHeight="1" x14ac:dyDescent="0.15">
      <c r="A201" s="31"/>
      <c r="C201" s="16"/>
      <c r="D201" s="28"/>
      <c r="E201" s="7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  <row r="202" spans="1:80" ht="20.100000000000001" customHeight="1" x14ac:dyDescent="0.15">
      <c r="A202" s="31"/>
      <c r="C202" s="6" t="s">
        <v>299</v>
      </c>
      <c r="D202" s="42"/>
      <c r="E202" s="27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spans="1:80" ht="20.100000000000001" customHeight="1" x14ac:dyDescent="0.15">
      <c r="A203" s="31"/>
      <c r="C203" s="16"/>
      <c r="D203" s="28"/>
      <c r="E203" s="7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</row>
    <row r="204" spans="1:80" ht="20.100000000000001" customHeight="1" x14ac:dyDescent="0.15">
      <c r="A204" s="31"/>
      <c r="C204" s="6" t="s">
        <v>350</v>
      </c>
      <c r="D204" s="42"/>
      <c r="E204" s="27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80" ht="20.100000000000001" customHeight="1" x14ac:dyDescent="0.15">
      <c r="A205" s="31"/>
      <c r="C205" s="16"/>
      <c r="D205" s="28"/>
      <c r="E205" s="7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</row>
    <row r="206" spans="1:80" ht="20.100000000000001" customHeight="1" x14ac:dyDescent="0.15">
      <c r="A206" s="31"/>
      <c r="C206" s="6" t="s">
        <v>351</v>
      </c>
      <c r="D206" s="42"/>
      <c r="E206" s="27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</row>
    <row r="207" spans="1:80" ht="20.100000000000001" customHeight="1" x14ac:dyDescent="0.15">
      <c r="A207" s="31"/>
      <c r="C207" s="16"/>
      <c r="D207" s="28"/>
      <c r="E207" s="7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</row>
    <row r="208" spans="1:80" ht="20.100000000000001" customHeight="1" x14ac:dyDescent="0.15">
      <c r="A208" s="31"/>
      <c r="C208" s="6" t="s">
        <v>322</v>
      </c>
      <c r="D208" s="42"/>
      <c r="E208" s="27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spans="1:26" ht="20.100000000000001" customHeight="1" x14ac:dyDescent="0.15">
      <c r="A209" s="31"/>
      <c r="C209" s="16"/>
      <c r="D209" s="28"/>
      <c r="E209" s="7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</row>
    <row r="210" spans="1:26" ht="20.100000000000001" customHeight="1" x14ac:dyDescent="0.15">
      <c r="A210" s="31"/>
      <c r="C210" s="6" t="s">
        <v>352</v>
      </c>
      <c r="D210" s="42"/>
      <c r="E210" s="27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26" ht="20.100000000000001" customHeight="1" x14ac:dyDescent="0.15">
      <c r="A211" s="31"/>
      <c r="C211" s="16"/>
      <c r="D211" s="28"/>
      <c r="E211" s="7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</row>
    <row r="212" spans="1:26" ht="20.100000000000001" customHeight="1" x14ac:dyDescent="0.15">
      <c r="A212" s="31"/>
      <c r="C212" s="6" t="s">
        <v>353</v>
      </c>
      <c r="D212" s="42"/>
      <c r="E212" s="27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spans="1:26" ht="20.100000000000001" customHeight="1" x14ac:dyDescent="0.15">
      <c r="A213" s="31"/>
      <c r="C213" s="16"/>
      <c r="D213" s="28"/>
      <c r="E213" s="7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</row>
    <row r="214" spans="1:26" ht="20.100000000000001" customHeight="1" x14ac:dyDescent="0.15">
      <c r="A214" s="31"/>
      <c r="C214" s="6" t="s">
        <v>354</v>
      </c>
      <c r="D214" s="42"/>
      <c r="E214" s="27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</row>
    <row r="215" spans="1:26" ht="20.100000000000001" customHeight="1" x14ac:dyDescent="0.15">
      <c r="A215" s="31"/>
      <c r="C215" s="16"/>
      <c r="D215" s="28"/>
      <c r="E215" s="7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</row>
    <row r="216" spans="1:26" ht="20.100000000000001" customHeight="1" x14ac:dyDescent="0.15">
      <c r="A216" s="31"/>
      <c r="C216" s="6" t="s">
        <v>355</v>
      </c>
      <c r="D216" s="42"/>
      <c r="E216" s="27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</row>
    <row r="217" spans="1:26" ht="20.100000000000001" customHeight="1" x14ac:dyDescent="0.15">
      <c r="A217" s="31"/>
      <c r="C217" s="16"/>
      <c r="D217" s="28"/>
      <c r="E217" s="7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</row>
    <row r="218" spans="1:26" ht="20.100000000000001" customHeight="1" x14ac:dyDescent="0.15">
      <c r="A218" s="31"/>
      <c r="C218" s="6" t="s">
        <v>356</v>
      </c>
      <c r="D218" s="42"/>
      <c r="E218" s="27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spans="1:26" ht="20.100000000000001" customHeight="1" x14ac:dyDescent="0.15">
      <c r="A219" s="31"/>
      <c r="C219" s="16"/>
      <c r="D219" s="28"/>
      <c r="E219" s="7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</row>
    <row r="220" spans="1:26" ht="20.100000000000001" customHeight="1" x14ac:dyDescent="0.15">
      <c r="A220" s="31"/>
      <c r="C220" s="6" t="s">
        <v>357</v>
      </c>
      <c r="D220" s="42"/>
      <c r="E220" s="27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26" ht="20.100000000000001" customHeight="1" x14ac:dyDescent="0.15">
      <c r="A221" s="31"/>
      <c r="C221" s="16"/>
      <c r="D221" s="28"/>
      <c r="E221" s="7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</row>
    <row r="222" spans="1:26" ht="20.100000000000001" customHeight="1" x14ac:dyDescent="0.15">
      <c r="A222" s="31"/>
      <c r="C222" s="6" t="s">
        <v>358</v>
      </c>
      <c r="D222" s="42"/>
      <c r="E222" s="27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</row>
    <row r="223" spans="1:26" ht="20.100000000000001" customHeight="1" x14ac:dyDescent="0.15">
      <c r="A223" s="31"/>
      <c r="C223" s="16"/>
      <c r="D223" s="28"/>
      <c r="E223" s="7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</row>
    <row r="224" spans="1:26" ht="20.100000000000001" customHeight="1" x14ac:dyDescent="0.15">
      <c r="A224" s="31"/>
      <c r="C224" s="6" t="s">
        <v>359</v>
      </c>
      <c r="D224" s="42"/>
      <c r="E224" s="27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92" ht="20.100000000000001" customHeight="1" x14ac:dyDescent="0.15">
      <c r="A225" s="31"/>
      <c r="C225" s="16"/>
      <c r="D225" s="28"/>
      <c r="E225" s="7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</row>
    <row r="226" spans="1:92" ht="20.100000000000001" customHeight="1" x14ac:dyDescent="0.15">
      <c r="A226" s="31"/>
      <c r="C226" s="6" t="s">
        <v>360</v>
      </c>
      <c r="D226" s="42"/>
      <c r="E226" s="27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92" ht="20.100000000000001" customHeight="1" x14ac:dyDescent="0.15">
      <c r="A227" s="31"/>
      <c r="C227" s="16"/>
      <c r="D227" s="28"/>
      <c r="E227" s="7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</row>
    <row r="228" spans="1:92" ht="20.100000000000001" customHeight="1" x14ac:dyDescent="0.15">
      <c r="A228" s="31"/>
      <c r="C228" s="6" t="s">
        <v>222</v>
      </c>
      <c r="D228" s="42"/>
      <c r="E228" s="27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92" ht="20.100000000000001" customHeight="1" x14ac:dyDescent="0.15">
      <c r="A229" s="31"/>
      <c r="B229" s="25" t="s">
        <v>362</v>
      </c>
      <c r="C229" s="16"/>
      <c r="D229" s="67" t="s">
        <v>363</v>
      </c>
      <c r="E229" s="63" t="s">
        <v>112</v>
      </c>
      <c r="F229" s="45" t="e">
        <f>SUM(CA144:CA228)</f>
        <v>#VALUE!</v>
      </c>
      <c r="G229" s="45" t="e">
        <f>SUM(CB144:CB228)</f>
        <v>#VALUE!</v>
      </c>
      <c r="H229" s="45" t="e">
        <f>SUM(CC144:CC228)</f>
        <v>#VALUE!</v>
      </c>
      <c r="I229" s="45" t="e">
        <f>SUM(CD144:CD228)</f>
        <v>#VALUE!</v>
      </c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</row>
    <row r="230" spans="1:92" ht="20.100000000000001" customHeight="1" x14ac:dyDescent="0.15">
      <c r="A230" s="31"/>
      <c r="C230" s="5" t="s">
        <v>361</v>
      </c>
      <c r="D230" s="27" t="s">
        <v>364</v>
      </c>
      <c r="E230" s="27">
        <v>1</v>
      </c>
      <c r="F230" s="27" t="e">
        <f>E230*F229</f>
        <v>#VALUE!</v>
      </c>
      <c r="G230" s="27" t="e">
        <f>E230*G229</f>
        <v>#VALUE!</v>
      </c>
      <c r="H230" s="27" t="e">
        <f>E230*H229</f>
        <v>#VALUE!</v>
      </c>
      <c r="I230" s="27" t="e">
        <f>E230*I229</f>
        <v>#VALUE!</v>
      </c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92" ht="20.100000000000001" customHeight="1" x14ac:dyDescent="0.15">
      <c r="B231" s="25" t="s">
        <v>126</v>
      </c>
      <c r="C231" s="386" t="s">
        <v>164</v>
      </c>
      <c r="D231" s="409"/>
      <c r="E231" s="409"/>
      <c r="F231" s="409"/>
      <c r="G231" s="409"/>
      <c r="H231" s="409"/>
      <c r="I231" s="409"/>
      <c r="J231" s="409"/>
      <c r="K231" s="409"/>
      <c r="L231" s="409"/>
      <c r="M231" s="409"/>
      <c r="N231" s="409"/>
      <c r="O231" s="409"/>
      <c r="P231" s="409"/>
      <c r="Q231" s="409"/>
      <c r="R231" s="409"/>
      <c r="S231" s="409"/>
      <c r="T231" s="409"/>
      <c r="U231" s="409"/>
      <c r="V231" s="409"/>
      <c r="W231" s="409"/>
      <c r="X231" s="409"/>
      <c r="Y231" s="409"/>
      <c r="Z231" s="409"/>
    </row>
    <row r="232" spans="1:92" ht="20.100000000000001" customHeight="1" x14ac:dyDescent="0.15">
      <c r="B232" s="30"/>
      <c r="C232" s="20"/>
      <c r="D232" s="46"/>
      <c r="E232" s="46"/>
      <c r="F232" s="18" t="s">
        <v>365</v>
      </c>
      <c r="G232" s="18" t="s">
        <v>365</v>
      </c>
      <c r="H232" s="16" t="s">
        <v>365</v>
      </c>
      <c r="I232" s="16" t="s">
        <v>365</v>
      </c>
      <c r="J232" s="16" t="s">
        <v>366</v>
      </c>
      <c r="K232" s="16" t="s">
        <v>367</v>
      </c>
      <c r="L232" s="16" t="s">
        <v>210</v>
      </c>
      <c r="M232" s="16" t="s">
        <v>368</v>
      </c>
      <c r="N232" s="16" t="s">
        <v>183</v>
      </c>
      <c r="O232" s="16" t="s">
        <v>236</v>
      </c>
      <c r="P232" s="16" t="s">
        <v>369</v>
      </c>
      <c r="Q232" s="16" t="s">
        <v>370</v>
      </c>
      <c r="R232" s="16" t="s">
        <v>370</v>
      </c>
      <c r="S232" s="16" t="s">
        <v>254</v>
      </c>
      <c r="T232" s="16"/>
      <c r="U232" s="16"/>
      <c r="V232" s="16"/>
      <c r="W232" s="16"/>
      <c r="X232" s="16"/>
      <c r="Y232" s="16"/>
      <c r="Z232" s="16"/>
      <c r="CA232" s="1" t="s">
        <v>365</v>
      </c>
      <c r="CB232" s="1" t="s">
        <v>365</v>
      </c>
      <c r="CC232" s="1" t="s">
        <v>365</v>
      </c>
      <c r="CD232" s="1" t="s">
        <v>365</v>
      </c>
      <c r="CE232" s="1" t="s">
        <v>366</v>
      </c>
      <c r="CF232" s="1" t="s">
        <v>367</v>
      </c>
      <c r="CG232" s="1" t="s">
        <v>210</v>
      </c>
      <c r="CH232" s="1" t="s">
        <v>368</v>
      </c>
      <c r="CI232" s="1" t="s">
        <v>183</v>
      </c>
      <c r="CJ232" s="1" t="s">
        <v>236</v>
      </c>
      <c r="CK232" s="1" t="s">
        <v>369</v>
      </c>
      <c r="CL232" s="1" t="s">
        <v>370</v>
      </c>
      <c r="CM232" s="1" t="s">
        <v>370</v>
      </c>
      <c r="CN232" s="1" t="s">
        <v>254</v>
      </c>
    </row>
    <row r="233" spans="1:92" ht="20.100000000000001" customHeight="1" x14ac:dyDescent="0.15">
      <c r="A233" s="31"/>
      <c r="B233" s="30"/>
      <c r="C233" s="4" t="s">
        <v>342</v>
      </c>
      <c r="D233" s="4" t="s">
        <v>343</v>
      </c>
      <c r="E233" s="4" t="s">
        <v>344</v>
      </c>
      <c r="F233" s="12" t="s">
        <v>371</v>
      </c>
      <c r="G233" s="12" t="s">
        <v>372</v>
      </c>
      <c r="H233" s="4" t="s">
        <v>373</v>
      </c>
      <c r="I233" s="4" t="s">
        <v>373</v>
      </c>
      <c r="J233" s="4"/>
      <c r="K233" s="4"/>
      <c r="L233" s="4" t="s">
        <v>374</v>
      </c>
      <c r="M233" s="4" t="s">
        <v>375</v>
      </c>
      <c r="N233" s="4"/>
      <c r="O233" s="4" t="s">
        <v>376</v>
      </c>
      <c r="P233" s="4"/>
      <c r="Q233" s="4" t="s">
        <v>377</v>
      </c>
      <c r="R233" s="4" t="s">
        <v>378</v>
      </c>
      <c r="S233" s="4"/>
      <c r="T233" s="4"/>
      <c r="U233" s="4"/>
      <c r="V233" s="4"/>
      <c r="W233" s="4"/>
      <c r="X233" s="4"/>
      <c r="Y233" s="4"/>
      <c r="Z233" s="4"/>
      <c r="CA233" s="1" t="s">
        <v>371</v>
      </c>
      <c r="CB233" s="1" t="s">
        <v>372</v>
      </c>
      <c r="CC233" s="1" t="s">
        <v>373</v>
      </c>
      <c r="CD233" s="1" t="s">
        <v>373</v>
      </c>
      <c r="CG233" s="1" t="s">
        <v>374</v>
      </c>
      <c r="CH233" s="1" t="s">
        <v>375</v>
      </c>
      <c r="CJ233" s="1" t="s">
        <v>376</v>
      </c>
      <c r="CL233" s="1" t="s">
        <v>377</v>
      </c>
      <c r="CM233" s="1" t="s">
        <v>378</v>
      </c>
    </row>
    <row r="234" spans="1:92" ht="20.100000000000001" customHeight="1" x14ac:dyDescent="0.15">
      <c r="A234" s="31"/>
      <c r="B234" s="30"/>
      <c r="C234" s="21"/>
      <c r="D234" s="21"/>
      <c r="E234" s="21"/>
      <c r="F234" s="19" t="s">
        <v>379</v>
      </c>
      <c r="G234" s="19" t="s">
        <v>380</v>
      </c>
      <c r="H234" s="17" t="s">
        <v>381</v>
      </c>
      <c r="I234" s="17" t="s">
        <v>380</v>
      </c>
      <c r="J234" s="17" t="s">
        <v>382</v>
      </c>
      <c r="K234" s="17" t="s">
        <v>380</v>
      </c>
      <c r="L234" s="17" t="s">
        <v>383</v>
      </c>
      <c r="M234" s="17" t="s">
        <v>384</v>
      </c>
      <c r="N234" s="17" t="s">
        <v>192</v>
      </c>
      <c r="O234" s="17" t="s">
        <v>385</v>
      </c>
      <c r="P234" s="17" t="s">
        <v>216</v>
      </c>
      <c r="Q234" s="17" t="s">
        <v>386</v>
      </c>
      <c r="R234" s="17" t="s">
        <v>386</v>
      </c>
      <c r="S234" s="17" t="s">
        <v>255</v>
      </c>
      <c r="T234" s="17"/>
      <c r="U234" s="17"/>
      <c r="V234" s="17"/>
      <c r="W234" s="17"/>
      <c r="X234" s="17"/>
      <c r="Y234" s="17"/>
      <c r="Z234" s="17"/>
      <c r="CA234" s="1" t="s">
        <v>379</v>
      </c>
      <c r="CB234" s="1" t="s">
        <v>380</v>
      </c>
      <c r="CC234" s="1" t="s">
        <v>381</v>
      </c>
      <c r="CD234" s="1" t="s">
        <v>380</v>
      </c>
      <c r="CE234" s="1" t="s">
        <v>382</v>
      </c>
      <c r="CF234" s="1" t="s">
        <v>380</v>
      </c>
      <c r="CG234" s="1">
        <v>150</v>
      </c>
      <c r="CH234" s="1" t="s">
        <v>384</v>
      </c>
      <c r="CI234" s="1" t="s">
        <v>192</v>
      </c>
      <c r="CJ234" s="1" t="s">
        <v>385</v>
      </c>
      <c r="CK234" s="1" t="s">
        <v>216</v>
      </c>
      <c r="CL234" s="66">
        <v>3.7569444444444446</v>
      </c>
      <c r="CM234" s="66">
        <v>3.7569444444444446</v>
      </c>
      <c r="CN234" s="1" t="s">
        <v>255</v>
      </c>
    </row>
    <row r="235" spans="1:92" ht="20.100000000000001" customHeight="1" x14ac:dyDescent="0.15">
      <c r="A235" s="31"/>
      <c r="C235" s="16"/>
      <c r="D235" s="28" t="s">
        <v>166</v>
      </c>
      <c r="E235" s="7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</row>
    <row r="236" spans="1:92" ht="20.100000000000001" customHeight="1" x14ac:dyDescent="0.15">
      <c r="A236" s="31"/>
      <c r="C236" s="6" t="s">
        <v>127</v>
      </c>
      <c r="D236" s="42"/>
      <c r="E236" s="27" t="str">
        <f>IF(egTextCal(D236)&lt;&gt;0, egTextCal(D236),"")</f>
        <v/>
      </c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92" ht="20.100000000000001" customHeight="1" x14ac:dyDescent="0.15">
      <c r="A237" s="31"/>
      <c r="C237" s="16"/>
      <c r="D237" s="29" t="s">
        <v>167</v>
      </c>
      <c r="E237" s="8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</row>
    <row r="238" spans="1:92" ht="20.100000000000001" customHeight="1" x14ac:dyDescent="0.15">
      <c r="A238" s="31"/>
      <c r="C238" s="6" t="s">
        <v>189</v>
      </c>
      <c r="D238" s="43"/>
      <c r="E238" s="27" t="str">
        <f>IF(egTextCal(D238)&lt;&gt;0, egTextCal(D238),"")</f>
        <v/>
      </c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spans="1:92" ht="20.100000000000001" customHeight="1" x14ac:dyDescent="0.15">
      <c r="A239" s="31"/>
      <c r="C239" s="16"/>
      <c r="D239" s="29" t="s">
        <v>168</v>
      </c>
      <c r="E239" s="8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</row>
    <row r="240" spans="1:92" ht="20.100000000000001" customHeight="1" x14ac:dyDescent="0.15">
      <c r="A240" s="31"/>
      <c r="C240" s="6" t="s">
        <v>281</v>
      </c>
      <c r="D240" s="43"/>
      <c r="E240" s="27" t="str">
        <f>IF(egTextCal(D240)&lt;&gt;0, egTextCal(D240),"")</f>
        <v/>
      </c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89" ht="20.100000000000001" customHeight="1" x14ac:dyDescent="0.15">
      <c r="A241" s="31"/>
      <c r="C241" s="16"/>
      <c r="D241" s="28" t="s">
        <v>170</v>
      </c>
      <c r="E241" s="7"/>
      <c r="F241" s="45">
        <v>1</v>
      </c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</row>
    <row r="242" spans="1:89" ht="20.100000000000001" customHeight="1" x14ac:dyDescent="0.15">
      <c r="A242" s="31"/>
      <c r="C242" s="6" t="s">
        <v>286</v>
      </c>
      <c r="D242" s="64" t="str">
        <f>목록별산출서!E8</f>
        <v>4*2</v>
      </c>
      <c r="E242" s="27">
        <f>IF(egTextCal(D242)&lt;&gt;0, egTextCal(D242),"")</f>
        <v>8</v>
      </c>
      <c r="F242" s="26">
        <f>IF(E242*F241&lt;&gt;0,E242*F241,  )</f>
        <v>8</v>
      </c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CA242" s="1">
        <f>F242</f>
        <v>8</v>
      </c>
    </row>
    <row r="243" spans="1:89" ht="20.100000000000001" customHeight="1" x14ac:dyDescent="0.15">
      <c r="A243" s="31"/>
      <c r="C243" s="16"/>
      <c r="D243" s="28" t="s">
        <v>177</v>
      </c>
      <c r="E243" s="7"/>
      <c r="F243" s="45"/>
      <c r="G243" s="45"/>
      <c r="H243" s="45"/>
      <c r="I243" s="45">
        <v>1</v>
      </c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</row>
    <row r="244" spans="1:89" ht="20.100000000000001" customHeight="1" x14ac:dyDescent="0.15">
      <c r="A244" s="31"/>
      <c r="C244" s="6" t="s">
        <v>261</v>
      </c>
      <c r="D244" s="64" t="str">
        <f>목록별산출서!E9</f>
        <v>40*2</v>
      </c>
      <c r="E244" s="27">
        <f>IF(egTextCal(D244)&lt;&gt;0, egTextCal(D244),"")</f>
        <v>80</v>
      </c>
      <c r="F244" s="26"/>
      <c r="G244" s="26"/>
      <c r="H244" s="26"/>
      <c r="I244" s="26">
        <f>IF(E244*I243&lt;&gt;0,E244*I243,  )</f>
        <v>80</v>
      </c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CD244" s="1">
        <f>I244</f>
        <v>80</v>
      </c>
    </row>
    <row r="245" spans="1:89" ht="20.100000000000001" customHeight="1" x14ac:dyDescent="0.15">
      <c r="A245" s="31"/>
      <c r="B245" s="25" t="s">
        <v>183</v>
      </c>
      <c r="C245" s="16"/>
      <c r="D245" s="28" t="s">
        <v>184</v>
      </c>
      <c r="E245" s="7"/>
      <c r="F245" s="45"/>
      <c r="G245" s="45">
        <v>1</v>
      </c>
      <c r="H245" s="45"/>
      <c r="I245" s="45"/>
      <c r="J245" s="45"/>
      <c r="K245" s="45"/>
      <c r="L245" s="45"/>
      <c r="M245" s="45"/>
      <c r="N245" s="45">
        <v>0.67</v>
      </c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</row>
    <row r="246" spans="1:89" ht="20.100000000000001" customHeight="1" x14ac:dyDescent="0.15">
      <c r="A246" s="31"/>
      <c r="C246" s="6" t="s">
        <v>295</v>
      </c>
      <c r="D246" s="64" t="str">
        <f>목록별산출서!E10</f>
        <v>10*2</v>
      </c>
      <c r="E246" s="27">
        <f>IF(egTextCal(D246)&lt;&gt;0, egTextCal(D246),"")</f>
        <v>20</v>
      </c>
      <c r="F246" s="26"/>
      <c r="G246" s="26">
        <f>IF(E246*G245&lt;&gt;0,E246*G245,  )</f>
        <v>20</v>
      </c>
      <c r="H246" s="26"/>
      <c r="I246" s="26"/>
      <c r="J246" s="26"/>
      <c r="K246" s="26"/>
      <c r="L246" s="26"/>
      <c r="M246" s="26"/>
      <c r="N246" s="26">
        <f>IF(E246*N245&lt;&gt;0,E246*N245,  )</f>
        <v>13.4</v>
      </c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CB246" s="1">
        <f>G246</f>
        <v>20</v>
      </c>
      <c r="CI246" s="1">
        <f>N246</f>
        <v>13.4</v>
      </c>
    </row>
    <row r="247" spans="1:89" ht="20.100000000000001" customHeight="1" x14ac:dyDescent="0.15">
      <c r="A247" s="31"/>
      <c r="C247" s="16"/>
      <c r="D247" s="28" t="s">
        <v>194</v>
      </c>
      <c r="E247" s="7"/>
      <c r="F247" s="45"/>
      <c r="G247" s="45">
        <v>1</v>
      </c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</row>
    <row r="248" spans="1:89" ht="20.100000000000001" customHeight="1" x14ac:dyDescent="0.15">
      <c r="A248" s="31"/>
      <c r="C248" s="6" t="s">
        <v>299</v>
      </c>
      <c r="D248" s="64" t="str">
        <f>목록별산출서!E12</f>
        <v>4*2</v>
      </c>
      <c r="E248" s="27">
        <f>IF(egTextCal(D248)&lt;&gt;0, egTextCal(D248),"")</f>
        <v>8</v>
      </c>
      <c r="F248" s="26"/>
      <c r="G248" s="26">
        <f>IF(E248*G247&lt;&gt;0,E248*G247,  )</f>
        <v>8</v>
      </c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CB248" s="1">
        <f>G248</f>
        <v>8</v>
      </c>
    </row>
    <row r="249" spans="1:89" ht="20.100000000000001" customHeight="1" x14ac:dyDescent="0.15">
      <c r="A249" s="31"/>
      <c r="C249" s="16"/>
      <c r="D249" s="28" t="s">
        <v>196</v>
      </c>
      <c r="E249" s="7"/>
      <c r="F249" s="45"/>
      <c r="G249" s="45"/>
      <c r="H249" s="45"/>
      <c r="I249" s="45"/>
      <c r="J249" s="45">
        <v>1</v>
      </c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</row>
    <row r="250" spans="1:89" ht="20.100000000000001" customHeight="1" x14ac:dyDescent="0.15">
      <c r="A250" s="31"/>
      <c r="C250" s="6" t="s">
        <v>350</v>
      </c>
      <c r="D250" s="64" t="str">
        <f>목록별산출서!E13</f>
        <v>1*2</v>
      </c>
      <c r="E250" s="27">
        <f>IF(egTextCal(D250)&lt;&gt;0, egTextCal(D250),"")</f>
        <v>2</v>
      </c>
      <c r="F250" s="26"/>
      <c r="G250" s="26"/>
      <c r="H250" s="26"/>
      <c r="I250" s="26"/>
      <c r="J250" s="26">
        <f>IF(E250*J249&lt;&gt;0,E250*J249,  )</f>
        <v>2</v>
      </c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CE250" s="1">
        <f>J250</f>
        <v>2</v>
      </c>
    </row>
    <row r="251" spans="1:89" ht="20.100000000000001" customHeight="1" x14ac:dyDescent="0.15">
      <c r="A251" s="31"/>
      <c r="C251" s="16"/>
      <c r="D251" s="28" t="s">
        <v>202</v>
      </c>
      <c r="E251" s="7"/>
      <c r="F251" s="45"/>
      <c r="G251" s="45"/>
      <c r="H251" s="45"/>
      <c r="I251" s="45"/>
      <c r="J251" s="45"/>
      <c r="K251" s="45">
        <v>1</v>
      </c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</row>
    <row r="252" spans="1:89" ht="20.100000000000001" customHeight="1" x14ac:dyDescent="0.15">
      <c r="A252" s="31"/>
      <c r="C252" s="6" t="s">
        <v>351</v>
      </c>
      <c r="D252" s="64" t="str">
        <f>목록별산출서!E14</f>
        <v>2*2</v>
      </c>
      <c r="E252" s="27">
        <f>IF(egTextCal(D252)&lt;&gt;0, egTextCal(D252),"")</f>
        <v>4</v>
      </c>
      <c r="F252" s="26"/>
      <c r="G252" s="26"/>
      <c r="H252" s="26"/>
      <c r="I252" s="26"/>
      <c r="J252" s="26"/>
      <c r="K252" s="26">
        <f>IF(E252*K251&lt;&gt;0,E252*K251,  )</f>
        <v>4</v>
      </c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CF252" s="1">
        <f>K252</f>
        <v>4</v>
      </c>
    </row>
    <row r="253" spans="1:89" ht="20.100000000000001" customHeight="1" x14ac:dyDescent="0.15">
      <c r="A253" s="31"/>
      <c r="C253" s="16"/>
      <c r="D253" s="28" t="s">
        <v>208</v>
      </c>
      <c r="E253" s="7"/>
      <c r="F253" s="45"/>
      <c r="G253" s="45"/>
      <c r="H253" s="45"/>
      <c r="I253" s="45"/>
      <c r="J253" s="45"/>
      <c r="K253" s="45"/>
      <c r="L253" s="45">
        <v>1</v>
      </c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</row>
    <row r="254" spans="1:89" ht="20.100000000000001" customHeight="1" x14ac:dyDescent="0.15">
      <c r="A254" s="31"/>
      <c r="C254" s="6" t="s">
        <v>322</v>
      </c>
      <c r="D254" s="64" t="str">
        <f>목록별산출서!E15</f>
        <v>2</v>
      </c>
      <c r="E254" s="27">
        <f>IF(egTextCal(D254)&lt;&gt;0, egTextCal(D254),"")</f>
        <v>2</v>
      </c>
      <c r="F254" s="26"/>
      <c r="G254" s="26"/>
      <c r="H254" s="26"/>
      <c r="I254" s="26"/>
      <c r="J254" s="26"/>
      <c r="K254" s="26"/>
      <c r="L254" s="26">
        <f>IF(E254*L253&lt;&gt;0,E254*L253,  )</f>
        <v>2</v>
      </c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CG254" s="1">
        <f>L254</f>
        <v>2</v>
      </c>
    </row>
    <row r="255" spans="1:89" ht="20.100000000000001" customHeight="1" x14ac:dyDescent="0.15">
      <c r="A255" s="31"/>
      <c r="C255" s="16"/>
      <c r="D255" s="28" t="s">
        <v>213</v>
      </c>
      <c r="E255" s="7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>
        <v>1</v>
      </c>
      <c r="Q255" s="45"/>
      <c r="R255" s="45"/>
      <c r="S255" s="45"/>
      <c r="T255" s="45"/>
      <c r="U255" s="45"/>
      <c r="V255" s="45"/>
      <c r="W255" s="45"/>
      <c r="X255" s="45"/>
      <c r="Y255" s="45"/>
      <c r="Z255" s="45"/>
    </row>
    <row r="256" spans="1:89" ht="20.100000000000001" customHeight="1" x14ac:dyDescent="0.15">
      <c r="A256" s="31"/>
      <c r="C256" s="6" t="s">
        <v>352</v>
      </c>
      <c r="D256" s="64" t="str">
        <f>목록별산출서!E16</f>
        <v>1</v>
      </c>
      <c r="E256" s="27">
        <f>IF(egTextCal(D256)&lt;&gt;0, egTextCal(D256),"")</f>
        <v>1</v>
      </c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>
        <f>IF(E256*P255&lt;&gt;0,E256*P255,  )</f>
        <v>1</v>
      </c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CK256" s="1">
        <f>P256</f>
        <v>1</v>
      </c>
    </row>
    <row r="257" spans="1:88" ht="20.100000000000001" customHeight="1" x14ac:dyDescent="0.15">
      <c r="A257" s="31"/>
      <c r="C257" s="16"/>
      <c r="D257" s="28"/>
      <c r="E257" s="7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</row>
    <row r="258" spans="1:88" ht="20.100000000000001" customHeight="1" x14ac:dyDescent="0.15">
      <c r="A258" s="31"/>
      <c r="C258" s="6" t="s">
        <v>353</v>
      </c>
      <c r="D258" s="42"/>
      <c r="E258" s="27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88" ht="20.100000000000001" customHeight="1" x14ac:dyDescent="0.15">
      <c r="A259" s="31"/>
      <c r="C259" s="16"/>
      <c r="D259" s="28" t="s">
        <v>217</v>
      </c>
      <c r="E259" s="7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</row>
    <row r="260" spans="1:88" ht="20.100000000000001" customHeight="1" x14ac:dyDescent="0.15">
      <c r="A260" s="31"/>
      <c r="C260" s="6" t="s">
        <v>354</v>
      </c>
      <c r="D260" s="42"/>
      <c r="E260" s="27" t="str">
        <f>IF(egTextCal(D260)&lt;&gt;0, egTextCal(D260),"")</f>
        <v/>
      </c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spans="1:88" ht="20.100000000000001" customHeight="1" x14ac:dyDescent="0.15">
      <c r="A261" s="31"/>
      <c r="C261" s="16"/>
      <c r="D261" s="28" t="s">
        <v>218</v>
      </c>
      <c r="E261" s="7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</row>
    <row r="262" spans="1:88" ht="20.100000000000001" customHeight="1" x14ac:dyDescent="0.15">
      <c r="A262" s="31"/>
      <c r="C262" s="6" t="s">
        <v>355</v>
      </c>
      <c r="D262" s="42"/>
      <c r="E262" s="27" t="str">
        <f>IF(egTextCal(D262)&lt;&gt;0, egTextCal(D262),"")</f>
        <v/>
      </c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</row>
    <row r="263" spans="1:88" ht="20.100000000000001" customHeight="1" x14ac:dyDescent="0.15">
      <c r="A263" s="31"/>
      <c r="C263" s="16"/>
      <c r="D263" s="28" t="s">
        <v>219</v>
      </c>
      <c r="E263" s="7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</row>
    <row r="264" spans="1:88" ht="20.100000000000001" customHeight="1" x14ac:dyDescent="0.15">
      <c r="A264" s="31"/>
      <c r="C264" s="6" t="s">
        <v>356</v>
      </c>
      <c r="D264" s="42"/>
      <c r="E264" s="27" t="str">
        <f>IF(egTextCal(D264)&lt;&gt;0, egTextCal(D264),"")</f>
        <v/>
      </c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</row>
    <row r="265" spans="1:88" ht="20.100000000000001" customHeight="1" x14ac:dyDescent="0.15">
      <c r="A265" s="31"/>
      <c r="C265" s="16"/>
      <c r="D265" s="28" t="s">
        <v>221</v>
      </c>
      <c r="E265" s="7"/>
      <c r="F265" s="45"/>
      <c r="G265" s="45"/>
      <c r="H265" s="45">
        <v>1</v>
      </c>
      <c r="I265" s="45"/>
      <c r="J265" s="45"/>
      <c r="K265" s="45"/>
      <c r="L265" s="45"/>
      <c r="M265" s="45">
        <v>1</v>
      </c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</row>
    <row r="266" spans="1:88" ht="20.100000000000001" customHeight="1" x14ac:dyDescent="0.15">
      <c r="A266" s="31"/>
      <c r="C266" s="6" t="s">
        <v>357</v>
      </c>
      <c r="D266" s="64" t="str">
        <f>목록별산출서!E21</f>
        <v>20</v>
      </c>
      <c r="E266" s="27">
        <f>IF(egTextCal(D266)&lt;&gt;0, egTextCal(D266),"")</f>
        <v>20</v>
      </c>
      <c r="F266" s="26"/>
      <c r="G266" s="26"/>
      <c r="H266" s="26">
        <f>IF(E266*H265&lt;&gt;0,E266*H265,  )</f>
        <v>20</v>
      </c>
      <c r="I266" s="26"/>
      <c r="J266" s="26"/>
      <c r="K266" s="26"/>
      <c r="L266" s="26"/>
      <c r="M266" s="26">
        <f>IF(E266*M265&lt;&gt;0,E266*M265,  )</f>
        <v>20</v>
      </c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CC266" s="1">
        <f>H266</f>
        <v>20</v>
      </c>
      <c r="CH266" s="1">
        <f>M266</f>
        <v>20</v>
      </c>
    </row>
    <row r="267" spans="1:88" ht="20.100000000000001" customHeight="1" x14ac:dyDescent="0.15">
      <c r="A267" s="31"/>
      <c r="C267" s="16"/>
      <c r="D267" s="28" t="s">
        <v>229</v>
      </c>
      <c r="E267" s="7"/>
      <c r="F267" s="45"/>
      <c r="G267" s="45"/>
      <c r="H267" s="45">
        <v>1</v>
      </c>
      <c r="I267" s="45"/>
      <c r="J267" s="45"/>
      <c r="K267" s="45"/>
      <c r="L267" s="45"/>
      <c r="M267" s="45">
        <v>1</v>
      </c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</row>
    <row r="268" spans="1:88" ht="20.100000000000001" customHeight="1" x14ac:dyDescent="0.15">
      <c r="A268" s="31"/>
      <c r="C268" s="6" t="s">
        <v>358</v>
      </c>
      <c r="D268" s="64" t="str">
        <f>목록별산출서!E23</f>
        <v>0.5</v>
      </c>
      <c r="E268" s="27">
        <f>IF(egTextCal(D268)&lt;&gt;0, egTextCal(D268),"")</f>
        <v>0.5</v>
      </c>
      <c r="F268" s="26"/>
      <c r="G268" s="26"/>
      <c r="H268" s="26">
        <f>IF(E268*H267&lt;&gt;0,E268*H267,  )</f>
        <v>0.5</v>
      </c>
      <c r="I268" s="26"/>
      <c r="J268" s="26"/>
      <c r="K268" s="26"/>
      <c r="L268" s="26"/>
      <c r="M268" s="26">
        <f>IF(E268*M267&lt;&gt;0,E268*M267,  )</f>
        <v>0.5</v>
      </c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CC268" s="1">
        <f>H268</f>
        <v>0.5</v>
      </c>
      <c r="CH268" s="1">
        <f>M268</f>
        <v>0.5</v>
      </c>
    </row>
    <row r="269" spans="1:88" ht="20.100000000000001" customHeight="1" x14ac:dyDescent="0.15">
      <c r="A269" s="31"/>
      <c r="C269" s="16"/>
      <c r="D269" s="28" t="s">
        <v>231</v>
      </c>
      <c r="E269" s="7"/>
      <c r="F269" s="45"/>
      <c r="G269" s="45"/>
      <c r="H269" s="45"/>
      <c r="I269" s="45"/>
      <c r="J269" s="45"/>
      <c r="K269" s="45"/>
      <c r="L269" s="45"/>
      <c r="M269" s="45">
        <v>1</v>
      </c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</row>
    <row r="270" spans="1:88" ht="20.100000000000001" customHeight="1" x14ac:dyDescent="0.15">
      <c r="A270" s="31"/>
      <c r="C270" s="6" t="s">
        <v>359</v>
      </c>
      <c r="D270" s="64" t="str">
        <f>목록별산출서!E25</f>
        <v>2+1</v>
      </c>
      <c r="E270" s="27">
        <f>IF(egTextCal(D270)&lt;&gt;0, egTextCal(D270),"")</f>
        <v>3</v>
      </c>
      <c r="F270" s="26"/>
      <c r="G270" s="26"/>
      <c r="H270" s="26"/>
      <c r="I270" s="26"/>
      <c r="J270" s="26"/>
      <c r="K270" s="26"/>
      <c r="L270" s="26"/>
      <c r="M270" s="26">
        <f>IF(E270*M269&lt;&gt;0,E270*M269,  )</f>
        <v>3</v>
      </c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CH270" s="1">
        <f>M270</f>
        <v>3</v>
      </c>
    </row>
    <row r="271" spans="1:88" ht="20.100000000000001" customHeight="1" x14ac:dyDescent="0.15">
      <c r="A271" s="31"/>
      <c r="C271" s="16"/>
      <c r="D271" s="28" t="s">
        <v>234</v>
      </c>
      <c r="E271" s="7"/>
      <c r="F271" s="45"/>
      <c r="G271" s="45"/>
      <c r="H271" s="45"/>
      <c r="I271" s="45"/>
      <c r="J271" s="45"/>
      <c r="K271" s="45"/>
      <c r="L271" s="45"/>
      <c r="M271" s="45"/>
      <c r="N271" s="45"/>
      <c r="O271" s="45">
        <v>1</v>
      </c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</row>
    <row r="272" spans="1:88" ht="20.100000000000001" customHeight="1" x14ac:dyDescent="0.15">
      <c r="A272" s="31"/>
      <c r="C272" s="6" t="s">
        <v>360</v>
      </c>
      <c r="D272" s="64" t="str">
        <f>목록별산출서!E26</f>
        <v>1</v>
      </c>
      <c r="E272" s="27">
        <f>IF(egTextCal(D272)&lt;&gt;0, egTextCal(D272),"")</f>
        <v>1</v>
      </c>
      <c r="F272" s="26"/>
      <c r="G272" s="26"/>
      <c r="H272" s="26"/>
      <c r="I272" s="26"/>
      <c r="J272" s="26"/>
      <c r="K272" s="26"/>
      <c r="L272" s="26"/>
      <c r="M272" s="26"/>
      <c r="N272" s="26"/>
      <c r="O272" s="26">
        <f>IF(E272*O271&lt;&gt;0,E272*O271,  )</f>
        <v>1</v>
      </c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CJ272" s="1">
        <f>O272</f>
        <v>1</v>
      </c>
    </row>
    <row r="273" spans="1:92" ht="20.100000000000001" customHeight="1" x14ac:dyDescent="0.15">
      <c r="A273" s="31"/>
      <c r="C273" s="16"/>
      <c r="D273" s="28" t="s">
        <v>238</v>
      </c>
      <c r="E273" s="7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</row>
    <row r="274" spans="1:92" ht="20.100000000000001" customHeight="1" x14ac:dyDescent="0.15">
      <c r="A274" s="31"/>
      <c r="C274" s="6" t="s">
        <v>222</v>
      </c>
      <c r="D274" s="42"/>
      <c r="E274" s="27" t="str">
        <f>IF(egTextCal(D274)&lt;&gt;0, egTextCal(D274),"")</f>
        <v/>
      </c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spans="1:92" ht="20.100000000000001" customHeight="1" x14ac:dyDescent="0.15">
      <c r="A275" s="31"/>
      <c r="C275" s="16"/>
      <c r="D275" s="28" t="s">
        <v>240</v>
      </c>
      <c r="E275" s="7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>
        <v>1</v>
      </c>
      <c r="R275" s="45"/>
      <c r="S275" s="45"/>
      <c r="T275" s="45"/>
      <c r="U275" s="45"/>
      <c r="V275" s="45"/>
      <c r="W275" s="45"/>
      <c r="X275" s="45"/>
      <c r="Y275" s="45"/>
      <c r="Z275" s="45"/>
    </row>
    <row r="276" spans="1:92" ht="20.100000000000001" customHeight="1" x14ac:dyDescent="0.15">
      <c r="A276" s="31"/>
      <c r="C276" s="6" t="s">
        <v>361</v>
      </c>
      <c r="D276" s="64" t="str">
        <f>목록별산출서!E28</f>
        <v>((0.8+0.6)/2*1.2)*20</v>
      </c>
      <c r="E276" s="27">
        <f>IF(egTextCal(D276)&lt;&gt;0, egTextCal(D276),"")</f>
        <v>16.8</v>
      </c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>
        <f>IF(E276*Q275&lt;&gt;0,E276*Q275,  )</f>
        <v>16.8</v>
      </c>
      <c r="R276" s="26"/>
      <c r="S276" s="26"/>
      <c r="T276" s="26"/>
      <c r="U276" s="26"/>
      <c r="V276" s="26"/>
      <c r="W276" s="26"/>
      <c r="X276" s="26"/>
      <c r="Y276" s="26"/>
      <c r="Z276" s="26"/>
      <c r="CL276" s="1">
        <f>Q276</f>
        <v>16.8</v>
      </c>
    </row>
    <row r="277" spans="1:92" ht="20.100000000000001" customHeight="1" x14ac:dyDescent="0.15">
      <c r="D277" s="14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</row>
    <row r="278" spans="1:92" ht="20.100000000000001" customHeight="1" x14ac:dyDescent="0.15">
      <c r="B278" s="30"/>
      <c r="C278" s="20"/>
      <c r="D278" s="46"/>
      <c r="E278" s="46"/>
      <c r="F278" s="18" t="s">
        <v>365</v>
      </c>
      <c r="G278" s="18" t="s">
        <v>365</v>
      </c>
      <c r="H278" s="16" t="s">
        <v>365</v>
      </c>
      <c r="I278" s="16" t="s">
        <v>365</v>
      </c>
      <c r="J278" s="16" t="s">
        <v>366</v>
      </c>
      <c r="K278" s="16" t="s">
        <v>367</v>
      </c>
      <c r="L278" s="16" t="s">
        <v>210</v>
      </c>
      <c r="M278" s="16" t="s">
        <v>368</v>
      </c>
      <c r="N278" s="16" t="s">
        <v>183</v>
      </c>
      <c r="O278" s="16" t="s">
        <v>236</v>
      </c>
      <c r="P278" s="16" t="s">
        <v>369</v>
      </c>
      <c r="Q278" s="16" t="s">
        <v>370</v>
      </c>
      <c r="R278" s="16" t="s">
        <v>370</v>
      </c>
      <c r="S278" s="16" t="s">
        <v>254</v>
      </c>
      <c r="T278" s="16"/>
      <c r="U278" s="16"/>
      <c r="V278" s="16"/>
      <c r="W278" s="16"/>
      <c r="X278" s="16"/>
      <c r="Y278" s="16"/>
      <c r="Z278" s="16"/>
    </row>
    <row r="279" spans="1:92" ht="20.100000000000001" customHeight="1" x14ac:dyDescent="0.15">
      <c r="A279" s="31"/>
      <c r="B279" s="30"/>
      <c r="C279" s="4" t="s">
        <v>342</v>
      </c>
      <c r="D279" s="4" t="s">
        <v>343</v>
      </c>
      <c r="E279" s="4" t="s">
        <v>344</v>
      </c>
      <c r="F279" s="12" t="s">
        <v>371</v>
      </c>
      <c r="G279" s="12" t="s">
        <v>372</v>
      </c>
      <c r="H279" s="4" t="s">
        <v>373</v>
      </c>
      <c r="I279" s="4" t="s">
        <v>373</v>
      </c>
      <c r="J279" s="4"/>
      <c r="K279" s="4"/>
      <c r="L279" s="4" t="s">
        <v>374</v>
      </c>
      <c r="M279" s="4" t="s">
        <v>375</v>
      </c>
      <c r="N279" s="4"/>
      <c r="O279" s="4" t="s">
        <v>376</v>
      </c>
      <c r="P279" s="4"/>
      <c r="Q279" s="4" t="s">
        <v>377</v>
      </c>
      <c r="R279" s="4" t="s">
        <v>378</v>
      </c>
      <c r="S279" s="4"/>
      <c r="T279" s="4"/>
      <c r="U279" s="4"/>
      <c r="V279" s="4"/>
      <c r="W279" s="4"/>
      <c r="X279" s="4"/>
      <c r="Y279" s="4"/>
      <c r="Z279" s="4"/>
    </row>
    <row r="280" spans="1:92" ht="20.100000000000001" customHeight="1" x14ac:dyDescent="0.15">
      <c r="A280" s="31"/>
      <c r="B280" s="30"/>
      <c r="C280" s="21"/>
      <c r="D280" s="21"/>
      <c r="E280" s="21"/>
      <c r="F280" s="19" t="s">
        <v>379</v>
      </c>
      <c r="G280" s="19" t="s">
        <v>380</v>
      </c>
      <c r="H280" s="17" t="s">
        <v>381</v>
      </c>
      <c r="I280" s="17" t="s">
        <v>380</v>
      </c>
      <c r="J280" s="17" t="s">
        <v>382</v>
      </c>
      <c r="K280" s="17" t="s">
        <v>380</v>
      </c>
      <c r="L280" s="17" t="s">
        <v>383</v>
      </c>
      <c r="M280" s="17" t="s">
        <v>384</v>
      </c>
      <c r="N280" s="17" t="s">
        <v>192</v>
      </c>
      <c r="O280" s="17" t="s">
        <v>385</v>
      </c>
      <c r="P280" s="17" t="s">
        <v>216</v>
      </c>
      <c r="Q280" s="17" t="s">
        <v>386</v>
      </c>
      <c r="R280" s="17" t="s">
        <v>386</v>
      </c>
      <c r="S280" s="17" t="s">
        <v>255</v>
      </c>
      <c r="T280" s="17"/>
      <c r="U280" s="17"/>
      <c r="V280" s="17"/>
      <c r="W280" s="17"/>
      <c r="X280" s="17"/>
      <c r="Y280" s="17"/>
      <c r="Z280" s="17"/>
    </row>
    <row r="281" spans="1:92" ht="20.100000000000001" customHeight="1" x14ac:dyDescent="0.15">
      <c r="A281" s="31"/>
      <c r="C281" s="16"/>
      <c r="D281" s="28" t="s">
        <v>247</v>
      </c>
      <c r="E281" s="7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>
        <v>1</v>
      </c>
      <c r="S281" s="44"/>
      <c r="T281" s="44"/>
      <c r="U281" s="44"/>
      <c r="V281" s="44"/>
      <c r="W281" s="44"/>
      <c r="X281" s="44"/>
      <c r="Y281" s="44"/>
      <c r="Z281" s="44"/>
    </row>
    <row r="282" spans="1:92" ht="20.100000000000001" customHeight="1" x14ac:dyDescent="0.15">
      <c r="A282" s="31"/>
      <c r="C282" s="6" t="s">
        <v>127</v>
      </c>
      <c r="D282" s="64" t="str">
        <f>목록별산출서!E29</f>
        <v>((0.8+0.6)/2*1.2)*20</v>
      </c>
      <c r="E282" s="27">
        <f>IF(egTextCal(D282)&lt;&gt;0, egTextCal(D282),"")</f>
        <v>16.8</v>
      </c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>
        <f>IF(E282*R281&lt;&gt;0,E282*R281,  )</f>
        <v>16.8</v>
      </c>
      <c r="S282" s="26"/>
      <c r="T282" s="26"/>
      <c r="U282" s="26"/>
      <c r="V282" s="26"/>
      <c r="W282" s="26"/>
      <c r="X282" s="26"/>
      <c r="Y282" s="26"/>
      <c r="Z282" s="26"/>
      <c r="CM282" s="1">
        <f>R282</f>
        <v>16.8</v>
      </c>
    </row>
    <row r="283" spans="1:92" ht="20.100000000000001" customHeight="1" x14ac:dyDescent="0.15">
      <c r="A283" s="31"/>
      <c r="C283" s="16"/>
      <c r="D283" s="29"/>
      <c r="E283" s="8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</row>
    <row r="284" spans="1:92" ht="20.100000000000001" customHeight="1" x14ac:dyDescent="0.15">
      <c r="A284" s="31"/>
      <c r="C284" s="6" t="s">
        <v>189</v>
      </c>
      <c r="D284" s="43"/>
      <c r="E284" s="27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spans="1:92" ht="20.100000000000001" customHeight="1" x14ac:dyDescent="0.15">
      <c r="A285" s="31"/>
      <c r="C285" s="16"/>
      <c r="D285" s="29" t="s">
        <v>250</v>
      </c>
      <c r="E285" s="8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</row>
    <row r="286" spans="1:92" ht="20.100000000000001" customHeight="1" x14ac:dyDescent="0.15">
      <c r="A286" s="31"/>
      <c r="C286" s="6" t="s">
        <v>281</v>
      </c>
      <c r="D286" s="43"/>
      <c r="E286" s="27" t="str">
        <f>IF(egTextCal(D286)&lt;&gt;0, egTextCal(D286),"")</f>
        <v/>
      </c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92" ht="20.100000000000001" customHeight="1" x14ac:dyDescent="0.15">
      <c r="A287" s="31"/>
      <c r="C287" s="16"/>
      <c r="D287" s="28" t="s">
        <v>252</v>
      </c>
      <c r="E287" s="7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>
        <v>1</v>
      </c>
      <c r="T287" s="45"/>
      <c r="U287" s="45"/>
      <c r="V287" s="45"/>
      <c r="W287" s="45"/>
      <c r="X287" s="45"/>
      <c r="Y287" s="45"/>
      <c r="Z287" s="45"/>
    </row>
    <row r="288" spans="1:92" ht="20.100000000000001" customHeight="1" x14ac:dyDescent="0.15">
      <c r="A288" s="31"/>
      <c r="C288" s="6" t="s">
        <v>286</v>
      </c>
      <c r="D288" s="64" t="str">
        <f>목록별산출서!E32</f>
        <v>1</v>
      </c>
      <c r="E288" s="27">
        <f>IF(egTextCal(D288)&lt;&gt;0, egTextCal(D288),"")</f>
        <v>1</v>
      </c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>
        <f>IF(E288*S287&lt;&gt;0,E288*S287,  )</f>
        <v>1</v>
      </c>
      <c r="T288" s="26"/>
      <c r="U288" s="26"/>
      <c r="V288" s="26"/>
      <c r="W288" s="26"/>
      <c r="X288" s="26"/>
      <c r="Y288" s="26"/>
      <c r="Z288" s="26"/>
      <c r="CN288" s="1">
        <f>S288</f>
        <v>1</v>
      </c>
    </row>
    <row r="289" spans="1:26" ht="20.100000000000001" customHeight="1" x14ac:dyDescent="0.15">
      <c r="A289" s="31"/>
      <c r="C289" s="16"/>
      <c r="D289" s="28"/>
      <c r="E289" s="7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</row>
    <row r="290" spans="1:26" ht="20.100000000000001" customHeight="1" x14ac:dyDescent="0.15">
      <c r="A290" s="31"/>
      <c r="C290" s="6" t="s">
        <v>261</v>
      </c>
      <c r="D290" s="42"/>
      <c r="E290" s="27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26" ht="20.100000000000001" customHeight="1" x14ac:dyDescent="0.15">
      <c r="A291" s="31"/>
      <c r="C291" s="16"/>
      <c r="D291" s="28"/>
      <c r="E291" s="7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</row>
    <row r="292" spans="1:26" ht="20.100000000000001" customHeight="1" x14ac:dyDescent="0.15">
      <c r="A292" s="31"/>
      <c r="C292" s="6" t="s">
        <v>295</v>
      </c>
      <c r="D292" s="42"/>
      <c r="E292" s="27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</row>
    <row r="293" spans="1:26" ht="20.100000000000001" customHeight="1" x14ac:dyDescent="0.15">
      <c r="A293" s="31"/>
      <c r="C293" s="16"/>
      <c r="D293" s="28"/>
      <c r="E293" s="7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</row>
    <row r="294" spans="1:26" ht="20.100000000000001" customHeight="1" x14ac:dyDescent="0.15">
      <c r="A294" s="31"/>
      <c r="C294" s="6" t="s">
        <v>299</v>
      </c>
      <c r="D294" s="42"/>
      <c r="E294" s="27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</row>
    <row r="295" spans="1:26" ht="20.100000000000001" customHeight="1" x14ac:dyDescent="0.15">
      <c r="A295" s="31"/>
      <c r="C295" s="16"/>
      <c r="D295" s="28"/>
      <c r="E295" s="7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</row>
    <row r="296" spans="1:26" ht="20.100000000000001" customHeight="1" x14ac:dyDescent="0.15">
      <c r="A296" s="31"/>
      <c r="C296" s="6" t="s">
        <v>350</v>
      </c>
      <c r="D296" s="42"/>
      <c r="E296" s="27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</row>
    <row r="297" spans="1:26" ht="20.100000000000001" customHeight="1" x14ac:dyDescent="0.15">
      <c r="A297" s="31"/>
      <c r="C297" s="16"/>
      <c r="D297" s="28"/>
      <c r="E297" s="7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</row>
    <row r="298" spans="1:26" ht="20.100000000000001" customHeight="1" x14ac:dyDescent="0.15">
      <c r="A298" s="31"/>
      <c r="C298" s="6" t="s">
        <v>351</v>
      </c>
      <c r="D298" s="42"/>
      <c r="E298" s="27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</row>
    <row r="299" spans="1:26" ht="20.100000000000001" customHeight="1" x14ac:dyDescent="0.15">
      <c r="A299" s="31"/>
      <c r="C299" s="16"/>
      <c r="D299" s="28"/>
      <c r="E299" s="7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</row>
    <row r="300" spans="1:26" ht="20.100000000000001" customHeight="1" x14ac:dyDescent="0.15">
      <c r="A300" s="31"/>
      <c r="C300" s="6" t="s">
        <v>322</v>
      </c>
      <c r="D300" s="42"/>
      <c r="E300" s="27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</row>
    <row r="301" spans="1:26" ht="20.100000000000001" customHeight="1" x14ac:dyDescent="0.15">
      <c r="A301" s="31"/>
      <c r="C301" s="16"/>
      <c r="D301" s="28"/>
      <c r="E301" s="7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</row>
    <row r="302" spans="1:26" ht="20.100000000000001" customHeight="1" x14ac:dyDescent="0.15">
      <c r="A302" s="31"/>
      <c r="C302" s="6" t="s">
        <v>352</v>
      </c>
      <c r="D302" s="42"/>
      <c r="E302" s="27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</row>
    <row r="303" spans="1:26" ht="20.100000000000001" customHeight="1" x14ac:dyDescent="0.15">
      <c r="A303" s="31"/>
      <c r="C303" s="16"/>
      <c r="D303" s="28"/>
      <c r="E303" s="7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</row>
    <row r="304" spans="1:26" ht="20.100000000000001" customHeight="1" x14ac:dyDescent="0.15">
      <c r="A304" s="31"/>
      <c r="C304" s="6" t="s">
        <v>353</v>
      </c>
      <c r="D304" s="42"/>
      <c r="E304" s="27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</row>
    <row r="305" spans="1:26" ht="20.100000000000001" customHeight="1" x14ac:dyDescent="0.15">
      <c r="A305" s="31"/>
      <c r="C305" s="16"/>
      <c r="D305" s="28"/>
      <c r="E305" s="7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</row>
    <row r="306" spans="1:26" ht="20.100000000000001" customHeight="1" x14ac:dyDescent="0.15">
      <c r="A306" s="31"/>
      <c r="C306" s="6" t="s">
        <v>354</v>
      </c>
      <c r="D306" s="42"/>
      <c r="E306" s="27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</row>
    <row r="307" spans="1:26" ht="20.100000000000001" customHeight="1" x14ac:dyDescent="0.15">
      <c r="A307" s="31"/>
      <c r="C307" s="16"/>
      <c r="D307" s="28"/>
      <c r="E307" s="7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</row>
    <row r="308" spans="1:26" ht="20.100000000000001" customHeight="1" x14ac:dyDescent="0.15">
      <c r="A308" s="31"/>
      <c r="C308" s="6" t="s">
        <v>355</v>
      </c>
      <c r="D308" s="42"/>
      <c r="E308" s="27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</row>
    <row r="309" spans="1:26" ht="20.100000000000001" customHeight="1" x14ac:dyDescent="0.15">
      <c r="A309" s="31"/>
      <c r="C309" s="16"/>
      <c r="D309" s="28"/>
      <c r="E309" s="7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</row>
    <row r="310" spans="1:26" ht="20.100000000000001" customHeight="1" x14ac:dyDescent="0.15">
      <c r="A310" s="31"/>
      <c r="C310" s="6" t="s">
        <v>356</v>
      </c>
      <c r="D310" s="42"/>
      <c r="E310" s="27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</row>
    <row r="311" spans="1:26" ht="20.100000000000001" customHeight="1" x14ac:dyDescent="0.15">
      <c r="A311" s="31"/>
      <c r="C311" s="16"/>
      <c r="D311" s="28"/>
      <c r="E311" s="7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</row>
    <row r="312" spans="1:26" ht="20.100000000000001" customHeight="1" x14ac:dyDescent="0.15">
      <c r="A312" s="31"/>
      <c r="C312" s="6" t="s">
        <v>357</v>
      </c>
      <c r="D312" s="42"/>
      <c r="E312" s="27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</row>
    <row r="313" spans="1:26" ht="20.100000000000001" customHeight="1" x14ac:dyDescent="0.15">
      <c r="A313" s="31"/>
      <c r="C313" s="16"/>
      <c r="D313" s="28"/>
      <c r="E313" s="7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</row>
    <row r="314" spans="1:26" ht="20.100000000000001" customHeight="1" x14ac:dyDescent="0.15">
      <c r="A314" s="31"/>
      <c r="C314" s="6" t="s">
        <v>358</v>
      </c>
      <c r="D314" s="42"/>
      <c r="E314" s="27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</row>
    <row r="315" spans="1:26" ht="20.100000000000001" customHeight="1" x14ac:dyDescent="0.15">
      <c r="A315" s="31"/>
      <c r="C315" s="16"/>
      <c r="D315" s="28"/>
      <c r="E315" s="7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</row>
    <row r="316" spans="1:26" ht="20.100000000000001" customHeight="1" x14ac:dyDescent="0.15">
      <c r="A316" s="31"/>
      <c r="C316" s="6" t="s">
        <v>359</v>
      </c>
      <c r="D316" s="42"/>
      <c r="E316" s="27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</row>
    <row r="317" spans="1:26" ht="20.100000000000001" customHeight="1" x14ac:dyDescent="0.15">
      <c r="A317" s="31"/>
      <c r="C317" s="16"/>
      <c r="D317" s="28"/>
      <c r="E317" s="7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</row>
    <row r="318" spans="1:26" ht="20.100000000000001" customHeight="1" x14ac:dyDescent="0.15">
      <c r="A318" s="31"/>
      <c r="C318" s="6" t="s">
        <v>360</v>
      </c>
      <c r="D318" s="42"/>
      <c r="E318" s="27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</row>
    <row r="319" spans="1:26" ht="20.100000000000001" customHeight="1" x14ac:dyDescent="0.15">
      <c r="A319" s="31"/>
      <c r="C319" s="16"/>
      <c r="D319" s="28"/>
      <c r="E319" s="7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</row>
    <row r="320" spans="1:26" ht="20.100000000000001" customHeight="1" x14ac:dyDescent="0.15">
      <c r="A320" s="31"/>
      <c r="C320" s="6" t="s">
        <v>222</v>
      </c>
      <c r="D320" s="42"/>
      <c r="E320" s="27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</row>
    <row r="321" spans="1:88" ht="20.100000000000001" customHeight="1" x14ac:dyDescent="0.15">
      <c r="A321" s="31"/>
      <c r="B321" s="25" t="s">
        <v>362</v>
      </c>
      <c r="C321" s="16"/>
      <c r="D321" s="67" t="s">
        <v>363</v>
      </c>
      <c r="E321" s="63" t="s">
        <v>112</v>
      </c>
      <c r="F321" s="45">
        <f t="shared" ref="F321:S321" si="0">SUM(CA236:CA320)</f>
        <v>8</v>
      </c>
      <c r="G321" s="45">
        <f t="shared" si="0"/>
        <v>28</v>
      </c>
      <c r="H321" s="45">
        <f t="shared" si="0"/>
        <v>20.5</v>
      </c>
      <c r="I321" s="45">
        <f t="shared" si="0"/>
        <v>80</v>
      </c>
      <c r="J321" s="45">
        <f t="shared" si="0"/>
        <v>2</v>
      </c>
      <c r="K321" s="45">
        <f t="shared" si="0"/>
        <v>4</v>
      </c>
      <c r="L321" s="45">
        <f t="shared" si="0"/>
        <v>2</v>
      </c>
      <c r="M321" s="45">
        <f t="shared" si="0"/>
        <v>23.5</v>
      </c>
      <c r="N321" s="45">
        <f t="shared" si="0"/>
        <v>13.4</v>
      </c>
      <c r="O321" s="45">
        <f t="shared" si="0"/>
        <v>1</v>
      </c>
      <c r="P321" s="45">
        <f t="shared" si="0"/>
        <v>1</v>
      </c>
      <c r="Q321" s="45">
        <f t="shared" si="0"/>
        <v>16.8</v>
      </c>
      <c r="R321" s="45">
        <f t="shared" si="0"/>
        <v>16.8</v>
      </c>
      <c r="S321" s="45">
        <f t="shared" si="0"/>
        <v>1</v>
      </c>
      <c r="T321" s="45"/>
      <c r="U321" s="45"/>
      <c r="V321" s="45"/>
      <c r="W321" s="45"/>
      <c r="X321" s="45"/>
      <c r="Y321" s="45"/>
      <c r="Z321" s="45"/>
    </row>
    <row r="322" spans="1:88" ht="20.100000000000001" customHeight="1" x14ac:dyDescent="0.15">
      <c r="A322" s="31"/>
      <c r="C322" s="5" t="s">
        <v>361</v>
      </c>
      <c r="D322" s="27" t="s">
        <v>364</v>
      </c>
      <c r="E322" s="27">
        <v>1</v>
      </c>
      <c r="F322" s="27">
        <f>E322*F321</f>
        <v>8</v>
      </c>
      <c r="G322" s="27">
        <f>E322*G321</f>
        <v>28</v>
      </c>
      <c r="H322" s="27">
        <f>E322*H321</f>
        <v>20.5</v>
      </c>
      <c r="I322" s="27">
        <f>E322*I321</f>
        <v>80</v>
      </c>
      <c r="J322" s="27">
        <f>E322*J321</f>
        <v>2</v>
      </c>
      <c r="K322" s="27">
        <f>E322*K321</f>
        <v>4</v>
      </c>
      <c r="L322" s="27">
        <f>E322*L321</f>
        <v>2</v>
      </c>
      <c r="M322" s="27">
        <f>E322*M321</f>
        <v>23.5</v>
      </c>
      <c r="N322" s="27">
        <f>E322*N321</f>
        <v>13.4</v>
      </c>
      <c r="O322" s="27">
        <f>E322*O321</f>
        <v>1</v>
      </c>
      <c r="P322" s="27">
        <f>E322*P321</f>
        <v>1</v>
      </c>
      <c r="Q322" s="27">
        <f>E322*Q321</f>
        <v>16.8</v>
      </c>
      <c r="R322" s="27">
        <f>E322*R321</f>
        <v>16.8</v>
      </c>
      <c r="S322" s="27">
        <f>E322*S321</f>
        <v>1</v>
      </c>
      <c r="T322" s="27"/>
      <c r="U322" s="27"/>
      <c r="V322" s="27"/>
      <c r="W322" s="27"/>
      <c r="X322" s="27"/>
      <c r="Y322" s="27"/>
      <c r="Z322" s="27"/>
    </row>
    <row r="323" spans="1:88" ht="20.100000000000001" customHeight="1" x14ac:dyDescent="0.15">
      <c r="B323" s="25" t="s">
        <v>126</v>
      </c>
      <c r="C323" s="386" t="s">
        <v>256</v>
      </c>
      <c r="D323" s="409"/>
      <c r="E323" s="409"/>
      <c r="F323" s="409"/>
      <c r="G323" s="409"/>
      <c r="H323" s="409"/>
      <c r="I323" s="409"/>
      <c r="J323" s="409"/>
      <c r="K323" s="409"/>
      <c r="L323" s="409"/>
      <c r="M323" s="409"/>
      <c r="N323" s="409"/>
      <c r="O323" s="409"/>
      <c r="P323" s="409"/>
      <c r="Q323" s="409"/>
      <c r="R323" s="409"/>
      <c r="S323" s="409"/>
      <c r="T323" s="409"/>
      <c r="U323" s="409"/>
      <c r="V323" s="409"/>
      <c r="W323" s="409"/>
      <c r="X323" s="409"/>
      <c r="Y323" s="409"/>
      <c r="Z323" s="409"/>
    </row>
    <row r="324" spans="1:88" ht="20.100000000000001" customHeight="1" x14ac:dyDescent="0.15">
      <c r="B324" s="30"/>
      <c r="C324" s="20"/>
      <c r="D324" s="46"/>
      <c r="E324" s="46"/>
      <c r="F324" s="18" t="s">
        <v>365</v>
      </c>
      <c r="G324" s="18" t="s">
        <v>365</v>
      </c>
      <c r="H324" s="16" t="s">
        <v>387</v>
      </c>
      <c r="I324" s="16" t="s">
        <v>387</v>
      </c>
      <c r="J324" s="16" t="s">
        <v>388</v>
      </c>
      <c r="K324" s="16" t="s">
        <v>338</v>
      </c>
      <c r="L324" s="16" t="s">
        <v>389</v>
      </c>
      <c r="M324" s="16" t="s">
        <v>390</v>
      </c>
      <c r="N324" s="16" t="s">
        <v>391</v>
      </c>
      <c r="O324" s="16" t="s">
        <v>391</v>
      </c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CA324" s="1" t="s">
        <v>365</v>
      </c>
      <c r="CB324" s="1" t="s">
        <v>365</v>
      </c>
      <c r="CC324" s="1" t="s">
        <v>387</v>
      </c>
      <c r="CD324" s="1" t="s">
        <v>387</v>
      </c>
      <c r="CE324" s="1" t="s">
        <v>388</v>
      </c>
      <c r="CF324" s="1" t="s">
        <v>338</v>
      </c>
      <c r="CG324" s="1" t="s">
        <v>389</v>
      </c>
      <c r="CH324" s="1" t="s">
        <v>390</v>
      </c>
      <c r="CI324" s="1" t="s">
        <v>391</v>
      </c>
      <c r="CJ324" s="1" t="s">
        <v>391</v>
      </c>
    </row>
    <row r="325" spans="1:88" ht="20.100000000000001" customHeight="1" x14ac:dyDescent="0.15">
      <c r="A325" s="31"/>
      <c r="B325" s="30"/>
      <c r="C325" s="4" t="s">
        <v>342</v>
      </c>
      <c r="D325" s="4" t="s">
        <v>343</v>
      </c>
      <c r="E325" s="4" t="s">
        <v>344</v>
      </c>
      <c r="F325" s="12" t="s">
        <v>392</v>
      </c>
      <c r="G325" s="12" t="s">
        <v>392</v>
      </c>
      <c r="H325" s="4" t="s">
        <v>393</v>
      </c>
      <c r="I325" s="4" t="s">
        <v>394</v>
      </c>
      <c r="J325" s="4" t="s">
        <v>395</v>
      </c>
      <c r="K325" s="4" t="s">
        <v>345</v>
      </c>
      <c r="L325" s="4" t="s">
        <v>396</v>
      </c>
      <c r="M325" s="4" t="s">
        <v>397</v>
      </c>
      <c r="N325" s="4" t="s">
        <v>398</v>
      </c>
      <c r="O325" s="4" t="s">
        <v>398</v>
      </c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CA325" s="1" t="s">
        <v>392</v>
      </c>
      <c r="CB325" s="1" t="s">
        <v>392</v>
      </c>
      <c r="CC325" s="1" t="s">
        <v>393</v>
      </c>
      <c r="CD325" s="1" t="s">
        <v>394</v>
      </c>
      <c r="CE325" s="1" t="s">
        <v>395</v>
      </c>
      <c r="CF325" s="1" t="s">
        <v>345</v>
      </c>
      <c r="CG325" s="1" t="s">
        <v>396</v>
      </c>
      <c r="CH325" s="1" t="s">
        <v>397</v>
      </c>
      <c r="CI325" s="1" t="s">
        <v>398</v>
      </c>
      <c r="CJ325" s="1" t="s">
        <v>398</v>
      </c>
    </row>
    <row r="326" spans="1:88" ht="20.100000000000001" customHeight="1" x14ac:dyDescent="0.15">
      <c r="A326" s="31"/>
      <c r="B326" s="30"/>
      <c r="C326" s="21"/>
      <c r="D326" s="21"/>
      <c r="E326" s="21"/>
      <c r="F326" s="19" t="s">
        <v>399</v>
      </c>
      <c r="G326" s="19" t="s">
        <v>400</v>
      </c>
      <c r="H326" s="17" t="s">
        <v>401</v>
      </c>
      <c r="I326" s="17" t="s">
        <v>401</v>
      </c>
      <c r="J326" s="17" t="s">
        <v>402</v>
      </c>
      <c r="K326" s="17" t="s">
        <v>403</v>
      </c>
      <c r="L326" s="17" t="s">
        <v>404</v>
      </c>
      <c r="M326" s="17" t="s">
        <v>348</v>
      </c>
      <c r="N326" s="17" t="s">
        <v>405</v>
      </c>
      <c r="O326" s="17" t="s">
        <v>406</v>
      </c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CA326" s="1" t="s">
        <v>399</v>
      </c>
      <c r="CB326" s="1" t="s">
        <v>400</v>
      </c>
      <c r="CC326" s="1" t="s">
        <v>401</v>
      </c>
      <c r="CD326" s="1" t="s">
        <v>401</v>
      </c>
      <c r="CE326" s="1" t="s">
        <v>402</v>
      </c>
      <c r="CF326" s="1" t="s">
        <v>403</v>
      </c>
      <c r="CG326" s="1" t="s">
        <v>404</v>
      </c>
      <c r="CH326" s="1" t="s">
        <v>348</v>
      </c>
      <c r="CI326" s="1" t="s">
        <v>405</v>
      </c>
      <c r="CJ326" s="1" t="s">
        <v>406</v>
      </c>
    </row>
    <row r="327" spans="1:88" ht="20.100000000000001" customHeight="1" x14ac:dyDescent="0.15">
      <c r="A327" s="31"/>
      <c r="C327" s="16"/>
      <c r="D327" s="28" t="s">
        <v>130</v>
      </c>
      <c r="E327" s="7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</row>
    <row r="328" spans="1:88" ht="20.100000000000001" customHeight="1" x14ac:dyDescent="0.15">
      <c r="A328" s="31"/>
      <c r="C328" s="6" t="s">
        <v>127</v>
      </c>
      <c r="D328" s="42"/>
      <c r="E328" s="27" t="str">
        <f>IF(egTextCal(D328)&lt;&gt;0, egTextCal(D328),"")</f>
        <v/>
      </c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</row>
    <row r="329" spans="1:88" ht="20.100000000000001" customHeight="1" x14ac:dyDescent="0.15">
      <c r="A329" s="31"/>
      <c r="C329" s="16"/>
      <c r="D329" s="29" t="s">
        <v>257</v>
      </c>
      <c r="E329" s="8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</row>
    <row r="330" spans="1:88" ht="20.100000000000001" customHeight="1" x14ac:dyDescent="0.15">
      <c r="A330" s="31"/>
      <c r="C330" s="6" t="s">
        <v>189</v>
      </c>
      <c r="D330" s="43"/>
      <c r="E330" s="27" t="str">
        <f>IF(egTextCal(D330)&lt;&gt;0, egTextCal(D330),"")</f>
        <v/>
      </c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</row>
    <row r="331" spans="1:88" ht="20.100000000000001" customHeight="1" x14ac:dyDescent="0.15">
      <c r="A331" s="31"/>
      <c r="C331" s="16"/>
      <c r="D331" s="29" t="s">
        <v>258</v>
      </c>
      <c r="E331" s="8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</row>
    <row r="332" spans="1:88" ht="20.100000000000001" customHeight="1" x14ac:dyDescent="0.15">
      <c r="A332" s="31"/>
      <c r="C332" s="6" t="s">
        <v>281</v>
      </c>
      <c r="D332" s="43"/>
      <c r="E332" s="27" t="str">
        <f>IF(egTextCal(D332)&lt;&gt;0, egTextCal(D332),"")</f>
        <v/>
      </c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</row>
    <row r="333" spans="1:88" ht="20.100000000000001" customHeight="1" x14ac:dyDescent="0.15">
      <c r="A333" s="31"/>
      <c r="C333" s="16"/>
      <c r="D333" s="28" t="s">
        <v>260</v>
      </c>
      <c r="E333" s="7"/>
      <c r="F333" s="45">
        <v>1</v>
      </c>
      <c r="G333" s="45"/>
      <c r="H333" s="45"/>
      <c r="I333" s="45"/>
      <c r="J333" s="45"/>
      <c r="K333" s="45"/>
      <c r="L333" s="45"/>
      <c r="M333" s="45"/>
      <c r="N333" s="45">
        <v>2</v>
      </c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</row>
    <row r="334" spans="1:88" ht="20.100000000000001" customHeight="1" x14ac:dyDescent="0.15">
      <c r="A334" s="31"/>
      <c r="C334" s="6" t="s">
        <v>286</v>
      </c>
      <c r="D334" s="64" t="str">
        <f>목록별산출서!E50</f>
        <v>5</v>
      </c>
      <c r="E334" s="27">
        <f>IF(egTextCal(D334)&lt;&gt;0, egTextCal(D334),"")</f>
        <v>5</v>
      </c>
      <c r="F334" s="26">
        <f>IF(E334*F333&lt;&gt;0,E334*F333,  )</f>
        <v>5</v>
      </c>
      <c r="G334" s="26"/>
      <c r="H334" s="26"/>
      <c r="I334" s="26"/>
      <c r="J334" s="26"/>
      <c r="K334" s="26"/>
      <c r="L334" s="26"/>
      <c r="M334" s="26"/>
      <c r="N334" s="26">
        <f>IF(E334*N333&lt;&gt;0,E334*N333,  )</f>
        <v>10</v>
      </c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CA334" s="1">
        <f>F334</f>
        <v>5</v>
      </c>
      <c r="CI334" s="1">
        <f>N334</f>
        <v>10</v>
      </c>
    </row>
    <row r="335" spans="1:88" ht="20.100000000000001" customHeight="1" x14ac:dyDescent="0.15">
      <c r="A335" s="31"/>
      <c r="C335" s="16"/>
      <c r="D335" s="28" t="s">
        <v>270</v>
      </c>
      <c r="E335" s="7"/>
      <c r="F335" s="45"/>
      <c r="G335" s="45">
        <v>1</v>
      </c>
      <c r="H335" s="45"/>
      <c r="I335" s="45"/>
      <c r="J335" s="45"/>
      <c r="K335" s="45"/>
      <c r="L335" s="45"/>
      <c r="M335" s="45"/>
      <c r="N335" s="45"/>
      <c r="O335" s="45">
        <v>4</v>
      </c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</row>
    <row r="336" spans="1:88" ht="20.100000000000001" customHeight="1" x14ac:dyDescent="0.15">
      <c r="A336" s="31"/>
      <c r="C336" s="6" t="s">
        <v>261</v>
      </c>
      <c r="D336" s="64" t="str">
        <f>목록별산출서!E52</f>
        <v>2</v>
      </c>
      <c r="E336" s="27">
        <f>IF(egTextCal(D336)&lt;&gt;0, egTextCal(D336),"")</f>
        <v>2</v>
      </c>
      <c r="F336" s="26"/>
      <c r="G336" s="26">
        <f>IF(E336*G335&lt;&gt;0,E336*G335,  )</f>
        <v>2</v>
      </c>
      <c r="H336" s="26"/>
      <c r="I336" s="26"/>
      <c r="J336" s="26"/>
      <c r="K336" s="26"/>
      <c r="L336" s="26"/>
      <c r="M336" s="26"/>
      <c r="N336" s="26"/>
      <c r="O336" s="26">
        <f>IF(E336*O335&lt;&gt;0,E336*O335,  )</f>
        <v>8</v>
      </c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CB336" s="1">
        <f>G336</f>
        <v>2</v>
      </c>
      <c r="CJ336" s="1">
        <f>O336</f>
        <v>8</v>
      </c>
    </row>
    <row r="337" spans="1:88" ht="20.100000000000001" customHeight="1" x14ac:dyDescent="0.15">
      <c r="A337" s="31"/>
      <c r="C337" s="16"/>
      <c r="D337" s="28" t="s">
        <v>276</v>
      </c>
      <c r="E337" s="7"/>
      <c r="F337" s="45"/>
      <c r="G337" s="45">
        <v>0.5</v>
      </c>
      <c r="H337" s="45"/>
      <c r="I337" s="45"/>
      <c r="J337" s="45"/>
      <c r="K337" s="45"/>
      <c r="L337" s="45"/>
      <c r="M337" s="45"/>
      <c r="N337" s="45"/>
      <c r="O337" s="45">
        <v>6</v>
      </c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</row>
    <row r="338" spans="1:88" ht="20.100000000000001" customHeight="1" x14ac:dyDescent="0.15">
      <c r="A338" s="31"/>
      <c r="C338" s="6" t="s">
        <v>295</v>
      </c>
      <c r="D338" s="64" t="str">
        <f>목록별산출서!E54</f>
        <v>1</v>
      </c>
      <c r="E338" s="27">
        <f>IF(egTextCal(D338)&lt;&gt;0, egTextCal(D338),"")</f>
        <v>1</v>
      </c>
      <c r="F338" s="26"/>
      <c r="G338" s="26">
        <f>IF(E338*G337&lt;&gt;0,E338*G337,  )</f>
        <v>0.5</v>
      </c>
      <c r="H338" s="26"/>
      <c r="I338" s="26"/>
      <c r="J338" s="26"/>
      <c r="K338" s="26"/>
      <c r="L338" s="26"/>
      <c r="M338" s="26"/>
      <c r="N338" s="26"/>
      <c r="O338" s="26">
        <f>IF(E338*O337&lt;&gt;0,E338*O337,  )</f>
        <v>6</v>
      </c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CB338" s="1">
        <f>G338</f>
        <v>0.5</v>
      </c>
      <c r="CJ338" s="1">
        <f>O338</f>
        <v>6</v>
      </c>
    </row>
    <row r="339" spans="1:88" ht="20.100000000000001" customHeight="1" x14ac:dyDescent="0.15">
      <c r="A339" s="31"/>
      <c r="C339" s="16"/>
      <c r="D339" s="28" t="s">
        <v>278</v>
      </c>
      <c r="E339" s="7"/>
      <c r="F339" s="45">
        <v>0.3</v>
      </c>
      <c r="G339" s="45"/>
      <c r="H339" s="45">
        <v>1</v>
      </c>
      <c r="I339" s="45"/>
      <c r="J339" s="45"/>
      <c r="K339" s="45">
        <v>1</v>
      </c>
      <c r="L339" s="45"/>
      <c r="M339" s="45"/>
      <c r="N339" s="45">
        <v>1</v>
      </c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</row>
    <row r="340" spans="1:88" ht="20.100000000000001" customHeight="1" x14ac:dyDescent="0.15">
      <c r="A340" s="31"/>
      <c r="C340" s="6" t="s">
        <v>299</v>
      </c>
      <c r="D340" s="64" t="str">
        <f>목록별산출서!E56</f>
        <v>1</v>
      </c>
      <c r="E340" s="27">
        <f>IF(egTextCal(D340)&lt;&gt;0, egTextCal(D340),"")</f>
        <v>1</v>
      </c>
      <c r="F340" s="26">
        <f>IF(E340*F339&lt;&gt;0,E340*F339,  )</f>
        <v>0.3</v>
      </c>
      <c r="G340" s="26"/>
      <c r="H340" s="26">
        <f>IF(E340*H339&lt;&gt;0,E340*H339,  )</f>
        <v>1</v>
      </c>
      <c r="I340" s="26"/>
      <c r="J340" s="26"/>
      <c r="K340" s="26">
        <f>IF(E340*K339&lt;&gt;0,E340*K339,  )</f>
        <v>1</v>
      </c>
      <c r="L340" s="26"/>
      <c r="M340" s="26"/>
      <c r="N340" s="26">
        <f>IF(E340*N339&lt;&gt;0,E340*N339,  )</f>
        <v>1</v>
      </c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CA340" s="1">
        <f>F340</f>
        <v>0.3</v>
      </c>
      <c r="CC340" s="1">
        <f>H340</f>
        <v>1</v>
      </c>
      <c r="CF340" s="1">
        <f>K340</f>
        <v>1</v>
      </c>
      <c r="CI340" s="1">
        <f>N340</f>
        <v>1</v>
      </c>
    </row>
    <row r="341" spans="1:88" ht="20.100000000000001" customHeight="1" x14ac:dyDescent="0.15">
      <c r="A341" s="31"/>
      <c r="C341" s="16"/>
      <c r="D341" s="28" t="s">
        <v>289</v>
      </c>
      <c r="E341" s="7"/>
      <c r="F341" s="45">
        <v>0.6</v>
      </c>
      <c r="G341" s="45"/>
      <c r="H341" s="45"/>
      <c r="I341" s="45">
        <v>1</v>
      </c>
      <c r="J341" s="45">
        <v>1</v>
      </c>
      <c r="K341" s="45">
        <v>1</v>
      </c>
      <c r="L341" s="45"/>
      <c r="M341" s="45"/>
      <c r="N341" s="45">
        <v>1</v>
      </c>
      <c r="O341" s="45">
        <v>2</v>
      </c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</row>
    <row r="342" spans="1:88" ht="20.100000000000001" customHeight="1" x14ac:dyDescent="0.15">
      <c r="A342" s="31"/>
      <c r="C342" s="6" t="s">
        <v>350</v>
      </c>
      <c r="D342" s="64" t="str">
        <f>목록별산출서!E60</f>
        <v>1</v>
      </c>
      <c r="E342" s="27">
        <f>IF(egTextCal(D342)&lt;&gt;0, egTextCal(D342),"")</f>
        <v>1</v>
      </c>
      <c r="F342" s="26">
        <f>IF(E342*F341&lt;&gt;0,E342*F341,  )</f>
        <v>0.6</v>
      </c>
      <c r="G342" s="26"/>
      <c r="H342" s="26"/>
      <c r="I342" s="26">
        <f>IF(E342*I341&lt;&gt;0,E342*I341,  )</f>
        <v>1</v>
      </c>
      <c r="J342" s="26">
        <f>IF(E342*J341&lt;&gt;0,E342*J341,  )</f>
        <v>1</v>
      </c>
      <c r="K342" s="26">
        <f>IF(E342*K341&lt;&gt;0,E342*K341,  )</f>
        <v>1</v>
      </c>
      <c r="L342" s="26"/>
      <c r="M342" s="26"/>
      <c r="N342" s="26">
        <f>IF(E342*N341&lt;&gt;0,E342*N341,  )</f>
        <v>1</v>
      </c>
      <c r="O342" s="26">
        <f>IF(E342*O341&lt;&gt;0,E342*O341,  )</f>
        <v>2</v>
      </c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CA342" s="1">
        <f>F342</f>
        <v>0.6</v>
      </c>
      <c r="CD342" s="1">
        <f>I342</f>
        <v>1</v>
      </c>
      <c r="CE342" s="1">
        <f>J342</f>
        <v>1</v>
      </c>
      <c r="CF342" s="1">
        <f>K342</f>
        <v>1</v>
      </c>
      <c r="CI342" s="1">
        <f>N342</f>
        <v>1</v>
      </c>
      <c r="CJ342" s="1">
        <f>O342</f>
        <v>2</v>
      </c>
    </row>
    <row r="343" spans="1:88" ht="20.100000000000001" customHeight="1" x14ac:dyDescent="0.15">
      <c r="A343" s="31"/>
      <c r="C343" s="16"/>
      <c r="D343" s="28"/>
      <c r="E343" s="7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</row>
    <row r="344" spans="1:88" ht="20.100000000000001" customHeight="1" x14ac:dyDescent="0.15">
      <c r="A344" s="31"/>
      <c r="C344" s="6" t="s">
        <v>351</v>
      </c>
      <c r="D344" s="42"/>
      <c r="E344" s="27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</row>
    <row r="345" spans="1:88" ht="20.100000000000001" customHeight="1" x14ac:dyDescent="0.15">
      <c r="A345" s="31"/>
      <c r="C345" s="16"/>
      <c r="D345" s="28" t="s">
        <v>258</v>
      </c>
      <c r="E345" s="7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</row>
    <row r="346" spans="1:88" ht="20.100000000000001" customHeight="1" x14ac:dyDescent="0.15">
      <c r="A346" s="31"/>
      <c r="C346" s="6" t="s">
        <v>322</v>
      </c>
      <c r="D346" s="42"/>
      <c r="E346" s="27" t="str">
        <f>IF(egTextCal(D346)&lt;&gt;0, egTextCal(D346),"")</f>
        <v/>
      </c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</row>
    <row r="347" spans="1:88" ht="20.100000000000001" customHeight="1" x14ac:dyDescent="0.15">
      <c r="A347" s="31"/>
      <c r="C347" s="16"/>
      <c r="D347" s="28" t="s">
        <v>300</v>
      </c>
      <c r="E347" s="7"/>
      <c r="F347" s="45"/>
      <c r="G347" s="45">
        <v>1</v>
      </c>
      <c r="H347" s="45"/>
      <c r="I347" s="45"/>
      <c r="J347" s="45"/>
      <c r="K347" s="45"/>
      <c r="L347" s="45">
        <v>1</v>
      </c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</row>
    <row r="348" spans="1:88" ht="20.100000000000001" customHeight="1" x14ac:dyDescent="0.15">
      <c r="A348" s="31"/>
      <c r="C348" s="6" t="s">
        <v>352</v>
      </c>
      <c r="D348" s="64" t="str">
        <f>목록별산출서!E69</f>
        <v>6</v>
      </c>
      <c r="E348" s="27">
        <f>IF(egTextCal(D348)&lt;&gt;0, egTextCal(D348),"")</f>
        <v>6</v>
      </c>
      <c r="F348" s="26"/>
      <c r="G348" s="26">
        <f>IF(E348*G347&lt;&gt;0,E348*G347,  )</f>
        <v>6</v>
      </c>
      <c r="H348" s="26"/>
      <c r="I348" s="26"/>
      <c r="J348" s="26"/>
      <c r="K348" s="26"/>
      <c r="L348" s="26">
        <f>IF(E348*L347&lt;&gt;0,E348*L347,  )</f>
        <v>6</v>
      </c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CB348" s="1">
        <f>G348</f>
        <v>6</v>
      </c>
      <c r="CG348" s="1">
        <f>L348</f>
        <v>6</v>
      </c>
    </row>
    <row r="349" spans="1:88" ht="20.100000000000001" customHeight="1" x14ac:dyDescent="0.15">
      <c r="A349" s="31"/>
      <c r="C349" s="16"/>
      <c r="D349" s="28" t="s">
        <v>305</v>
      </c>
      <c r="E349" s="7"/>
      <c r="F349" s="45"/>
      <c r="G349" s="45">
        <v>0.5</v>
      </c>
      <c r="H349" s="45"/>
      <c r="I349" s="45"/>
      <c r="J349" s="45"/>
      <c r="K349" s="45"/>
      <c r="L349" s="45">
        <v>2.5</v>
      </c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</row>
    <row r="350" spans="1:88" ht="20.100000000000001" customHeight="1" x14ac:dyDescent="0.15">
      <c r="A350" s="31"/>
      <c r="C350" s="6" t="s">
        <v>353</v>
      </c>
      <c r="D350" s="64" t="str">
        <f>목록별산출서!E71</f>
        <v>1</v>
      </c>
      <c r="E350" s="27">
        <f>IF(egTextCal(D350)&lt;&gt;0, egTextCal(D350),"")</f>
        <v>1</v>
      </c>
      <c r="F350" s="26"/>
      <c r="G350" s="26">
        <f>IF(E350*G349&lt;&gt;0,E350*G349,  )</f>
        <v>0.5</v>
      </c>
      <c r="H350" s="26"/>
      <c r="I350" s="26"/>
      <c r="J350" s="26"/>
      <c r="K350" s="26"/>
      <c r="L350" s="26">
        <f>IF(E350*L349&lt;&gt;0,E350*L349,  )</f>
        <v>2.5</v>
      </c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CB350" s="1">
        <f>G350</f>
        <v>0.5</v>
      </c>
      <c r="CG350" s="1">
        <f>L350</f>
        <v>2.5</v>
      </c>
    </row>
    <row r="351" spans="1:88" ht="20.100000000000001" customHeight="1" x14ac:dyDescent="0.15">
      <c r="A351" s="31"/>
      <c r="C351" s="16"/>
      <c r="D351" s="28" t="s">
        <v>307</v>
      </c>
      <c r="E351" s="7"/>
      <c r="F351" s="45"/>
      <c r="G351" s="45">
        <v>0.3</v>
      </c>
      <c r="H351" s="45">
        <v>1</v>
      </c>
      <c r="I351" s="45"/>
      <c r="J351" s="45"/>
      <c r="K351" s="45"/>
      <c r="L351" s="45">
        <v>0.5</v>
      </c>
      <c r="M351" s="45">
        <v>1</v>
      </c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</row>
    <row r="352" spans="1:88" ht="20.100000000000001" customHeight="1" x14ac:dyDescent="0.15">
      <c r="A352" s="31"/>
      <c r="C352" s="6" t="s">
        <v>354</v>
      </c>
      <c r="D352" s="64" t="str">
        <f>목록별산출서!E73</f>
        <v>1</v>
      </c>
      <c r="E352" s="27">
        <f>IF(egTextCal(D352)&lt;&gt;0, egTextCal(D352),"")</f>
        <v>1</v>
      </c>
      <c r="F352" s="26"/>
      <c r="G352" s="26">
        <f>IF(E352*G351&lt;&gt;0,E352*G351,  )</f>
        <v>0.3</v>
      </c>
      <c r="H352" s="26">
        <f>IF(E352*H351&lt;&gt;0,E352*H351,  )</f>
        <v>1</v>
      </c>
      <c r="I352" s="26"/>
      <c r="J352" s="26"/>
      <c r="K352" s="26"/>
      <c r="L352" s="26">
        <f>IF(E352*L351&lt;&gt;0,E352*L351,  )</f>
        <v>0.5</v>
      </c>
      <c r="M352" s="26">
        <f>IF(E352*M351&lt;&gt;0,E352*M351,  )</f>
        <v>1</v>
      </c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CB352" s="1">
        <f>G352</f>
        <v>0.3</v>
      </c>
      <c r="CC352" s="1">
        <f>H352</f>
        <v>1</v>
      </c>
      <c r="CG352" s="1">
        <f>L352</f>
        <v>0.5</v>
      </c>
      <c r="CH352" s="1">
        <f>M352</f>
        <v>1</v>
      </c>
    </row>
    <row r="353" spans="1:88" ht="20.100000000000001" customHeight="1" x14ac:dyDescent="0.15">
      <c r="A353" s="31"/>
      <c r="C353" s="16"/>
      <c r="D353" s="28"/>
      <c r="E353" s="7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</row>
    <row r="354" spans="1:88" ht="20.100000000000001" customHeight="1" x14ac:dyDescent="0.15">
      <c r="A354" s="31"/>
      <c r="C354" s="6" t="s">
        <v>355</v>
      </c>
      <c r="D354" s="42"/>
      <c r="E354" s="27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spans="1:88" ht="20.100000000000001" customHeight="1" x14ac:dyDescent="0.15">
      <c r="A355" s="31"/>
      <c r="C355" s="16"/>
      <c r="D355" s="28" t="s">
        <v>313</v>
      </c>
      <c r="E355" s="7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</row>
    <row r="356" spans="1:88" ht="20.100000000000001" customHeight="1" x14ac:dyDescent="0.15">
      <c r="A356" s="31"/>
      <c r="C356" s="6" t="s">
        <v>356</v>
      </c>
      <c r="D356" s="42"/>
      <c r="E356" s="27" t="str">
        <f>IF(egTextCal(D356)&lt;&gt;0, egTextCal(D356),"")</f>
        <v/>
      </c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1:88" ht="20.100000000000001" customHeight="1" x14ac:dyDescent="0.15">
      <c r="A357" s="31"/>
      <c r="C357" s="16"/>
      <c r="D357" s="28" t="s">
        <v>260</v>
      </c>
      <c r="E357" s="7"/>
      <c r="F357" s="45">
        <v>1</v>
      </c>
      <c r="G357" s="45"/>
      <c r="H357" s="45"/>
      <c r="I357" s="45"/>
      <c r="J357" s="45"/>
      <c r="K357" s="45"/>
      <c r="L357" s="45"/>
      <c r="M357" s="45"/>
      <c r="N357" s="45">
        <v>2</v>
      </c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</row>
    <row r="358" spans="1:88" ht="20.100000000000001" customHeight="1" x14ac:dyDescent="0.15">
      <c r="A358" s="31"/>
      <c r="C358" s="6" t="s">
        <v>357</v>
      </c>
      <c r="D358" s="64" t="str">
        <f>목록별산출서!E79</f>
        <v>4</v>
      </c>
      <c r="E358" s="27">
        <f>IF(egTextCal(D358)&lt;&gt;0, egTextCal(D358),"")</f>
        <v>4</v>
      </c>
      <c r="F358" s="26">
        <f>IF(E358*F357&lt;&gt;0,E358*F357,  )</f>
        <v>4</v>
      </c>
      <c r="G358" s="26"/>
      <c r="H358" s="26"/>
      <c r="I358" s="26"/>
      <c r="J358" s="26"/>
      <c r="K358" s="26"/>
      <c r="L358" s="26"/>
      <c r="M358" s="26"/>
      <c r="N358" s="26">
        <f>IF(E358*N357&lt;&gt;0,E358*N357,  )</f>
        <v>8</v>
      </c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CA358" s="1">
        <f>F358</f>
        <v>4</v>
      </c>
      <c r="CI358" s="1">
        <f>N358</f>
        <v>8</v>
      </c>
    </row>
    <row r="359" spans="1:88" ht="20.100000000000001" customHeight="1" x14ac:dyDescent="0.15">
      <c r="A359" s="31"/>
      <c r="C359" s="16"/>
      <c r="D359" s="28" t="s">
        <v>270</v>
      </c>
      <c r="E359" s="7"/>
      <c r="F359" s="45"/>
      <c r="G359" s="45">
        <v>1</v>
      </c>
      <c r="H359" s="45"/>
      <c r="I359" s="45"/>
      <c r="J359" s="45"/>
      <c r="K359" s="45"/>
      <c r="L359" s="45"/>
      <c r="M359" s="45"/>
      <c r="N359" s="45"/>
      <c r="O359" s="45">
        <v>4</v>
      </c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</row>
    <row r="360" spans="1:88" ht="20.100000000000001" customHeight="1" x14ac:dyDescent="0.15">
      <c r="A360" s="31"/>
      <c r="C360" s="6" t="s">
        <v>358</v>
      </c>
      <c r="D360" s="64" t="str">
        <f>목록별산출서!E81</f>
        <v>5</v>
      </c>
      <c r="E360" s="27">
        <f>IF(egTextCal(D360)&lt;&gt;0, egTextCal(D360),"")</f>
        <v>5</v>
      </c>
      <c r="F360" s="26"/>
      <c r="G360" s="26">
        <f>IF(E360*G359&lt;&gt;0,E360*G359,  )</f>
        <v>5</v>
      </c>
      <c r="H360" s="26"/>
      <c r="I360" s="26"/>
      <c r="J360" s="26"/>
      <c r="K360" s="26"/>
      <c r="L360" s="26"/>
      <c r="M360" s="26"/>
      <c r="N360" s="26"/>
      <c r="O360" s="26">
        <f>IF(E360*O359&lt;&gt;0,E360*O359,  )</f>
        <v>20</v>
      </c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CB360" s="1">
        <f>G360</f>
        <v>5</v>
      </c>
      <c r="CJ360" s="1">
        <f>O360</f>
        <v>20</v>
      </c>
    </row>
    <row r="361" spans="1:88" ht="20.100000000000001" customHeight="1" x14ac:dyDescent="0.15">
      <c r="A361" s="31"/>
      <c r="C361" s="16"/>
      <c r="D361" s="28" t="s">
        <v>276</v>
      </c>
      <c r="E361" s="7"/>
      <c r="F361" s="45"/>
      <c r="G361" s="45">
        <v>0.5</v>
      </c>
      <c r="H361" s="45"/>
      <c r="I361" s="45"/>
      <c r="J361" s="45"/>
      <c r="K361" s="45"/>
      <c r="L361" s="45"/>
      <c r="M361" s="45"/>
      <c r="N361" s="45"/>
      <c r="O361" s="45">
        <v>6</v>
      </c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</row>
    <row r="362" spans="1:88" ht="20.100000000000001" customHeight="1" x14ac:dyDescent="0.15">
      <c r="A362" s="31"/>
      <c r="C362" s="6" t="s">
        <v>359</v>
      </c>
      <c r="D362" s="64" t="str">
        <f>목록별산출서!E83</f>
        <v>1</v>
      </c>
      <c r="E362" s="27">
        <f>IF(egTextCal(D362)&lt;&gt;0, egTextCal(D362),"")</f>
        <v>1</v>
      </c>
      <c r="F362" s="26"/>
      <c r="G362" s="26">
        <f>IF(E362*G361&lt;&gt;0,E362*G361,  )</f>
        <v>0.5</v>
      </c>
      <c r="H362" s="26"/>
      <c r="I362" s="26"/>
      <c r="J362" s="26"/>
      <c r="K362" s="26"/>
      <c r="L362" s="26"/>
      <c r="M362" s="26"/>
      <c r="N362" s="26"/>
      <c r="O362" s="26">
        <f>IF(E362*O361&lt;&gt;0,E362*O361,  )</f>
        <v>6</v>
      </c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CB362" s="1">
        <f>G362</f>
        <v>0.5</v>
      </c>
      <c r="CJ362" s="1">
        <f>O362</f>
        <v>6</v>
      </c>
    </row>
    <row r="363" spans="1:88" ht="20.100000000000001" customHeight="1" x14ac:dyDescent="0.15">
      <c r="A363" s="31"/>
      <c r="C363" s="16"/>
      <c r="D363" s="28" t="s">
        <v>278</v>
      </c>
      <c r="E363" s="7"/>
      <c r="F363" s="45">
        <v>0.3</v>
      </c>
      <c r="G363" s="45"/>
      <c r="H363" s="45">
        <v>1</v>
      </c>
      <c r="I363" s="45"/>
      <c r="J363" s="45"/>
      <c r="K363" s="45">
        <v>1</v>
      </c>
      <c r="L363" s="45"/>
      <c r="M363" s="45"/>
      <c r="N363" s="45">
        <v>1</v>
      </c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</row>
    <row r="364" spans="1:88" ht="20.100000000000001" customHeight="1" x14ac:dyDescent="0.15">
      <c r="A364" s="31"/>
      <c r="C364" s="6" t="s">
        <v>360</v>
      </c>
      <c r="D364" s="64" t="str">
        <f>목록별산출서!E85</f>
        <v>1</v>
      </c>
      <c r="E364" s="27">
        <f>IF(egTextCal(D364)&lt;&gt;0, egTextCal(D364),"")</f>
        <v>1</v>
      </c>
      <c r="F364" s="26">
        <f>IF(E364*F363&lt;&gt;0,E364*F363,  )</f>
        <v>0.3</v>
      </c>
      <c r="G364" s="26"/>
      <c r="H364" s="26">
        <f>IF(E364*H363&lt;&gt;0,E364*H363,  )</f>
        <v>1</v>
      </c>
      <c r="I364" s="26"/>
      <c r="J364" s="26"/>
      <c r="K364" s="26">
        <f>IF(E364*K363&lt;&gt;0,E364*K363,  )</f>
        <v>1</v>
      </c>
      <c r="L364" s="26"/>
      <c r="M364" s="26"/>
      <c r="N364" s="26">
        <f>IF(E364*N363&lt;&gt;0,E364*N363,  )</f>
        <v>1</v>
      </c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CA364" s="1">
        <f>F364</f>
        <v>0.3</v>
      </c>
      <c r="CC364" s="1">
        <f>H364</f>
        <v>1</v>
      </c>
      <c r="CF364" s="1">
        <f>K364</f>
        <v>1</v>
      </c>
      <c r="CI364" s="1">
        <f>N364</f>
        <v>1</v>
      </c>
    </row>
    <row r="365" spans="1:88" ht="20.100000000000001" customHeight="1" x14ac:dyDescent="0.15">
      <c r="A365" s="31"/>
      <c r="C365" s="16"/>
      <c r="D365" s="28" t="s">
        <v>289</v>
      </c>
      <c r="E365" s="7"/>
      <c r="F365" s="45">
        <v>0.6</v>
      </c>
      <c r="G365" s="45"/>
      <c r="H365" s="45"/>
      <c r="I365" s="45">
        <v>1</v>
      </c>
      <c r="J365" s="45">
        <v>1</v>
      </c>
      <c r="K365" s="45">
        <v>1</v>
      </c>
      <c r="L365" s="45"/>
      <c r="M365" s="45"/>
      <c r="N365" s="45">
        <v>1</v>
      </c>
      <c r="O365" s="45">
        <v>2</v>
      </c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</row>
    <row r="366" spans="1:88" ht="20.100000000000001" customHeight="1" x14ac:dyDescent="0.15">
      <c r="A366" s="31"/>
      <c r="C366" s="6" t="s">
        <v>222</v>
      </c>
      <c r="D366" s="64" t="str">
        <f>목록별산출서!E89</f>
        <v>1</v>
      </c>
      <c r="E366" s="27">
        <f>IF(egTextCal(D366)&lt;&gt;0, egTextCal(D366),"")</f>
        <v>1</v>
      </c>
      <c r="F366" s="26">
        <f>IF(E366*F365&lt;&gt;0,E366*F365,  )</f>
        <v>0.6</v>
      </c>
      <c r="G366" s="26"/>
      <c r="H366" s="26"/>
      <c r="I366" s="26">
        <f>IF(E366*I365&lt;&gt;0,E366*I365,  )</f>
        <v>1</v>
      </c>
      <c r="J366" s="26">
        <f>IF(E366*J365&lt;&gt;0,E366*J365,  )</f>
        <v>1</v>
      </c>
      <c r="K366" s="26">
        <f>IF(E366*K365&lt;&gt;0,E366*K365,  )</f>
        <v>1</v>
      </c>
      <c r="L366" s="26"/>
      <c r="M366" s="26"/>
      <c r="N366" s="26">
        <f>IF(E366*N365&lt;&gt;0,E366*N365,  )</f>
        <v>1</v>
      </c>
      <c r="O366" s="26">
        <f>IF(E366*O365&lt;&gt;0,E366*O365,  )</f>
        <v>2</v>
      </c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CA366" s="1">
        <f>F366</f>
        <v>0.6</v>
      </c>
      <c r="CD366" s="1">
        <f>I366</f>
        <v>1</v>
      </c>
      <c r="CE366" s="1">
        <f>J366</f>
        <v>1</v>
      </c>
      <c r="CF366" s="1">
        <f>K366</f>
        <v>1</v>
      </c>
      <c r="CI366" s="1">
        <f>N366</f>
        <v>1</v>
      </c>
      <c r="CJ366" s="1">
        <f>O366</f>
        <v>2</v>
      </c>
    </row>
    <row r="367" spans="1:88" ht="20.100000000000001" customHeight="1" x14ac:dyDescent="0.15">
      <c r="A367" s="31"/>
      <c r="C367" s="16"/>
      <c r="D367" s="28"/>
      <c r="E367" s="7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</row>
    <row r="368" spans="1:88" ht="20.100000000000001" customHeight="1" x14ac:dyDescent="0.15">
      <c r="A368" s="31"/>
      <c r="C368" s="6" t="s">
        <v>361</v>
      </c>
      <c r="D368" s="42"/>
      <c r="E368" s="27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</row>
    <row r="369" spans="1:86" ht="20.100000000000001" customHeight="1" x14ac:dyDescent="0.15">
      <c r="D369" s="14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</row>
    <row r="370" spans="1:86" ht="20.100000000000001" customHeight="1" x14ac:dyDescent="0.15">
      <c r="B370" s="30"/>
      <c r="C370" s="20"/>
      <c r="D370" s="46"/>
      <c r="E370" s="46"/>
      <c r="F370" s="18" t="s">
        <v>365</v>
      </c>
      <c r="G370" s="18" t="s">
        <v>365</v>
      </c>
      <c r="H370" s="16" t="s">
        <v>387</v>
      </c>
      <c r="I370" s="16" t="s">
        <v>387</v>
      </c>
      <c r="J370" s="16" t="s">
        <v>388</v>
      </c>
      <c r="K370" s="16" t="s">
        <v>338</v>
      </c>
      <c r="L370" s="16" t="s">
        <v>389</v>
      </c>
      <c r="M370" s="16" t="s">
        <v>390</v>
      </c>
      <c r="N370" s="16" t="s">
        <v>391</v>
      </c>
      <c r="O370" s="16" t="s">
        <v>391</v>
      </c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86" ht="20.100000000000001" customHeight="1" x14ac:dyDescent="0.15">
      <c r="A371" s="31"/>
      <c r="B371" s="30"/>
      <c r="C371" s="4" t="s">
        <v>342</v>
      </c>
      <c r="D371" s="4" t="s">
        <v>343</v>
      </c>
      <c r="E371" s="4" t="s">
        <v>344</v>
      </c>
      <c r="F371" s="12" t="s">
        <v>392</v>
      </c>
      <c r="G371" s="12" t="s">
        <v>392</v>
      </c>
      <c r="H371" s="4" t="s">
        <v>393</v>
      </c>
      <c r="I371" s="4" t="s">
        <v>394</v>
      </c>
      <c r="J371" s="4" t="s">
        <v>395</v>
      </c>
      <c r="K371" s="4" t="s">
        <v>345</v>
      </c>
      <c r="L371" s="4" t="s">
        <v>396</v>
      </c>
      <c r="M371" s="4" t="s">
        <v>397</v>
      </c>
      <c r="N371" s="4" t="s">
        <v>398</v>
      </c>
      <c r="O371" s="4" t="s">
        <v>398</v>
      </c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86" ht="20.100000000000001" customHeight="1" x14ac:dyDescent="0.15">
      <c r="A372" s="31"/>
      <c r="B372" s="30"/>
      <c r="C372" s="21"/>
      <c r="D372" s="21"/>
      <c r="E372" s="21"/>
      <c r="F372" s="19" t="s">
        <v>399</v>
      </c>
      <c r="G372" s="19" t="s">
        <v>400</v>
      </c>
      <c r="H372" s="17" t="s">
        <v>401</v>
      </c>
      <c r="I372" s="17" t="s">
        <v>401</v>
      </c>
      <c r="J372" s="17" t="s">
        <v>402</v>
      </c>
      <c r="K372" s="17" t="s">
        <v>403</v>
      </c>
      <c r="L372" s="17" t="s">
        <v>404</v>
      </c>
      <c r="M372" s="17" t="s">
        <v>348</v>
      </c>
      <c r="N372" s="17" t="s">
        <v>405</v>
      </c>
      <c r="O372" s="17" t="s">
        <v>406</v>
      </c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86" ht="20.100000000000001" customHeight="1" x14ac:dyDescent="0.15">
      <c r="A373" s="31"/>
      <c r="C373" s="16"/>
      <c r="D373" s="28" t="s">
        <v>313</v>
      </c>
      <c r="E373" s="7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</row>
    <row r="374" spans="1:86" ht="20.100000000000001" customHeight="1" x14ac:dyDescent="0.15">
      <c r="A374" s="31"/>
      <c r="C374" s="6" t="s">
        <v>127</v>
      </c>
      <c r="D374" s="42"/>
      <c r="E374" s="27" t="str">
        <f>IF(egTextCal(D374)&lt;&gt;0, egTextCal(D374),"")</f>
        <v/>
      </c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spans="1:86" ht="20.100000000000001" customHeight="1" x14ac:dyDescent="0.15">
      <c r="A375" s="31"/>
      <c r="C375" s="16"/>
      <c r="D375" s="29" t="s">
        <v>300</v>
      </c>
      <c r="E375" s="8"/>
      <c r="F375" s="45"/>
      <c r="G375" s="45">
        <v>1</v>
      </c>
      <c r="H375" s="45"/>
      <c r="I375" s="45"/>
      <c r="J375" s="45"/>
      <c r="K375" s="45"/>
      <c r="L375" s="45">
        <v>1</v>
      </c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</row>
    <row r="376" spans="1:86" ht="20.100000000000001" customHeight="1" x14ac:dyDescent="0.15">
      <c r="A376" s="31"/>
      <c r="C376" s="6" t="s">
        <v>189</v>
      </c>
      <c r="D376" s="65" t="str">
        <f>목록별산출서!E98</f>
        <v>7</v>
      </c>
      <c r="E376" s="27">
        <f>IF(egTextCal(D376)&lt;&gt;0, egTextCal(D376),"")</f>
        <v>7</v>
      </c>
      <c r="F376" s="26"/>
      <c r="G376" s="26">
        <f>IF(E376*G375&lt;&gt;0,E376*G375,  )</f>
        <v>7</v>
      </c>
      <c r="H376" s="26"/>
      <c r="I376" s="26"/>
      <c r="J376" s="26"/>
      <c r="K376" s="26"/>
      <c r="L376" s="26">
        <f>IF(E376*L375&lt;&gt;0,E376*L375,  )</f>
        <v>7</v>
      </c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CB376" s="1">
        <f>G376</f>
        <v>7</v>
      </c>
      <c r="CG376" s="1">
        <f>L376</f>
        <v>7</v>
      </c>
    </row>
    <row r="377" spans="1:86" ht="20.100000000000001" customHeight="1" x14ac:dyDescent="0.15">
      <c r="A377" s="31"/>
      <c r="C377" s="16"/>
      <c r="D377" s="29" t="s">
        <v>305</v>
      </c>
      <c r="E377" s="8"/>
      <c r="F377" s="45"/>
      <c r="G377" s="45">
        <v>0.5</v>
      </c>
      <c r="H377" s="45"/>
      <c r="I377" s="45"/>
      <c r="J377" s="45"/>
      <c r="K377" s="45"/>
      <c r="L377" s="45">
        <v>2.5</v>
      </c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</row>
    <row r="378" spans="1:86" ht="20.100000000000001" customHeight="1" x14ac:dyDescent="0.15">
      <c r="A378" s="31"/>
      <c r="C378" s="6" t="s">
        <v>281</v>
      </c>
      <c r="D378" s="65" t="str">
        <f>목록별산출서!E100</f>
        <v>1</v>
      </c>
      <c r="E378" s="27">
        <f>IF(egTextCal(D378)&lt;&gt;0, egTextCal(D378),"")</f>
        <v>1</v>
      </c>
      <c r="F378" s="26"/>
      <c r="G378" s="26">
        <f>IF(E378*G377&lt;&gt;0,E378*G377,  )</f>
        <v>0.5</v>
      </c>
      <c r="H378" s="26"/>
      <c r="I378" s="26"/>
      <c r="J378" s="26"/>
      <c r="K378" s="26"/>
      <c r="L378" s="26">
        <f>IF(E378*L377&lt;&gt;0,E378*L377,  )</f>
        <v>2.5</v>
      </c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CB378" s="1">
        <f>G378</f>
        <v>0.5</v>
      </c>
      <c r="CG378" s="1">
        <f>L378</f>
        <v>2.5</v>
      </c>
    </row>
    <row r="379" spans="1:86" ht="20.100000000000001" customHeight="1" x14ac:dyDescent="0.15">
      <c r="A379" s="31"/>
      <c r="C379" s="16"/>
      <c r="D379" s="28" t="s">
        <v>307</v>
      </c>
      <c r="E379" s="7"/>
      <c r="F379" s="45"/>
      <c r="G379" s="45">
        <v>0.3</v>
      </c>
      <c r="H379" s="45">
        <v>1</v>
      </c>
      <c r="I379" s="45"/>
      <c r="J379" s="45"/>
      <c r="K379" s="45"/>
      <c r="L379" s="45">
        <v>0.5</v>
      </c>
      <c r="M379" s="45">
        <v>1</v>
      </c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</row>
    <row r="380" spans="1:86" ht="20.100000000000001" customHeight="1" x14ac:dyDescent="0.15">
      <c r="A380" s="31"/>
      <c r="C380" s="6" t="s">
        <v>286</v>
      </c>
      <c r="D380" s="64" t="str">
        <f>목록별산출서!E102</f>
        <v>1</v>
      </c>
      <c r="E380" s="27">
        <f>IF(egTextCal(D380)&lt;&gt;0, egTextCal(D380),"")</f>
        <v>1</v>
      </c>
      <c r="F380" s="26"/>
      <c r="G380" s="26">
        <f>IF(E380*G379&lt;&gt;0,E380*G379,  )</f>
        <v>0.3</v>
      </c>
      <c r="H380" s="26">
        <f>IF(E380*H379&lt;&gt;0,E380*H379,  )</f>
        <v>1</v>
      </c>
      <c r="I380" s="26"/>
      <c r="J380" s="26"/>
      <c r="K380" s="26"/>
      <c r="L380" s="26">
        <f>IF(E380*L379&lt;&gt;0,E380*L379,  )</f>
        <v>0.5</v>
      </c>
      <c r="M380" s="26">
        <f>IF(E380*M379&lt;&gt;0,E380*M379,  )</f>
        <v>1</v>
      </c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CB380" s="1">
        <f>G380</f>
        <v>0.3</v>
      </c>
      <c r="CC380" s="1">
        <f>H380</f>
        <v>1</v>
      </c>
      <c r="CG380" s="1">
        <f>L380</f>
        <v>0.5</v>
      </c>
      <c r="CH380" s="1">
        <f>M380</f>
        <v>1</v>
      </c>
    </row>
    <row r="381" spans="1:86" ht="20.100000000000001" customHeight="1" x14ac:dyDescent="0.15">
      <c r="A381" s="31"/>
      <c r="C381" s="16"/>
      <c r="D381" s="28"/>
      <c r="E381" s="7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</row>
    <row r="382" spans="1:86" ht="20.100000000000001" customHeight="1" x14ac:dyDescent="0.15">
      <c r="A382" s="31"/>
      <c r="C382" s="6" t="s">
        <v>261</v>
      </c>
      <c r="D382" s="42"/>
      <c r="E382" s="27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</row>
    <row r="383" spans="1:86" ht="20.100000000000001" customHeight="1" x14ac:dyDescent="0.15">
      <c r="A383" s="31"/>
      <c r="C383" s="16"/>
      <c r="D383" s="28"/>
      <c r="E383" s="7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</row>
    <row r="384" spans="1:86" ht="20.100000000000001" customHeight="1" x14ac:dyDescent="0.15">
      <c r="A384" s="31"/>
      <c r="C384" s="6" t="s">
        <v>295</v>
      </c>
      <c r="D384" s="42"/>
      <c r="E384" s="27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</row>
    <row r="385" spans="1:26" ht="20.100000000000001" customHeight="1" x14ac:dyDescent="0.15">
      <c r="A385" s="31"/>
      <c r="C385" s="16"/>
      <c r="D385" s="28"/>
      <c r="E385" s="7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</row>
    <row r="386" spans="1:26" ht="20.100000000000001" customHeight="1" x14ac:dyDescent="0.15">
      <c r="A386" s="31"/>
      <c r="C386" s="6" t="s">
        <v>299</v>
      </c>
      <c r="D386" s="42"/>
      <c r="E386" s="27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</row>
    <row r="387" spans="1:26" ht="20.100000000000001" customHeight="1" x14ac:dyDescent="0.15">
      <c r="A387" s="31"/>
      <c r="C387" s="16"/>
      <c r="D387" s="28"/>
      <c r="E387" s="7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</row>
    <row r="388" spans="1:26" ht="20.100000000000001" customHeight="1" x14ac:dyDescent="0.15">
      <c r="A388" s="31"/>
      <c r="C388" s="6" t="s">
        <v>350</v>
      </c>
      <c r="D388" s="42"/>
      <c r="E388" s="27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</row>
    <row r="389" spans="1:26" ht="20.100000000000001" customHeight="1" x14ac:dyDescent="0.15">
      <c r="A389" s="31"/>
      <c r="C389" s="16"/>
      <c r="D389" s="28"/>
      <c r="E389" s="7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</row>
    <row r="390" spans="1:26" ht="20.100000000000001" customHeight="1" x14ac:dyDescent="0.15">
      <c r="A390" s="31"/>
      <c r="C390" s="6" t="s">
        <v>351</v>
      </c>
      <c r="D390" s="42"/>
      <c r="E390" s="27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</row>
    <row r="391" spans="1:26" ht="20.100000000000001" customHeight="1" x14ac:dyDescent="0.15">
      <c r="A391" s="31"/>
      <c r="C391" s="16"/>
      <c r="D391" s="28"/>
      <c r="E391" s="7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</row>
    <row r="392" spans="1:26" ht="20.100000000000001" customHeight="1" x14ac:dyDescent="0.15">
      <c r="A392" s="31"/>
      <c r="C392" s="6" t="s">
        <v>322</v>
      </c>
      <c r="D392" s="42"/>
      <c r="E392" s="27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</row>
    <row r="393" spans="1:26" ht="20.100000000000001" customHeight="1" x14ac:dyDescent="0.15">
      <c r="A393" s="31"/>
      <c r="C393" s="16"/>
      <c r="D393" s="28"/>
      <c r="E393" s="7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</row>
    <row r="394" spans="1:26" ht="20.100000000000001" customHeight="1" x14ac:dyDescent="0.15">
      <c r="A394" s="31"/>
      <c r="C394" s="6" t="s">
        <v>352</v>
      </c>
      <c r="D394" s="42"/>
      <c r="E394" s="27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</row>
    <row r="395" spans="1:26" ht="20.100000000000001" customHeight="1" x14ac:dyDescent="0.15">
      <c r="A395" s="31"/>
      <c r="C395" s="16"/>
      <c r="D395" s="28"/>
      <c r="E395" s="7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</row>
    <row r="396" spans="1:26" ht="20.100000000000001" customHeight="1" x14ac:dyDescent="0.15">
      <c r="A396" s="31"/>
      <c r="C396" s="6" t="s">
        <v>353</v>
      </c>
      <c r="D396" s="42"/>
      <c r="E396" s="27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</row>
    <row r="397" spans="1:26" ht="20.100000000000001" customHeight="1" x14ac:dyDescent="0.15">
      <c r="A397" s="31"/>
      <c r="C397" s="16"/>
      <c r="D397" s="28"/>
      <c r="E397" s="7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</row>
    <row r="398" spans="1:26" ht="20.100000000000001" customHeight="1" x14ac:dyDescent="0.15">
      <c r="A398" s="31"/>
      <c r="C398" s="6" t="s">
        <v>354</v>
      </c>
      <c r="D398" s="42"/>
      <c r="E398" s="27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</row>
    <row r="399" spans="1:26" ht="20.100000000000001" customHeight="1" x14ac:dyDescent="0.15">
      <c r="A399" s="31"/>
      <c r="C399" s="16"/>
      <c r="D399" s="28"/>
      <c r="E399" s="7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</row>
    <row r="400" spans="1:26" ht="20.100000000000001" customHeight="1" x14ac:dyDescent="0.15">
      <c r="A400" s="31"/>
      <c r="C400" s="6" t="s">
        <v>355</v>
      </c>
      <c r="D400" s="42"/>
      <c r="E400" s="27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spans="1:84" ht="20.100000000000001" customHeight="1" x14ac:dyDescent="0.15">
      <c r="A401" s="31"/>
      <c r="C401" s="16"/>
      <c r="D401" s="28"/>
      <c r="E401" s="7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</row>
    <row r="402" spans="1:84" ht="20.100000000000001" customHeight="1" x14ac:dyDescent="0.15">
      <c r="A402" s="31"/>
      <c r="C402" s="6" t="s">
        <v>356</v>
      </c>
      <c r="D402" s="42"/>
      <c r="E402" s="27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</row>
    <row r="403" spans="1:84" ht="20.100000000000001" customHeight="1" x14ac:dyDescent="0.15">
      <c r="A403" s="31"/>
      <c r="C403" s="16"/>
      <c r="D403" s="28"/>
      <c r="E403" s="7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</row>
    <row r="404" spans="1:84" ht="20.100000000000001" customHeight="1" x14ac:dyDescent="0.15">
      <c r="A404" s="31"/>
      <c r="C404" s="6" t="s">
        <v>357</v>
      </c>
      <c r="D404" s="42"/>
      <c r="E404" s="27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spans="1:84" ht="20.100000000000001" customHeight="1" x14ac:dyDescent="0.15">
      <c r="A405" s="31"/>
      <c r="C405" s="16"/>
      <c r="D405" s="28"/>
      <c r="E405" s="7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</row>
    <row r="406" spans="1:84" ht="20.100000000000001" customHeight="1" x14ac:dyDescent="0.15">
      <c r="A406" s="31"/>
      <c r="C406" s="6" t="s">
        <v>358</v>
      </c>
      <c r="D406" s="42"/>
      <c r="E406" s="27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spans="1:84" ht="20.100000000000001" customHeight="1" x14ac:dyDescent="0.15">
      <c r="A407" s="31"/>
      <c r="C407" s="16"/>
      <c r="D407" s="28"/>
      <c r="E407" s="7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</row>
    <row r="408" spans="1:84" ht="20.100000000000001" customHeight="1" x14ac:dyDescent="0.15">
      <c r="A408" s="31"/>
      <c r="C408" s="6" t="s">
        <v>359</v>
      </c>
      <c r="D408" s="42"/>
      <c r="E408" s="27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spans="1:84" ht="20.100000000000001" customHeight="1" x14ac:dyDescent="0.15">
      <c r="A409" s="31"/>
      <c r="C409" s="16"/>
      <c r="D409" s="28"/>
      <c r="E409" s="7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</row>
    <row r="410" spans="1:84" ht="20.100000000000001" customHeight="1" x14ac:dyDescent="0.15">
      <c r="A410" s="31"/>
      <c r="C410" s="6" t="s">
        <v>360</v>
      </c>
      <c r="D410" s="42"/>
      <c r="E410" s="27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spans="1:84" ht="20.100000000000001" customHeight="1" x14ac:dyDescent="0.15">
      <c r="A411" s="31"/>
      <c r="C411" s="16"/>
      <c r="D411" s="28"/>
      <c r="E411" s="7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</row>
    <row r="412" spans="1:84" ht="20.100000000000001" customHeight="1" x14ac:dyDescent="0.15">
      <c r="A412" s="31"/>
      <c r="C412" s="6" t="s">
        <v>222</v>
      </c>
      <c r="D412" s="42"/>
      <c r="E412" s="27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</row>
    <row r="413" spans="1:84" ht="20.100000000000001" customHeight="1" x14ac:dyDescent="0.15">
      <c r="A413" s="31"/>
      <c r="B413" s="25" t="s">
        <v>362</v>
      </c>
      <c r="C413" s="16"/>
      <c r="D413" s="67" t="s">
        <v>363</v>
      </c>
      <c r="E413" s="63" t="s">
        <v>112</v>
      </c>
      <c r="F413" s="45">
        <f t="shared" ref="F413:O413" si="1">SUM(CA328:CA412)</f>
        <v>10.799999999999999</v>
      </c>
      <c r="G413" s="45">
        <f t="shared" si="1"/>
        <v>22.6</v>
      </c>
      <c r="H413" s="45">
        <f t="shared" si="1"/>
        <v>4</v>
      </c>
      <c r="I413" s="45">
        <f t="shared" si="1"/>
        <v>2</v>
      </c>
      <c r="J413" s="45">
        <f t="shared" si="1"/>
        <v>2</v>
      </c>
      <c r="K413" s="45">
        <f t="shared" si="1"/>
        <v>4</v>
      </c>
      <c r="L413" s="45">
        <f t="shared" si="1"/>
        <v>19</v>
      </c>
      <c r="M413" s="45">
        <f t="shared" si="1"/>
        <v>2</v>
      </c>
      <c r="N413" s="45">
        <f t="shared" si="1"/>
        <v>22</v>
      </c>
      <c r="O413" s="45">
        <f t="shared" si="1"/>
        <v>44</v>
      </c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</row>
    <row r="414" spans="1:84" ht="20.100000000000001" customHeight="1" x14ac:dyDescent="0.15">
      <c r="A414" s="31"/>
      <c r="C414" s="5" t="s">
        <v>361</v>
      </c>
      <c r="D414" s="27" t="s">
        <v>364</v>
      </c>
      <c r="E414" s="27">
        <v>1</v>
      </c>
      <c r="F414" s="27">
        <f>E414*F413</f>
        <v>10.799999999999999</v>
      </c>
      <c r="G414" s="27">
        <f>E414*G413</f>
        <v>22.6</v>
      </c>
      <c r="H414" s="27">
        <f>E414*H413</f>
        <v>4</v>
      </c>
      <c r="I414" s="27">
        <f>E414*I413</f>
        <v>2</v>
      </c>
      <c r="J414" s="27">
        <f>E414*J413</f>
        <v>2</v>
      </c>
      <c r="K414" s="27">
        <f>E414*K413</f>
        <v>4</v>
      </c>
      <c r="L414" s="27">
        <f>E414*L413</f>
        <v>19</v>
      </c>
      <c r="M414" s="27">
        <f>E414*M413</f>
        <v>2</v>
      </c>
      <c r="N414" s="27">
        <f>E414*N413</f>
        <v>22</v>
      </c>
      <c r="O414" s="27">
        <f>E414*O413</f>
        <v>44</v>
      </c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84" ht="20.100000000000001" customHeight="1" x14ac:dyDescent="0.15">
      <c r="B415" s="25" t="s">
        <v>126</v>
      </c>
      <c r="C415" s="386" t="s">
        <v>316</v>
      </c>
      <c r="D415" s="409"/>
      <c r="E415" s="409"/>
      <c r="F415" s="409"/>
      <c r="G415" s="409"/>
      <c r="H415" s="409"/>
      <c r="I415" s="409"/>
      <c r="J415" s="409"/>
      <c r="K415" s="409"/>
      <c r="L415" s="409"/>
      <c r="M415" s="409"/>
      <c r="N415" s="409"/>
      <c r="O415" s="409"/>
      <c r="P415" s="409"/>
      <c r="Q415" s="409"/>
      <c r="R415" s="409"/>
      <c r="S415" s="409"/>
      <c r="T415" s="409"/>
      <c r="U415" s="409"/>
      <c r="V415" s="409"/>
      <c r="W415" s="409"/>
      <c r="X415" s="409"/>
      <c r="Y415" s="409"/>
      <c r="Z415" s="409"/>
    </row>
    <row r="416" spans="1:84" ht="20.100000000000001" customHeight="1" x14ac:dyDescent="0.15">
      <c r="B416" s="30"/>
      <c r="C416" s="20"/>
      <c r="D416" s="46"/>
      <c r="E416" s="46"/>
      <c r="F416" s="18" t="s">
        <v>365</v>
      </c>
      <c r="G416" s="18" t="s">
        <v>365</v>
      </c>
      <c r="H416" s="16" t="s">
        <v>365</v>
      </c>
      <c r="I416" s="16" t="s">
        <v>366</v>
      </c>
      <c r="J416" s="16" t="s">
        <v>367</v>
      </c>
      <c r="K416" s="16" t="s">
        <v>183</v>
      </c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CA416" s="1" t="s">
        <v>365</v>
      </c>
      <c r="CB416" s="1" t="s">
        <v>365</v>
      </c>
      <c r="CC416" s="1" t="s">
        <v>365</v>
      </c>
      <c r="CD416" s="1" t="s">
        <v>366</v>
      </c>
      <c r="CE416" s="1" t="s">
        <v>367</v>
      </c>
      <c r="CF416" s="1" t="s">
        <v>183</v>
      </c>
    </row>
    <row r="417" spans="1:84" ht="20.100000000000001" customHeight="1" x14ac:dyDescent="0.15">
      <c r="A417" s="31"/>
      <c r="B417" s="30"/>
      <c r="C417" s="4" t="s">
        <v>342</v>
      </c>
      <c r="D417" s="4" t="s">
        <v>343</v>
      </c>
      <c r="E417" s="4" t="s">
        <v>344</v>
      </c>
      <c r="F417" s="12" t="s">
        <v>371</v>
      </c>
      <c r="G417" s="12" t="s">
        <v>372</v>
      </c>
      <c r="H417" s="4" t="s">
        <v>373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CA417" s="1" t="s">
        <v>371</v>
      </c>
      <c r="CB417" s="1" t="s">
        <v>372</v>
      </c>
      <c r="CC417" s="1" t="s">
        <v>373</v>
      </c>
    </row>
    <row r="418" spans="1:84" ht="20.100000000000001" customHeight="1" x14ac:dyDescent="0.15">
      <c r="A418" s="31"/>
      <c r="B418" s="30"/>
      <c r="C418" s="21"/>
      <c r="D418" s="21"/>
      <c r="E418" s="21"/>
      <c r="F418" s="19" t="s">
        <v>379</v>
      </c>
      <c r="G418" s="19" t="s">
        <v>380</v>
      </c>
      <c r="H418" s="17" t="s">
        <v>380</v>
      </c>
      <c r="I418" s="17" t="s">
        <v>382</v>
      </c>
      <c r="J418" s="17" t="s">
        <v>380</v>
      </c>
      <c r="K418" s="17" t="s">
        <v>192</v>
      </c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CA418" s="1" t="s">
        <v>379</v>
      </c>
      <c r="CB418" s="1" t="s">
        <v>380</v>
      </c>
      <c r="CC418" s="1" t="s">
        <v>380</v>
      </c>
      <c r="CD418" s="1" t="s">
        <v>382</v>
      </c>
      <c r="CE418" s="1" t="s">
        <v>380</v>
      </c>
      <c r="CF418" s="1" t="s">
        <v>192</v>
      </c>
    </row>
    <row r="419" spans="1:84" ht="20.100000000000001" customHeight="1" x14ac:dyDescent="0.15">
      <c r="A419" s="31"/>
      <c r="C419" s="16"/>
      <c r="D419" s="28" t="s">
        <v>166</v>
      </c>
      <c r="E419" s="7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</row>
    <row r="420" spans="1:84" ht="20.100000000000001" customHeight="1" x14ac:dyDescent="0.15">
      <c r="A420" s="31"/>
      <c r="C420" s="6" t="s">
        <v>127</v>
      </c>
      <c r="D420" s="42"/>
      <c r="E420" s="27" t="str">
        <f>IF(egTextCal(D420)&lt;&gt;0, egTextCal(D420),"")</f>
        <v/>
      </c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spans="1:84" ht="20.100000000000001" customHeight="1" x14ac:dyDescent="0.15">
      <c r="A421" s="31"/>
      <c r="C421" s="16"/>
      <c r="D421" s="29" t="s">
        <v>167</v>
      </c>
      <c r="E421" s="8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</row>
    <row r="422" spans="1:84" ht="20.100000000000001" customHeight="1" x14ac:dyDescent="0.15">
      <c r="A422" s="31"/>
      <c r="C422" s="6" t="s">
        <v>189</v>
      </c>
      <c r="D422" s="43"/>
      <c r="E422" s="27" t="str">
        <f>IF(egTextCal(D422)&lt;&gt;0, egTextCal(D422),"")</f>
        <v/>
      </c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</row>
    <row r="423" spans="1:84" ht="20.100000000000001" customHeight="1" x14ac:dyDescent="0.15">
      <c r="A423" s="31"/>
      <c r="C423" s="16"/>
      <c r="D423" s="29" t="s">
        <v>168</v>
      </c>
      <c r="E423" s="8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</row>
    <row r="424" spans="1:84" ht="20.100000000000001" customHeight="1" x14ac:dyDescent="0.15">
      <c r="A424" s="31"/>
      <c r="C424" s="6" t="s">
        <v>281</v>
      </c>
      <c r="D424" s="43"/>
      <c r="E424" s="27" t="str">
        <f>IF(egTextCal(D424)&lt;&gt;0, egTextCal(D424),"")</f>
        <v/>
      </c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</row>
    <row r="425" spans="1:84" ht="20.100000000000001" customHeight="1" x14ac:dyDescent="0.15">
      <c r="A425" s="31"/>
      <c r="C425" s="16"/>
      <c r="D425" s="28" t="s">
        <v>318</v>
      </c>
      <c r="E425" s="7"/>
      <c r="F425" s="45">
        <v>1</v>
      </c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</row>
    <row r="426" spans="1:84" ht="20.100000000000001" customHeight="1" x14ac:dyDescent="0.15">
      <c r="A426" s="31"/>
      <c r="C426" s="6" t="s">
        <v>286</v>
      </c>
      <c r="D426" s="64" t="str">
        <f>목록별산출서!E134</f>
        <v>4</v>
      </c>
      <c r="E426" s="27">
        <f>IF(egTextCal(D426)&lt;&gt;0, egTextCal(D426),"")</f>
        <v>4</v>
      </c>
      <c r="F426" s="26">
        <f>IF(E426*F425&lt;&gt;0,E426*F425,  )</f>
        <v>4</v>
      </c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CA426" s="1">
        <f>F426</f>
        <v>4</v>
      </c>
    </row>
    <row r="427" spans="1:84" ht="20.100000000000001" customHeight="1" x14ac:dyDescent="0.15">
      <c r="A427" s="31"/>
      <c r="C427" s="16"/>
      <c r="D427" s="28" t="s">
        <v>319</v>
      </c>
      <c r="E427" s="7"/>
      <c r="F427" s="45"/>
      <c r="G427" s="45"/>
      <c r="H427" s="45">
        <v>1</v>
      </c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</row>
    <row r="428" spans="1:84" ht="20.100000000000001" customHeight="1" x14ac:dyDescent="0.15">
      <c r="A428" s="31"/>
      <c r="C428" s="6" t="s">
        <v>261</v>
      </c>
      <c r="D428" s="64" t="str">
        <f>목록별산출서!E135</f>
        <v>40</v>
      </c>
      <c r="E428" s="27">
        <f>IF(egTextCal(D428)&lt;&gt;0, egTextCal(D428),"")</f>
        <v>40</v>
      </c>
      <c r="F428" s="26"/>
      <c r="G428" s="26"/>
      <c r="H428" s="26">
        <f>IF(E428*H427&lt;&gt;0,E428*H427,  )</f>
        <v>40</v>
      </c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CC428" s="1">
        <f>H428</f>
        <v>40</v>
      </c>
    </row>
    <row r="429" spans="1:84" ht="20.100000000000001" customHeight="1" x14ac:dyDescent="0.15">
      <c r="A429" s="31"/>
      <c r="B429" s="25" t="s">
        <v>183</v>
      </c>
      <c r="C429" s="16"/>
      <c r="D429" s="28" t="s">
        <v>321</v>
      </c>
      <c r="E429" s="7"/>
      <c r="F429" s="45"/>
      <c r="G429" s="45">
        <v>1</v>
      </c>
      <c r="H429" s="45"/>
      <c r="I429" s="45"/>
      <c r="J429" s="45"/>
      <c r="K429" s="45">
        <v>0.67</v>
      </c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</row>
    <row r="430" spans="1:84" ht="20.100000000000001" customHeight="1" x14ac:dyDescent="0.15">
      <c r="A430" s="31"/>
      <c r="C430" s="6" t="s">
        <v>295</v>
      </c>
      <c r="D430" s="64" t="str">
        <f>목록별산출서!E136</f>
        <v>10</v>
      </c>
      <c r="E430" s="27">
        <f>IF(egTextCal(D430)&lt;&gt;0, egTextCal(D430),"")</f>
        <v>10</v>
      </c>
      <c r="F430" s="26"/>
      <c r="G430" s="26">
        <f>IF(E430*G429&lt;&gt;0,E430*G429,  )</f>
        <v>10</v>
      </c>
      <c r="H430" s="26"/>
      <c r="I430" s="26"/>
      <c r="J430" s="26"/>
      <c r="K430" s="26">
        <f>IF(E430*K429&lt;&gt;0,E430*K429,  )</f>
        <v>6.7</v>
      </c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CB430" s="1">
        <f>G430</f>
        <v>10</v>
      </c>
      <c r="CF430" s="1">
        <f>K430</f>
        <v>6.7</v>
      </c>
    </row>
    <row r="431" spans="1:84" ht="20.100000000000001" customHeight="1" x14ac:dyDescent="0.15">
      <c r="A431" s="31"/>
      <c r="C431" s="16"/>
      <c r="D431" s="28" t="s">
        <v>323</v>
      </c>
      <c r="E431" s="7"/>
      <c r="F431" s="45"/>
      <c r="G431" s="45">
        <v>1</v>
      </c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</row>
    <row r="432" spans="1:84" ht="20.100000000000001" customHeight="1" x14ac:dyDescent="0.15">
      <c r="A432" s="31"/>
      <c r="C432" s="6" t="s">
        <v>299</v>
      </c>
      <c r="D432" s="64" t="str">
        <f>목록별산출서!E138</f>
        <v>4</v>
      </c>
      <c r="E432" s="27">
        <f>IF(egTextCal(D432)&lt;&gt;0, egTextCal(D432),"")</f>
        <v>4</v>
      </c>
      <c r="F432" s="26"/>
      <c r="G432" s="26">
        <f>IF(E432*G431&lt;&gt;0,E432*G431,  )</f>
        <v>4</v>
      </c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CB432" s="1">
        <f>G432</f>
        <v>4</v>
      </c>
    </row>
    <row r="433" spans="1:83" ht="20.100000000000001" customHeight="1" x14ac:dyDescent="0.15">
      <c r="A433" s="31"/>
      <c r="C433" s="16"/>
      <c r="D433" s="28" t="s">
        <v>196</v>
      </c>
      <c r="E433" s="7"/>
      <c r="F433" s="45"/>
      <c r="G433" s="45"/>
      <c r="H433" s="45"/>
      <c r="I433" s="45">
        <v>1</v>
      </c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</row>
    <row r="434" spans="1:83" ht="20.100000000000001" customHeight="1" x14ac:dyDescent="0.15">
      <c r="A434" s="31"/>
      <c r="C434" s="6" t="s">
        <v>350</v>
      </c>
      <c r="D434" s="64" t="str">
        <f>목록별산출서!E139</f>
        <v>1</v>
      </c>
      <c r="E434" s="27">
        <f>IF(egTextCal(D434)&lt;&gt;0, egTextCal(D434),"")</f>
        <v>1</v>
      </c>
      <c r="F434" s="26"/>
      <c r="G434" s="26"/>
      <c r="H434" s="26"/>
      <c r="I434" s="26">
        <f>IF(E434*I433&lt;&gt;0,E434*I433,  )</f>
        <v>1</v>
      </c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CD434" s="1">
        <f>I434</f>
        <v>1</v>
      </c>
    </row>
    <row r="435" spans="1:83" ht="20.100000000000001" customHeight="1" x14ac:dyDescent="0.15">
      <c r="A435" s="31"/>
      <c r="C435" s="16"/>
      <c r="D435" s="28" t="s">
        <v>202</v>
      </c>
      <c r="E435" s="7"/>
      <c r="F435" s="45"/>
      <c r="G435" s="45"/>
      <c r="H435" s="45"/>
      <c r="I435" s="45"/>
      <c r="J435" s="45">
        <v>1</v>
      </c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</row>
    <row r="436" spans="1:83" ht="20.100000000000001" customHeight="1" x14ac:dyDescent="0.15">
      <c r="A436" s="31"/>
      <c r="C436" s="6" t="s">
        <v>351</v>
      </c>
      <c r="D436" s="64" t="str">
        <f>목록별산출서!E140</f>
        <v>2</v>
      </c>
      <c r="E436" s="27">
        <f>IF(egTextCal(D436)&lt;&gt;0, egTextCal(D436),"")</f>
        <v>2</v>
      </c>
      <c r="F436" s="26"/>
      <c r="G436" s="26"/>
      <c r="H436" s="26"/>
      <c r="I436" s="26"/>
      <c r="J436" s="26">
        <f>IF(E436*J435&lt;&gt;0,E436*J435,  )</f>
        <v>2</v>
      </c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CE436" s="1">
        <f>J436</f>
        <v>2</v>
      </c>
    </row>
    <row r="437" spans="1:83" ht="20.100000000000001" customHeight="1" x14ac:dyDescent="0.15">
      <c r="A437" s="31"/>
      <c r="C437" s="16"/>
      <c r="D437" s="28"/>
      <c r="E437" s="7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</row>
    <row r="438" spans="1:83" ht="20.100000000000001" customHeight="1" x14ac:dyDescent="0.15">
      <c r="A438" s="31"/>
      <c r="C438" s="6" t="s">
        <v>322</v>
      </c>
      <c r="D438" s="42"/>
      <c r="E438" s="27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</row>
    <row r="439" spans="1:83" ht="20.100000000000001" customHeight="1" x14ac:dyDescent="0.15">
      <c r="A439" s="31"/>
      <c r="C439" s="16"/>
      <c r="D439" s="28"/>
      <c r="E439" s="7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</row>
    <row r="440" spans="1:83" ht="20.100000000000001" customHeight="1" x14ac:dyDescent="0.15">
      <c r="A440" s="31"/>
      <c r="C440" s="6" t="s">
        <v>352</v>
      </c>
      <c r="D440" s="42"/>
      <c r="E440" s="27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</row>
    <row r="441" spans="1:83" ht="20.100000000000001" customHeight="1" x14ac:dyDescent="0.15">
      <c r="A441" s="31"/>
      <c r="C441" s="16"/>
      <c r="D441" s="28"/>
      <c r="E441" s="7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</row>
    <row r="442" spans="1:83" ht="20.100000000000001" customHeight="1" x14ac:dyDescent="0.15">
      <c r="A442" s="31"/>
      <c r="C442" s="6" t="s">
        <v>353</v>
      </c>
      <c r="D442" s="42"/>
      <c r="E442" s="27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</row>
    <row r="443" spans="1:83" ht="20.100000000000001" customHeight="1" x14ac:dyDescent="0.15">
      <c r="A443" s="31"/>
      <c r="C443" s="16"/>
      <c r="D443" s="28"/>
      <c r="E443" s="7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</row>
    <row r="444" spans="1:83" ht="20.100000000000001" customHeight="1" x14ac:dyDescent="0.15">
      <c r="A444" s="31"/>
      <c r="C444" s="6" t="s">
        <v>354</v>
      </c>
      <c r="D444" s="42"/>
      <c r="E444" s="27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</row>
    <row r="445" spans="1:83" ht="20.100000000000001" customHeight="1" x14ac:dyDescent="0.15">
      <c r="A445" s="31"/>
      <c r="C445" s="16"/>
      <c r="D445" s="28"/>
      <c r="E445" s="7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</row>
    <row r="446" spans="1:83" ht="20.100000000000001" customHeight="1" x14ac:dyDescent="0.15">
      <c r="A446" s="31"/>
      <c r="C446" s="6" t="s">
        <v>355</v>
      </c>
      <c r="D446" s="42"/>
      <c r="E446" s="27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</row>
    <row r="447" spans="1:83" ht="20.100000000000001" customHeight="1" x14ac:dyDescent="0.15">
      <c r="A447" s="31"/>
      <c r="C447" s="16"/>
      <c r="D447" s="28"/>
      <c r="E447" s="7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</row>
    <row r="448" spans="1:83" ht="20.100000000000001" customHeight="1" x14ac:dyDescent="0.15">
      <c r="A448" s="31"/>
      <c r="C448" s="6" t="s">
        <v>356</v>
      </c>
      <c r="D448" s="42"/>
      <c r="E448" s="27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</row>
    <row r="449" spans="1:82" ht="20.100000000000001" customHeight="1" x14ac:dyDescent="0.15">
      <c r="A449" s="31"/>
      <c r="C449" s="16"/>
      <c r="D449" s="28"/>
      <c r="E449" s="7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</row>
    <row r="450" spans="1:82" ht="20.100000000000001" customHeight="1" x14ac:dyDescent="0.15">
      <c r="A450" s="31"/>
      <c r="C450" s="6" t="s">
        <v>357</v>
      </c>
      <c r="D450" s="42"/>
      <c r="E450" s="27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</row>
    <row r="451" spans="1:82" ht="20.100000000000001" customHeight="1" x14ac:dyDescent="0.15">
      <c r="A451" s="31"/>
      <c r="C451" s="16"/>
      <c r="D451" s="28"/>
      <c r="E451" s="7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</row>
    <row r="452" spans="1:82" ht="20.100000000000001" customHeight="1" x14ac:dyDescent="0.15">
      <c r="A452" s="31"/>
      <c r="C452" s="6" t="s">
        <v>358</v>
      </c>
      <c r="D452" s="42"/>
      <c r="E452" s="27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</row>
    <row r="453" spans="1:82" ht="20.100000000000001" customHeight="1" x14ac:dyDescent="0.15">
      <c r="A453" s="31"/>
      <c r="C453" s="16"/>
      <c r="D453" s="28"/>
      <c r="E453" s="7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</row>
    <row r="454" spans="1:82" ht="20.100000000000001" customHeight="1" x14ac:dyDescent="0.15">
      <c r="A454" s="31"/>
      <c r="C454" s="6" t="s">
        <v>359</v>
      </c>
      <c r="D454" s="42"/>
      <c r="E454" s="27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spans="1:82" ht="20.100000000000001" customHeight="1" x14ac:dyDescent="0.15">
      <c r="A455" s="31"/>
      <c r="C455" s="16"/>
      <c r="D455" s="28"/>
      <c r="E455" s="7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</row>
    <row r="456" spans="1:82" ht="20.100000000000001" customHeight="1" x14ac:dyDescent="0.15">
      <c r="A456" s="31"/>
      <c r="C456" s="6" t="s">
        <v>360</v>
      </c>
      <c r="D456" s="42"/>
      <c r="E456" s="27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</row>
    <row r="457" spans="1:82" ht="20.100000000000001" customHeight="1" x14ac:dyDescent="0.15">
      <c r="A457" s="31"/>
      <c r="C457" s="16"/>
      <c r="D457" s="28"/>
      <c r="E457" s="7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</row>
    <row r="458" spans="1:82" ht="20.100000000000001" customHeight="1" x14ac:dyDescent="0.15">
      <c r="A458" s="31"/>
      <c r="C458" s="6" t="s">
        <v>222</v>
      </c>
      <c r="D458" s="42"/>
      <c r="E458" s="27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</row>
    <row r="459" spans="1:82" ht="20.100000000000001" customHeight="1" x14ac:dyDescent="0.15">
      <c r="A459" s="31"/>
      <c r="B459" s="25" t="s">
        <v>362</v>
      </c>
      <c r="C459" s="16"/>
      <c r="D459" s="67" t="s">
        <v>363</v>
      </c>
      <c r="E459" s="63" t="s">
        <v>112</v>
      </c>
      <c r="F459" s="45">
        <f t="shared" ref="F459:K459" si="2">SUM(CA420:CA458)</f>
        <v>4</v>
      </c>
      <c r="G459" s="45">
        <f t="shared" si="2"/>
        <v>14</v>
      </c>
      <c r="H459" s="45">
        <f t="shared" si="2"/>
        <v>40</v>
      </c>
      <c r="I459" s="45">
        <f t="shared" si="2"/>
        <v>1</v>
      </c>
      <c r="J459" s="45">
        <f t="shared" si="2"/>
        <v>2</v>
      </c>
      <c r="K459" s="45">
        <f t="shared" si="2"/>
        <v>6.7</v>
      </c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</row>
    <row r="460" spans="1:82" ht="20.100000000000001" customHeight="1" x14ac:dyDescent="0.15">
      <c r="A460" s="31"/>
      <c r="C460" s="5" t="s">
        <v>361</v>
      </c>
      <c r="D460" s="27" t="s">
        <v>364</v>
      </c>
      <c r="E460" s="27">
        <v>1</v>
      </c>
      <c r="F460" s="27">
        <f>E460*F459</f>
        <v>4</v>
      </c>
      <c r="G460" s="27">
        <f>E460*G459</f>
        <v>14</v>
      </c>
      <c r="H460" s="27">
        <f>E460*H459</f>
        <v>40</v>
      </c>
      <c r="I460" s="27">
        <f>E460*I459</f>
        <v>1</v>
      </c>
      <c r="J460" s="27">
        <f>E460*J459</f>
        <v>2</v>
      </c>
      <c r="K460" s="27">
        <f>E460*K459</f>
        <v>6.7</v>
      </c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82" ht="20.100000000000001" customHeight="1" x14ac:dyDescent="0.15">
      <c r="B461" s="25" t="s">
        <v>126</v>
      </c>
      <c r="C461" s="386" t="s">
        <v>324</v>
      </c>
      <c r="D461" s="409"/>
      <c r="E461" s="409"/>
      <c r="F461" s="409"/>
      <c r="G461" s="409"/>
      <c r="H461" s="409"/>
      <c r="I461" s="409"/>
      <c r="J461" s="409"/>
      <c r="K461" s="409"/>
      <c r="L461" s="409"/>
      <c r="M461" s="409"/>
      <c r="N461" s="409"/>
      <c r="O461" s="409"/>
      <c r="P461" s="409"/>
      <c r="Q461" s="409"/>
      <c r="R461" s="409"/>
      <c r="S461" s="409"/>
      <c r="T461" s="409"/>
      <c r="U461" s="409"/>
      <c r="V461" s="409"/>
      <c r="W461" s="409"/>
      <c r="X461" s="409"/>
      <c r="Y461" s="409"/>
      <c r="Z461" s="409"/>
    </row>
    <row r="462" spans="1:82" ht="20.100000000000001" customHeight="1" x14ac:dyDescent="0.15">
      <c r="B462" s="30"/>
      <c r="C462" s="20"/>
      <c r="D462" s="46"/>
      <c r="E462" s="46"/>
      <c r="F462" s="18" t="s">
        <v>365</v>
      </c>
      <c r="G462" s="18" t="s">
        <v>387</v>
      </c>
      <c r="H462" s="16" t="s">
        <v>339</v>
      </c>
      <c r="I462" s="16" t="s">
        <v>407</v>
      </c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CA462" s="1" t="s">
        <v>365</v>
      </c>
      <c r="CB462" s="1" t="s">
        <v>387</v>
      </c>
      <c r="CC462" s="1" t="s">
        <v>339</v>
      </c>
      <c r="CD462" s="1" t="s">
        <v>407</v>
      </c>
    </row>
    <row r="463" spans="1:82" ht="20.100000000000001" customHeight="1" x14ac:dyDescent="0.15">
      <c r="A463" s="31"/>
      <c r="B463" s="30"/>
      <c r="C463" s="4" t="s">
        <v>342</v>
      </c>
      <c r="D463" s="4" t="s">
        <v>343</v>
      </c>
      <c r="E463" s="4" t="s">
        <v>344</v>
      </c>
      <c r="F463" s="12" t="s">
        <v>392</v>
      </c>
      <c r="G463" s="12" t="s">
        <v>393</v>
      </c>
      <c r="H463" s="4" t="s">
        <v>346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CA463" s="1" t="s">
        <v>392</v>
      </c>
      <c r="CB463" s="1" t="s">
        <v>393</v>
      </c>
      <c r="CC463" s="1" t="s">
        <v>346</v>
      </c>
    </row>
    <row r="464" spans="1:82" ht="20.100000000000001" customHeight="1" x14ac:dyDescent="0.15">
      <c r="A464" s="31"/>
      <c r="B464" s="30"/>
      <c r="C464" s="21"/>
      <c r="D464" s="21"/>
      <c r="E464" s="21"/>
      <c r="F464" s="19" t="s">
        <v>399</v>
      </c>
      <c r="G464" s="19" t="s">
        <v>401</v>
      </c>
      <c r="H464" s="17" t="s">
        <v>408</v>
      </c>
      <c r="I464" s="17" t="s">
        <v>409</v>
      </c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CA464" s="1" t="s">
        <v>399</v>
      </c>
      <c r="CB464" s="1" t="s">
        <v>401</v>
      </c>
      <c r="CC464" s="1" t="s">
        <v>408</v>
      </c>
      <c r="CD464" s="1" t="s">
        <v>409</v>
      </c>
    </row>
    <row r="465" spans="1:82" ht="20.100000000000001" customHeight="1" x14ac:dyDescent="0.15">
      <c r="A465" s="31"/>
      <c r="C465" s="16"/>
      <c r="D465" s="28" t="s">
        <v>130</v>
      </c>
      <c r="E465" s="7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</row>
    <row r="466" spans="1:82" ht="20.100000000000001" customHeight="1" x14ac:dyDescent="0.15">
      <c r="A466" s="31"/>
      <c r="C466" s="6" t="s">
        <v>127</v>
      </c>
      <c r="D466" s="42"/>
      <c r="E466" s="27" t="str">
        <f>IF(egTextCal(D466)&lt;&gt;0, egTextCal(D466),"")</f>
        <v/>
      </c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</row>
    <row r="467" spans="1:82" ht="20.100000000000001" customHeight="1" x14ac:dyDescent="0.15">
      <c r="A467" s="31"/>
      <c r="C467" s="16"/>
      <c r="D467" s="29" t="s">
        <v>257</v>
      </c>
      <c r="E467" s="8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</row>
    <row r="468" spans="1:82" ht="20.100000000000001" customHeight="1" x14ac:dyDescent="0.15">
      <c r="A468" s="31"/>
      <c r="C468" s="6" t="s">
        <v>189</v>
      </c>
      <c r="D468" s="43"/>
      <c r="E468" s="27" t="str">
        <f>IF(egTextCal(D468)&lt;&gt;0, egTextCal(D468),"")</f>
        <v/>
      </c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</row>
    <row r="469" spans="1:82" ht="20.100000000000001" customHeight="1" x14ac:dyDescent="0.15">
      <c r="A469" s="31"/>
      <c r="C469" s="16"/>
      <c r="D469" s="29" t="s">
        <v>258</v>
      </c>
      <c r="E469" s="8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</row>
    <row r="470" spans="1:82" ht="20.100000000000001" customHeight="1" x14ac:dyDescent="0.15">
      <c r="A470" s="31"/>
      <c r="C470" s="6" t="s">
        <v>281</v>
      </c>
      <c r="D470" s="43"/>
      <c r="E470" s="27" t="str">
        <f>IF(egTextCal(D470)&lt;&gt;0, egTextCal(D470),"")</f>
        <v/>
      </c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</row>
    <row r="471" spans="1:82" ht="20.100000000000001" customHeight="1" x14ac:dyDescent="0.15">
      <c r="A471" s="31"/>
      <c r="C471" s="16"/>
      <c r="D471" s="28" t="s">
        <v>325</v>
      </c>
      <c r="E471" s="7"/>
      <c r="F471" s="45">
        <v>1</v>
      </c>
      <c r="G471" s="45"/>
      <c r="H471" s="45"/>
      <c r="I471" s="45">
        <v>1</v>
      </c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</row>
    <row r="472" spans="1:82" ht="20.100000000000001" customHeight="1" x14ac:dyDescent="0.15">
      <c r="A472" s="31"/>
      <c r="C472" s="6" t="s">
        <v>286</v>
      </c>
      <c r="D472" s="64" t="str">
        <f>목록별산출서!E176</f>
        <v>6</v>
      </c>
      <c r="E472" s="27">
        <f>IF(egTextCal(D472)&lt;&gt;0, egTextCal(D472),"")</f>
        <v>6</v>
      </c>
      <c r="F472" s="26">
        <f>IF(E472*F471&lt;&gt;0,E472*F471,  )</f>
        <v>6</v>
      </c>
      <c r="G472" s="26"/>
      <c r="H472" s="26"/>
      <c r="I472" s="26">
        <f>IF(E472*I471&lt;&gt;0,E472*I471,  )</f>
        <v>6</v>
      </c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CA472" s="1">
        <f>F472</f>
        <v>6</v>
      </c>
      <c r="CD472" s="1">
        <f>I472</f>
        <v>6</v>
      </c>
    </row>
    <row r="473" spans="1:82" ht="20.100000000000001" customHeight="1" x14ac:dyDescent="0.15">
      <c r="A473" s="31"/>
      <c r="C473" s="16"/>
      <c r="D473" s="28" t="s">
        <v>330</v>
      </c>
      <c r="E473" s="7"/>
      <c r="F473" s="45">
        <v>0.5</v>
      </c>
      <c r="G473" s="45"/>
      <c r="H473" s="45"/>
      <c r="I473" s="45">
        <v>1.5</v>
      </c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</row>
    <row r="474" spans="1:82" ht="20.100000000000001" customHeight="1" x14ac:dyDescent="0.15">
      <c r="A474" s="31"/>
      <c r="C474" s="6" t="s">
        <v>261</v>
      </c>
      <c r="D474" s="64" t="str">
        <f>목록별산출서!E178</f>
        <v>1</v>
      </c>
      <c r="E474" s="27">
        <f>IF(egTextCal(D474)&lt;&gt;0, egTextCal(D474),"")</f>
        <v>1</v>
      </c>
      <c r="F474" s="26">
        <f>IF(E474*F473&lt;&gt;0,E474*F473,  )</f>
        <v>0.5</v>
      </c>
      <c r="G474" s="26"/>
      <c r="H474" s="26"/>
      <c r="I474" s="26">
        <f>IF(E474*I473&lt;&gt;0,E474*I473,  )</f>
        <v>1.5</v>
      </c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CA474" s="1">
        <f>F474</f>
        <v>0.5</v>
      </c>
      <c r="CD474" s="1">
        <f>I474</f>
        <v>1.5</v>
      </c>
    </row>
    <row r="475" spans="1:82" ht="20.100000000000001" customHeight="1" x14ac:dyDescent="0.15">
      <c r="A475" s="31"/>
      <c r="C475" s="16"/>
      <c r="D475" s="28" t="s">
        <v>332</v>
      </c>
      <c r="E475" s="7"/>
      <c r="F475" s="45">
        <v>0.4</v>
      </c>
      <c r="G475" s="45">
        <v>1</v>
      </c>
      <c r="H475" s="45">
        <v>1</v>
      </c>
      <c r="I475" s="45">
        <v>0.6</v>
      </c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</row>
    <row r="476" spans="1:82" ht="20.100000000000001" customHeight="1" x14ac:dyDescent="0.15">
      <c r="A476" s="31"/>
      <c r="C476" s="6" t="s">
        <v>295</v>
      </c>
      <c r="D476" s="64" t="str">
        <f>목록별산출서!E180</f>
        <v>1</v>
      </c>
      <c r="E476" s="27">
        <f>IF(egTextCal(D476)&lt;&gt;0, egTextCal(D476),"")</f>
        <v>1</v>
      </c>
      <c r="F476" s="26">
        <f>IF(E476*F475&lt;&gt;0,E476*F475,  )</f>
        <v>0.4</v>
      </c>
      <c r="G476" s="26">
        <f>IF(E476*G475&lt;&gt;0,E476*G475,  )</f>
        <v>1</v>
      </c>
      <c r="H476" s="26">
        <f>IF(E476*H475&lt;&gt;0,E476*H475,  )</f>
        <v>1</v>
      </c>
      <c r="I476" s="26">
        <f>IF(E476*I475&lt;&gt;0,E476*I475,  )</f>
        <v>0.6</v>
      </c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CA476" s="1">
        <f>F476</f>
        <v>0.4</v>
      </c>
      <c r="CB476" s="1">
        <f>G476</f>
        <v>1</v>
      </c>
      <c r="CC476" s="1">
        <f>H476</f>
        <v>1</v>
      </c>
      <c r="CD476" s="1">
        <f>I476</f>
        <v>0.6</v>
      </c>
    </row>
    <row r="477" spans="1:82" ht="20.100000000000001" customHeight="1" x14ac:dyDescent="0.15">
      <c r="A477" s="31"/>
      <c r="C477" s="16"/>
      <c r="D477" s="28"/>
      <c r="E477" s="7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</row>
    <row r="478" spans="1:82" ht="20.100000000000001" customHeight="1" x14ac:dyDescent="0.15">
      <c r="A478" s="31"/>
      <c r="C478" s="6" t="s">
        <v>299</v>
      </c>
      <c r="D478" s="42"/>
      <c r="E478" s="27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</row>
    <row r="479" spans="1:82" ht="20.100000000000001" customHeight="1" x14ac:dyDescent="0.15">
      <c r="A479" s="31"/>
      <c r="C479" s="16"/>
      <c r="D479" s="28" t="s">
        <v>313</v>
      </c>
      <c r="E479" s="7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</row>
    <row r="480" spans="1:82" ht="20.100000000000001" customHeight="1" x14ac:dyDescent="0.15">
      <c r="A480" s="31"/>
      <c r="C480" s="6" t="s">
        <v>350</v>
      </c>
      <c r="D480" s="42"/>
      <c r="E480" s="27" t="str">
        <f>IF(egTextCal(D480)&lt;&gt;0, egTextCal(D480),"")</f>
        <v/>
      </c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</row>
    <row r="481" spans="1:82" ht="20.100000000000001" customHeight="1" x14ac:dyDescent="0.15">
      <c r="A481" s="31"/>
      <c r="C481" s="16"/>
      <c r="D481" s="28" t="s">
        <v>325</v>
      </c>
      <c r="E481" s="7"/>
      <c r="F481" s="45">
        <v>1</v>
      </c>
      <c r="G481" s="45"/>
      <c r="H481" s="45"/>
      <c r="I481" s="45">
        <v>1</v>
      </c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</row>
    <row r="482" spans="1:82" ht="20.100000000000001" customHeight="1" x14ac:dyDescent="0.15">
      <c r="A482" s="31"/>
      <c r="C482" s="6" t="s">
        <v>351</v>
      </c>
      <c r="D482" s="64" t="str">
        <f>목록별산출서!E186</f>
        <v>7</v>
      </c>
      <c r="E482" s="27">
        <f>IF(egTextCal(D482)&lt;&gt;0, egTextCal(D482),"")</f>
        <v>7</v>
      </c>
      <c r="F482" s="26">
        <f>IF(E482*F481&lt;&gt;0,E482*F481,  )</f>
        <v>7</v>
      </c>
      <c r="G482" s="26"/>
      <c r="H482" s="26"/>
      <c r="I482" s="26">
        <f>IF(E482*I481&lt;&gt;0,E482*I481,  )</f>
        <v>7</v>
      </c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CA482" s="1">
        <f>F482</f>
        <v>7</v>
      </c>
      <c r="CD482" s="1">
        <f>I482</f>
        <v>7</v>
      </c>
    </row>
    <row r="483" spans="1:82" ht="20.100000000000001" customHeight="1" x14ac:dyDescent="0.15">
      <c r="A483" s="31"/>
      <c r="C483" s="16"/>
      <c r="D483" s="28" t="s">
        <v>330</v>
      </c>
      <c r="E483" s="7"/>
      <c r="F483" s="45">
        <v>0.5</v>
      </c>
      <c r="G483" s="45"/>
      <c r="H483" s="45"/>
      <c r="I483" s="45">
        <v>1.5</v>
      </c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</row>
    <row r="484" spans="1:82" ht="20.100000000000001" customHeight="1" x14ac:dyDescent="0.15">
      <c r="A484" s="31"/>
      <c r="C484" s="6" t="s">
        <v>322</v>
      </c>
      <c r="D484" s="64" t="str">
        <f>목록별산출서!E188</f>
        <v>1</v>
      </c>
      <c r="E484" s="27">
        <f>IF(egTextCal(D484)&lt;&gt;0, egTextCal(D484),"")</f>
        <v>1</v>
      </c>
      <c r="F484" s="26">
        <f>IF(E484*F483&lt;&gt;0,E484*F483,  )</f>
        <v>0.5</v>
      </c>
      <c r="G484" s="26"/>
      <c r="H484" s="26"/>
      <c r="I484" s="26">
        <f>IF(E484*I483&lt;&gt;0,E484*I483,  )</f>
        <v>1.5</v>
      </c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CA484" s="1">
        <f>F484</f>
        <v>0.5</v>
      </c>
      <c r="CD484" s="1">
        <f>I484</f>
        <v>1.5</v>
      </c>
    </row>
    <row r="485" spans="1:82" ht="20.100000000000001" customHeight="1" x14ac:dyDescent="0.15">
      <c r="A485" s="31"/>
      <c r="C485" s="16"/>
      <c r="D485" s="28" t="s">
        <v>332</v>
      </c>
      <c r="E485" s="7"/>
      <c r="F485" s="45">
        <v>0.4</v>
      </c>
      <c r="G485" s="45">
        <v>1</v>
      </c>
      <c r="H485" s="45">
        <v>1</v>
      </c>
      <c r="I485" s="45">
        <v>0.6</v>
      </c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</row>
    <row r="486" spans="1:82" ht="20.100000000000001" customHeight="1" x14ac:dyDescent="0.15">
      <c r="A486" s="31"/>
      <c r="C486" s="6" t="s">
        <v>352</v>
      </c>
      <c r="D486" s="64" t="str">
        <f>목록별산출서!E190</f>
        <v>1</v>
      </c>
      <c r="E486" s="27">
        <f>IF(egTextCal(D486)&lt;&gt;0, egTextCal(D486),"")</f>
        <v>1</v>
      </c>
      <c r="F486" s="26">
        <f>IF(E486*F485&lt;&gt;0,E486*F485,  )</f>
        <v>0.4</v>
      </c>
      <c r="G486" s="26">
        <f>IF(E486*G485&lt;&gt;0,E486*G485,  )</f>
        <v>1</v>
      </c>
      <c r="H486" s="26">
        <f>IF(E486*H485&lt;&gt;0,E486*H485,  )</f>
        <v>1</v>
      </c>
      <c r="I486" s="26">
        <f>IF(E486*I485&lt;&gt;0,E486*I485,  )</f>
        <v>0.6</v>
      </c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CA486" s="1">
        <f>F486</f>
        <v>0.4</v>
      </c>
      <c r="CB486" s="1">
        <f>G486</f>
        <v>1</v>
      </c>
      <c r="CC486" s="1">
        <f>H486</f>
        <v>1</v>
      </c>
      <c r="CD486" s="1">
        <f>I486</f>
        <v>0.6</v>
      </c>
    </row>
    <row r="487" spans="1:82" ht="20.100000000000001" customHeight="1" x14ac:dyDescent="0.15">
      <c r="A487" s="31"/>
      <c r="C487" s="16"/>
      <c r="D487" s="28"/>
      <c r="E487" s="7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</row>
    <row r="488" spans="1:82" ht="20.100000000000001" customHeight="1" x14ac:dyDescent="0.15">
      <c r="A488" s="31"/>
      <c r="C488" s="6" t="s">
        <v>353</v>
      </c>
      <c r="D488" s="42"/>
      <c r="E488" s="27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</row>
    <row r="489" spans="1:82" ht="20.100000000000001" customHeight="1" x14ac:dyDescent="0.15">
      <c r="A489" s="31"/>
      <c r="C489" s="16"/>
      <c r="D489" s="28"/>
      <c r="E489" s="7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</row>
    <row r="490" spans="1:82" ht="20.100000000000001" customHeight="1" x14ac:dyDescent="0.15">
      <c r="A490" s="31"/>
      <c r="C490" s="6" t="s">
        <v>354</v>
      </c>
      <c r="D490" s="42"/>
      <c r="E490" s="27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spans="1:82" ht="20.100000000000001" customHeight="1" x14ac:dyDescent="0.15">
      <c r="A491" s="31"/>
      <c r="C491" s="16"/>
      <c r="D491" s="28"/>
      <c r="E491" s="7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</row>
    <row r="492" spans="1:82" ht="20.100000000000001" customHeight="1" x14ac:dyDescent="0.15">
      <c r="A492" s="31"/>
      <c r="C492" s="6" t="s">
        <v>355</v>
      </c>
      <c r="D492" s="42"/>
      <c r="E492" s="27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spans="1:82" ht="20.100000000000001" customHeight="1" x14ac:dyDescent="0.15">
      <c r="A493" s="31"/>
      <c r="C493" s="16"/>
      <c r="D493" s="28"/>
      <c r="E493" s="7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</row>
    <row r="494" spans="1:82" ht="20.100000000000001" customHeight="1" x14ac:dyDescent="0.15">
      <c r="A494" s="31"/>
      <c r="C494" s="6" t="s">
        <v>356</v>
      </c>
      <c r="D494" s="42"/>
      <c r="E494" s="27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spans="1:82" ht="20.100000000000001" customHeight="1" x14ac:dyDescent="0.15">
      <c r="A495" s="31"/>
      <c r="C495" s="16"/>
      <c r="D495" s="28"/>
      <c r="E495" s="7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</row>
    <row r="496" spans="1:82" ht="20.100000000000001" customHeight="1" x14ac:dyDescent="0.15">
      <c r="A496" s="31"/>
      <c r="C496" s="6" t="s">
        <v>357</v>
      </c>
      <c r="D496" s="42"/>
      <c r="E496" s="27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spans="1:26" ht="20.100000000000001" customHeight="1" x14ac:dyDescent="0.15">
      <c r="A497" s="31"/>
      <c r="C497" s="16"/>
      <c r="D497" s="28"/>
      <c r="E497" s="7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</row>
    <row r="498" spans="1:26" ht="20.100000000000001" customHeight="1" x14ac:dyDescent="0.15">
      <c r="A498" s="31"/>
      <c r="C498" s="6" t="s">
        <v>358</v>
      </c>
      <c r="D498" s="42"/>
      <c r="E498" s="27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</row>
    <row r="499" spans="1:26" ht="20.100000000000001" customHeight="1" x14ac:dyDescent="0.15">
      <c r="A499" s="31"/>
      <c r="C499" s="16"/>
      <c r="D499" s="28"/>
      <c r="E499" s="7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</row>
    <row r="500" spans="1:26" ht="20.100000000000001" customHeight="1" x14ac:dyDescent="0.15">
      <c r="A500" s="31"/>
      <c r="C500" s="6" t="s">
        <v>359</v>
      </c>
      <c r="D500" s="42"/>
      <c r="E500" s="27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</row>
    <row r="501" spans="1:26" ht="20.100000000000001" customHeight="1" x14ac:dyDescent="0.15">
      <c r="A501" s="31"/>
      <c r="C501" s="16"/>
      <c r="D501" s="28"/>
      <c r="E501" s="7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</row>
    <row r="502" spans="1:26" ht="20.100000000000001" customHeight="1" x14ac:dyDescent="0.15">
      <c r="A502" s="31"/>
      <c r="C502" s="6" t="s">
        <v>360</v>
      </c>
      <c r="D502" s="42"/>
      <c r="E502" s="27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</row>
    <row r="503" spans="1:26" ht="20.100000000000001" customHeight="1" x14ac:dyDescent="0.15">
      <c r="A503" s="31"/>
      <c r="C503" s="16"/>
      <c r="D503" s="28"/>
      <c r="E503" s="7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</row>
    <row r="504" spans="1:26" ht="20.100000000000001" customHeight="1" x14ac:dyDescent="0.15">
      <c r="A504" s="31"/>
      <c r="C504" s="6" t="s">
        <v>222</v>
      </c>
      <c r="D504" s="42"/>
      <c r="E504" s="27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spans="1:26" ht="20.100000000000001" customHeight="1" x14ac:dyDescent="0.15">
      <c r="A505" s="31"/>
      <c r="B505" s="25" t="s">
        <v>362</v>
      </c>
      <c r="C505" s="16"/>
      <c r="D505" s="28" t="s">
        <v>363</v>
      </c>
      <c r="E505" s="7" t="s">
        <v>112</v>
      </c>
      <c r="F505" s="45">
        <f>SUM(CA466:CA504)</f>
        <v>14.8</v>
      </c>
      <c r="G505" s="45">
        <f>SUM(CB466:CB504)</f>
        <v>2</v>
      </c>
      <c r="H505" s="45">
        <f>SUM(CC466:CC504)</f>
        <v>2</v>
      </c>
      <c r="I505" s="45">
        <f>SUM(CD466:CD504)</f>
        <v>17.200000000000003</v>
      </c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</row>
    <row r="506" spans="1:26" ht="20.100000000000001" customHeight="1" x14ac:dyDescent="0.15">
      <c r="A506" s="31"/>
      <c r="C506" s="6" t="s">
        <v>361</v>
      </c>
      <c r="D506" s="42" t="s">
        <v>364</v>
      </c>
      <c r="E506" s="27">
        <v>1</v>
      </c>
      <c r="F506" s="26">
        <f>E506*F505</f>
        <v>14.8</v>
      </c>
      <c r="G506" s="26">
        <f>E506*G505</f>
        <v>2</v>
      </c>
      <c r="H506" s="26">
        <f>E506*H505</f>
        <v>2</v>
      </c>
      <c r="I506" s="26">
        <f>E506*I505</f>
        <v>17.200000000000003</v>
      </c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</row>
  </sheetData>
  <mergeCells count="6">
    <mergeCell ref="C461:Z461"/>
    <mergeCell ref="C1:Z1"/>
    <mergeCell ref="C139:Z139"/>
    <mergeCell ref="C231:Z231"/>
    <mergeCell ref="C323:Z323"/>
    <mergeCell ref="C415:Z415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4"/>
  <dimension ref="A1:N213"/>
  <sheetViews>
    <sheetView topLeftCell="D1" zoomScaleNormal="100" workbookViewId="0">
      <pane ySplit="3" topLeftCell="A4" activePane="bottomLeft" state="frozen"/>
      <selection activeCell="D1" sqref="D1"/>
      <selection pane="bottomLeft" activeCell="D173" sqref="D173"/>
    </sheetView>
  </sheetViews>
  <sheetFormatPr defaultRowHeight="15.95" customHeight="1" x14ac:dyDescent="0.15"/>
  <cols>
    <col min="1" max="1" width="9.21875" style="69" hidden="1" customWidth="1"/>
    <col min="2" max="2" width="8.5546875" style="69" hidden="1" customWidth="1"/>
    <col min="3" max="3" width="12.88671875" style="69" hidden="1" customWidth="1"/>
    <col min="4" max="4" width="35" style="69" customWidth="1"/>
    <col min="5" max="5" width="34" style="69" customWidth="1"/>
    <col min="6" max="6" width="3.109375" style="84" bestFit="1" customWidth="1"/>
    <col min="7" max="7" width="6.21875" style="85" customWidth="1"/>
    <col min="8" max="8" width="1.6640625" style="86" hidden="1" customWidth="1"/>
    <col min="9" max="10" width="25.77734375" style="86" customWidth="1"/>
    <col min="11" max="11" width="4.21875" style="84" customWidth="1"/>
    <col min="12" max="12" width="13.77734375" style="87" customWidth="1"/>
    <col min="13" max="13" width="7" style="85" customWidth="1"/>
    <col min="14" max="14" width="7.109375" style="85" customWidth="1"/>
    <col min="15" max="16384" width="8.88671875" style="70"/>
  </cols>
  <sheetData>
    <row r="1" spans="1:14" ht="15.95" customHeight="1" x14ac:dyDescent="0.15">
      <c r="A1" s="69" t="s">
        <v>125</v>
      </c>
      <c r="B1" s="69" t="s">
        <v>337</v>
      </c>
      <c r="C1" s="69" t="s">
        <v>34</v>
      </c>
      <c r="D1" s="429" t="s">
        <v>109</v>
      </c>
      <c r="E1" s="429"/>
      <c r="F1" s="429"/>
      <c r="G1" s="429"/>
      <c r="H1" s="429"/>
      <c r="I1" s="429"/>
      <c r="J1" s="429"/>
      <c r="K1" s="429"/>
      <c r="L1" s="429"/>
      <c r="M1" s="429"/>
      <c r="N1" s="429"/>
    </row>
    <row r="2" spans="1:14" s="73" customFormat="1" ht="15.95" customHeight="1" x14ac:dyDescent="0.15">
      <c r="A2" s="71"/>
      <c r="B2" s="71"/>
      <c r="C2" s="71"/>
      <c r="D2" s="392" t="s">
        <v>14</v>
      </c>
      <c r="E2" s="392" t="s">
        <v>15</v>
      </c>
      <c r="F2" s="72" t="s">
        <v>32</v>
      </c>
      <c r="G2" s="432" t="s">
        <v>10</v>
      </c>
      <c r="H2" s="392" t="s">
        <v>18</v>
      </c>
      <c r="I2" s="392" t="s">
        <v>6</v>
      </c>
      <c r="J2" s="392" t="s">
        <v>7</v>
      </c>
      <c r="K2" s="392" t="s">
        <v>8</v>
      </c>
      <c r="L2" s="400" t="s">
        <v>19</v>
      </c>
      <c r="M2" s="400" t="s">
        <v>16</v>
      </c>
      <c r="N2" s="400" t="s">
        <v>17</v>
      </c>
    </row>
    <row r="3" spans="1:14" s="73" customFormat="1" ht="15.95" customHeight="1" x14ac:dyDescent="0.15">
      <c r="A3" s="71"/>
      <c r="B3" s="71"/>
      <c r="C3" s="71"/>
      <c r="D3" s="393"/>
      <c r="E3" s="393"/>
      <c r="F3" s="74" t="s">
        <v>33</v>
      </c>
      <c r="G3" s="433"/>
      <c r="H3" s="393"/>
      <c r="I3" s="393"/>
      <c r="J3" s="393"/>
      <c r="K3" s="393"/>
      <c r="L3" s="431"/>
      <c r="M3" s="431"/>
      <c r="N3" s="431"/>
    </row>
    <row r="4" spans="1:14" ht="15.95" customHeight="1" x14ac:dyDescent="0.15">
      <c r="B4" s="69" t="s">
        <v>126</v>
      </c>
      <c r="C4" s="69" t="s">
        <v>127</v>
      </c>
      <c r="D4" s="434" t="s">
        <v>891</v>
      </c>
      <c r="E4" s="430"/>
      <c r="F4" s="430"/>
      <c r="G4" s="430"/>
      <c r="H4" s="430"/>
      <c r="I4" s="430"/>
      <c r="J4" s="430"/>
      <c r="K4" s="430"/>
      <c r="L4" s="430"/>
      <c r="M4" s="430"/>
      <c r="N4" s="435"/>
    </row>
    <row r="5" spans="1:14" ht="15.95" customHeight="1" x14ac:dyDescent="0.15">
      <c r="A5" s="69" t="s">
        <v>165</v>
      </c>
      <c r="D5" s="75" t="s">
        <v>166</v>
      </c>
      <c r="E5" s="75"/>
      <c r="F5" s="76" t="s">
        <v>131</v>
      </c>
      <c r="G5" s="77"/>
      <c r="H5" s="53"/>
      <c r="I5" s="53"/>
      <c r="J5" s="53"/>
      <c r="K5" s="76"/>
      <c r="L5" s="78"/>
      <c r="M5" s="77"/>
      <c r="N5" s="77"/>
    </row>
    <row r="6" spans="1:14" ht="15.95" customHeight="1" x14ac:dyDescent="0.15">
      <c r="A6" s="69" t="s">
        <v>165</v>
      </c>
      <c r="D6" s="75" t="s">
        <v>167</v>
      </c>
      <c r="E6" s="75"/>
      <c r="F6" s="76" t="s">
        <v>131</v>
      </c>
      <c r="G6" s="77"/>
      <c r="H6" s="53"/>
      <c r="I6" s="53"/>
      <c r="J6" s="53"/>
      <c r="K6" s="76"/>
      <c r="L6" s="78"/>
      <c r="M6" s="77"/>
      <c r="N6" s="77"/>
    </row>
    <row r="7" spans="1:14" ht="15.95" customHeight="1" x14ac:dyDescent="0.15">
      <c r="A7" s="69" t="s">
        <v>165</v>
      </c>
      <c r="D7" s="75" t="s">
        <v>168</v>
      </c>
      <c r="E7" s="75"/>
      <c r="F7" s="76" t="s">
        <v>131</v>
      </c>
      <c r="G7" s="77"/>
      <c r="H7" s="53"/>
      <c r="I7" s="53"/>
      <c r="J7" s="53"/>
      <c r="K7" s="76"/>
      <c r="L7" s="78"/>
      <c r="M7" s="77"/>
      <c r="N7" s="77"/>
    </row>
    <row r="8" spans="1:14" ht="15.95" customHeight="1" x14ac:dyDescent="0.15">
      <c r="A8" s="69" t="s">
        <v>165</v>
      </c>
      <c r="B8" s="69" t="s">
        <v>169</v>
      </c>
      <c r="D8" s="75" t="s">
        <v>170</v>
      </c>
      <c r="E8" s="75" t="s">
        <v>171</v>
      </c>
      <c r="F8" s="76" t="s">
        <v>131</v>
      </c>
      <c r="G8" s="77">
        <f>IF(egTextCal(E8)&lt;&gt;0, egTextCal(E8),   )</f>
        <v>8</v>
      </c>
      <c r="H8" s="53" t="s">
        <v>172</v>
      </c>
      <c r="I8" s="53" t="s">
        <v>173</v>
      </c>
      <c r="J8" s="53" t="s">
        <v>174</v>
      </c>
      <c r="K8" s="76" t="s">
        <v>175</v>
      </c>
      <c r="L8" s="78">
        <v>1</v>
      </c>
      <c r="M8" s="77">
        <f>IF(egTextCal(L8)&lt;&gt;0, egTextCal(L8),   )</f>
        <v>1</v>
      </c>
      <c r="N8" s="77">
        <f>SUM(G8:G8)*M8</f>
        <v>8</v>
      </c>
    </row>
    <row r="9" spans="1:14" ht="15.95" customHeight="1" x14ac:dyDescent="0.15">
      <c r="A9" s="69" t="s">
        <v>165</v>
      </c>
      <c r="B9" s="69" t="s">
        <v>176</v>
      </c>
      <c r="D9" s="75" t="s">
        <v>177</v>
      </c>
      <c r="E9" s="75" t="s">
        <v>178</v>
      </c>
      <c r="F9" s="76" t="s">
        <v>131</v>
      </c>
      <c r="G9" s="77">
        <f>IF(egTextCal(E9)&lt;&gt;0, egTextCal(E9),   )</f>
        <v>80</v>
      </c>
      <c r="H9" s="53" t="s">
        <v>179</v>
      </c>
      <c r="I9" s="53" t="s">
        <v>180</v>
      </c>
      <c r="J9" s="53" t="s">
        <v>181</v>
      </c>
      <c r="K9" s="76" t="s">
        <v>175</v>
      </c>
      <c r="L9" s="78">
        <v>1</v>
      </c>
      <c r="M9" s="77">
        <f>IF(egTextCal(L9)&lt;&gt;0, egTextCal(L9),   )</f>
        <v>1</v>
      </c>
      <c r="N9" s="77">
        <f>SUM(G9:G9)*M9</f>
        <v>80</v>
      </c>
    </row>
    <row r="10" spans="1:14" ht="15.95" customHeight="1" x14ac:dyDescent="0.15">
      <c r="A10" s="69" t="s">
        <v>165</v>
      </c>
      <c r="B10" s="69" t="s">
        <v>182</v>
      </c>
      <c r="C10" s="69" t="s">
        <v>183</v>
      </c>
      <c r="D10" s="75" t="s">
        <v>184</v>
      </c>
      <c r="E10" s="75" t="s">
        <v>185</v>
      </c>
      <c r="F10" s="76" t="s">
        <v>127</v>
      </c>
      <c r="G10" s="77">
        <f>IF(egTextCal(E10)&lt;&gt;0, egTextCal(E10),   )</f>
        <v>20</v>
      </c>
      <c r="H10" s="53" t="s">
        <v>186</v>
      </c>
      <c r="I10" s="53" t="s">
        <v>187</v>
      </c>
      <c r="J10" s="53" t="s">
        <v>181</v>
      </c>
      <c r="K10" s="76" t="s">
        <v>175</v>
      </c>
      <c r="L10" s="78">
        <v>1</v>
      </c>
      <c r="M10" s="77">
        <f>IF(egTextCal(L10)&lt;&gt;0, egTextCal(L10),   )</f>
        <v>1</v>
      </c>
      <c r="N10" s="77">
        <f>SUM(G10:G11)*M10</f>
        <v>20</v>
      </c>
    </row>
    <row r="11" spans="1:14" ht="15.95" customHeight="1" x14ac:dyDescent="0.15">
      <c r="A11" s="69" t="s">
        <v>165</v>
      </c>
      <c r="B11" s="69" t="s">
        <v>188</v>
      </c>
      <c r="D11" s="75"/>
      <c r="E11" s="75"/>
      <c r="F11" s="76" t="s">
        <v>189</v>
      </c>
      <c r="G11" s="77"/>
      <c r="H11" s="53" t="s">
        <v>190</v>
      </c>
      <c r="I11" s="53" t="s">
        <v>191</v>
      </c>
      <c r="J11" s="53" t="s">
        <v>192</v>
      </c>
      <c r="K11" s="76" t="s">
        <v>193</v>
      </c>
      <c r="L11" s="78">
        <v>0.67</v>
      </c>
      <c r="M11" s="77">
        <f>IF(egTextCal(L11)&lt;&gt;0, egTextCal(L11),   )</f>
        <v>0.67</v>
      </c>
      <c r="N11" s="77">
        <f>SUM(G10:G11)*M11</f>
        <v>13.4</v>
      </c>
    </row>
    <row r="12" spans="1:14" ht="15.95" customHeight="1" x14ac:dyDescent="0.15">
      <c r="A12" s="69" t="s">
        <v>165</v>
      </c>
      <c r="B12" s="69" t="s">
        <v>182</v>
      </c>
      <c r="D12" s="75" t="s">
        <v>194</v>
      </c>
      <c r="E12" s="75" t="s">
        <v>171</v>
      </c>
      <c r="F12" s="76" t="s">
        <v>131</v>
      </c>
      <c r="G12" s="77">
        <f>IF(egTextCal(E12)&lt;&gt;0, egTextCal(E12),   )</f>
        <v>8</v>
      </c>
      <c r="H12" s="53" t="s">
        <v>186</v>
      </c>
      <c r="I12" s="53" t="s">
        <v>187</v>
      </c>
      <c r="J12" s="53" t="s">
        <v>181</v>
      </c>
      <c r="K12" s="76" t="s">
        <v>175</v>
      </c>
      <c r="L12" s="78">
        <v>1</v>
      </c>
      <c r="M12" s="77">
        <f>IF(egTextCal(L12)&lt;&gt;0, egTextCal(L12),   )</f>
        <v>1</v>
      </c>
      <c r="N12" s="77">
        <f>SUM(G12:G12)*M12</f>
        <v>8</v>
      </c>
    </row>
    <row r="13" spans="1:14" ht="15.95" customHeight="1" x14ac:dyDescent="0.15">
      <c r="A13" s="69" t="s">
        <v>165</v>
      </c>
      <c r="B13" s="69" t="s">
        <v>195</v>
      </c>
      <c r="D13" s="75" t="s">
        <v>196</v>
      </c>
      <c r="E13" s="75" t="s">
        <v>197</v>
      </c>
      <c r="F13" s="76" t="s">
        <v>131</v>
      </c>
      <c r="G13" s="77">
        <f>IF(egTextCal(E13)&lt;&gt;0, egTextCal(E13),   )</f>
        <v>2</v>
      </c>
      <c r="H13" s="53" t="s">
        <v>198</v>
      </c>
      <c r="I13" s="53" t="s">
        <v>199</v>
      </c>
      <c r="J13" s="53" t="s">
        <v>200</v>
      </c>
      <c r="K13" s="76" t="s">
        <v>145</v>
      </c>
      <c r="L13" s="78">
        <v>1</v>
      </c>
      <c r="M13" s="77">
        <f>IF(egTextCal(L13)&lt;&gt;0, egTextCal(L13),   )</f>
        <v>1</v>
      </c>
      <c r="N13" s="77">
        <f>SUM(G13:G13)*M13</f>
        <v>2</v>
      </c>
    </row>
    <row r="14" spans="1:14" ht="15.95" customHeight="1" x14ac:dyDescent="0.15">
      <c r="A14" s="69" t="s">
        <v>165</v>
      </c>
      <c r="B14" s="69" t="s">
        <v>201</v>
      </c>
      <c r="D14" s="75" t="s">
        <v>202</v>
      </c>
      <c r="E14" s="75" t="s">
        <v>203</v>
      </c>
      <c r="F14" s="76" t="s">
        <v>131</v>
      </c>
      <c r="G14" s="77">
        <f>IF(egTextCal(E14)&lt;&gt;0, egTextCal(E14),   )</f>
        <v>4</v>
      </c>
      <c r="H14" s="53" t="s">
        <v>204</v>
      </c>
      <c r="I14" s="53" t="s">
        <v>205</v>
      </c>
      <c r="J14" s="53" t="s">
        <v>206</v>
      </c>
      <c r="K14" s="76" t="s">
        <v>145</v>
      </c>
      <c r="L14" s="78">
        <v>1</v>
      </c>
      <c r="M14" s="77">
        <f>IF(egTextCal(L14)&lt;&gt;0, egTextCal(L14),   )</f>
        <v>1</v>
      </c>
      <c r="N14" s="77">
        <f>SUM(G14:G14)*M14</f>
        <v>4</v>
      </c>
    </row>
    <row r="15" spans="1:14" ht="15.95" customHeight="1" x14ac:dyDescent="0.15">
      <c r="A15" s="69" t="s">
        <v>165</v>
      </c>
      <c r="B15" s="69" t="s">
        <v>207</v>
      </c>
      <c r="D15" s="75" t="s">
        <v>208</v>
      </c>
      <c r="E15" s="75" t="s">
        <v>189</v>
      </c>
      <c r="F15" s="76" t="s">
        <v>131</v>
      </c>
      <c r="G15" s="77">
        <f>IF(egTextCal(E15)&lt;&gt;0, egTextCal(E15),   )</f>
        <v>2</v>
      </c>
      <c r="H15" s="53" t="s">
        <v>209</v>
      </c>
      <c r="I15" s="53" t="s">
        <v>210</v>
      </c>
      <c r="J15" s="53" t="s">
        <v>211</v>
      </c>
      <c r="K15" s="76" t="s">
        <v>145</v>
      </c>
      <c r="L15" s="78">
        <v>1</v>
      </c>
      <c r="M15" s="77">
        <f>IF(egTextCal(L15)&lt;&gt;0, egTextCal(L15),   )</f>
        <v>1</v>
      </c>
      <c r="N15" s="77">
        <f>SUM(G15:G15)*M15</f>
        <v>2</v>
      </c>
    </row>
    <row r="16" spans="1:14" ht="15.95" customHeight="1" x14ac:dyDescent="0.15">
      <c r="A16" s="69" t="s">
        <v>165</v>
      </c>
      <c r="B16" s="69" t="s">
        <v>212</v>
      </c>
      <c r="D16" s="75" t="s">
        <v>213</v>
      </c>
      <c r="E16" s="75" t="s">
        <v>127</v>
      </c>
      <c r="F16" s="76" t="s">
        <v>131</v>
      </c>
      <c r="G16" s="77">
        <f>IF(egTextCal(E16)&lt;&gt;0, egTextCal(E16),   )</f>
        <v>1</v>
      </c>
      <c r="H16" s="53" t="s">
        <v>214</v>
      </c>
      <c r="I16" s="53" t="s">
        <v>215</v>
      </c>
      <c r="J16" s="53" t="s">
        <v>216</v>
      </c>
      <c r="K16" s="76" t="s">
        <v>112</v>
      </c>
      <c r="L16" s="78">
        <v>1</v>
      </c>
      <c r="M16" s="77">
        <f>IF(egTextCal(L16)&lt;&gt;0, egTextCal(L16),   )</f>
        <v>1</v>
      </c>
      <c r="N16" s="77">
        <f>SUM(G16:G16)*M16</f>
        <v>1</v>
      </c>
    </row>
    <row r="17" spans="1:14" ht="15.95" customHeight="1" x14ac:dyDescent="0.15">
      <c r="A17" s="69" t="s">
        <v>165</v>
      </c>
      <c r="D17" s="75"/>
      <c r="E17" s="75"/>
      <c r="F17" s="76" t="s">
        <v>131</v>
      </c>
      <c r="G17" s="77"/>
      <c r="H17" s="53"/>
      <c r="I17" s="53"/>
      <c r="J17" s="53"/>
      <c r="K17" s="76"/>
      <c r="L17" s="78"/>
      <c r="M17" s="77"/>
      <c r="N17" s="77"/>
    </row>
    <row r="18" spans="1:14" ht="15.95" customHeight="1" x14ac:dyDescent="0.15">
      <c r="A18" s="69" t="s">
        <v>165</v>
      </c>
      <c r="D18" s="75" t="s">
        <v>217</v>
      </c>
      <c r="E18" s="75"/>
      <c r="F18" s="76" t="s">
        <v>131</v>
      </c>
      <c r="G18" s="77"/>
      <c r="H18" s="53"/>
      <c r="I18" s="53"/>
      <c r="J18" s="53"/>
      <c r="K18" s="76"/>
      <c r="L18" s="78"/>
      <c r="M18" s="77"/>
      <c r="N18" s="77"/>
    </row>
    <row r="19" spans="1:14" ht="15.95" customHeight="1" x14ac:dyDescent="0.15">
      <c r="A19" s="69" t="s">
        <v>165</v>
      </c>
      <c r="D19" s="75" t="s">
        <v>218</v>
      </c>
      <c r="E19" s="75"/>
      <c r="F19" s="76" t="s">
        <v>131</v>
      </c>
      <c r="G19" s="77"/>
      <c r="H19" s="53"/>
      <c r="I19" s="53"/>
      <c r="J19" s="53"/>
      <c r="K19" s="76"/>
      <c r="L19" s="78"/>
      <c r="M19" s="77"/>
      <c r="N19" s="77"/>
    </row>
    <row r="20" spans="1:14" ht="15.95" customHeight="1" x14ac:dyDescent="0.15">
      <c r="A20" s="69" t="s">
        <v>165</v>
      </c>
      <c r="D20" s="75" t="s">
        <v>219</v>
      </c>
      <c r="E20" s="75"/>
      <c r="F20" s="76" t="s">
        <v>131</v>
      </c>
      <c r="G20" s="77"/>
      <c r="H20" s="53"/>
      <c r="I20" s="53"/>
      <c r="J20" s="53"/>
      <c r="K20" s="76"/>
      <c r="L20" s="78"/>
      <c r="M20" s="77"/>
      <c r="N20" s="77"/>
    </row>
    <row r="21" spans="1:14" ht="15.95" customHeight="1" x14ac:dyDescent="0.15">
      <c r="A21" s="69" t="s">
        <v>165</v>
      </c>
      <c r="B21" s="69" t="s">
        <v>220</v>
      </c>
      <c r="D21" s="75" t="s">
        <v>221</v>
      </c>
      <c r="E21" s="75" t="s">
        <v>222</v>
      </c>
      <c r="F21" s="76" t="s">
        <v>127</v>
      </c>
      <c r="G21" s="77">
        <f>IF(egTextCal(E21)&lt;&gt;0, egTextCal(E21),   )</f>
        <v>20</v>
      </c>
      <c r="H21" s="53" t="s">
        <v>223</v>
      </c>
      <c r="I21" s="53" t="s">
        <v>180</v>
      </c>
      <c r="J21" s="53" t="s">
        <v>224</v>
      </c>
      <c r="K21" s="76" t="s">
        <v>175</v>
      </c>
      <c r="L21" s="78">
        <v>1</v>
      </c>
      <c r="M21" s="77">
        <f>IF(egTextCal(L21)&lt;&gt;0, egTextCal(L21),   )</f>
        <v>1</v>
      </c>
      <c r="N21" s="77">
        <f>SUM(G21:G22)*M21</f>
        <v>20</v>
      </c>
    </row>
    <row r="22" spans="1:14" ht="15.95" customHeight="1" x14ac:dyDescent="0.15">
      <c r="A22" s="69" t="s">
        <v>165</v>
      </c>
      <c r="B22" s="69" t="s">
        <v>225</v>
      </c>
      <c r="D22" s="75"/>
      <c r="E22" s="75"/>
      <c r="F22" s="76" t="s">
        <v>189</v>
      </c>
      <c r="G22" s="77"/>
      <c r="H22" s="53" t="s">
        <v>226</v>
      </c>
      <c r="I22" s="53" t="s">
        <v>227</v>
      </c>
      <c r="J22" s="53" t="s">
        <v>228</v>
      </c>
      <c r="K22" s="76" t="s">
        <v>175</v>
      </c>
      <c r="L22" s="78">
        <v>1</v>
      </c>
      <c r="M22" s="77">
        <f>IF(egTextCal(L22)&lt;&gt;0, egTextCal(L22),   )</f>
        <v>1</v>
      </c>
      <c r="N22" s="77">
        <f>SUM(G21:G22)*M22</f>
        <v>20</v>
      </c>
    </row>
    <row r="23" spans="1:14" ht="15.95" customHeight="1" x14ac:dyDescent="0.15">
      <c r="A23" s="69" t="s">
        <v>165</v>
      </c>
      <c r="B23" s="69" t="s">
        <v>220</v>
      </c>
      <c r="D23" s="75" t="s">
        <v>229</v>
      </c>
      <c r="E23" s="75" t="s">
        <v>230</v>
      </c>
      <c r="F23" s="76" t="s">
        <v>127</v>
      </c>
      <c r="G23" s="77">
        <f>IF(egTextCal(E23)&lt;&gt;0, egTextCal(E23),   )</f>
        <v>0.5</v>
      </c>
      <c r="H23" s="53" t="s">
        <v>223</v>
      </c>
      <c r="I23" s="53" t="s">
        <v>180</v>
      </c>
      <c r="J23" s="53" t="s">
        <v>224</v>
      </c>
      <c r="K23" s="76" t="s">
        <v>175</v>
      </c>
      <c r="L23" s="78">
        <v>1</v>
      </c>
      <c r="M23" s="77">
        <f>IF(egTextCal(L23)&lt;&gt;0, egTextCal(L23),   )</f>
        <v>1</v>
      </c>
      <c r="N23" s="77">
        <f>SUM(G23:G24)*M23</f>
        <v>0.5</v>
      </c>
    </row>
    <row r="24" spans="1:14" ht="15.95" customHeight="1" x14ac:dyDescent="0.15">
      <c r="A24" s="69" t="s">
        <v>165</v>
      </c>
      <c r="B24" s="69" t="s">
        <v>225</v>
      </c>
      <c r="D24" s="75"/>
      <c r="E24" s="75"/>
      <c r="F24" s="76" t="s">
        <v>189</v>
      </c>
      <c r="G24" s="77"/>
      <c r="H24" s="53" t="s">
        <v>226</v>
      </c>
      <c r="I24" s="53" t="s">
        <v>227</v>
      </c>
      <c r="J24" s="53" t="s">
        <v>228</v>
      </c>
      <c r="K24" s="76" t="s">
        <v>175</v>
      </c>
      <c r="L24" s="78">
        <v>1</v>
      </c>
      <c r="M24" s="77">
        <f>IF(egTextCal(L24)&lt;&gt;0, egTextCal(L24),   )</f>
        <v>1</v>
      </c>
      <c r="N24" s="77">
        <f>SUM(G23:G24)*M24</f>
        <v>0.5</v>
      </c>
    </row>
    <row r="25" spans="1:14" ht="15.95" customHeight="1" x14ac:dyDescent="0.15">
      <c r="A25" s="69" t="s">
        <v>165</v>
      </c>
      <c r="B25" s="69" t="s">
        <v>225</v>
      </c>
      <c r="D25" s="75" t="s">
        <v>231</v>
      </c>
      <c r="E25" s="75" t="s">
        <v>232</v>
      </c>
      <c r="F25" s="76" t="s">
        <v>131</v>
      </c>
      <c r="G25" s="77">
        <f>IF(egTextCal(E25)&lt;&gt;0, egTextCal(E25),   )</f>
        <v>3</v>
      </c>
      <c r="H25" s="53" t="s">
        <v>226</v>
      </c>
      <c r="I25" s="53" t="s">
        <v>227</v>
      </c>
      <c r="J25" s="53" t="s">
        <v>228</v>
      </c>
      <c r="K25" s="76" t="s">
        <v>175</v>
      </c>
      <c r="L25" s="78">
        <v>1</v>
      </c>
      <c r="M25" s="77">
        <f>IF(egTextCal(L25)&lt;&gt;0, egTextCal(L25),   )</f>
        <v>1</v>
      </c>
      <c r="N25" s="77">
        <f>SUM(G25:G25)*M25</f>
        <v>3</v>
      </c>
    </row>
    <row r="26" spans="1:14" ht="15.95" customHeight="1" x14ac:dyDescent="0.15">
      <c r="A26" s="69" t="s">
        <v>165</v>
      </c>
      <c r="B26" s="69" t="s">
        <v>233</v>
      </c>
      <c r="D26" s="75" t="s">
        <v>234</v>
      </c>
      <c r="E26" s="75" t="s">
        <v>127</v>
      </c>
      <c r="F26" s="76" t="s">
        <v>131</v>
      </c>
      <c r="G26" s="77">
        <f>IF(egTextCal(E26)&lt;&gt;0, egTextCal(E26),   )</f>
        <v>1</v>
      </c>
      <c r="H26" s="53" t="s">
        <v>235</v>
      </c>
      <c r="I26" s="53" t="s">
        <v>236</v>
      </c>
      <c r="J26" s="53" t="s">
        <v>237</v>
      </c>
      <c r="K26" s="76" t="s">
        <v>193</v>
      </c>
      <c r="L26" s="78">
        <v>1</v>
      </c>
      <c r="M26" s="77">
        <f>IF(egTextCal(L26)&lt;&gt;0, egTextCal(L26),   )</f>
        <v>1</v>
      </c>
      <c r="N26" s="77">
        <f>SUM(G26:G26)*M26</f>
        <v>1</v>
      </c>
    </row>
    <row r="27" spans="1:14" ht="15.95" customHeight="1" x14ac:dyDescent="0.15">
      <c r="A27" s="69" t="s">
        <v>165</v>
      </c>
      <c r="D27" s="75" t="s">
        <v>238</v>
      </c>
      <c r="E27" s="75"/>
      <c r="F27" s="76" t="s">
        <v>131</v>
      </c>
      <c r="G27" s="77"/>
      <c r="H27" s="53"/>
      <c r="I27" s="53"/>
      <c r="J27" s="53"/>
      <c r="K27" s="76"/>
      <c r="L27" s="78"/>
      <c r="M27" s="77"/>
      <c r="N27" s="77"/>
    </row>
    <row r="28" spans="1:14" ht="15.95" customHeight="1" x14ac:dyDescent="0.15">
      <c r="A28" s="69" t="s">
        <v>165</v>
      </c>
      <c r="B28" s="69" t="s">
        <v>239</v>
      </c>
      <c r="D28" s="75" t="s">
        <v>240</v>
      </c>
      <c r="E28" s="75" t="s">
        <v>241</v>
      </c>
      <c r="F28" s="76" t="s">
        <v>131</v>
      </c>
      <c r="G28" s="77">
        <f>IF(egTextCal(E28)&lt;&gt;0, egTextCal(E28),   )</f>
        <v>16.8</v>
      </c>
      <c r="H28" s="53" t="s">
        <v>242</v>
      </c>
      <c r="I28" s="53" t="s">
        <v>243</v>
      </c>
      <c r="J28" s="53" t="s">
        <v>244</v>
      </c>
      <c r="K28" s="76" t="s">
        <v>245</v>
      </c>
      <c r="L28" s="78">
        <v>1</v>
      </c>
      <c r="M28" s="77">
        <f>IF(egTextCal(L28)&lt;&gt;0, egTextCal(L28),   )</f>
        <v>1</v>
      </c>
      <c r="N28" s="77">
        <f>SUM(G28:G28)*M28</f>
        <v>16.8</v>
      </c>
    </row>
    <row r="29" spans="1:14" ht="15.95" customHeight="1" x14ac:dyDescent="0.15">
      <c r="A29" s="69" t="s">
        <v>165</v>
      </c>
      <c r="B29" s="69" t="s">
        <v>246</v>
      </c>
      <c r="D29" s="75" t="s">
        <v>247</v>
      </c>
      <c r="E29" s="75" t="s">
        <v>241</v>
      </c>
      <c r="F29" s="76" t="s">
        <v>131</v>
      </c>
      <c r="G29" s="77">
        <f>IF(egTextCal(E29)&lt;&gt;0, egTextCal(E29),   )</f>
        <v>16.8</v>
      </c>
      <c r="H29" s="53" t="s">
        <v>248</v>
      </c>
      <c r="I29" s="53" t="s">
        <v>249</v>
      </c>
      <c r="J29" s="53" t="s">
        <v>244</v>
      </c>
      <c r="K29" s="76" t="s">
        <v>245</v>
      </c>
      <c r="L29" s="78">
        <v>1</v>
      </c>
      <c r="M29" s="77">
        <f>IF(egTextCal(L29)&lt;&gt;0, egTextCal(L29),   )</f>
        <v>1</v>
      </c>
      <c r="N29" s="77">
        <f>SUM(G29:G29)*M29</f>
        <v>16.8</v>
      </c>
    </row>
    <row r="30" spans="1:14" ht="15.95" customHeight="1" x14ac:dyDescent="0.15">
      <c r="A30" s="69" t="s">
        <v>165</v>
      </c>
      <c r="D30" s="75"/>
      <c r="E30" s="75"/>
      <c r="F30" s="76" t="s">
        <v>131</v>
      </c>
      <c r="G30" s="77"/>
      <c r="H30" s="53"/>
      <c r="I30" s="53"/>
      <c r="J30" s="53"/>
      <c r="K30" s="76"/>
      <c r="L30" s="78"/>
      <c r="M30" s="77"/>
      <c r="N30" s="77"/>
    </row>
    <row r="31" spans="1:14" ht="15.95" customHeight="1" x14ac:dyDescent="0.15">
      <c r="A31" s="69" t="s">
        <v>165</v>
      </c>
      <c r="D31" s="75" t="s">
        <v>250</v>
      </c>
      <c r="E31" s="75"/>
      <c r="F31" s="76" t="s">
        <v>131</v>
      </c>
      <c r="G31" s="77"/>
      <c r="H31" s="53"/>
      <c r="I31" s="53"/>
      <c r="J31" s="53"/>
      <c r="K31" s="76"/>
      <c r="L31" s="78"/>
      <c r="M31" s="77"/>
      <c r="N31" s="77"/>
    </row>
    <row r="32" spans="1:14" ht="15.95" customHeight="1" x14ac:dyDescent="0.15">
      <c r="A32" s="69" t="s">
        <v>165</v>
      </c>
      <c r="B32" s="69" t="s">
        <v>251</v>
      </c>
      <c r="D32" s="75" t="s">
        <v>252</v>
      </c>
      <c r="E32" s="75" t="s">
        <v>127</v>
      </c>
      <c r="F32" s="76" t="s">
        <v>131</v>
      </c>
      <c r="G32" s="77">
        <f>IF(egTextCal(E32)&lt;&gt;0, egTextCal(E32),   )</f>
        <v>1</v>
      </c>
      <c r="H32" s="53" t="s">
        <v>253</v>
      </c>
      <c r="I32" s="53" t="s">
        <v>254</v>
      </c>
      <c r="J32" s="53"/>
      <c r="K32" s="76" t="s">
        <v>255</v>
      </c>
      <c r="L32" s="78">
        <v>1</v>
      </c>
      <c r="M32" s="77">
        <f>IF(egTextCal(L32)&lt;&gt;0, egTextCal(L32),   )</f>
        <v>1</v>
      </c>
      <c r="N32" s="77">
        <f>SUM(G32:G32)*M32</f>
        <v>1</v>
      </c>
    </row>
    <row r="33" spans="1:14" ht="15.95" customHeight="1" x14ac:dyDescent="0.15">
      <c r="A33" s="69" t="s">
        <v>165</v>
      </c>
      <c r="D33" s="75"/>
      <c r="E33" s="75"/>
      <c r="F33" s="76"/>
      <c r="G33" s="77"/>
      <c r="H33" s="53"/>
      <c r="I33" s="53"/>
      <c r="J33" s="53"/>
      <c r="K33" s="76"/>
      <c r="L33" s="78"/>
      <c r="M33" s="77"/>
      <c r="N33" s="77"/>
    </row>
    <row r="34" spans="1:14" ht="15.95" customHeight="1" x14ac:dyDescent="0.15">
      <c r="A34" s="69" t="s">
        <v>165</v>
      </c>
      <c r="D34" s="75"/>
      <c r="E34" s="75"/>
      <c r="F34" s="76"/>
      <c r="G34" s="77"/>
      <c r="H34" s="53"/>
      <c r="I34" s="53"/>
      <c r="J34" s="53"/>
      <c r="K34" s="76"/>
      <c r="L34" s="78"/>
      <c r="M34" s="77"/>
      <c r="N34" s="77"/>
    </row>
    <row r="35" spans="1:14" ht="15.95" customHeight="1" x14ac:dyDescent="0.15">
      <c r="A35" s="69" t="s">
        <v>165</v>
      </c>
      <c r="D35" s="75"/>
      <c r="E35" s="75"/>
      <c r="F35" s="76"/>
      <c r="G35" s="77"/>
      <c r="H35" s="53"/>
      <c r="I35" s="53"/>
      <c r="J35" s="53"/>
      <c r="K35" s="76"/>
      <c r="L35" s="78"/>
      <c r="M35" s="77"/>
      <c r="N35" s="77"/>
    </row>
    <row r="36" spans="1:14" ht="15.95" customHeight="1" x14ac:dyDescent="0.15">
      <c r="A36" s="69" t="s">
        <v>165</v>
      </c>
      <c r="D36" s="75"/>
      <c r="E36" s="75"/>
      <c r="F36" s="76"/>
      <c r="G36" s="77"/>
      <c r="H36" s="53"/>
      <c r="I36" s="53"/>
      <c r="J36" s="53"/>
      <c r="K36" s="76"/>
      <c r="L36" s="78"/>
      <c r="M36" s="77"/>
      <c r="N36" s="77"/>
    </row>
    <row r="37" spans="1:14" ht="15.95" customHeight="1" x14ac:dyDescent="0.15">
      <c r="A37" s="69" t="s">
        <v>165</v>
      </c>
      <c r="D37" s="75"/>
      <c r="E37" s="75"/>
      <c r="F37" s="76"/>
      <c r="G37" s="77"/>
      <c r="H37" s="53"/>
      <c r="I37" s="53"/>
      <c r="J37" s="53"/>
      <c r="K37" s="76"/>
      <c r="L37" s="78"/>
      <c r="M37" s="77"/>
      <c r="N37" s="77"/>
    </row>
    <row r="38" spans="1:14" ht="15.95" customHeight="1" x14ac:dyDescent="0.15">
      <c r="A38" s="69" t="s">
        <v>165</v>
      </c>
      <c r="D38" s="75"/>
      <c r="E38" s="75"/>
      <c r="F38" s="76"/>
      <c r="G38" s="77"/>
      <c r="H38" s="53"/>
      <c r="I38" s="53"/>
      <c r="J38" s="53"/>
      <c r="K38" s="76"/>
      <c r="L38" s="78"/>
      <c r="M38" s="77"/>
      <c r="N38" s="77"/>
    </row>
    <row r="39" spans="1:14" ht="15.95" customHeight="1" x14ac:dyDescent="0.15">
      <c r="A39" s="69" t="s">
        <v>165</v>
      </c>
      <c r="D39" s="75"/>
      <c r="E39" s="75"/>
      <c r="F39" s="76"/>
      <c r="G39" s="77"/>
      <c r="H39" s="53"/>
      <c r="I39" s="53"/>
      <c r="J39" s="53"/>
      <c r="K39" s="76"/>
      <c r="L39" s="78"/>
      <c r="M39" s="77"/>
      <c r="N39" s="77"/>
    </row>
    <row r="40" spans="1:14" ht="15.95" customHeight="1" x14ac:dyDescent="0.15">
      <c r="A40" s="69" t="s">
        <v>165</v>
      </c>
      <c r="D40" s="75"/>
      <c r="E40" s="75"/>
      <c r="F40" s="76"/>
      <c r="G40" s="77"/>
      <c r="H40" s="53"/>
      <c r="I40" s="53"/>
      <c r="J40" s="53"/>
      <c r="K40" s="76"/>
      <c r="L40" s="78"/>
      <c r="M40" s="77"/>
      <c r="N40" s="77"/>
    </row>
    <row r="41" spans="1:14" ht="15.95" customHeight="1" x14ac:dyDescent="0.15">
      <c r="A41" s="69" t="s">
        <v>165</v>
      </c>
      <c r="D41" s="75"/>
      <c r="E41" s="75"/>
      <c r="F41" s="76"/>
      <c r="G41" s="77"/>
      <c r="H41" s="53"/>
      <c r="I41" s="53"/>
      <c r="J41" s="53"/>
      <c r="K41" s="76"/>
      <c r="L41" s="78"/>
      <c r="M41" s="77"/>
      <c r="N41" s="77"/>
    </row>
    <row r="42" spans="1:14" ht="15.95" customHeight="1" x14ac:dyDescent="0.15">
      <c r="A42" s="69" t="s">
        <v>165</v>
      </c>
      <c r="D42" s="75"/>
      <c r="E42" s="75"/>
      <c r="F42" s="76"/>
      <c r="G42" s="77"/>
      <c r="H42" s="53"/>
      <c r="I42" s="53"/>
      <c r="J42" s="53"/>
      <c r="K42" s="76"/>
      <c r="L42" s="78"/>
      <c r="M42" s="77"/>
      <c r="N42" s="77"/>
    </row>
    <row r="43" spans="1:14" ht="15.95" customHeight="1" x14ac:dyDescent="0.15">
      <c r="A43" s="69" t="s">
        <v>165</v>
      </c>
      <c r="D43" s="75"/>
      <c r="E43" s="75"/>
      <c r="F43" s="76"/>
      <c r="G43" s="77"/>
      <c r="H43" s="53"/>
      <c r="I43" s="53"/>
      <c r="J43" s="53"/>
      <c r="K43" s="76"/>
      <c r="L43" s="78"/>
      <c r="M43" s="77"/>
      <c r="N43" s="77"/>
    </row>
    <row r="44" spans="1:14" ht="15.95" customHeight="1" x14ac:dyDescent="0.15">
      <c r="A44" s="69" t="s">
        <v>165</v>
      </c>
      <c r="D44" s="79"/>
      <c r="E44" s="79"/>
      <c r="F44" s="80"/>
      <c r="G44" s="81"/>
      <c r="H44" s="82"/>
      <c r="I44" s="82"/>
      <c r="J44" s="82"/>
      <c r="K44" s="80"/>
      <c r="L44" s="83"/>
      <c r="M44" s="81"/>
      <c r="N44" s="81"/>
    </row>
    <row r="45" spans="1:14" ht="15.95" customHeight="1" x14ac:dyDescent="0.15">
      <c r="A45" s="69" t="s">
        <v>165</v>
      </c>
      <c r="D45" s="75"/>
      <c r="E45" s="75"/>
      <c r="F45" s="76"/>
      <c r="G45" s="77"/>
      <c r="H45" s="53"/>
      <c r="I45" s="53"/>
      <c r="J45" s="53"/>
      <c r="K45" s="76"/>
      <c r="L45" s="78"/>
      <c r="M45" s="77"/>
      <c r="N45" s="77"/>
    </row>
    <row r="46" spans="1:14" ht="15.95" customHeight="1" x14ac:dyDescent="0.15">
      <c r="B46" s="69" t="s">
        <v>126</v>
      </c>
      <c r="C46" s="69" t="s">
        <v>127</v>
      </c>
      <c r="D46" s="434" t="s">
        <v>892</v>
      </c>
      <c r="E46" s="430"/>
      <c r="F46" s="430"/>
      <c r="G46" s="430"/>
      <c r="H46" s="430"/>
      <c r="I46" s="430"/>
      <c r="J46" s="430"/>
      <c r="K46" s="430"/>
      <c r="L46" s="430"/>
      <c r="M46" s="430"/>
      <c r="N46" s="435"/>
    </row>
    <row r="47" spans="1:14" ht="15.95" customHeight="1" x14ac:dyDescent="0.15">
      <c r="A47" s="69" t="s">
        <v>129</v>
      </c>
      <c r="D47" s="75" t="s">
        <v>130</v>
      </c>
      <c r="E47" s="75"/>
      <c r="F47" s="76" t="s">
        <v>131</v>
      </c>
      <c r="G47" s="77"/>
      <c r="H47" s="53"/>
      <c r="I47" s="53"/>
      <c r="J47" s="53"/>
      <c r="K47" s="76"/>
      <c r="L47" s="78"/>
      <c r="M47" s="77"/>
      <c r="N47" s="77"/>
    </row>
    <row r="48" spans="1:14" ht="15.95" customHeight="1" x14ac:dyDescent="0.15">
      <c r="A48" s="69" t="s">
        <v>129</v>
      </c>
      <c r="D48" s="75" t="s">
        <v>257</v>
      </c>
      <c r="E48" s="75"/>
      <c r="F48" s="76" t="s">
        <v>131</v>
      </c>
      <c r="G48" s="77"/>
      <c r="H48" s="53"/>
      <c r="I48" s="53"/>
      <c r="J48" s="53"/>
      <c r="K48" s="76"/>
      <c r="L48" s="78"/>
      <c r="M48" s="77"/>
      <c r="N48" s="77"/>
    </row>
    <row r="49" spans="1:14" ht="15.95" customHeight="1" x14ac:dyDescent="0.15">
      <c r="A49" s="69" t="s">
        <v>129</v>
      </c>
      <c r="D49" s="75" t="s">
        <v>258</v>
      </c>
      <c r="E49" s="75"/>
      <c r="F49" s="76" t="s">
        <v>131</v>
      </c>
      <c r="G49" s="77"/>
      <c r="H49" s="53"/>
      <c r="I49" s="53"/>
      <c r="J49" s="53"/>
      <c r="K49" s="76"/>
      <c r="L49" s="78"/>
      <c r="M49" s="77"/>
      <c r="N49" s="77"/>
    </row>
    <row r="50" spans="1:14" ht="15.95" customHeight="1" x14ac:dyDescent="0.15">
      <c r="A50" s="69" t="s">
        <v>129</v>
      </c>
      <c r="B50" s="69" t="s">
        <v>259</v>
      </c>
      <c r="D50" s="75" t="s">
        <v>260</v>
      </c>
      <c r="E50" s="75" t="s">
        <v>261</v>
      </c>
      <c r="F50" s="76" t="s">
        <v>127</v>
      </c>
      <c r="G50" s="77">
        <f>IF(egTextCal(E50)&lt;&gt;0, egTextCal(E50),   )</f>
        <v>5</v>
      </c>
      <c r="H50" s="53" t="s">
        <v>262</v>
      </c>
      <c r="I50" s="53" t="s">
        <v>263</v>
      </c>
      <c r="J50" s="53" t="s">
        <v>264</v>
      </c>
      <c r="K50" s="76" t="s">
        <v>175</v>
      </c>
      <c r="L50" s="78">
        <v>1</v>
      </c>
      <c r="M50" s="77">
        <f>IF(egTextCal(L50)&lt;&gt;0, egTextCal(L50),   )</f>
        <v>1</v>
      </c>
      <c r="N50" s="77">
        <f>SUM(G50:G51)*M50</f>
        <v>5</v>
      </c>
    </row>
    <row r="51" spans="1:14" ht="15.95" customHeight="1" x14ac:dyDescent="0.15">
      <c r="A51" s="69" t="s">
        <v>129</v>
      </c>
      <c r="B51" s="69" t="s">
        <v>265</v>
      </c>
      <c r="D51" s="75"/>
      <c r="E51" s="75"/>
      <c r="F51" s="76" t="s">
        <v>189</v>
      </c>
      <c r="G51" s="77"/>
      <c r="H51" s="53" t="s">
        <v>266</v>
      </c>
      <c r="I51" s="53" t="s">
        <v>267</v>
      </c>
      <c r="J51" s="53" t="s">
        <v>268</v>
      </c>
      <c r="K51" s="76" t="s">
        <v>175</v>
      </c>
      <c r="L51" s="78">
        <v>2</v>
      </c>
      <c r="M51" s="77">
        <f>IF(egTextCal(L51)&lt;&gt;0, egTextCal(L51),   )</f>
        <v>2</v>
      </c>
      <c r="N51" s="77">
        <f>SUM(G50:G51)*M51</f>
        <v>10</v>
      </c>
    </row>
    <row r="52" spans="1:14" ht="15.95" customHeight="1" x14ac:dyDescent="0.15">
      <c r="A52" s="69" t="s">
        <v>129</v>
      </c>
      <c r="B52" s="69" t="s">
        <v>269</v>
      </c>
      <c r="D52" s="75" t="s">
        <v>270</v>
      </c>
      <c r="E52" s="75" t="s">
        <v>189</v>
      </c>
      <c r="F52" s="76" t="s">
        <v>127</v>
      </c>
      <c r="G52" s="77">
        <f>IF(egTextCal(E52)&lt;&gt;0, egTextCal(E52),   )</f>
        <v>2</v>
      </c>
      <c r="H52" s="53" t="s">
        <v>271</v>
      </c>
      <c r="I52" s="53" t="s">
        <v>263</v>
      </c>
      <c r="J52" s="53" t="s">
        <v>272</v>
      </c>
      <c r="K52" s="76" t="s">
        <v>175</v>
      </c>
      <c r="L52" s="78">
        <v>1</v>
      </c>
      <c r="M52" s="77">
        <f>IF(egTextCal(L52)&lt;&gt;0, egTextCal(L52),   )</f>
        <v>1</v>
      </c>
      <c r="N52" s="77">
        <f>SUM(G52:G53)*M52</f>
        <v>2</v>
      </c>
    </row>
    <row r="53" spans="1:14" ht="15.95" customHeight="1" x14ac:dyDescent="0.15">
      <c r="A53" s="69" t="s">
        <v>129</v>
      </c>
      <c r="B53" s="69" t="s">
        <v>273</v>
      </c>
      <c r="D53" s="75"/>
      <c r="E53" s="75"/>
      <c r="F53" s="76" t="s">
        <v>189</v>
      </c>
      <c r="G53" s="77"/>
      <c r="H53" s="53" t="s">
        <v>274</v>
      </c>
      <c r="I53" s="53" t="s">
        <v>267</v>
      </c>
      <c r="J53" s="53" t="s">
        <v>275</v>
      </c>
      <c r="K53" s="76" t="s">
        <v>175</v>
      </c>
      <c r="L53" s="78">
        <v>4</v>
      </c>
      <c r="M53" s="77">
        <f>IF(egTextCal(L53)&lt;&gt;0, egTextCal(L53),   )</f>
        <v>4</v>
      </c>
      <c r="N53" s="77">
        <f>SUM(G52:G53)*M53</f>
        <v>8</v>
      </c>
    </row>
    <row r="54" spans="1:14" ht="15.95" customHeight="1" x14ac:dyDescent="0.15">
      <c r="A54" s="69" t="s">
        <v>129</v>
      </c>
      <c r="B54" s="69" t="s">
        <v>269</v>
      </c>
      <c r="D54" s="75" t="s">
        <v>276</v>
      </c>
      <c r="E54" s="75" t="s">
        <v>127</v>
      </c>
      <c r="F54" s="76" t="s">
        <v>127</v>
      </c>
      <c r="G54" s="77">
        <f>IF(egTextCal(E54)&lt;&gt;0, egTextCal(E54),   )</f>
        <v>1</v>
      </c>
      <c r="H54" s="53" t="s">
        <v>271</v>
      </c>
      <c r="I54" s="53" t="s">
        <v>263</v>
      </c>
      <c r="J54" s="53" t="s">
        <v>272</v>
      </c>
      <c r="K54" s="76" t="s">
        <v>175</v>
      </c>
      <c r="L54" s="78">
        <v>0.5</v>
      </c>
      <c r="M54" s="77">
        <f>IF(egTextCal(L54)&lt;&gt;0, egTextCal(L54),   )</f>
        <v>0.5</v>
      </c>
      <c r="N54" s="77">
        <f>SUM(G54:G55)*M54</f>
        <v>0.5</v>
      </c>
    </row>
    <row r="55" spans="1:14" ht="15.95" customHeight="1" x14ac:dyDescent="0.15">
      <c r="A55" s="69" t="s">
        <v>129</v>
      </c>
      <c r="B55" s="69" t="s">
        <v>273</v>
      </c>
      <c r="D55" s="75"/>
      <c r="E55" s="75"/>
      <c r="F55" s="76" t="s">
        <v>189</v>
      </c>
      <c r="G55" s="77"/>
      <c r="H55" s="53" t="s">
        <v>274</v>
      </c>
      <c r="I55" s="53" t="s">
        <v>267</v>
      </c>
      <c r="J55" s="53" t="s">
        <v>275</v>
      </c>
      <c r="K55" s="76" t="s">
        <v>175</v>
      </c>
      <c r="L55" s="78" t="s">
        <v>277</v>
      </c>
      <c r="M55" s="77">
        <f>IF(egTextCal(L55)&lt;&gt;0, egTextCal(L55),   )</f>
        <v>6</v>
      </c>
      <c r="N55" s="77">
        <f>SUM(G54:G55)*M55</f>
        <v>6</v>
      </c>
    </row>
    <row r="56" spans="1:14" ht="15.95" customHeight="1" x14ac:dyDescent="0.15">
      <c r="A56" s="69" t="s">
        <v>129</v>
      </c>
      <c r="B56" s="69" t="s">
        <v>259</v>
      </c>
      <c r="D56" s="75" t="s">
        <v>278</v>
      </c>
      <c r="E56" s="75" t="s">
        <v>127</v>
      </c>
      <c r="F56" s="76" t="s">
        <v>127</v>
      </c>
      <c r="G56" s="77">
        <f>IF(egTextCal(E56)&lt;&gt;0, egTextCal(E56),   )</f>
        <v>1</v>
      </c>
      <c r="H56" s="53" t="s">
        <v>262</v>
      </c>
      <c r="I56" s="53" t="s">
        <v>263</v>
      </c>
      <c r="J56" s="53" t="s">
        <v>264</v>
      </c>
      <c r="K56" s="76" t="s">
        <v>175</v>
      </c>
      <c r="L56" s="78">
        <v>0.3</v>
      </c>
      <c r="M56" s="77">
        <f>IF(egTextCal(L56)&lt;&gt;0, egTextCal(L56),   )</f>
        <v>0.3</v>
      </c>
      <c r="N56" s="77">
        <f>SUM(G56:G59)*M56</f>
        <v>0.3</v>
      </c>
    </row>
    <row r="57" spans="1:14" ht="15.95" customHeight="1" x14ac:dyDescent="0.15">
      <c r="A57" s="69" t="s">
        <v>129</v>
      </c>
      <c r="B57" s="69" t="s">
        <v>265</v>
      </c>
      <c r="D57" s="75"/>
      <c r="E57" s="75"/>
      <c r="F57" s="76" t="s">
        <v>189</v>
      </c>
      <c r="G57" s="77"/>
      <c r="H57" s="53" t="s">
        <v>266</v>
      </c>
      <c r="I57" s="53" t="s">
        <v>267</v>
      </c>
      <c r="J57" s="53" t="s">
        <v>268</v>
      </c>
      <c r="K57" s="76" t="s">
        <v>175</v>
      </c>
      <c r="L57" s="78" t="s">
        <v>279</v>
      </c>
      <c r="M57" s="77">
        <f>IF(egTextCal(L57)&lt;&gt;0, egTextCal(L57),   )</f>
        <v>1</v>
      </c>
      <c r="N57" s="77">
        <f>SUM(G56:G59)*M57</f>
        <v>1</v>
      </c>
    </row>
    <row r="58" spans="1:14" ht="15.95" customHeight="1" x14ac:dyDescent="0.15">
      <c r="A58" s="69" t="s">
        <v>129</v>
      </c>
      <c r="B58" s="69" t="s">
        <v>280</v>
      </c>
      <c r="D58" s="75"/>
      <c r="E58" s="75"/>
      <c r="F58" s="76" t="s">
        <v>281</v>
      </c>
      <c r="G58" s="77"/>
      <c r="H58" s="53" t="s">
        <v>282</v>
      </c>
      <c r="I58" s="53" t="s">
        <v>283</v>
      </c>
      <c r="J58" s="53" t="s">
        <v>284</v>
      </c>
      <c r="K58" s="76" t="s">
        <v>145</v>
      </c>
      <c r="L58" s="78">
        <v>1</v>
      </c>
      <c r="M58" s="77">
        <f>IF(egTextCal(L58)&lt;&gt;0, egTextCal(L58),   )</f>
        <v>1</v>
      </c>
      <c r="N58" s="77">
        <f>SUM(G56:G59)*M58</f>
        <v>1</v>
      </c>
    </row>
    <row r="59" spans="1:14" ht="15.95" customHeight="1" x14ac:dyDescent="0.15">
      <c r="A59" s="69" t="s">
        <v>129</v>
      </c>
      <c r="B59" s="69" t="s">
        <v>285</v>
      </c>
      <c r="D59" s="75"/>
      <c r="E59" s="75"/>
      <c r="F59" s="76" t="s">
        <v>286</v>
      </c>
      <c r="G59" s="77"/>
      <c r="H59" s="53" t="s">
        <v>287</v>
      </c>
      <c r="I59" s="53" t="s">
        <v>143</v>
      </c>
      <c r="J59" s="53" t="s">
        <v>288</v>
      </c>
      <c r="K59" s="76" t="s">
        <v>145</v>
      </c>
      <c r="L59" s="78">
        <v>1</v>
      </c>
      <c r="M59" s="77">
        <f>IF(egTextCal(L59)&lt;&gt;0, egTextCal(L59),   )</f>
        <v>1</v>
      </c>
      <c r="N59" s="77">
        <f>SUM(G56:G59)*M59</f>
        <v>1</v>
      </c>
    </row>
    <row r="60" spans="1:14" ht="15.95" customHeight="1" x14ac:dyDescent="0.15">
      <c r="A60" s="69" t="s">
        <v>129</v>
      </c>
      <c r="B60" s="69" t="s">
        <v>259</v>
      </c>
      <c r="D60" s="75" t="s">
        <v>289</v>
      </c>
      <c r="E60" s="75" t="s">
        <v>127</v>
      </c>
      <c r="F60" s="76" t="s">
        <v>127</v>
      </c>
      <c r="G60" s="77">
        <f>IF(egTextCal(E60)&lt;&gt;0, egTextCal(E60),   )</f>
        <v>1</v>
      </c>
      <c r="H60" s="53" t="s">
        <v>262</v>
      </c>
      <c r="I60" s="53" t="s">
        <v>263</v>
      </c>
      <c r="J60" s="53" t="s">
        <v>264</v>
      </c>
      <c r="K60" s="76" t="s">
        <v>175</v>
      </c>
      <c r="L60" s="78">
        <v>0.3</v>
      </c>
      <c r="M60" s="77">
        <f>IF(egTextCal(L60)&lt;&gt;0, egTextCal(L60),   )</f>
        <v>0.3</v>
      </c>
      <c r="N60" s="77">
        <f>SUM(G60:G66)*M60</f>
        <v>0.3</v>
      </c>
    </row>
    <row r="61" spans="1:14" ht="15.95" customHeight="1" x14ac:dyDescent="0.15">
      <c r="A61" s="69" t="s">
        <v>129</v>
      </c>
      <c r="B61" s="69" t="s">
        <v>265</v>
      </c>
      <c r="D61" s="75"/>
      <c r="E61" s="75"/>
      <c r="F61" s="76" t="s">
        <v>189</v>
      </c>
      <c r="G61" s="77"/>
      <c r="H61" s="53" t="s">
        <v>266</v>
      </c>
      <c r="I61" s="53" t="s">
        <v>267</v>
      </c>
      <c r="J61" s="53" t="s">
        <v>268</v>
      </c>
      <c r="K61" s="76" t="s">
        <v>175</v>
      </c>
      <c r="L61" s="78" t="s">
        <v>279</v>
      </c>
      <c r="M61" s="77">
        <f>IF(egTextCal(L61)&lt;&gt;0, egTextCal(L61),   )</f>
        <v>1</v>
      </c>
      <c r="N61" s="77">
        <f>SUM(G60:G66)*M61</f>
        <v>1</v>
      </c>
    </row>
    <row r="62" spans="1:14" ht="15.95" customHeight="1" x14ac:dyDescent="0.15">
      <c r="A62" s="69" t="s">
        <v>129</v>
      </c>
      <c r="B62" s="69" t="s">
        <v>259</v>
      </c>
      <c r="D62" s="75"/>
      <c r="E62" s="75"/>
      <c r="F62" s="76" t="s">
        <v>281</v>
      </c>
      <c r="G62" s="77"/>
      <c r="H62" s="53" t="s">
        <v>262</v>
      </c>
      <c r="I62" s="53" t="s">
        <v>263</v>
      </c>
      <c r="J62" s="53" t="s">
        <v>264</v>
      </c>
      <c r="K62" s="76" t="s">
        <v>175</v>
      </c>
      <c r="L62" s="78">
        <v>0.3</v>
      </c>
      <c r="M62" s="77">
        <f>IF(egTextCal(L62)&lt;&gt;0, egTextCal(L62),   )</f>
        <v>0.3</v>
      </c>
      <c r="N62" s="77">
        <f>SUM(G60:G66)*M62</f>
        <v>0.3</v>
      </c>
    </row>
    <row r="63" spans="1:14" ht="15.95" customHeight="1" x14ac:dyDescent="0.15">
      <c r="A63" s="69" t="s">
        <v>129</v>
      </c>
      <c r="B63" s="69" t="s">
        <v>273</v>
      </c>
      <c r="D63" s="75"/>
      <c r="E63" s="75"/>
      <c r="F63" s="76" t="s">
        <v>286</v>
      </c>
      <c r="G63" s="77"/>
      <c r="H63" s="53" t="s">
        <v>274</v>
      </c>
      <c r="I63" s="53" t="s">
        <v>267</v>
      </c>
      <c r="J63" s="53" t="s">
        <v>275</v>
      </c>
      <c r="K63" s="76" t="s">
        <v>175</v>
      </c>
      <c r="L63" s="78" t="s">
        <v>290</v>
      </c>
      <c r="M63" s="77">
        <f>IF(egTextCal(L63)&lt;&gt;0, egTextCal(L63),   )</f>
        <v>2</v>
      </c>
      <c r="N63" s="77">
        <f>SUM(G60:G66)*M63</f>
        <v>2</v>
      </c>
    </row>
    <row r="64" spans="1:14" ht="15.95" customHeight="1" x14ac:dyDescent="0.15">
      <c r="A64" s="69" t="s">
        <v>129</v>
      </c>
      <c r="B64" s="69" t="s">
        <v>291</v>
      </c>
      <c r="D64" s="75"/>
      <c r="E64" s="75"/>
      <c r="F64" s="76" t="s">
        <v>261</v>
      </c>
      <c r="G64" s="77"/>
      <c r="H64" s="53" t="s">
        <v>292</v>
      </c>
      <c r="I64" s="53" t="s">
        <v>283</v>
      </c>
      <c r="J64" s="53" t="s">
        <v>293</v>
      </c>
      <c r="K64" s="76" t="s">
        <v>145</v>
      </c>
      <c r="L64" s="78">
        <v>1</v>
      </c>
      <c r="M64" s="77">
        <f>IF(egTextCal(L64)&lt;&gt;0, egTextCal(L64),   )</f>
        <v>1</v>
      </c>
      <c r="N64" s="77">
        <f>SUM(G60:G66)*M64</f>
        <v>1</v>
      </c>
    </row>
    <row r="65" spans="1:14" ht="15.95" customHeight="1" x14ac:dyDescent="0.15">
      <c r="A65" s="69" t="s">
        <v>129</v>
      </c>
      <c r="B65" s="69" t="s">
        <v>294</v>
      </c>
      <c r="D65" s="75"/>
      <c r="E65" s="75"/>
      <c r="F65" s="76" t="s">
        <v>295</v>
      </c>
      <c r="G65" s="77"/>
      <c r="H65" s="53" t="s">
        <v>296</v>
      </c>
      <c r="I65" s="53" t="s">
        <v>297</v>
      </c>
      <c r="J65" s="53" t="s">
        <v>298</v>
      </c>
      <c r="K65" s="76" t="s">
        <v>145</v>
      </c>
      <c r="L65" s="78">
        <v>1</v>
      </c>
      <c r="M65" s="77">
        <f>IF(egTextCal(L65)&lt;&gt;0, egTextCal(L65),   )</f>
        <v>1</v>
      </c>
      <c r="N65" s="77">
        <f>SUM(G60:G66)*M65</f>
        <v>1</v>
      </c>
    </row>
    <row r="66" spans="1:14" ht="15.95" customHeight="1" x14ac:dyDescent="0.15">
      <c r="A66" s="69" t="s">
        <v>129</v>
      </c>
      <c r="B66" s="69" t="s">
        <v>285</v>
      </c>
      <c r="D66" s="75"/>
      <c r="E66" s="75"/>
      <c r="F66" s="76" t="s">
        <v>299</v>
      </c>
      <c r="G66" s="77"/>
      <c r="H66" s="53" t="s">
        <v>287</v>
      </c>
      <c r="I66" s="53" t="s">
        <v>143</v>
      </c>
      <c r="J66" s="53" t="s">
        <v>288</v>
      </c>
      <c r="K66" s="76" t="s">
        <v>145</v>
      </c>
      <c r="L66" s="78">
        <v>1</v>
      </c>
      <c r="M66" s="77">
        <f>IF(egTextCal(L66)&lt;&gt;0, egTextCal(L66),   )</f>
        <v>1</v>
      </c>
      <c r="N66" s="77">
        <f>SUM(G60:G66)*M66</f>
        <v>1</v>
      </c>
    </row>
    <row r="67" spans="1:14" ht="15.95" customHeight="1" x14ac:dyDescent="0.15">
      <c r="A67" s="69" t="s">
        <v>129</v>
      </c>
      <c r="D67" s="75"/>
      <c r="E67" s="75"/>
      <c r="F67" s="76" t="s">
        <v>131</v>
      </c>
      <c r="G67" s="77"/>
      <c r="H67" s="53"/>
      <c r="I67" s="53"/>
      <c r="J67" s="53"/>
      <c r="K67" s="76"/>
      <c r="L67" s="78"/>
      <c r="M67" s="77"/>
      <c r="N67" s="77"/>
    </row>
    <row r="68" spans="1:14" ht="15.95" customHeight="1" x14ac:dyDescent="0.15">
      <c r="A68" s="69" t="s">
        <v>129</v>
      </c>
      <c r="D68" s="75" t="s">
        <v>258</v>
      </c>
      <c r="E68" s="75"/>
      <c r="F68" s="76" t="s">
        <v>131</v>
      </c>
      <c r="G68" s="77"/>
      <c r="H68" s="53"/>
      <c r="I68" s="53"/>
      <c r="J68" s="53"/>
      <c r="K68" s="76"/>
      <c r="L68" s="78"/>
      <c r="M68" s="77"/>
      <c r="N68" s="77"/>
    </row>
    <row r="69" spans="1:14" ht="15.95" customHeight="1" x14ac:dyDescent="0.15">
      <c r="A69" s="69" t="s">
        <v>129</v>
      </c>
      <c r="B69" s="69" t="s">
        <v>269</v>
      </c>
      <c r="D69" s="75" t="s">
        <v>300</v>
      </c>
      <c r="E69" s="75" t="s">
        <v>295</v>
      </c>
      <c r="F69" s="76" t="s">
        <v>127</v>
      </c>
      <c r="G69" s="77">
        <f>IF(egTextCal(E69)&lt;&gt;0, egTextCal(E69),   )</f>
        <v>6</v>
      </c>
      <c r="H69" s="53" t="s">
        <v>271</v>
      </c>
      <c r="I69" s="53" t="s">
        <v>263</v>
      </c>
      <c r="J69" s="53" t="s">
        <v>272</v>
      </c>
      <c r="K69" s="76" t="s">
        <v>175</v>
      </c>
      <c r="L69" s="78">
        <v>1</v>
      </c>
      <c r="M69" s="77">
        <f>IF(egTextCal(L69)&lt;&gt;0, egTextCal(L69),   )</f>
        <v>1</v>
      </c>
      <c r="N69" s="77">
        <f>SUM(G69:G70)*M69</f>
        <v>6</v>
      </c>
    </row>
    <row r="70" spans="1:14" ht="15.95" customHeight="1" x14ac:dyDescent="0.15">
      <c r="A70" s="69" t="s">
        <v>129</v>
      </c>
      <c r="B70" s="69" t="s">
        <v>301</v>
      </c>
      <c r="D70" s="75"/>
      <c r="E70" s="75"/>
      <c r="F70" s="76" t="s">
        <v>189</v>
      </c>
      <c r="G70" s="77"/>
      <c r="H70" s="53" t="s">
        <v>302</v>
      </c>
      <c r="I70" s="53" t="s">
        <v>303</v>
      </c>
      <c r="J70" s="53" t="s">
        <v>304</v>
      </c>
      <c r="K70" s="76" t="s">
        <v>175</v>
      </c>
      <c r="L70" s="78">
        <v>1</v>
      </c>
      <c r="M70" s="77">
        <f>IF(egTextCal(L70)&lt;&gt;0, egTextCal(L70),   )</f>
        <v>1</v>
      </c>
      <c r="N70" s="77">
        <f>SUM(G69:G70)*M70</f>
        <v>6</v>
      </c>
    </row>
    <row r="71" spans="1:14" ht="15.95" customHeight="1" x14ac:dyDescent="0.15">
      <c r="A71" s="69" t="s">
        <v>129</v>
      </c>
      <c r="B71" s="69" t="s">
        <v>269</v>
      </c>
      <c r="D71" s="75" t="s">
        <v>305</v>
      </c>
      <c r="E71" s="75" t="s">
        <v>127</v>
      </c>
      <c r="F71" s="76" t="s">
        <v>127</v>
      </c>
      <c r="G71" s="77">
        <f>IF(egTextCal(E71)&lt;&gt;0, egTextCal(E71),   )</f>
        <v>1</v>
      </c>
      <c r="H71" s="53" t="s">
        <v>271</v>
      </c>
      <c r="I71" s="53" t="s">
        <v>263</v>
      </c>
      <c r="J71" s="53" t="s">
        <v>272</v>
      </c>
      <c r="K71" s="76" t="s">
        <v>175</v>
      </c>
      <c r="L71" s="78">
        <v>0.5</v>
      </c>
      <c r="M71" s="77">
        <f>IF(egTextCal(L71)&lt;&gt;0, egTextCal(L71),   )</f>
        <v>0.5</v>
      </c>
      <c r="N71" s="77">
        <f>SUM(G71:G72)*M71</f>
        <v>0.5</v>
      </c>
    </row>
    <row r="72" spans="1:14" ht="15.95" customHeight="1" x14ac:dyDescent="0.15">
      <c r="A72" s="69" t="s">
        <v>129</v>
      </c>
      <c r="B72" s="69" t="s">
        <v>301</v>
      </c>
      <c r="D72" s="75"/>
      <c r="E72" s="75"/>
      <c r="F72" s="76" t="s">
        <v>189</v>
      </c>
      <c r="G72" s="77"/>
      <c r="H72" s="53" t="s">
        <v>302</v>
      </c>
      <c r="I72" s="53" t="s">
        <v>303</v>
      </c>
      <c r="J72" s="53" t="s">
        <v>304</v>
      </c>
      <c r="K72" s="76" t="s">
        <v>175</v>
      </c>
      <c r="L72" s="78" t="s">
        <v>306</v>
      </c>
      <c r="M72" s="77">
        <f>IF(egTextCal(L72)&lt;&gt;0, egTextCal(L72),   )</f>
        <v>2.5</v>
      </c>
      <c r="N72" s="77">
        <f>SUM(G71:G72)*M72</f>
        <v>2.5</v>
      </c>
    </row>
    <row r="73" spans="1:14" ht="15.95" customHeight="1" x14ac:dyDescent="0.15">
      <c r="A73" s="69" t="s">
        <v>129</v>
      </c>
      <c r="B73" s="69" t="s">
        <v>269</v>
      </c>
      <c r="D73" s="75" t="s">
        <v>307</v>
      </c>
      <c r="E73" s="75" t="s">
        <v>127</v>
      </c>
      <c r="F73" s="76" t="s">
        <v>127</v>
      </c>
      <c r="G73" s="77">
        <f>IF(egTextCal(E73)&lt;&gt;0, egTextCal(E73),   )</f>
        <v>1</v>
      </c>
      <c r="H73" s="53" t="s">
        <v>271</v>
      </c>
      <c r="I73" s="53" t="s">
        <v>263</v>
      </c>
      <c r="J73" s="53" t="s">
        <v>272</v>
      </c>
      <c r="K73" s="76" t="s">
        <v>175</v>
      </c>
      <c r="L73" s="78">
        <v>0.3</v>
      </c>
      <c r="M73" s="77">
        <f>IF(egTextCal(L73)&lt;&gt;0, egTextCal(L73),   )</f>
        <v>0.3</v>
      </c>
      <c r="N73" s="77">
        <f>SUM(G73:G76)*M73</f>
        <v>0.3</v>
      </c>
    </row>
    <row r="74" spans="1:14" ht="15.95" customHeight="1" x14ac:dyDescent="0.15">
      <c r="A74" s="69" t="s">
        <v>129</v>
      </c>
      <c r="B74" s="69" t="s">
        <v>301</v>
      </c>
      <c r="D74" s="75"/>
      <c r="E74" s="75"/>
      <c r="F74" s="76" t="s">
        <v>189</v>
      </c>
      <c r="G74" s="77"/>
      <c r="H74" s="53" t="s">
        <v>302</v>
      </c>
      <c r="I74" s="53" t="s">
        <v>303</v>
      </c>
      <c r="J74" s="53" t="s">
        <v>304</v>
      </c>
      <c r="K74" s="76" t="s">
        <v>175</v>
      </c>
      <c r="L74" s="78" t="s">
        <v>308</v>
      </c>
      <c r="M74" s="77">
        <f>IF(egTextCal(L74)&lt;&gt;0, egTextCal(L74),   )</f>
        <v>0.5</v>
      </c>
      <c r="N74" s="77">
        <f>SUM(G73:G76)*M74</f>
        <v>0.5</v>
      </c>
    </row>
    <row r="75" spans="1:14" ht="15.95" customHeight="1" x14ac:dyDescent="0.15">
      <c r="A75" s="69" t="s">
        <v>129</v>
      </c>
      <c r="B75" s="69" t="s">
        <v>280</v>
      </c>
      <c r="D75" s="75"/>
      <c r="E75" s="75"/>
      <c r="F75" s="76" t="s">
        <v>281</v>
      </c>
      <c r="G75" s="77"/>
      <c r="H75" s="53" t="s">
        <v>282</v>
      </c>
      <c r="I75" s="53" t="s">
        <v>283</v>
      </c>
      <c r="J75" s="53" t="s">
        <v>284</v>
      </c>
      <c r="K75" s="76" t="s">
        <v>145</v>
      </c>
      <c r="L75" s="78">
        <v>1</v>
      </c>
      <c r="M75" s="77">
        <f>IF(egTextCal(L75)&lt;&gt;0, egTextCal(L75),   )</f>
        <v>1</v>
      </c>
      <c r="N75" s="77">
        <f>SUM(G73:G76)*M75</f>
        <v>1</v>
      </c>
    </row>
    <row r="76" spans="1:14" ht="15.95" customHeight="1" x14ac:dyDescent="0.15">
      <c r="A76" s="69" t="s">
        <v>129</v>
      </c>
      <c r="B76" s="69" t="s">
        <v>309</v>
      </c>
      <c r="D76" s="75"/>
      <c r="E76" s="75"/>
      <c r="F76" s="76" t="s">
        <v>286</v>
      </c>
      <c r="G76" s="77"/>
      <c r="H76" s="53" t="s">
        <v>310</v>
      </c>
      <c r="I76" s="53" t="s">
        <v>311</v>
      </c>
      <c r="J76" s="53" t="s">
        <v>312</v>
      </c>
      <c r="K76" s="76" t="s">
        <v>145</v>
      </c>
      <c r="L76" s="78">
        <v>1</v>
      </c>
      <c r="M76" s="77">
        <f>IF(egTextCal(L76)&lt;&gt;0, egTextCal(L76),   )</f>
        <v>1</v>
      </c>
      <c r="N76" s="77">
        <f>SUM(G73:G76)*M76</f>
        <v>1</v>
      </c>
    </row>
    <row r="77" spans="1:14" ht="15.95" customHeight="1" x14ac:dyDescent="0.15">
      <c r="A77" s="69" t="s">
        <v>129</v>
      </c>
      <c r="D77" s="75"/>
      <c r="E77" s="75"/>
      <c r="F77" s="76" t="s">
        <v>131</v>
      </c>
      <c r="G77" s="77"/>
      <c r="H77" s="53"/>
      <c r="I77" s="53"/>
      <c r="J77" s="53"/>
      <c r="K77" s="76"/>
      <c r="L77" s="78"/>
      <c r="M77" s="77"/>
      <c r="N77" s="77"/>
    </row>
    <row r="78" spans="1:14" ht="15.95" customHeight="1" x14ac:dyDescent="0.15">
      <c r="A78" s="69" t="s">
        <v>129</v>
      </c>
      <c r="D78" s="75" t="s">
        <v>313</v>
      </c>
      <c r="E78" s="75"/>
      <c r="F78" s="76" t="s">
        <v>131</v>
      </c>
      <c r="G78" s="77"/>
      <c r="H78" s="53"/>
      <c r="I78" s="53"/>
      <c r="J78" s="53"/>
      <c r="K78" s="76"/>
      <c r="L78" s="78"/>
      <c r="M78" s="77"/>
      <c r="N78" s="77"/>
    </row>
    <row r="79" spans="1:14" ht="15.95" customHeight="1" x14ac:dyDescent="0.15">
      <c r="A79" s="69" t="s">
        <v>129</v>
      </c>
      <c r="B79" s="69" t="s">
        <v>259</v>
      </c>
      <c r="D79" s="75" t="s">
        <v>260</v>
      </c>
      <c r="E79" s="75" t="s">
        <v>286</v>
      </c>
      <c r="F79" s="76" t="s">
        <v>127</v>
      </c>
      <c r="G79" s="77">
        <f>IF(egTextCal(E79)&lt;&gt;0, egTextCal(E79),   )</f>
        <v>4</v>
      </c>
      <c r="H79" s="53" t="s">
        <v>262</v>
      </c>
      <c r="I79" s="53" t="s">
        <v>263</v>
      </c>
      <c r="J79" s="53" t="s">
        <v>264</v>
      </c>
      <c r="K79" s="76" t="s">
        <v>175</v>
      </c>
      <c r="L79" s="78">
        <v>1</v>
      </c>
      <c r="M79" s="77">
        <f>IF(egTextCal(L79)&lt;&gt;0, egTextCal(L79),   )</f>
        <v>1</v>
      </c>
      <c r="N79" s="77">
        <f>SUM(G79:G80)*M79</f>
        <v>4</v>
      </c>
    </row>
    <row r="80" spans="1:14" ht="15.95" customHeight="1" x14ac:dyDescent="0.15">
      <c r="A80" s="69" t="s">
        <v>129</v>
      </c>
      <c r="B80" s="69" t="s">
        <v>265</v>
      </c>
      <c r="D80" s="75"/>
      <c r="E80" s="75"/>
      <c r="F80" s="76" t="s">
        <v>189</v>
      </c>
      <c r="G80" s="77"/>
      <c r="H80" s="53" t="s">
        <v>266</v>
      </c>
      <c r="I80" s="53" t="s">
        <v>267</v>
      </c>
      <c r="J80" s="53" t="s">
        <v>268</v>
      </c>
      <c r="K80" s="76" t="s">
        <v>175</v>
      </c>
      <c r="L80" s="78">
        <v>2</v>
      </c>
      <c r="M80" s="77">
        <f>IF(egTextCal(L80)&lt;&gt;0, egTextCal(L80),   )</f>
        <v>2</v>
      </c>
      <c r="N80" s="77">
        <f>SUM(G79:G80)*M80</f>
        <v>8</v>
      </c>
    </row>
    <row r="81" spans="1:14" ht="15.95" customHeight="1" x14ac:dyDescent="0.15">
      <c r="A81" s="69" t="s">
        <v>129</v>
      </c>
      <c r="B81" s="69" t="s">
        <v>269</v>
      </c>
      <c r="D81" s="75" t="s">
        <v>270</v>
      </c>
      <c r="E81" s="75" t="s">
        <v>261</v>
      </c>
      <c r="F81" s="76" t="s">
        <v>127</v>
      </c>
      <c r="G81" s="77">
        <f>IF(egTextCal(E81)&lt;&gt;0, egTextCal(E81),   )</f>
        <v>5</v>
      </c>
      <c r="H81" s="53" t="s">
        <v>271</v>
      </c>
      <c r="I81" s="53" t="s">
        <v>263</v>
      </c>
      <c r="J81" s="53" t="s">
        <v>272</v>
      </c>
      <c r="K81" s="76" t="s">
        <v>175</v>
      </c>
      <c r="L81" s="78">
        <v>1</v>
      </c>
      <c r="M81" s="77">
        <f>IF(egTextCal(L81)&lt;&gt;0, egTextCal(L81),   )</f>
        <v>1</v>
      </c>
      <c r="N81" s="77">
        <f>SUM(G81:G82)*M81</f>
        <v>5</v>
      </c>
    </row>
    <row r="82" spans="1:14" ht="15.95" customHeight="1" x14ac:dyDescent="0.15">
      <c r="A82" s="69" t="s">
        <v>129</v>
      </c>
      <c r="B82" s="69" t="s">
        <v>273</v>
      </c>
      <c r="D82" s="75"/>
      <c r="E82" s="75"/>
      <c r="F82" s="76" t="s">
        <v>189</v>
      </c>
      <c r="G82" s="77"/>
      <c r="H82" s="53" t="s">
        <v>274</v>
      </c>
      <c r="I82" s="53" t="s">
        <v>267</v>
      </c>
      <c r="J82" s="53" t="s">
        <v>275</v>
      </c>
      <c r="K82" s="76" t="s">
        <v>175</v>
      </c>
      <c r="L82" s="78">
        <v>4</v>
      </c>
      <c r="M82" s="77">
        <f>IF(egTextCal(L82)&lt;&gt;0, egTextCal(L82),   )</f>
        <v>4</v>
      </c>
      <c r="N82" s="77">
        <f>SUM(G81:G82)*M82</f>
        <v>20</v>
      </c>
    </row>
    <row r="83" spans="1:14" ht="15.95" customHeight="1" x14ac:dyDescent="0.15">
      <c r="A83" s="69" t="s">
        <v>129</v>
      </c>
      <c r="B83" s="69" t="s">
        <v>269</v>
      </c>
      <c r="D83" s="75" t="s">
        <v>276</v>
      </c>
      <c r="E83" s="75" t="s">
        <v>127</v>
      </c>
      <c r="F83" s="76" t="s">
        <v>127</v>
      </c>
      <c r="G83" s="77">
        <f>IF(egTextCal(E83)&lt;&gt;0, egTextCal(E83),   )</f>
        <v>1</v>
      </c>
      <c r="H83" s="53" t="s">
        <v>271</v>
      </c>
      <c r="I83" s="53" t="s">
        <v>263</v>
      </c>
      <c r="J83" s="53" t="s">
        <v>272</v>
      </c>
      <c r="K83" s="76" t="s">
        <v>175</v>
      </c>
      <c r="L83" s="78">
        <v>0.5</v>
      </c>
      <c r="M83" s="77">
        <f>IF(egTextCal(L83)&lt;&gt;0, egTextCal(L83),   )</f>
        <v>0.5</v>
      </c>
      <c r="N83" s="77">
        <f>SUM(G83:G84)*M83</f>
        <v>0.5</v>
      </c>
    </row>
    <row r="84" spans="1:14" ht="15.95" customHeight="1" x14ac:dyDescent="0.15">
      <c r="A84" s="69" t="s">
        <v>129</v>
      </c>
      <c r="B84" s="69" t="s">
        <v>273</v>
      </c>
      <c r="D84" s="75"/>
      <c r="E84" s="75"/>
      <c r="F84" s="76" t="s">
        <v>189</v>
      </c>
      <c r="G84" s="77"/>
      <c r="H84" s="53" t="s">
        <v>274</v>
      </c>
      <c r="I84" s="53" t="s">
        <v>267</v>
      </c>
      <c r="J84" s="53" t="s">
        <v>275</v>
      </c>
      <c r="K84" s="76" t="s">
        <v>175</v>
      </c>
      <c r="L84" s="78" t="s">
        <v>277</v>
      </c>
      <c r="M84" s="77">
        <f>IF(egTextCal(L84)&lt;&gt;0, egTextCal(L84),   )</f>
        <v>6</v>
      </c>
      <c r="N84" s="77">
        <f>SUM(G83:G84)*M84</f>
        <v>6</v>
      </c>
    </row>
    <row r="85" spans="1:14" ht="15.95" customHeight="1" x14ac:dyDescent="0.15">
      <c r="A85" s="69" t="s">
        <v>129</v>
      </c>
      <c r="B85" s="69" t="s">
        <v>259</v>
      </c>
      <c r="D85" s="75" t="s">
        <v>278</v>
      </c>
      <c r="E85" s="75" t="s">
        <v>127</v>
      </c>
      <c r="F85" s="76" t="s">
        <v>127</v>
      </c>
      <c r="G85" s="77">
        <f>IF(egTextCal(E85)&lt;&gt;0, egTextCal(E85),   )</f>
        <v>1</v>
      </c>
      <c r="H85" s="53" t="s">
        <v>262</v>
      </c>
      <c r="I85" s="53" t="s">
        <v>263</v>
      </c>
      <c r="J85" s="53" t="s">
        <v>264</v>
      </c>
      <c r="K85" s="76" t="s">
        <v>175</v>
      </c>
      <c r="L85" s="78">
        <v>0.3</v>
      </c>
      <c r="M85" s="77">
        <f>IF(egTextCal(L85)&lt;&gt;0, egTextCal(L85),   )</f>
        <v>0.3</v>
      </c>
      <c r="N85" s="77">
        <f>SUM(G85:G88)*M85</f>
        <v>0.3</v>
      </c>
    </row>
    <row r="86" spans="1:14" ht="15.95" customHeight="1" x14ac:dyDescent="0.15">
      <c r="A86" s="69" t="s">
        <v>129</v>
      </c>
      <c r="B86" s="69" t="s">
        <v>265</v>
      </c>
      <c r="D86" s="75"/>
      <c r="E86" s="75"/>
      <c r="F86" s="76" t="s">
        <v>189</v>
      </c>
      <c r="G86" s="77"/>
      <c r="H86" s="53" t="s">
        <v>266</v>
      </c>
      <c r="I86" s="53" t="s">
        <v>267</v>
      </c>
      <c r="J86" s="53" t="s">
        <v>268</v>
      </c>
      <c r="K86" s="76" t="s">
        <v>175</v>
      </c>
      <c r="L86" s="78" t="s">
        <v>279</v>
      </c>
      <c r="M86" s="77">
        <f>IF(egTextCal(L86)&lt;&gt;0, egTextCal(L86),   )</f>
        <v>1</v>
      </c>
      <c r="N86" s="77">
        <f>SUM(G85:G88)*M86</f>
        <v>1</v>
      </c>
    </row>
    <row r="87" spans="1:14" ht="15.95" customHeight="1" x14ac:dyDescent="0.15">
      <c r="A87" s="69" t="s">
        <v>129</v>
      </c>
      <c r="B87" s="69" t="s">
        <v>280</v>
      </c>
      <c r="C87" s="69" t="s">
        <v>314</v>
      </c>
      <c r="D87" s="75"/>
      <c r="E87" s="75"/>
      <c r="F87" s="76" t="s">
        <v>281</v>
      </c>
      <c r="G87" s="77"/>
      <c r="H87" s="53" t="s">
        <v>282</v>
      </c>
      <c r="I87" s="53" t="s">
        <v>283</v>
      </c>
      <c r="J87" s="53" t="s">
        <v>284</v>
      </c>
      <c r="K87" s="76" t="s">
        <v>145</v>
      </c>
      <c r="L87" s="78">
        <v>1</v>
      </c>
      <c r="M87" s="77">
        <f>IF(egTextCal(L87)&lt;&gt;0, egTextCal(L87),   )</f>
        <v>1</v>
      </c>
      <c r="N87" s="77">
        <f>SUM(G85:G88)*M87</f>
        <v>1</v>
      </c>
    </row>
    <row r="88" spans="1:14" ht="15.95" customHeight="1" x14ac:dyDescent="0.15">
      <c r="A88" s="69" t="s">
        <v>129</v>
      </c>
      <c r="B88" s="69" t="s">
        <v>285</v>
      </c>
      <c r="C88" s="69" t="s">
        <v>315</v>
      </c>
      <c r="D88" s="75"/>
      <c r="E88" s="75"/>
      <c r="F88" s="76" t="s">
        <v>286</v>
      </c>
      <c r="G88" s="77"/>
      <c r="H88" s="53" t="s">
        <v>287</v>
      </c>
      <c r="I88" s="53" t="s">
        <v>143</v>
      </c>
      <c r="J88" s="53" t="s">
        <v>288</v>
      </c>
      <c r="K88" s="76" t="s">
        <v>145</v>
      </c>
      <c r="L88" s="78">
        <v>1</v>
      </c>
      <c r="M88" s="77">
        <f>IF(egTextCal(L88)&lt;&gt;0, egTextCal(L88),   )</f>
        <v>1</v>
      </c>
      <c r="N88" s="77">
        <f>SUM(G85:G88)*M88</f>
        <v>1</v>
      </c>
    </row>
    <row r="89" spans="1:14" ht="15.95" customHeight="1" x14ac:dyDescent="0.15">
      <c r="A89" s="69" t="s">
        <v>129</v>
      </c>
      <c r="B89" s="69" t="s">
        <v>259</v>
      </c>
      <c r="D89" s="75" t="s">
        <v>289</v>
      </c>
      <c r="E89" s="75" t="s">
        <v>127</v>
      </c>
      <c r="F89" s="76" t="s">
        <v>127</v>
      </c>
      <c r="G89" s="77">
        <f>IF(egTextCal(E89)&lt;&gt;0, egTextCal(E89),   )</f>
        <v>1</v>
      </c>
      <c r="H89" s="53" t="s">
        <v>262</v>
      </c>
      <c r="I89" s="53" t="s">
        <v>263</v>
      </c>
      <c r="J89" s="53" t="s">
        <v>264</v>
      </c>
      <c r="K89" s="76" t="s">
        <v>175</v>
      </c>
      <c r="L89" s="78">
        <v>0.3</v>
      </c>
      <c r="M89" s="77">
        <f>IF(egTextCal(L89)&lt;&gt;0, egTextCal(L89),   )</f>
        <v>0.3</v>
      </c>
      <c r="N89" s="77">
        <f>SUM(G89:G95)*M89</f>
        <v>0.3</v>
      </c>
    </row>
    <row r="90" spans="1:14" ht="15.95" customHeight="1" x14ac:dyDescent="0.15">
      <c r="A90" s="69" t="s">
        <v>129</v>
      </c>
      <c r="B90" s="69" t="s">
        <v>265</v>
      </c>
      <c r="D90" s="75"/>
      <c r="E90" s="75"/>
      <c r="F90" s="76" t="s">
        <v>189</v>
      </c>
      <c r="G90" s="77"/>
      <c r="H90" s="53" t="s">
        <v>266</v>
      </c>
      <c r="I90" s="53" t="s">
        <v>267</v>
      </c>
      <c r="J90" s="53" t="s">
        <v>268</v>
      </c>
      <c r="K90" s="76" t="s">
        <v>175</v>
      </c>
      <c r="L90" s="78" t="s">
        <v>279</v>
      </c>
      <c r="M90" s="77">
        <f>IF(egTextCal(L90)&lt;&gt;0, egTextCal(L90),   )</f>
        <v>1</v>
      </c>
      <c r="N90" s="77">
        <f>SUM(G89:G95)*M90</f>
        <v>1</v>
      </c>
    </row>
    <row r="91" spans="1:14" ht="15.95" customHeight="1" x14ac:dyDescent="0.15">
      <c r="A91" s="69" t="s">
        <v>129</v>
      </c>
      <c r="B91" s="69" t="s">
        <v>259</v>
      </c>
      <c r="D91" s="75"/>
      <c r="E91" s="75"/>
      <c r="F91" s="76" t="s">
        <v>281</v>
      </c>
      <c r="G91" s="77"/>
      <c r="H91" s="53" t="s">
        <v>262</v>
      </c>
      <c r="I91" s="53" t="s">
        <v>263</v>
      </c>
      <c r="J91" s="53" t="s">
        <v>264</v>
      </c>
      <c r="K91" s="76" t="s">
        <v>175</v>
      </c>
      <c r="L91" s="78">
        <v>0.3</v>
      </c>
      <c r="M91" s="77">
        <f>IF(egTextCal(L91)&lt;&gt;0, egTextCal(L91),   )</f>
        <v>0.3</v>
      </c>
      <c r="N91" s="77">
        <f>SUM(G89:G95)*M91</f>
        <v>0.3</v>
      </c>
    </row>
    <row r="92" spans="1:14" ht="15.95" customHeight="1" x14ac:dyDescent="0.15">
      <c r="A92" s="69" t="s">
        <v>129</v>
      </c>
      <c r="B92" s="69" t="s">
        <v>273</v>
      </c>
      <c r="D92" s="75"/>
      <c r="E92" s="75"/>
      <c r="F92" s="76" t="s">
        <v>286</v>
      </c>
      <c r="G92" s="77"/>
      <c r="H92" s="53" t="s">
        <v>274</v>
      </c>
      <c r="I92" s="53" t="s">
        <v>267</v>
      </c>
      <c r="J92" s="53" t="s">
        <v>275</v>
      </c>
      <c r="K92" s="76" t="s">
        <v>175</v>
      </c>
      <c r="L92" s="78" t="s">
        <v>290</v>
      </c>
      <c r="M92" s="77">
        <f>IF(egTextCal(L92)&lt;&gt;0, egTextCal(L92),   )</f>
        <v>2</v>
      </c>
      <c r="N92" s="77">
        <f>SUM(G89:G95)*M92</f>
        <v>2</v>
      </c>
    </row>
    <row r="93" spans="1:14" ht="15.95" customHeight="1" x14ac:dyDescent="0.15">
      <c r="A93" s="69" t="s">
        <v>129</v>
      </c>
      <c r="B93" s="69" t="s">
        <v>291</v>
      </c>
      <c r="D93" s="75"/>
      <c r="E93" s="75"/>
      <c r="F93" s="76" t="s">
        <v>261</v>
      </c>
      <c r="G93" s="77"/>
      <c r="H93" s="53" t="s">
        <v>292</v>
      </c>
      <c r="I93" s="53" t="s">
        <v>283</v>
      </c>
      <c r="J93" s="53" t="s">
        <v>293</v>
      </c>
      <c r="K93" s="76" t="s">
        <v>145</v>
      </c>
      <c r="L93" s="78">
        <v>1</v>
      </c>
      <c r="M93" s="77">
        <f>IF(egTextCal(L93)&lt;&gt;0, egTextCal(L93),   )</f>
        <v>1</v>
      </c>
      <c r="N93" s="77">
        <f>SUM(G89:G95)*M93</f>
        <v>1</v>
      </c>
    </row>
    <row r="94" spans="1:14" ht="15.95" customHeight="1" x14ac:dyDescent="0.15">
      <c r="A94" s="69" t="s">
        <v>129</v>
      </c>
      <c r="B94" s="69" t="s">
        <v>294</v>
      </c>
      <c r="D94" s="75"/>
      <c r="E94" s="75"/>
      <c r="F94" s="76" t="s">
        <v>295</v>
      </c>
      <c r="G94" s="77"/>
      <c r="H94" s="53" t="s">
        <v>296</v>
      </c>
      <c r="I94" s="53" t="s">
        <v>297</v>
      </c>
      <c r="J94" s="53" t="s">
        <v>298</v>
      </c>
      <c r="K94" s="76" t="s">
        <v>145</v>
      </c>
      <c r="L94" s="78">
        <v>1</v>
      </c>
      <c r="M94" s="77">
        <f>IF(egTextCal(L94)&lt;&gt;0, egTextCal(L94),   )</f>
        <v>1</v>
      </c>
      <c r="N94" s="77">
        <f>SUM(G89:G95)*M94</f>
        <v>1</v>
      </c>
    </row>
    <row r="95" spans="1:14" ht="15.95" customHeight="1" x14ac:dyDescent="0.15">
      <c r="A95" s="69" t="s">
        <v>129</v>
      </c>
      <c r="B95" s="69" t="s">
        <v>285</v>
      </c>
      <c r="D95" s="75"/>
      <c r="E95" s="75"/>
      <c r="F95" s="76" t="s">
        <v>299</v>
      </c>
      <c r="G95" s="77"/>
      <c r="H95" s="53" t="s">
        <v>287</v>
      </c>
      <c r="I95" s="53" t="s">
        <v>143</v>
      </c>
      <c r="J95" s="53" t="s">
        <v>288</v>
      </c>
      <c r="K95" s="76" t="s">
        <v>145</v>
      </c>
      <c r="L95" s="78">
        <v>1</v>
      </c>
      <c r="M95" s="77">
        <f>IF(egTextCal(L95)&lt;&gt;0, egTextCal(L95),   )</f>
        <v>1</v>
      </c>
      <c r="N95" s="77">
        <f>SUM(G89:G95)*M95</f>
        <v>1</v>
      </c>
    </row>
    <row r="96" spans="1:14" ht="15.95" customHeight="1" x14ac:dyDescent="0.15">
      <c r="A96" s="69" t="s">
        <v>129</v>
      </c>
      <c r="D96" s="75"/>
      <c r="E96" s="75"/>
      <c r="F96" s="76" t="s">
        <v>131</v>
      </c>
      <c r="G96" s="77"/>
      <c r="H96" s="53"/>
      <c r="I96" s="53"/>
      <c r="J96" s="53"/>
      <c r="K96" s="76"/>
      <c r="L96" s="78"/>
      <c r="M96" s="77"/>
      <c r="N96" s="77"/>
    </row>
    <row r="97" spans="1:14" ht="15.95" customHeight="1" x14ac:dyDescent="0.15">
      <c r="A97" s="69" t="s">
        <v>129</v>
      </c>
      <c r="D97" s="75" t="s">
        <v>313</v>
      </c>
      <c r="E97" s="75"/>
      <c r="F97" s="76" t="s">
        <v>131</v>
      </c>
      <c r="G97" s="77"/>
      <c r="H97" s="53"/>
      <c r="I97" s="53"/>
      <c r="J97" s="53"/>
      <c r="K97" s="76"/>
      <c r="L97" s="78"/>
      <c r="M97" s="77"/>
      <c r="N97" s="77"/>
    </row>
    <row r="98" spans="1:14" ht="15.95" customHeight="1" x14ac:dyDescent="0.15">
      <c r="A98" s="69" t="s">
        <v>129</v>
      </c>
      <c r="B98" s="69" t="s">
        <v>269</v>
      </c>
      <c r="D98" s="75" t="s">
        <v>300</v>
      </c>
      <c r="E98" s="75" t="s">
        <v>299</v>
      </c>
      <c r="F98" s="76" t="s">
        <v>127</v>
      </c>
      <c r="G98" s="77">
        <f>IF(egTextCal(E98)&lt;&gt;0, egTextCal(E98),   )</f>
        <v>7</v>
      </c>
      <c r="H98" s="53" t="s">
        <v>271</v>
      </c>
      <c r="I98" s="53" t="s">
        <v>263</v>
      </c>
      <c r="J98" s="53" t="s">
        <v>272</v>
      </c>
      <c r="K98" s="76" t="s">
        <v>175</v>
      </c>
      <c r="L98" s="78">
        <v>1</v>
      </c>
      <c r="M98" s="77">
        <f>IF(egTextCal(L98)&lt;&gt;0, egTextCal(L98),   )</f>
        <v>1</v>
      </c>
      <c r="N98" s="77">
        <f>SUM(G98:G99)*M98</f>
        <v>7</v>
      </c>
    </row>
    <row r="99" spans="1:14" ht="15.95" customHeight="1" x14ac:dyDescent="0.15">
      <c r="A99" s="69" t="s">
        <v>129</v>
      </c>
      <c r="B99" s="69" t="s">
        <v>301</v>
      </c>
      <c r="D99" s="75"/>
      <c r="E99" s="75"/>
      <c r="F99" s="76" t="s">
        <v>189</v>
      </c>
      <c r="G99" s="77"/>
      <c r="H99" s="53" t="s">
        <v>302</v>
      </c>
      <c r="I99" s="53" t="s">
        <v>303</v>
      </c>
      <c r="J99" s="53" t="s">
        <v>304</v>
      </c>
      <c r="K99" s="76" t="s">
        <v>175</v>
      </c>
      <c r="L99" s="78">
        <v>1</v>
      </c>
      <c r="M99" s="77">
        <f>IF(egTextCal(L99)&lt;&gt;0, egTextCal(L99),   )</f>
        <v>1</v>
      </c>
      <c r="N99" s="77">
        <f>SUM(G98:G99)*M99</f>
        <v>7</v>
      </c>
    </row>
    <row r="100" spans="1:14" ht="15.95" customHeight="1" x14ac:dyDescent="0.15">
      <c r="A100" s="69" t="s">
        <v>129</v>
      </c>
      <c r="B100" s="69" t="s">
        <v>269</v>
      </c>
      <c r="D100" s="75" t="s">
        <v>305</v>
      </c>
      <c r="E100" s="75" t="s">
        <v>127</v>
      </c>
      <c r="F100" s="76" t="s">
        <v>127</v>
      </c>
      <c r="G100" s="77">
        <f>IF(egTextCal(E100)&lt;&gt;0, egTextCal(E100),   )</f>
        <v>1</v>
      </c>
      <c r="H100" s="53" t="s">
        <v>271</v>
      </c>
      <c r="I100" s="53" t="s">
        <v>263</v>
      </c>
      <c r="J100" s="53" t="s">
        <v>272</v>
      </c>
      <c r="K100" s="76" t="s">
        <v>175</v>
      </c>
      <c r="L100" s="78">
        <v>0.5</v>
      </c>
      <c r="M100" s="77">
        <f>IF(egTextCal(L100)&lt;&gt;0, egTextCal(L100),   )</f>
        <v>0.5</v>
      </c>
      <c r="N100" s="77">
        <f>SUM(G100:G101)*M100</f>
        <v>0.5</v>
      </c>
    </row>
    <row r="101" spans="1:14" ht="15.95" customHeight="1" x14ac:dyDescent="0.15">
      <c r="A101" s="69" t="s">
        <v>129</v>
      </c>
      <c r="B101" s="69" t="s">
        <v>301</v>
      </c>
      <c r="D101" s="75"/>
      <c r="E101" s="75"/>
      <c r="F101" s="76" t="s">
        <v>189</v>
      </c>
      <c r="G101" s="77"/>
      <c r="H101" s="53" t="s">
        <v>302</v>
      </c>
      <c r="I101" s="53" t="s">
        <v>303</v>
      </c>
      <c r="J101" s="53" t="s">
        <v>304</v>
      </c>
      <c r="K101" s="76" t="s">
        <v>175</v>
      </c>
      <c r="L101" s="78" t="s">
        <v>306</v>
      </c>
      <c r="M101" s="77">
        <f>IF(egTextCal(L101)&lt;&gt;0, egTextCal(L101),   )</f>
        <v>2.5</v>
      </c>
      <c r="N101" s="77">
        <f>SUM(G100:G101)*M101</f>
        <v>2.5</v>
      </c>
    </row>
    <row r="102" spans="1:14" ht="15.95" customHeight="1" x14ac:dyDescent="0.15">
      <c r="A102" s="69" t="s">
        <v>129</v>
      </c>
      <c r="B102" s="69" t="s">
        <v>269</v>
      </c>
      <c r="D102" s="75" t="s">
        <v>307</v>
      </c>
      <c r="E102" s="75" t="s">
        <v>127</v>
      </c>
      <c r="F102" s="76" t="s">
        <v>127</v>
      </c>
      <c r="G102" s="77">
        <f>IF(egTextCal(E102)&lt;&gt;0, egTextCal(E102),   )</f>
        <v>1</v>
      </c>
      <c r="H102" s="53" t="s">
        <v>271</v>
      </c>
      <c r="I102" s="53" t="s">
        <v>263</v>
      </c>
      <c r="J102" s="53" t="s">
        <v>272</v>
      </c>
      <c r="K102" s="76" t="s">
        <v>175</v>
      </c>
      <c r="L102" s="78">
        <v>0.3</v>
      </c>
      <c r="M102" s="77">
        <f>IF(egTextCal(L102)&lt;&gt;0, egTextCal(L102),   )</f>
        <v>0.3</v>
      </c>
      <c r="N102" s="77">
        <f>SUM(G102:G105)*M102</f>
        <v>0.3</v>
      </c>
    </row>
    <row r="103" spans="1:14" ht="15.95" customHeight="1" x14ac:dyDescent="0.15">
      <c r="A103" s="69" t="s">
        <v>129</v>
      </c>
      <c r="B103" s="69" t="s">
        <v>301</v>
      </c>
      <c r="D103" s="75"/>
      <c r="E103" s="75"/>
      <c r="F103" s="76" t="s">
        <v>189</v>
      </c>
      <c r="G103" s="77"/>
      <c r="H103" s="53" t="s">
        <v>302</v>
      </c>
      <c r="I103" s="53" t="s">
        <v>303</v>
      </c>
      <c r="J103" s="53" t="s">
        <v>304</v>
      </c>
      <c r="K103" s="76" t="s">
        <v>175</v>
      </c>
      <c r="L103" s="78" t="s">
        <v>308</v>
      </c>
      <c r="M103" s="77">
        <f>IF(egTextCal(L103)&lt;&gt;0, egTextCal(L103),   )</f>
        <v>0.5</v>
      </c>
      <c r="N103" s="77">
        <f>SUM(G102:G105)*M103</f>
        <v>0.5</v>
      </c>
    </row>
    <row r="104" spans="1:14" ht="15.95" customHeight="1" x14ac:dyDescent="0.15">
      <c r="A104" s="69" t="s">
        <v>129</v>
      </c>
      <c r="B104" s="69" t="s">
        <v>280</v>
      </c>
      <c r="D104" s="75"/>
      <c r="E104" s="75"/>
      <c r="F104" s="76" t="s">
        <v>281</v>
      </c>
      <c r="G104" s="77"/>
      <c r="H104" s="53" t="s">
        <v>282</v>
      </c>
      <c r="I104" s="53" t="s">
        <v>283</v>
      </c>
      <c r="J104" s="53" t="s">
        <v>284</v>
      </c>
      <c r="K104" s="76" t="s">
        <v>145</v>
      </c>
      <c r="L104" s="78">
        <v>1</v>
      </c>
      <c r="M104" s="77">
        <f>IF(egTextCal(L104)&lt;&gt;0, egTextCal(L104),   )</f>
        <v>1</v>
      </c>
      <c r="N104" s="77">
        <f>SUM(G102:G105)*M104</f>
        <v>1</v>
      </c>
    </row>
    <row r="105" spans="1:14" ht="15.95" customHeight="1" x14ac:dyDescent="0.15">
      <c r="A105" s="69" t="s">
        <v>129</v>
      </c>
      <c r="B105" s="69" t="s">
        <v>309</v>
      </c>
      <c r="D105" s="75"/>
      <c r="E105" s="75"/>
      <c r="F105" s="76" t="s">
        <v>286</v>
      </c>
      <c r="G105" s="77"/>
      <c r="H105" s="53" t="s">
        <v>310</v>
      </c>
      <c r="I105" s="53" t="s">
        <v>311</v>
      </c>
      <c r="J105" s="53" t="s">
        <v>312</v>
      </c>
      <c r="K105" s="76" t="s">
        <v>145</v>
      </c>
      <c r="L105" s="78">
        <v>1</v>
      </c>
      <c r="M105" s="77">
        <f>IF(egTextCal(L105)&lt;&gt;0, egTextCal(L105),   )</f>
        <v>1</v>
      </c>
      <c r="N105" s="77">
        <f>SUM(G102:G105)*M105</f>
        <v>1</v>
      </c>
    </row>
    <row r="106" spans="1:14" ht="15.95" customHeight="1" x14ac:dyDescent="0.15">
      <c r="A106" s="69" t="s">
        <v>129</v>
      </c>
      <c r="D106" s="75"/>
      <c r="E106" s="75"/>
      <c r="F106" s="76"/>
      <c r="G106" s="77"/>
      <c r="H106" s="53"/>
      <c r="I106" s="53"/>
      <c r="J106" s="53"/>
      <c r="K106" s="76"/>
      <c r="L106" s="78"/>
      <c r="M106" s="77"/>
      <c r="N106" s="77"/>
    </row>
    <row r="107" spans="1:14" ht="15.95" customHeight="1" x14ac:dyDescent="0.15">
      <c r="A107" s="69" t="s">
        <v>129</v>
      </c>
      <c r="D107" s="75"/>
      <c r="E107" s="75"/>
      <c r="F107" s="76"/>
      <c r="G107" s="77"/>
      <c r="H107" s="53"/>
      <c r="I107" s="53"/>
      <c r="J107" s="53"/>
      <c r="K107" s="76"/>
      <c r="L107" s="78"/>
      <c r="M107" s="77"/>
      <c r="N107" s="77"/>
    </row>
    <row r="108" spans="1:14" ht="15.95" customHeight="1" x14ac:dyDescent="0.15">
      <c r="A108" s="69" t="s">
        <v>129</v>
      </c>
      <c r="D108" s="75"/>
      <c r="E108" s="75"/>
      <c r="F108" s="76"/>
      <c r="G108" s="77"/>
      <c r="H108" s="53"/>
      <c r="I108" s="53"/>
      <c r="J108" s="53"/>
      <c r="K108" s="76"/>
      <c r="L108" s="78"/>
      <c r="M108" s="77"/>
      <c r="N108" s="77"/>
    </row>
    <row r="109" spans="1:14" ht="15.95" customHeight="1" x14ac:dyDescent="0.15">
      <c r="A109" s="69" t="s">
        <v>129</v>
      </c>
      <c r="D109" s="75"/>
      <c r="E109" s="75"/>
      <c r="F109" s="76"/>
      <c r="G109" s="77"/>
      <c r="H109" s="53"/>
      <c r="I109" s="53"/>
      <c r="J109" s="53"/>
      <c r="K109" s="76"/>
      <c r="L109" s="78"/>
      <c r="M109" s="77"/>
      <c r="N109" s="77"/>
    </row>
    <row r="110" spans="1:14" ht="15.95" customHeight="1" x14ac:dyDescent="0.15">
      <c r="A110" s="69" t="s">
        <v>129</v>
      </c>
      <c r="D110" s="75"/>
      <c r="E110" s="75"/>
      <c r="F110" s="76"/>
      <c r="G110" s="77"/>
      <c r="H110" s="53"/>
      <c r="I110" s="53"/>
      <c r="J110" s="53"/>
      <c r="K110" s="76"/>
      <c r="L110" s="78"/>
      <c r="M110" s="77"/>
      <c r="N110" s="77"/>
    </row>
    <row r="111" spans="1:14" ht="15.95" customHeight="1" x14ac:dyDescent="0.15">
      <c r="A111" s="69" t="s">
        <v>129</v>
      </c>
      <c r="D111" s="75"/>
      <c r="E111" s="75"/>
      <c r="F111" s="76"/>
      <c r="G111" s="77"/>
      <c r="H111" s="53"/>
      <c r="I111" s="53"/>
      <c r="J111" s="53"/>
      <c r="K111" s="76"/>
      <c r="L111" s="78"/>
      <c r="M111" s="77"/>
      <c r="N111" s="77"/>
    </row>
    <row r="112" spans="1:14" ht="15.95" customHeight="1" x14ac:dyDescent="0.15">
      <c r="A112" s="69" t="s">
        <v>129</v>
      </c>
      <c r="D112" s="75"/>
      <c r="E112" s="75"/>
      <c r="F112" s="76"/>
      <c r="G112" s="77"/>
      <c r="H112" s="53"/>
      <c r="I112" s="53"/>
      <c r="J112" s="53"/>
      <c r="K112" s="76"/>
      <c r="L112" s="78"/>
      <c r="M112" s="77"/>
      <c r="N112" s="77"/>
    </row>
    <row r="113" spans="1:14" ht="15.95" customHeight="1" x14ac:dyDescent="0.15">
      <c r="A113" s="69" t="s">
        <v>129</v>
      </c>
      <c r="D113" s="75"/>
      <c r="E113" s="75"/>
      <c r="F113" s="76"/>
      <c r="G113" s="77"/>
      <c r="H113" s="53"/>
      <c r="I113" s="53"/>
      <c r="J113" s="53"/>
      <c r="K113" s="76"/>
      <c r="L113" s="78"/>
      <c r="M113" s="77"/>
      <c r="N113" s="77"/>
    </row>
    <row r="114" spans="1:14" ht="15.95" customHeight="1" x14ac:dyDescent="0.15">
      <c r="A114" s="69" t="s">
        <v>129</v>
      </c>
      <c r="D114" s="75"/>
      <c r="E114" s="75"/>
      <c r="F114" s="76"/>
      <c r="G114" s="77"/>
      <c r="H114" s="53"/>
      <c r="I114" s="53"/>
      <c r="J114" s="53"/>
      <c r="K114" s="76"/>
      <c r="L114" s="78"/>
      <c r="M114" s="77"/>
      <c r="N114" s="77"/>
    </row>
    <row r="115" spans="1:14" ht="15.95" customHeight="1" x14ac:dyDescent="0.15">
      <c r="A115" s="69" t="s">
        <v>129</v>
      </c>
      <c r="D115" s="75"/>
      <c r="E115" s="75"/>
      <c r="F115" s="76"/>
      <c r="G115" s="77"/>
      <c r="H115" s="53"/>
      <c r="I115" s="53"/>
      <c r="J115" s="53"/>
      <c r="K115" s="76"/>
      <c r="L115" s="78"/>
      <c r="M115" s="77"/>
      <c r="N115" s="77"/>
    </row>
    <row r="116" spans="1:14" ht="15.95" customHeight="1" x14ac:dyDescent="0.15">
      <c r="A116" s="69" t="s">
        <v>129</v>
      </c>
      <c r="D116" s="75"/>
      <c r="E116" s="75"/>
      <c r="F116" s="76"/>
      <c r="G116" s="77"/>
      <c r="H116" s="53"/>
      <c r="I116" s="53"/>
      <c r="J116" s="53"/>
      <c r="K116" s="76"/>
      <c r="L116" s="78"/>
      <c r="M116" s="77"/>
      <c r="N116" s="77"/>
    </row>
    <row r="117" spans="1:14" ht="15.95" customHeight="1" x14ac:dyDescent="0.15">
      <c r="A117" s="69" t="s">
        <v>129</v>
      </c>
      <c r="D117" s="75"/>
      <c r="E117" s="75"/>
      <c r="F117" s="76"/>
      <c r="G117" s="77"/>
      <c r="H117" s="53"/>
      <c r="I117" s="53"/>
      <c r="J117" s="53"/>
      <c r="K117" s="76"/>
      <c r="L117" s="78"/>
      <c r="M117" s="77"/>
      <c r="N117" s="77"/>
    </row>
    <row r="118" spans="1:14" ht="15.95" customHeight="1" x14ac:dyDescent="0.15">
      <c r="A118" s="69" t="s">
        <v>129</v>
      </c>
      <c r="D118" s="75"/>
      <c r="E118" s="75"/>
      <c r="F118" s="76"/>
      <c r="G118" s="77"/>
      <c r="H118" s="53"/>
      <c r="I118" s="53"/>
      <c r="J118" s="53"/>
      <c r="K118" s="76"/>
      <c r="L118" s="78"/>
      <c r="M118" s="77"/>
      <c r="N118" s="77"/>
    </row>
    <row r="119" spans="1:14" ht="15.95" customHeight="1" x14ac:dyDescent="0.15">
      <c r="A119" s="69" t="s">
        <v>129</v>
      </c>
      <c r="D119" s="75"/>
      <c r="E119" s="75"/>
      <c r="F119" s="76"/>
      <c r="G119" s="77"/>
      <c r="H119" s="53"/>
      <c r="I119" s="53"/>
      <c r="J119" s="53"/>
      <c r="K119" s="76"/>
      <c r="L119" s="78"/>
      <c r="M119" s="77"/>
      <c r="N119" s="77"/>
    </row>
    <row r="120" spans="1:14" ht="15.95" customHeight="1" x14ac:dyDescent="0.15">
      <c r="A120" s="69" t="s">
        <v>129</v>
      </c>
      <c r="D120" s="75"/>
      <c r="E120" s="75"/>
      <c r="F120" s="76"/>
      <c r="G120" s="77"/>
      <c r="H120" s="53"/>
      <c r="I120" s="53"/>
      <c r="J120" s="53"/>
      <c r="K120" s="76"/>
      <c r="L120" s="78"/>
      <c r="M120" s="77"/>
      <c r="N120" s="77"/>
    </row>
    <row r="121" spans="1:14" ht="15.95" customHeight="1" x14ac:dyDescent="0.15">
      <c r="A121" s="69" t="s">
        <v>129</v>
      </c>
      <c r="D121" s="75"/>
      <c r="E121" s="75"/>
      <c r="F121" s="76"/>
      <c r="G121" s="77"/>
      <c r="H121" s="53"/>
      <c r="I121" s="53"/>
      <c r="J121" s="53"/>
      <c r="K121" s="76"/>
      <c r="L121" s="78"/>
      <c r="M121" s="77"/>
      <c r="N121" s="77"/>
    </row>
    <row r="122" spans="1:14" ht="15.95" customHeight="1" x14ac:dyDescent="0.15">
      <c r="A122" s="69" t="s">
        <v>129</v>
      </c>
      <c r="D122" s="75"/>
      <c r="E122" s="75"/>
      <c r="F122" s="76"/>
      <c r="G122" s="77"/>
      <c r="H122" s="53"/>
      <c r="I122" s="53"/>
      <c r="J122" s="53"/>
      <c r="K122" s="76"/>
      <c r="L122" s="78"/>
      <c r="M122" s="77"/>
      <c r="N122" s="77"/>
    </row>
    <row r="123" spans="1:14" ht="15.95" customHeight="1" x14ac:dyDescent="0.15">
      <c r="A123" s="69" t="s">
        <v>129</v>
      </c>
      <c r="D123" s="75"/>
      <c r="E123" s="75"/>
      <c r="F123" s="76"/>
      <c r="G123" s="77"/>
      <c r="H123" s="53"/>
      <c r="I123" s="53"/>
      <c r="J123" s="53"/>
      <c r="K123" s="76"/>
      <c r="L123" s="78"/>
      <c r="M123" s="77"/>
      <c r="N123" s="77"/>
    </row>
    <row r="124" spans="1:14" ht="15.95" customHeight="1" x14ac:dyDescent="0.15">
      <c r="A124" s="69" t="s">
        <v>129</v>
      </c>
      <c r="D124" s="75"/>
      <c r="E124" s="75"/>
      <c r="F124" s="76"/>
      <c r="G124" s="77"/>
      <c r="H124" s="53"/>
      <c r="I124" s="53"/>
      <c r="J124" s="53"/>
      <c r="K124" s="76"/>
      <c r="L124" s="78"/>
      <c r="M124" s="77"/>
      <c r="N124" s="77"/>
    </row>
    <row r="125" spans="1:14" ht="15.95" customHeight="1" x14ac:dyDescent="0.15">
      <c r="A125" s="69" t="s">
        <v>129</v>
      </c>
      <c r="D125" s="75"/>
      <c r="E125" s="75"/>
      <c r="F125" s="76"/>
      <c r="G125" s="77"/>
      <c r="H125" s="53"/>
      <c r="I125" s="53"/>
      <c r="J125" s="53"/>
      <c r="K125" s="76"/>
      <c r="L125" s="78"/>
      <c r="M125" s="77"/>
      <c r="N125" s="77"/>
    </row>
    <row r="126" spans="1:14" ht="15.95" customHeight="1" x14ac:dyDescent="0.15">
      <c r="A126" s="69" t="s">
        <v>129</v>
      </c>
      <c r="D126" s="75"/>
      <c r="E126" s="75"/>
      <c r="F126" s="76"/>
      <c r="G126" s="77"/>
      <c r="H126" s="53"/>
      <c r="I126" s="53"/>
      <c r="J126" s="53"/>
      <c r="K126" s="76"/>
      <c r="L126" s="78"/>
      <c r="M126" s="77"/>
      <c r="N126" s="77"/>
    </row>
    <row r="127" spans="1:14" ht="15.95" customHeight="1" x14ac:dyDescent="0.15">
      <c r="A127" s="69" t="s">
        <v>129</v>
      </c>
      <c r="D127" s="75"/>
      <c r="E127" s="75"/>
      <c r="F127" s="76"/>
      <c r="G127" s="77"/>
      <c r="H127" s="53"/>
      <c r="I127" s="53"/>
      <c r="J127" s="53"/>
      <c r="K127" s="76"/>
      <c r="L127" s="78"/>
      <c r="M127" s="77"/>
      <c r="N127" s="77"/>
    </row>
    <row r="128" spans="1:14" ht="15.95" customHeight="1" x14ac:dyDescent="0.15">
      <c r="A128" s="69" t="s">
        <v>129</v>
      </c>
      <c r="D128" s="79"/>
      <c r="E128" s="79"/>
      <c r="F128" s="80"/>
      <c r="G128" s="81"/>
      <c r="H128" s="82"/>
      <c r="I128" s="82"/>
      <c r="J128" s="82"/>
      <c r="K128" s="80"/>
      <c r="L128" s="83"/>
      <c r="M128" s="81"/>
      <c r="N128" s="81"/>
    </row>
    <row r="129" spans="1:14" ht="15.95" customHeight="1" x14ac:dyDescent="0.15">
      <c r="A129" s="69" t="s">
        <v>129</v>
      </c>
      <c r="D129" s="75"/>
      <c r="E129" s="75"/>
      <c r="F129" s="76"/>
      <c r="G129" s="77"/>
      <c r="H129" s="53"/>
      <c r="I129" s="53"/>
      <c r="J129" s="53"/>
      <c r="K129" s="76"/>
      <c r="L129" s="78"/>
      <c r="M129" s="77"/>
      <c r="N129" s="77"/>
    </row>
    <row r="130" spans="1:14" ht="15.95" customHeight="1" x14ac:dyDescent="0.15">
      <c r="B130" s="69" t="s">
        <v>126</v>
      </c>
      <c r="C130" s="69" t="s">
        <v>127</v>
      </c>
      <c r="D130" s="434" t="s">
        <v>893</v>
      </c>
      <c r="E130" s="430"/>
      <c r="F130" s="430"/>
      <c r="G130" s="430"/>
      <c r="H130" s="430"/>
      <c r="I130" s="430"/>
      <c r="J130" s="430"/>
      <c r="K130" s="430"/>
      <c r="L130" s="430"/>
      <c r="M130" s="430"/>
      <c r="N130" s="435"/>
    </row>
    <row r="131" spans="1:14" ht="15.95" customHeight="1" x14ac:dyDescent="0.15">
      <c r="A131" s="69" t="s">
        <v>317</v>
      </c>
      <c r="D131" s="75" t="s">
        <v>166</v>
      </c>
      <c r="E131" s="75"/>
      <c r="F131" s="76" t="s">
        <v>131</v>
      </c>
      <c r="G131" s="77"/>
      <c r="H131" s="53"/>
      <c r="I131" s="53"/>
      <c r="J131" s="53"/>
      <c r="K131" s="76"/>
      <c r="L131" s="78"/>
      <c r="M131" s="77"/>
      <c r="N131" s="77"/>
    </row>
    <row r="132" spans="1:14" ht="15.95" customHeight="1" x14ac:dyDescent="0.15">
      <c r="A132" s="69" t="s">
        <v>317</v>
      </c>
      <c r="D132" s="75" t="s">
        <v>167</v>
      </c>
      <c r="E132" s="75"/>
      <c r="F132" s="76" t="s">
        <v>131</v>
      </c>
      <c r="G132" s="77"/>
      <c r="H132" s="53"/>
      <c r="I132" s="53"/>
      <c r="J132" s="53"/>
      <c r="K132" s="76"/>
      <c r="L132" s="78"/>
      <c r="M132" s="77"/>
      <c r="N132" s="77"/>
    </row>
    <row r="133" spans="1:14" ht="15.95" customHeight="1" x14ac:dyDescent="0.15">
      <c r="A133" s="69" t="s">
        <v>317</v>
      </c>
      <c r="D133" s="75" t="s">
        <v>168</v>
      </c>
      <c r="E133" s="75"/>
      <c r="F133" s="76" t="s">
        <v>131</v>
      </c>
      <c r="G133" s="77"/>
      <c r="H133" s="53"/>
      <c r="I133" s="53"/>
      <c r="J133" s="53"/>
      <c r="K133" s="76"/>
      <c r="L133" s="78"/>
      <c r="M133" s="77"/>
      <c r="N133" s="77"/>
    </row>
    <row r="134" spans="1:14" ht="15.95" customHeight="1" x14ac:dyDescent="0.15">
      <c r="A134" s="69" t="s">
        <v>317</v>
      </c>
      <c r="B134" s="69" t="s">
        <v>169</v>
      </c>
      <c r="D134" s="75" t="s">
        <v>318</v>
      </c>
      <c r="E134" s="75" t="s">
        <v>286</v>
      </c>
      <c r="F134" s="76" t="s">
        <v>131</v>
      </c>
      <c r="G134" s="77">
        <f>IF(egTextCal(E134)&lt;&gt;0, egTextCal(E134),   )</f>
        <v>4</v>
      </c>
      <c r="H134" s="53" t="s">
        <v>172</v>
      </c>
      <c r="I134" s="53" t="s">
        <v>173</v>
      </c>
      <c r="J134" s="53" t="s">
        <v>174</v>
      </c>
      <c r="K134" s="76" t="s">
        <v>175</v>
      </c>
      <c r="L134" s="78">
        <v>1</v>
      </c>
      <c r="M134" s="77">
        <f>IF(egTextCal(L134)&lt;&gt;0, egTextCal(L134),   )</f>
        <v>1</v>
      </c>
      <c r="N134" s="77">
        <f>SUM(G134:G134)*M134</f>
        <v>4</v>
      </c>
    </row>
    <row r="135" spans="1:14" ht="15.95" customHeight="1" x14ac:dyDescent="0.15">
      <c r="A135" s="69" t="s">
        <v>317</v>
      </c>
      <c r="B135" s="69" t="s">
        <v>176</v>
      </c>
      <c r="D135" s="75" t="s">
        <v>319</v>
      </c>
      <c r="E135" s="75" t="s">
        <v>320</v>
      </c>
      <c r="F135" s="76" t="s">
        <v>131</v>
      </c>
      <c r="G135" s="77">
        <f>IF(egTextCal(E135)&lt;&gt;0, egTextCal(E135),   )</f>
        <v>40</v>
      </c>
      <c r="H135" s="53" t="s">
        <v>179</v>
      </c>
      <c r="I135" s="53" t="s">
        <v>180</v>
      </c>
      <c r="J135" s="53" t="s">
        <v>181</v>
      </c>
      <c r="K135" s="76" t="s">
        <v>175</v>
      </c>
      <c r="L135" s="78">
        <v>1</v>
      </c>
      <c r="M135" s="77">
        <f>IF(egTextCal(L135)&lt;&gt;0, egTextCal(L135),   )</f>
        <v>1</v>
      </c>
      <c r="N135" s="77">
        <f>SUM(G135:G135)*M135</f>
        <v>40</v>
      </c>
    </row>
    <row r="136" spans="1:14" ht="15.95" customHeight="1" x14ac:dyDescent="0.15">
      <c r="A136" s="69" t="s">
        <v>317</v>
      </c>
      <c r="B136" s="69" t="s">
        <v>182</v>
      </c>
      <c r="C136" s="69" t="s">
        <v>183</v>
      </c>
      <c r="D136" s="75" t="s">
        <v>321</v>
      </c>
      <c r="E136" s="75" t="s">
        <v>322</v>
      </c>
      <c r="F136" s="76" t="s">
        <v>127</v>
      </c>
      <c r="G136" s="77">
        <f>IF(egTextCal(E136)&lt;&gt;0, egTextCal(E136),   )</f>
        <v>10</v>
      </c>
      <c r="H136" s="53" t="s">
        <v>186</v>
      </c>
      <c r="I136" s="53" t="s">
        <v>187</v>
      </c>
      <c r="J136" s="53" t="s">
        <v>181</v>
      </c>
      <c r="K136" s="76" t="s">
        <v>175</v>
      </c>
      <c r="L136" s="78">
        <v>1</v>
      </c>
      <c r="M136" s="77">
        <f>IF(egTextCal(L136)&lt;&gt;0, egTextCal(L136),   )</f>
        <v>1</v>
      </c>
      <c r="N136" s="77">
        <f>SUM(G136:G137)*M136</f>
        <v>10</v>
      </c>
    </row>
    <row r="137" spans="1:14" ht="15.95" customHeight="1" x14ac:dyDescent="0.15">
      <c r="A137" s="69" t="s">
        <v>317</v>
      </c>
      <c r="B137" s="69" t="s">
        <v>188</v>
      </c>
      <c r="D137" s="75"/>
      <c r="E137" s="75"/>
      <c r="F137" s="76" t="s">
        <v>189</v>
      </c>
      <c r="G137" s="77"/>
      <c r="H137" s="53" t="s">
        <v>190</v>
      </c>
      <c r="I137" s="53" t="s">
        <v>191</v>
      </c>
      <c r="J137" s="53" t="s">
        <v>192</v>
      </c>
      <c r="K137" s="76" t="s">
        <v>193</v>
      </c>
      <c r="L137" s="78">
        <v>0.67</v>
      </c>
      <c r="M137" s="77">
        <f>IF(egTextCal(L137)&lt;&gt;0, egTextCal(L137),   )</f>
        <v>0.67</v>
      </c>
      <c r="N137" s="77">
        <f>SUM(G136:G137)*M137</f>
        <v>6.7</v>
      </c>
    </row>
    <row r="138" spans="1:14" ht="15.95" customHeight="1" x14ac:dyDescent="0.15">
      <c r="A138" s="69" t="s">
        <v>317</v>
      </c>
      <c r="B138" s="69" t="s">
        <v>182</v>
      </c>
      <c r="D138" s="75" t="s">
        <v>323</v>
      </c>
      <c r="E138" s="75" t="s">
        <v>286</v>
      </c>
      <c r="F138" s="76" t="s">
        <v>131</v>
      </c>
      <c r="G138" s="77">
        <f>IF(egTextCal(E138)&lt;&gt;0, egTextCal(E138),   )</f>
        <v>4</v>
      </c>
      <c r="H138" s="53" t="s">
        <v>186</v>
      </c>
      <c r="I138" s="53" t="s">
        <v>187</v>
      </c>
      <c r="J138" s="53" t="s">
        <v>181</v>
      </c>
      <c r="K138" s="76" t="s">
        <v>175</v>
      </c>
      <c r="L138" s="78">
        <v>1</v>
      </c>
      <c r="M138" s="77">
        <f>IF(egTextCal(L138)&lt;&gt;0, egTextCal(L138),   )</f>
        <v>1</v>
      </c>
      <c r="N138" s="77">
        <f>SUM(G138:G138)*M138</f>
        <v>4</v>
      </c>
    </row>
    <row r="139" spans="1:14" ht="15.95" customHeight="1" x14ac:dyDescent="0.15">
      <c r="A139" s="69" t="s">
        <v>317</v>
      </c>
      <c r="B139" s="69" t="s">
        <v>195</v>
      </c>
      <c r="D139" s="75" t="s">
        <v>196</v>
      </c>
      <c r="E139" s="75" t="s">
        <v>127</v>
      </c>
      <c r="F139" s="76" t="s">
        <v>131</v>
      </c>
      <c r="G139" s="77">
        <f>IF(egTextCal(E139)&lt;&gt;0, egTextCal(E139),   )</f>
        <v>1</v>
      </c>
      <c r="H139" s="53" t="s">
        <v>198</v>
      </c>
      <c r="I139" s="53" t="s">
        <v>199</v>
      </c>
      <c r="J139" s="53" t="s">
        <v>200</v>
      </c>
      <c r="K139" s="76" t="s">
        <v>145</v>
      </c>
      <c r="L139" s="78">
        <v>1</v>
      </c>
      <c r="M139" s="77">
        <f>IF(egTextCal(L139)&lt;&gt;0, egTextCal(L139),   )</f>
        <v>1</v>
      </c>
      <c r="N139" s="77">
        <f>SUM(G139:G139)*M139</f>
        <v>1</v>
      </c>
    </row>
    <row r="140" spans="1:14" ht="15.95" customHeight="1" x14ac:dyDescent="0.15">
      <c r="A140" s="69" t="s">
        <v>317</v>
      </c>
      <c r="B140" s="69" t="s">
        <v>201</v>
      </c>
      <c r="D140" s="75" t="s">
        <v>202</v>
      </c>
      <c r="E140" s="75" t="s">
        <v>189</v>
      </c>
      <c r="F140" s="76" t="s">
        <v>131</v>
      </c>
      <c r="G140" s="77">
        <f>IF(egTextCal(E140)&lt;&gt;0, egTextCal(E140),   )</f>
        <v>2</v>
      </c>
      <c r="H140" s="53" t="s">
        <v>204</v>
      </c>
      <c r="I140" s="53" t="s">
        <v>205</v>
      </c>
      <c r="J140" s="53" t="s">
        <v>206</v>
      </c>
      <c r="K140" s="76" t="s">
        <v>145</v>
      </c>
      <c r="L140" s="78">
        <v>1</v>
      </c>
      <c r="M140" s="77">
        <f>IF(egTextCal(L140)&lt;&gt;0, egTextCal(L140),   )</f>
        <v>1</v>
      </c>
      <c r="N140" s="77">
        <f>SUM(G140:G140)*M140</f>
        <v>2</v>
      </c>
    </row>
    <row r="141" spans="1:14" ht="15.95" customHeight="1" x14ac:dyDescent="0.15">
      <c r="A141" s="69" t="s">
        <v>317</v>
      </c>
      <c r="D141" s="75"/>
      <c r="E141" s="75"/>
      <c r="F141" s="76"/>
      <c r="G141" s="77"/>
      <c r="H141" s="53"/>
      <c r="I141" s="53"/>
      <c r="J141" s="53"/>
      <c r="K141" s="76"/>
      <c r="L141" s="78"/>
      <c r="M141" s="77"/>
      <c r="N141" s="77"/>
    </row>
    <row r="142" spans="1:14" ht="15.95" customHeight="1" x14ac:dyDescent="0.15">
      <c r="A142" s="69" t="s">
        <v>317</v>
      </c>
      <c r="D142" s="75"/>
      <c r="E142" s="75"/>
      <c r="F142" s="76"/>
      <c r="G142" s="77"/>
      <c r="H142" s="53"/>
      <c r="I142" s="53"/>
      <c r="J142" s="53"/>
      <c r="K142" s="76"/>
      <c r="L142" s="78"/>
      <c r="M142" s="77"/>
      <c r="N142" s="77"/>
    </row>
    <row r="143" spans="1:14" ht="15.95" customHeight="1" x14ac:dyDescent="0.15">
      <c r="A143" s="69" t="s">
        <v>317</v>
      </c>
      <c r="D143" s="75"/>
      <c r="E143" s="75"/>
      <c r="F143" s="76"/>
      <c r="G143" s="77"/>
      <c r="H143" s="53"/>
      <c r="I143" s="53"/>
      <c r="J143" s="53"/>
      <c r="K143" s="76"/>
      <c r="L143" s="78"/>
      <c r="M143" s="77"/>
      <c r="N143" s="77"/>
    </row>
    <row r="144" spans="1:14" ht="15.95" customHeight="1" x14ac:dyDescent="0.15">
      <c r="A144" s="69" t="s">
        <v>317</v>
      </c>
      <c r="D144" s="75"/>
      <c r="E144" s="75"/>
      <c r="F144" s="76"/>
      <c r="G144" s="77"/>
      <c r="H144" s="53"/>
      <c r="I144" s="53"/>
      <c r="J144" s="53"/>
      <c r="K144" s="76"/>
      <c r="L144" s="78"/>
      <c r="M144" s="77"/>
      <c r="N144" s="77"/>
    </row>
    <row r="145" spans="1:14" ht="15.95" customHeight="1" x14ac:dyDescent="0.15">
      <c r="A145" s="69" t="s">
        <v>317</v>
      </c>
      <c r="D145" s="75"/>
      <c r="E145" s="75"/>
      <c r="F145" s="76"/>
      <c r="G145" s="77"/>
      <c r="H145" s="53"/>
      <c r="I145" s="53"/>
      <c r="J145" s="53"/>
      <c r="K145" s="76"/>
      <c r="L145" s="78"/>
      <c r="M145" s="77"/>
      <c r="N145" s="77"/>
    </row>
    <row r="146" spans="1:14" ht="15.95" customHeight="1" x14ac:dyDescent="0.15">
      <c r="A146" s="69" t="s">
        <v>317</v>
      </c>
      <c r="D146" s="75"/>
      <c r="E146" s="75"/>
      <c r="F146" s="76"/>
      <c r="G146" s="77"/>
      <c r="H146" s="53"/>
      <c r="I146" s="53"/>
      <c r="J146" s="53"/>
      <c r="K146" s="76"/>
      <c r="L146" s="78"/>
      <c r="M146" s="77"/>
      <c r="N146" s="77"/>
    </row>
    <row r="147" spans="1:14" ht="15.95" customHeight="1" x14ac:dyDescent="0.15">
      <c r="A147" s="69" t="s">
        <v>317</v>
      </c>
      <c r="D147" s="75"/>
      <c r="E147" s="75"/>
      <c r="F147" s="76"/>
      <c r="G147" s="77"/>
      <c r="H147" s="53"/>
      <c r="I147" s="53"/>
      <c r="J147" s="53"/>
      <c r="K147" s="76"/>
      <c r="L147" s="78"/>
      <c r="M147" s="77"/>
      <c r="N147" s="77"/>
    </row>
    <row r="148" spans="1:14" ht="15.95" customHeight="1" x14ac:dyDescent="0.15">
      <c r="A148" s="69" t="s">
        <v>317</v>
      </c>
      <c r="D148" s="75"/>
      <c r="E148" s="75"/>
      <c r="F148" s="76"/>
      <c r="G148" s="77"/>
      <c r="H148" s="53"/>
      <c r="I148" s="53"/>
      <c r="J148" s="53"/>
      <c r="K148" s="76"/>
      <c r="L148" s="78"/>
      <c r="M148" s="77"/>
      <c r="N148" s="77"/>
    </row>
    <row r="149" spans="1:14" ht="15.95" customHeight="1" x14ac:dyDescent="0.15">
      <c r="A149" s="69" t="s">
        <v>317</v>
      </c>
      <c r="D149" s="75"/>
      <c r="E149" s="75"/>
      <c r="F149" s="76"/>
      <c r="G149" s="77"/>
      <c r="H149" s="53"/>
      <c r="I149" s="53"/>
      <c r="J149" s="53"/>
      <c r="K149" s="76"/>
      <c r="L149" s="78"/>
      <c r="M149" s="77"/>
      <c r="N149" s="77"/>
    </row>
    <row r="150" spans="1:14" ht="15.95" customHeight="1" x14ac:dyDescent="0.15">
      <c r="A150" s="69" t="s">
        <v>317</v>
      </c>
      <c r="D150" s="75"/>
      <c r="E150" s="75"/>
      <c r="F150" s="76"/>
      <c r="G150" s="77"/>
      <c r="H150" s="53"/>
      <c r="I150" s="53"/>
      <c r="J150" s="53"/>
      <c r="K150" s="76"/>
      <c r="L150" s="78"/>
      <c r="M150" s="77"/>
      <c r="N150" s="77"/>
    </row>
    <row r="151" spans="1:14" ht="15.95" customHeight="1" x14ac:dyDescent="0.15">
      <c r="A151" s="69" t="s">
        <v>317</v>
      </c>
      <c r="D151" s="75"/>
      <c r="E151" s="75"/>
      <c r="F151" s="76"/>
      <c r="G151" s="77"/>
      <c r="H151" s="53"/>
      <c r="I151" s="53"/>
      <c r="J151" s="53"/>
      <c r="K151" s="76"/>
      <c r="L151" s="78"/>
      <c r="M151" s="77"/>
      <c r="N151" s="77"/>
    </row>
    <row r="152" spans="1:14" ht="15.95" customHeight="1" x14ac:dyDescent="0.15">
      <c r="A152" s="69" t="s">
        <v>317</v>
      </c>
      <c r="D152" s="75"/>
      <c r="E152" s="75"/>
      <c r="F152" s="76"/>
      <c r="G152" s="77"/>
      <c r="H152" s="53"/>
      <c r="I152" s="53"/>
      <c r="J152" s="53"/>
      <c r="K152" s="76"/>
      <c r="L152" s="78"/>
      <c r="M152" s="77"/>
      <c r="N152" s="77"/>
    </row>
    <row r="153" spans="1:14" ht="15.95" customHeight="1" x14ac:dyDescent="0.15">
      <c r="A153" s="69" t="s">
        <v>317</v>
      </c>
      <c r="D153" s="75"/>
      <c r="E153" s="75"/>
      <c r="F153" s="76"/>
      <c r="G153" s="77"/>
      <c r="H153" s="53"/>
      <c r="I153" s="53"/>
      <c r="J153" s="53"/>
      <c r="K153" s="76"/>
      <c r="L153" s="78"/>
      <c r="M153" s="77"/>
      <c r="N153" s="77"/>
    </row>
    <row r="154" spans="1:14" ht="15.95" customHeight="1" x14ac:dyDescent="0.15">
      <c r="A154" s="69" t="s">
        <v>317</v>
      </c>
      <c r="D154" s="75"/>
      <c r="E154" s="75"/>
      <c r="F154" s="76"/>
      <c r="G154" s="77"/>
      <c r="H154" s="53"/>
      <c r="I154" s="53"/>
      <c r="J154" s="53"/>
      <c r="K154" s="76"/>
      <c r="L154" s="78"/>
      <c r="M154" s="77"/>
      <c r="N154" s="77"/>
    </row>
    <row r="155" spans="1:14" ht="15.95" customHeight="1" x14ac:dyDescent="0.15">
      <c r="A155" s="69" t="s">
        <v>317</v>
      </c>
      <c r="D155" s="75"/>
      <c r="E155" s="75"/>
      <c r="F155" s="76"/>
      <c r="G155" s="77"/>
      <c r="H155" s="53"/>
      <c r="I155" s="53"/>
      <c r="J155" s="53"/>
      <c r="K155" s="76"/>
      <c r="L155" s="78"/>
      <c r="M155" s="77"/>
      <c r="N155" s="77"/>
    </row>
    <row r="156" spans="1:14" ht="15.95" customHeight="1" x14ac:dyDescent="0.15">
      <c r="A156" s="69" t="s">
        <v>317</v>
      </c>
      <c r="D156" s="75"/>
      <c r="E156" s="75"/>
      <c r="F156" s="76"/>
      <c r="G156" s="77"/>
      <c r="H156" s="53"/>
      <c r="I156" s="53"/>
      <c r="J156" s="53"/>
      <c r="K156" s="76"/>
      <c r="L156" s="78"/>
      <c r="M156" s="77"/>
      <c r="N156" s="77"/>
    </row>
    <row r="157" spans="1:14" ht="15.95" customHeight="1" x14ac:dyDescent="0.15">
      <c r="A157" s="69" t="s">
        <v>317</v>
      </c>
      <c r="D157" s="75"/>
      <c r="E157" s="75"/>
      <c r="F157" s="76"/>
      <c r="G157" s="77"/>
      <c r="H157" s="53"/>
      <c r="I157" s="53"/>
      <c r="J157" s="53"/>
      <c r="K157" s="76"/>
      <c r="L157" s="78"/>
      <c r="M157" s="77"/>
      <c r="N157" s="77"/>
    </row>
    <row r="158" spans="1:14" ht="15.95" customHeight="1" x14ac:dyDescent="0.15">
      <c r="A158" s="69" t="s">
        <v>317</v>
      </c>
      <c r="D158" s="75"/>
      <c r="E158" s="75"/>
      <c r="F158" s="76"/>
      <c r="G158" s="77"/>
      <c r="H158" s="53"/>
      <c r="I158" s="53"/>
      <c r="J158" s="53"/>
      <c r="K158" s="76"/>
      <c r="L158" s="78"/>
      <c r="M158" s="77"/>
      <c r="N158" s="77"/>
    </row>
    <row r="159" spans="1:14" ht="15.95" customHeight="1" x14ac:dyDescent="0.15">
      <c r="A159" s="69" t="s">
        <v>317</v>
      </c>
      <c r="D159" s="75"/>
      <c r="E159" s="75"/>
      <c r="F159" s="76"/>
      <c r="G159" s="77"/>
      <c r="H159" s="53"/>
      <c r="I159" s="53"/>
      <c r="J159" s="53"/>
      <c r="K159" s="76"/>
      <c r="L159" s="78"/>
      <c r="M159" s="77"/>
      <c r="N159" s="77"/>
    </row>
    <row r="160" spans="1:14" ht="15.95" customHeight="1" x14ac:dyDescent="0.15">
      <c r="A160" s="69" t="s">
        <v>317</v>
      </c>
      <c r="D160" s="75"/>
      <c r="E160" s="75"/>
      <c r="F160" s="76"/>
      <c r="G160" s="77"/>
      <c r="H160" s="53"/>
      <c r="I160" s="53"/>
      <c r="J160" s="53"/>
      <c r="K160" s="76"/>
      <c r="L160" s="78"/>
      <c r="M160" s="77"/>
      <c r="N160" s="77"/>
    </row>
    <row r="161" spans="1:14" ht="15.95" customHeight="1" x14ac:dyDescent="0.15">
      <c r="A161" s="69" t="s">
        <v>317</v>
      </c>
      <c r="D161" s="75"/>
      <c r="E161" s="75"/>
      <c r="F161" s="76"/>
      <c r="G161" s="77"/>
      <c r="H161" s="53"/>
      <c r="I161" s="53"/>
      <c r="J161" s="53"/>
      <c r="K161" s="76"/>
      <c r="L161" s="78"/>
      <c r="M161" s="77"/>
      <c r="N161" s="77"/>
    </row>
    <row r="162" spans="1:14" ht="15.95" customHeight="1" x14ac:dyDescent="0.15">
      <c r="A162" s="69" t="s">
        <v>317</v>
      </c>
      <c r="D162" s="75"/>
      <c r="E162" s="75"/>
      <c r="F162" s="76"/>
      <c r="G162" s="77"/>
      <c r="H162" s="53"/>
      <c r="I162" s="53"/>
      <c r="J162" s="53"/>
      <c r="K162" s="76"/>
      <c r="L162" s="78"/>
      <c r="M162" s="77"/>
      <c r="N162" s="77"/>
    </row>
    <row r="163" spans="1:14" ht="15.95" customHeight="1" x14ac:dyDescent="0.15">
      <c r="A163" s="69" t="s">
        <v>317</v>
      </c>
      <c r="D163" s="75"/>
      <c r="E163" s="75"/>
      <c r="F163" s="76"/>
      <c r="G163" s="77"/>
      <c r="H163" s="53"/>
      <c r="I163" s="53"/>
      <c r="J163" s="53"/>
      <c r="K163" s="76"/>
      <c r="L163" s="78"/>
      <c r="M163" s="77"/>
      <c r="N163" s="77"/>
    </row>
    <row r="164" spans="1:14" ht="15.95" customHeight="1" x14ac:dyDescent="0.15">
      <c r="A164" s="69" t="s">
        <v>317</v>
      </c>
      <c r="D164" s="75"/>
      <c r="E164" s="75"/>
      <c r="F164" s="76"/>
      <c r="G164" s="77"/>
      <c r="H164" s="53"/>
      <c r="I164" s="53"/>
      <c r="J164" s="53"/>
      <c r="K164" s="76"/>
      <c r="L164" s="78"/>
      <c r="M164" s="77"/>
      <c r="N164" s="77"/>
    </row>
    <row r="165" spans="1:14" ht="15.95" customHeight="1" x14ac:dyDescent="0.15">
      <c r="A165" s="69" t="s">
        <v>317</v>
      </c>
      <c r="D165" s="75"/>
      <c r="E165" s="75"/>
      <c r="F165" s="76"/>
      <c r="G165" s="77"/>
      <c r="H165" s="53"/>
      <c r="I165" s="53"/>
      <c r="J165" s="53"/>
      <c r="K165" s="76"/>
      <c r="L165" s="78"/>
      <c r="M165" s="77"/>
      <c r="N165" s="77"/>
    </row>
    <row r="166" spans="1:14" ht="15.95" customHeight="1" x14ac:dyDescent="0.15">
      <c r="A166" s="69" t="s">
        <v>317</v>
      </c>
      <c r="D166" s="75"/>
      <c r="E166" s="75"/>
      <c r="F166" s="76"/>
      <c r="G166" s="77"/>
      <c r="H166" s="53"/>
      <c r="I166" s="53"/>
      <c r="J166" s="53"/>
      <c r="K166" s="76"/>
      <c r="L166" s="78"/>
      <c r="M166" s="77"/>
      <c r="N166" s="77"/>
    </row>
    <row r="167" spans="1:14" ht="15.95" customHeight="1" x14ac:dyDescent="0.15">
      <c r="A167" s="69" t="s">
        <v>317</v>
      </c>
      <c r="D167" s="75"/>
      <c r="E167" s="75"/>
      <c r="F167" s="76"/>
      <c r="G167" s="77"/>
      <c r="H167" s="53"/>
      <c r="I167" s="53"/>
      <c r="J167" s="53"/>
      <c r="K167" s="76"/>
      <c r="L167" s="78"/>
      <c r="M167" s="77"/>
      <c r="N167" s="77"/>
    </row>
    <row r="168" spans="1:14" ht="15.95" customHeight="1" x14ac:dyDescent="0.15">
      <c r="A168" s="69" t="s">
        <v>317</v>
      </c>
      <c r="D168" s="75"/>
      <c r="E168" s="75"/>
      <c r="F168" s="76"/>
      <c r="G168" s="77"/>
      <c r="H168" s="53"/>
      <c r="I168" s="53"/>
      <c r="J168" s="53"/>
      <c r="K168" s="76"/>
      <c r="L168" s="78"/>
      <c r="M168" s="77"/>
      <c r="N168" s="77"/>
    </row>
    <row r="169" spans="1:14" ht="15.95" customHeight="1" x14ac:dyDescent="0.15">
      <c r="A169" s="69" t="s">
        <v>317</v>
      </c>
      <c r="D169" s="75"/>
      <c r="E169" s="75"/>
      <c r="F169" s="76"/>
      <c r="G169" s="77"/>
      <c r="H169" s="53"/>
      <c r="I169" s="53"/>
      <c r="J169" s="53"/>
      <c r="K169" s="76"/>
      <c r="L169" s="78"/>
      <c r="M169" s="77"/>
      <c r="N169" s="77"/>
    </row>
    <row r="170" spans="1:14" ht="15.95" customHeight="1" x14ac:dyDescent="0.15">
      <c r="A170" s="69" t="s">
        <v>317</v>
      </c>
      <c r="D170" s="79"/>
      <c r="E170" s="79"/>
      <c r="F170" s="80"/>
      <c r="G170" s="81"/>
      <c r="H170" s="82"/>
      <c r="I170" s="82"/>
      <c r="J170" s="82"/>
      <c r="K170" s="80"/>
      <c r="L170" s="83"/>
      <c r="M170" s="81"/>
      <c r="N170" s="81"/>
    </row>
    <row r="171" spans="1:14" ht="15.95" customHeight="1" x14ac:dyDescent="0.15">
      <c r="A171" s="69" t="s">
        <v>317</v>
      </c>
      <c r="D171" s="75"/>
      <c r="E171" s="75"/>
      <c r="F171" s="76"/>
      <c r="G171" s="77"/>
      <c r="H171" s="53"/>
      <c r="I171" s="53"/>
      <c r="J171" s="53"/>
      <c r="K171" s="76"/>
      <c r="L171" s="78"/>
      <c r="M171" s="77"/>
      <c r="N171" s="77"/>
    </row>
    <row r="172" spans="1:14" ht="15.95" customHeight="1" x14ac:dyDescent="0.15">
      <c r="B172" s="69" t="s">
        <v>126</v>
      </c>
      <c r="C172" s="69" t="s">
        <v>127</v>
      </c>
      <c r="D172" s="434" t="s">
        <v>894</v>
      </c>
      <c r="E172" s="430"/>
      <c r="F172" s="430"/>
      <c r="G172" s="430"/>
      <c r="H172" s="430"/>
      <c r="I172" s="430"/>
      <c r="J172" s="430"/>
      <c r="K172" s="430"/>
      <c r="L172" s="430"/>
      <c r="M172" s="430"/>
      <c r="N172" s="435"/>
    </row>
    <row r="173" spans="1:14" ht="15.95" customHeight="1" x14ac:dyDescent="0.15">
      <c r="A173" s="69" t="s">
        <v>129</v>
      </c>
      <c r="D173" s="75" t="s">
        <v>130</v>
      </c>
      <c r="E173" s="75"/>
      <c r="F173" s="76" t="s">
        <v>131</v>
      </c>
      <c r="G173" s="77"/>
      <c r="H173" s="53"/>
      <c r="I173" s="53"/>
      <c r="J173" s="53"/>
      <c r="K173" s="76"/>
      <c r="L173" s="78"/>
      <c r="M173" s="77"/>
      <c r="N173" s="77"/>
    </row>
    <row r="174" spans="1:14" ht="15.95" customHeight="1" x14ac:dyDescent="0.15">
      <c r="A174" s="69" t="s">
        <v>129</v>
      </c>
      <c r="D174" s="75" t="s">
        <v>257</v>
      </c>
      <c r="E174" s="75"/>
      <c r="F174" s="76" t="s">
        <v>131</v>
      </c>
      <c r="G174" s="77"/>
      <c r="H174" s="53"/>
      <c r="I174" s="53"/>
      <c r="J174" s="53"/>
      <c r="K174" s="76"/>
      <c r="L174" s="78"/>
      <c r="M174" s="77"/>
      <c r="N174" s="77"/>
    </row>
    <row r="175" spans="1:14" ht="15.95" customHeight="1" x14ac:dyDescent="0.15">
      <c r="A175" s="69" t="s">
        <v>129</v>
      </c>
      <c r="D175" s="75" t="s">
        <v>258</v>
      </c>
      <c r="E175" s="75"/>
      <c r="F175" s="76" t="s">
        <v>131</v>
      </c>
      <c r="G175" s="77"/>
      <c r="H175" s="53"/>
      <c r="I175" s="53"/>
      <c r="J175" s="53"/>
      <c r="K175" s="76"/>
      <c r="L175" s="78"/>
      <c r="M175" s="77"/>
      <c r="N175" s="77"/>
    </row>
    <row r="176" spans="1:14" ht="15.95" customHeight="1" x14ac:dyDescent="0.15">
      <c r="A176" s="69" t="s">
        <v>129</v>
      </c>
      <c r="B176" s="69" t="s">
        <v>259</v>
      </c>
      <c r="D176" s="75" t="s">
        <v>325</v>
      </c>
      <c r="E176" s="75" t="s">
        <v>295</v>
      </c>
      <c r="F176" s="76" t="s">
        <v>127</v>
      </c>
      <c r="G176" s="77">
        <f>IF(egTextCal(E176)&lt;&gt;0, egTextCal(E176),   )</f>
        <v>6</v>
      </c>
      <c r="H176" s="53" t="s">
        <v>262</v>
      </c>
      <c r="I176" s="53" t="s">
        <v>263</v>
      </c>
      <c r="J176" s="53" t="s">
        <v>264</v>
      </c>
      <c r="K176" s="76" t="s">
        <v>175</v>
      </c>
      <c r="L176" s="78">
        <v>1</v>
      </c>
      <c r="M176" s="77">
        <f>IF(egTextCal(L176)&lt;&gt;0, egTextCal(L176),   )</f>
        <v>1</v>
      </c>
      <c r="N176" s="77">
        <f>SUM(G176:G177)*M176</f>
        <v>6</v>
      </c>
    </row>
    <row r="177" spans="1:14" ht="15.95" customHeight="1" x14ac:dyDescent="0.15">
      <c r="A177" s="69" t="s">
        <v>129</v>
      </c>
      <c r="B177" s="69" t="s">
        <v>326</v>
      </c>
      <c r="D177" s="75"/>
      <c r="E177" s="75"/>
      <c r="F177" s="76" t="s">
        <v>189</v>
      </c>
      <c r="G177" s="77"/>
      <c r="H177" s="53" t="s">
        <v>327</v>
      </c>
      <c r="I177" s="53" t="s">
        <v>328</v>
      </c>
      <c r="J177" s="53" t="s">
        <v>329</v>
      </c>
      <c r="K177" s="76" t="s">
        <v>175</v>
      </c>
      <c r="L177" s="78">
        <v>1</v>
      </c>
      <c r="M177" s="77">
        <f>IF(egTextCal(L177)&lt;&gt;0, egTextCal(L177),   )</f>
        <v>1</v>
      </c>
      <c r="N177" s="77">
        <f>SUM(G176:G177)*M177</f>
        <v>6</v>
      </c>
    </row>
    <row r="178" spans="1:14" ht="15.95" customHeight="1" x14ac:dyDescent="0.15">
      <c r="A178" s="69" t="s">
        <v>129</v>
      </c>
      <c r="B178" s="69" t="s">
        <v>259</v>
      </c>
      <c r="D178" s="75" t="s">
        <v>330</v>
      </c>
      <c r="E178" s="75" t="s">
        <v>127</v>
      </c>
      <c r="F178" s="76" t="s">
        <v>127</v>
      </c>
      <c r="G178" s="77">
        <f>IF(egTextCal(E178)&lt;&gt;0, egTextCal(E178),   )</f>
        <v>1</v>
      </c>
      <c r="H178" s="53" t="s">
        <v>262</v>
      </c>
      <c r="I178" s="53" t="s">
        <v>263</v>
      </c>
      <c r="J178" s="53" t="s">
        <v>264</v>
      </c>
      <c r="K178" s="76" t="s">
        <v>175</v>
      </c>
      <c r="L178" s="78">
        <v>0.5</v>
      </c>
      <c r="M178" s="77">
        <f>IF(egTextCal(L178)&lt;&gt;0, egTextCal(L178),   )</f>
        <v>0.5</v>
      </c>
      <c r="N178" s="77">
        <f>SUM(G178:G179)*M178</f>
        <v>0.5</v>
      </c>
    </row>
    <row r="179" spans="1:14" ht="15.95" customHeight="1" x14ac:dyDescent="0.15">
      <c r="A179" s="69" t="s">
        <v>129</v>
      </c>
      <c r="B179" s="69" t="s">
        <v>326</v>
      </c>
      <c r="D179" s="75"/>
      <c r="E179" s="75"/>
      <c r="F179" s="76" t="s">
        <v>189</v>
      </c>
      <c r="G179" s="77"/>
      <c r="H179" s="53" t="s">
        <v>327</v>
      </c>
      <c r="I179" s="53" t="s">
        <v>328</v>
      </c>
      <c r="J179" s="53" t="s">
        <v>329</v>
      </c>
      <c r="K179" s="76" t="s">
        <v>175</v>
      </c>
      <c r="L179" s="78" t="s">
        <v>331</v>
      </c>
      <c r="M179" s="77">
        <f>IF(egTextCal(L179)&lt;&gt;0, egTextCal(L179),   )</f>
        <v>1.5</v>
      </c>
      <c r="N179" s="77">
        <f>SUM(G178:G179)*M179</f>
        <v>1.5</v>
      </c>
    </row>
    <row r="180" spans="1:14" ht="15.95" customHeight="1" x14ac:dyDescent="0.15">
      <c r="A180" s="69" t="s">
        <v>129</v>
      </c>
      <c r="B180" s="69" t="s">
        <v>259</v>
      </c>
      <c r="D180" s="75" t="s">
        <v>332</v>
      </c>
      <c r="E180" s="75" t="s">
        <v>127</v>
      </c>
      <c r="F180" s="76" t="s">
        <v>127</v>
      </c>
      <c r="G180" s="77">
        <f>IF(egTextCal(E180)&lt;&gt;0, egTextCal(E180),   )</f>
        <v>1</v>
      </c>
      <c r="H180" s="53" t="s">
        <v>262</v>
      </c>
      <c r="I180" s="53" t="s">
        <v>263</v>
      </c>
      <c r="J180" s="53" t="s">
        <v>264</v>
      </c>
      <c r="K180" s="76" t="s">
        <v>175</v>
      </c>
      <c r="L180" s="78">
        <v>0.4</v>
      </c>
      <c r="M180" s="77">
        <f>IF(egTextCal(L180)&lt;&gt;0, egTextCal(L180),   )</f>
        <v>0.4</v>
      </c>
      <c r="N180" s="77">
        <f>SUM(G180:G183)*M180</f>
        <v>0.4</v>
      </c>
    </row>
    <row r="181" spans="1:14" ht="15.95" customHeight="1" x14ac:dyDescent="0.15">
      <c r="A181" s="69" t="s">
        <v>129</v>
      </c>
      <c r="B181" s="69" t="s">
        <v>326</v>
      </c>
      <c r="D181" s="75"/>
      <c r="E181" s="75"/>
      <c r="F181" s="76" t="s">
        <v>189</v>
      </c>
      <c r="G181" s="77"/>
      <c r="H181" s="53" t="s">
        <v>327</v>
      </c>
      <c r="I181" s="53" t="s">
        <v>328</v>
      </c>
      <c r="J181" s="53" t="s">
        <v>329</v>
      </c>
      <c r="K181" s="76" t="s">
        <v>175</v>
      </c>
      <c r="L181" s="78" t="s">
        <v>333</v>
      </c>
      <c r="M181" s="77">
        <f>IF(egTextCal(L181)&lt;&gt;0, egTextCal(L181),   )</f>
        <v>0.60000000000000009</v>
      </c>
      <c r="N181" s="77">
        <f>SUM(G180:G183)*M181</f>
        <v>0.60000000000000009</v>
      </c>
    </row>
    <row r="182" spans="1:14" ht="15.95" customHeight="1" x14ac:dyDescent="0.15">
      <c r="A182" s="69" t="s">
        <v>129</v>
      </c>
      <c r="B182" s="69" t="s">
        <v>280</v>
      </c>
      <c r="D182" s="75"/>
      <c r="E182" s="75"/>
      <c r="F182" s="76" t="s">
        <v>281</v>
      </c>
      <c r="G182" s="77"/>
      <c r="H182" s="53" t="s">
        <v>282</v>
      </c>
      <c r="I182" s="53" t="s">
        <v>283</v>
      </c>
      <c r="J182" s="53" t="s">
        <v>284</v>
      </c>
      <c r="K182" s="76" t="s">
        <v>145</v>
      </c>
      <c r="L182" s="78">
        <v>1</v>
      </c>
      <c r="M182" s="77">
        <f>IF(egTextCal(L182)&lt;&gt;0, egTextCal(L182),   )</f>
        <v>1</v>
      </c>
      <c r="N182" s="77">
        <f>SUM(G180:G183)*M182</f>
        <v>1</v>
      </c>
    </row>
    <row r="183" spans="1:14" ht="15.95" customHeight="1" x14ac:dyDescent="0.15">
      <c r="A183" s="69" t="s">
        <v>129</v>
      </c>
      <c r="B183" s="69" t="s">
        <v>334</v>
      </c>
      <c r="D183" s="75"/>
      <c r="E183" s="75"/>
      <c r="F183" s="76" t="s">
        <v>286</v>
      </c>
      <c r="G183" s="77"/>
      <c r="H183" s="53" t="s">
        <v>335</v>
      </c>
      <c r="I183" s="53" t="s">
        <v>147</v>
      </c>
      <c r="J183" s="53" t="s">
        <v>336</v>
      </c>
      <c r="K183" s="76" t="s">
        <v>145</v>
      </c>
      <c r="L183" s="78">
        <v>1</v>
      </c>
      <c r="M183" s="77">
        <f>IF(egTextCal(L183)&lt;&gt;0, egTextCal(L183),   )</f>
        <v>1</v>
      </c>
      <c r="N183" s="77">
        <f>SUM(G180:G183)*M183</f>
        <v>1</v>
      </c>
    </row>
    <row r="184" spans="1:14" ht="15.95" customHeight="1" x14ac:dyDescent="0.15">
      <c r="A184" s="69" t="s">
        <v>129</v>
      </c>
      <c r="D184" s="75"/>
      <c r="E184" s="75"/>
      <c r="F184" s="76" t="s">
        <v>131</v>
      </c>
      <c r="G184" s="77"/>
      <c r="H184" s="53"/>
      <c r="I184" s="53"/>
      <c r="J184" s="53"/>
      <c r="K184" s="76"/>
      <c r="L184" s="78"/>
      <c r="M184" s="77"/>
      <c r="N184" s="77"/>
    </row>
    <row r="185" spans="1:14" ht="15.95" customHeight="1" x14ac:dyDescent="0.15">
      <c r="A185" s="69" t="s">
        <v>129</v>
      </c>
      <c r="D185" s="75" t="s">
        <v>313</v>
      </c>
      <c r="E185" s="75"/>
      <c r="F185" s="76" t="s">
        <v>131</v>
      </c>
      <c r="G185" s="77"/>
      <c r="H185" s="53"/>
      <c r="I185" s="53"/>
      <c r="J185" s="53"/>
      <c r="K185" s="76"/>
      <c r="L185" s="78"/>
      <c r="M185" s="77"/>
      <c r="N185" s="77"/>
    </row>
    <row r="186" spans="1:14" ht="15.95" customHeight="1" x14ac:dyDescent="0.15">
      <c r="A186" s="69" t="s">
        <v>129</v>
      </c>
      <c r="B186" s="69" t="s">
        <v>259</v>
      </c>
      <c r="D186" s="75" t="s">
        <v>325</v>
      </c>
      <c r="E186" s="75" t="s">
        <v>299</v>
      </c>
      <c r="F186" s="76" t="s">
        <v>127</v>
      </c>
      <c r="G186" s="77">
        <f>IF(egTextCal(E186)&lt;&gt;0, egTextCal(E186),   )</f>
        <v>7</v>
      </c>
      <c r="H186" s="53" t="s">
        <v>262</v>
      </c>
      <c r="I186" s="53" t="s">
        <v>263</v>
      </c>
      <c r="J186" s="53" t="s">
        <v>264</v>
      </c>
      <c r="K186" s="76" t="s">
        <v>175</v>
      </c>
      <c r="L186" s="78">
        <v>1</v>
      </c>
      <c r="M186" s="77">
        <f>IF(egTextCal(L186)&lt;&gt;0, egTextCal(L186),   )</f>
        <v>1</v>
      </c>
      <c r="N186" s="77">
        <f>SUM(G186:G187)*M186</f>
        <v>7</v>
      </c>
    </row>
    <row r="187" spans="1:14" ht="15.95" customHeight="1" x14ac:dyDescent="0.15">
      <c r="A187" s="69" t="s">
        <v>129</v>
      </c>
      <c r="B187" s="69" t="s">
        <v>326</v>
      </c>
      <c r="D187" s="75"/>
      <c r="E187" s="75"/>
      <c r="F187" s="76" t="s">
        <v>189</v>
      </c>
      <c r="G187" s="77"/>
      <c r="H187" s="53" t="s">
        <v>327</v>
      </c>
      <c r="I187" s="53" t="s">
        <v>328</v>
      </c>
      <c r="J187" s="53" t="s">
        <v>329</v>
      </c>
      <c r="K187" s="76" t="s">
        <v>175</v>
      </c>
      <c r="L187" s="78">
        <v>1</v>
      </c>
      <c r="M187" s="77">
        <f>IF(egTextCal(L187)&lt;&gt;0, egTextCal(L187),   )</f>
        <v>1</v>
      </c>
      <c r="N187" s="77">
        <f>SUM(G186:G187)*M187</f>
        <v>7</v>
      </c>
    </row>
    <row r="188" spans="1:14" ht="15.95" customHeight="1" x14ac:dyDescent="0.15">
      <c r="A188" s="69" t="s">
        <v>129</v>
      </c>
      <c r="B188" s="69" t="s">
        <v>259</v>
      </c>
      <c r="D188" s="75" t="s">
        <v>330</v>
      </c>
      <c r="E188" s="75" t="s">
        <v>127</v>
      </c>
      <c r="F188" s="76" t="s">
        <v>127</v>
      </c>
      <c r="G188" s="77">
        <f>IF(egTextCal(E188)&lt;&gt;0, egTextCal(E188),   )</f>
        <v>1</v>
      </c>
      <c r="H188" s="53" t="s">
        <v>262</v>
      </c>
      <c r="I188" s="53" t="s">
        <v>263</v>
      </c>
      <c r="J188" s="53" t="s">
        <v>264</v>
      </c>
      <c r="K188" s="76" t="s">
        <v>175</v>
      </c>
      <c r="L188" s="78">
        <v>0.5</v>
      </c>
      <c r="M188" s="77">
        <f>IF(egTextCal(L188)&lt;&gt;0, egTextCal(L188),   )</f>
        <v>0.5</v>
      </c>
      <c r="N188" s="77">
        <f>SUM(G188:G189)*M188</f>
        <v>0.5</v>
      </c>
    </row>
    <row r="189" spans="1:14" ht="15.95" customHeight="1" x14ac:dyDescent="0.15">
      <c r="A189" s="69" t="s">
        <v>129</v>
      </c>
      <c r="B189" s="69" t="s">
        <v>326</v>
      </c>
      <c r="D189" s="75"/>
      <c r="E189" s="75"/>
      <c r="F189" s="76" t="s">
        <v>189</v>
      </c>
      <c r="G189" s="77"/>
      <c r="H189" s="53" t="s">
        <v>327</v>
      </c>
      <c r="I189" s="53" t="s">
        <v>328</v>
      </c>
      <c r="J189" s="53" t="s">
        <v>329</v>
      </c>
      <c r="K189" s="76" t="s">
        <v>175</v>
      </c>
      <c r="L189" s="78" t="s">
        <v>331</v>
      </c>
      <c r="M189" s="77">
        <f>IF(egTextCal(L189)&lt;&gt;0, egTextCal(L189),   )</f>
        <v>1.5</v>
      </c>
      <c r="N189" s="77">
        <f>SUM(G188:G189)*M189</f>
        <v>1.5</v>
      </c>
    </row>
    <row r="190" spans="1:14" ht="15.95" customHeight="1" x14ac:dyDescent="0.15">
      <c r="A190" s="69" t="s">
        <v>129</v>
      </c>
      <c r="B190" s="69" t="s">
        <v>259</v>
      </c>
      <c r="D190" s="75" t="s">
        <v>332</v>
      </c>
      <c r="E190" s="75" t="s">
        <v>127</v>
      </c>
      <c r="F190" s="76" t="s">
        <v>127</v>
      </c>
      <c r="G190" s="77">
        <f>IF(egTextCal(E190)&lt;&gt;0, egTextCal(E190),   )</f>
        <v>1</v>
      </c>
      <c r="H190" s="53" t="s">
        <v>262</v>
      </c>
      <c r="I190" s="53" t="s">
        <v>263</v>
      </c>
      <c r="J190" s="53" t="s">
        <v>264</v>
      </c>
      <c r="K190" s="76" t="s">
        <v>175</v>
      </c>
      <c r="L190" s="78">
        <v>0.4</v>
      </c>
      <c r="M190" s="77">
        <f>IF(egTextCal(L190)&lt;&gt;0, egTextCal(L190),   )</f>
        <v>0.4</v>
      </c>
      <c r="N190" s="77">
        <f>SUM(G190:G193)*M190</f>
        <v>0.4</v>
      </c>
    </row>
    <row r="191" spans="1:14" ht="15.95" customHeight="1" x14ac:dyDescent="0.15">
      <c r="A191" s="69" t="s">
        <v>129</v>
      </c>
      <c r="B191" s="69" t="s">
        <v>326</v>
      </c>
      <c r="D191" s="75"/>
      <c r="E191" s="75"/>
      <c r="F191" s="76" t="s">
        <v>189</v>
      </c>
      <c r="G191" s="77"/>
      <c r="H191" s="53" t="s">
        <v>327</v>
      </c>
      <c r="I191" s="53" t="s">
        <v>328</v>
      </c>
      <c r="J191" s="53" t="s">
        <v>329</v>
      </c>
      <c r="K191" s="76" t="s">
        <v>175</v>
      </c>
      <c r="L191" s="78" t="s">
        <v>333</v>
      </c>
      <c r="M191" s="77">
        <f>IF(egTextCal(L191)&lt;&gt;0, egTextCal(L191),   )</f>
        <v>0.60000000000000009</v>
      </c>
      <c r="N191" s="77">
        <f>SUM(G190:G193)*M191</f>
        <v>0.60000000000000009</v>
      </c>
    </row>
    <row r="192" spans="1:14" ht="15.95" customHeight="1" x14ac:dyDescent="0.15">
      <c r="A192" s="69" t="s">
        <v>129</v>
      </c>
      <c r="B192" s="69" t="s">
        <v>280</v>
      </c>
      <c r="D192" s="75"/>
      <c r="E192" s="75"/>
      <c r="F192" s="76" t="s">
        <v>281</v>
      </c>
      <c r="G192" s="77"/>
      <c r="H192" s="53" t="s">
        <v>282</v>
      </c>
      <c r="I192" s="53" t="s">
        <v>283</v>
      </c>
      <c r="J192" s="53" t="s">
        <v>284</v>
      </c>
      <c r="K192" s="76" t="s">
        <v>145</v>
      </c>
      <c r="L192" s="78">
        <v>1</v>
      </c>
      <c r="M192" s="77">
        <f>IF(egTextCal(L192)&lt;&gt;0, egTextCal(L192),   )</f>
        <v>1</v>
      </c>
      <c r="N192" s="77">
        <f>SUM(G190:G193)*M192</f>
        <v>1</v>
      </c>
    </row>
    <row r="193" spans="1:14" ht="15.95" customHeight="1" x14ac:dyDescent="0.15">
      <c r="A193" s="69" t="s">
        <v>129</v>
      </c>
      <c r="B193" s="69" t="s">
        <v>334</v>
      </c>
      <c r="D193" s="75"/>
      <c r="E193" s="75"/>
      <c r="F193" s="76" t="s">
        <v>286</v>
      </c>
      <c r="G193" s="77"/>
      <c r="H193" s="53" t="s">
        <v>335</v>
      </c>
      <c r="I193" s="53" t="s">
        <v>147</v>
      </c>
      <c r="J193" s="53" t="s">
        <v>336</v>
      </c>
      <c r="K193" s="76" t="s">
        <v>145</v>
      </c>
      <c r="L193" s="78">
        <v>1</v>
      </c>
      <c r="M193" s="77">
        <f>IF(egTextCal(L193)&lt;&gt;0, egTextCal(L193),   )</f>
        <v>1</v>
      </c>
      <c r="N193" s="77">
        <f>SUM(G190:G193)*M193</f>
        <v>1</v>
      </c>
    </row>
    <row r="194" spans="1:14" ht="15.95" customHeight="1" x14ac:dyDescent="0.15">
      <c r="A194" s="69" t="s">
        <v>129</v>
      </c>
      <c r="D194" s="75"/>
      <c r="E194" s="75"/>
      <c r="F194" s="76"/>
      <c r="G194" s="77"/>
      <c r="H194" s="53"/>
      <c r="I194" s="53"/>
      <c r="J194" s="53"/>
      <c r="K194" s="76"/>
      <c r="L194" s="78"/>
      <c r="M194" s="77"/>
      <c r="N194" s="77"/>
    </row>
    <row r="195" spans="1:14" ht="15.95" customHeight="1" x14ac:dyDescent="0.15">
      <c r="A195" s="69" t="s">
        <v>129</v>
      </c>
      <c r="D195" s="75"/>
      <c r="E195" s="75"/>
      <c r="F195" s="76"/>
      <c r="G195" s="77"/>
      <c r="H195" s="53"/>
      <c r="I195" s="53"/>
      <c r="J195" s="53"/>
      <c r="K195" s="76"/>
      <c r="L195" s="78"/>
      <c r="M195" s="77"/>
      <c r="N195" s="77"/>
    </row>
    <row r="196" spans="1:14" ht="15.95" customHeight="1" x14ac:dyDescent="0.15">
      <c r="A196" s="69" t="s">
        <v>129</v>
      </c>
      <c r="D196" s="75"/>
      <c r="E196" s="75"/>
      <c r="F196" s="76"/>
      <c r="G196" s="77"/>
      <c r="H196" s="53"/>
      <c r="I196" s="53"/>
      <c r="J196" s="53"/>
      <c r="K196" s="76"/>
      <c r="L196" s="78"/>
      <c r="M196" s="77"/>
      <c r="N196" s="77"/>
    </row>
    <row r="197" spans="1:14" ht="15.95" customHeight="1" x14ac:dyDescent="0.15">
      <c r="A197" s="69" t="s">
        <v>129</v>
      </c>
      <c r="D197" s="75"/>
      <c r="E197" s="75"/>
      <c r="F197" s="76"/>
      <c r="G197" s="77"/>
      <c r="H197" s="53"/>
      <c r="I197" s="53"/>
      <c r="J197" s="53"/>
      <c r="K197" s="76"/>
      <c r="L197" s="78"/>
      <c r="M197" s="77"/>
      <c r="N197" s="77"/>
    </row>
    <row r="198" spans="1:14" ht="15.95" customHeight="1" x14ac:dyDescent="0.15">
      <c r="A198" s="69" t="s">
        <v>129</v>
      </c>
      <c r="D198" s="75"/>
      <c r="E198" s="75"/>
      <c r="F198" s="76"/>
      <c r="G198" s="77"/>
      <c r="H198" s="53"/>
      <c r="I198" s="53"/>
      <c r="J198" s="53"/>
      <c r="K198" s="76"/>
      <c r="L198" s="78"/>
      <c r="M198" s="77"/>
      <c r="N198" s="77"/>
    </row>
    <row r="199" spans="1:14" ht="15.95" customHeight="1" x14ac:dyDescent="0.15">
      <c r="A199" s="69" t="s">
        <v>129</v>
      </c>
      <c r="D199" s="75"/>
      <c r="E199" s="75"/>
      <c r="F199" s="76"/>
      <c r="G199" s="77"/>
      <c r="H199" s="53"/>
      <c r="I199" s="53"/>
      <c r="J199" s="53"/>
      <c r="K199" s="76"/>
      <c r="L199" s="78"/>
      <c r="M199" s="77"/>
      <c r="N199" s="77"/>
    </row>
    <row r="200" spans="1:14" ht="15.95" customHeight="1" x14ac:dyDescent="0.15">
      <c r="A200" s="69" t="s">
        <v>129</v>
      </c>
      <c r="D200" s="75"/>
      <c r="E200" s="75"/>
      <c r="F200" s="76"/>
      <c r="G200" s="77"/>
      <c r="H200" s="53"/>
      <c r="I200" s="53"/>
      <c r="J200" s="53"/>
      <c r="K200" s="76"/>
      <c r="L200" s="78"/>
      <c r="M200" s="77"/>
      <c r="N200" s="77"/>
    </row>
    <row r="201" spans="1:14" ht="15.95" customHeight="1" x14ac:dyDescent="0.15">
      <c r="A201" s="69" t="s">
        <v>129</v>
      </c>
      <c r="D201" s="75"/>
      <c r="E201" s="75"/>
      <c r="F201" s="76"/>
      <c r="G201" s="77"/>
      <c r="H201" s="53"/>
      <c r="I201" s="53"/>
      <c r="J201" s="53"/>
      <c r="K201" s="76"/>
      <c r="L201" s="78"/>
      <c r="M201" s="77"/>
      <c r="N201" s="77"/>
    </row>
    <row r="202" spans="1:14" ht="15.95" customHeight="1" x14ac:dyDescent="0.15">
      <c r="A202" s="69" t="s">
        <v>129</v>
      </c>
      <c r="D202" s="75"/>
      <c r="E202" s="75"/>
      <c r="F202" s="76"/>
      <c r="G202" s="77"/>
      <c r="H202" s="53"/>
      <c r="I202" s="53"/>
      <c r="J202" s="53"/>
      <c r="K202" s="76"/>
      <c r="L202" s="78"/>
      <c r="M202" s="77"/>
      <c r="N202" s="77"/>
    </row>
    <row r="203" spans="1:14" ht="15.95" customHeight="1" x14ac:dyDescent="0.15">
      <c r="A203" s="69" t="s">
        <v>129</v>
      </c>
      <c r="D203" s="75"/>
      <c r="E203" s="75"/>
      <c r="F203" s="76"/>
      <c r="G203" s="77"/>
      <c r="H203" s="53"/>
      <c r="I203" s="53"/>
      <c r="J203" s="53"/>
      <c r="K203" s="76"/>
      <c r="L203" s="78"/>
      <c r="M203" s="77"/>
      <c r="N203" s="77"/>
    </row>
    <row r="204" spans="1:14" ht="15.95" customHeight="1" x14ac:dyDescent="0.15">
      <c r="A204" s="69" t="s">
        <v>129</v>
      </c>
      <c r="D204" s="75"/>
      <c r="E204" s="75"/>
      <c r="F204" s="76"/>
      <c r="G204" s="77"/>
      <c r="H204" s="53"/>
      <c r="I204" s="53"/>
      <c r="J204" s="53"/>
      <c r="K204" s="76"/>
      <c r="L204" s="78"/>
      <c r="M204" s="77"/>
      <c r="N204" s="77"/>
    </row>
    <row r="205" spans="1:14" ht="15.95" customHeight="1" x14ac:dyDescent="0.15">
      <c r="A205" s="69" t="s">
        <v>129</v>
      </c>
      <c r="D205" s="75"/>
      <c r="E205" s="75"/>
      <c r="F205" s="76"/>
      <c r="G205" s="77"/>
      <c r="H205" s="53"/>
      <c r="I205" s="53"/>
      <c r="J205" s="53"/>
      <c r="K205" s="76"/>
      <c r="L205" s="78"/>
      <c r="M205" s="77"/>
      <c r="N205" s="77"/>
    </row>
    <row r="206" spans="1:14" ht="15.95" customHeight="1" x14ac:dyDescent="0.15">
      <c r="A206" s="69" t="s">
        <v>129</v>
      </c>
      <c r="D206" s="75"/>
      <c r="E206" s="75"/>
      <c r="F206" s="76"/>
      <c r="G206" s="77"/>
      <c r="H206" s="53"/>
      <c r="I206" s="53"/>
      <c r="J206" s="53"/>
      <c r="K206" s="76"/>
      <c r="L206" s="78"/>
      <c r="M206" s="77"/>
      <c r="N206" s="77"/>
    </row>
    <row r="207" spans="1:14" ht="15.95" customHeight="1" x14ac:dyDescent="0.15">
      <c r="A207" s="69" t="s">
        <v>129</v>
      </c>
      <c r="D207" s="75"/>
      <c r="E207" s="75"/>
      <c r="F207" s="76"/>
      <c r="G207" s="77"/>
      <c r="H207" s="53"/>
      <c r="I207" s="53"/>
      <c r="J207" s="53"/>
      <c r="K207" s="76"/>
      <c r="L207" s="78"/>
      <c r="M207" s="77"/>
      <c r="N207" s="77"/>
    </row>
    <row r="208" spans="1:14" ht="15.95" customHeight="1" x14ac:dyDescent="0.15">
      <c r="A208" s="69" t="s">
        <v>129</v>
      </c>
      <c r="D208" s="75"/>
      <c r="E208" s="75"/>
      <c r="F208" s="76"/>
      <c r="G208" s="77"/>
      <c r="H208" s="53"/>
      <c r="I208" s="53"/>
      <c r="J208" s="53"/>
      <c r="K208" s="76"/>
      <c r="L208" s="78"/>
      <c r="M208" s="77"/>
      <c r="N208" s="77"/>
    </row>
    <row r="209" spans="1:14" ht="15.95" customHeight="1" x14ac:dyDescent="0.15">
      <c r="A209" s="69" t="s">
        <v>129</v>
      </c>
      <c r="D209" s="75"/>
      <c r="E209" s="75"/>
      <c r="F209" s="76"/>
      <c r="G209" s="77"/>
      <c r="H209" s="53"/>
      <c r="I209" s="53"/>
      <c r="J209" s="53"/>
      <c r="K209" s="76"/>
      <c r="L209" s="78"/>
      <c r="M209" s="77"/>
      <c r="N209" s="77"/>
    </row>
    <row r="210" spans="1:14" ht="15.95" customHeight="1" x14ac:dyDescent="0.15">
      <c r="A210" s="69" t="s">
        <v>129</v>
      </c>
      <c r="D210" s="75"/>
      <c r="E210" s="75"/>
      <c r="F210" s="76"/>
      <c r="G210" s="77"/>
      <c r="H210" s="53"/>
      <c r="I210" s="53"/>
      <c r="J210" s="53"/>
      <c r="K210" s="76"/>
      <c r="L210" s="78"/>
      <c r="M210" s="77"/>
      <c r="N210" s="77"/>
    </row>
    <row r="211" spans="1:14" ht="15.95" customHeight="1" x14ac:dyDescent="0.15">
      <c r="A211" s="69" t="s">
        <v>129</v>
      </c>
      <c r="D211" s="75"/>
      <c r="E211" s="75"/>
      <c r="F211" s="76"/>
      <c r="G211" s="77"/>
      <c r="H211" s="53"/>
      <c r="I211" s="53"/>
      <c r="J211" s="53"/>
      <c r="K211" s="76"/>
      <c r="L211" s="78"/>
      <c r="M211" s="77"/>
      <c r="N211" s="77"/>
    </row>
    <row r="212" spans="1:14" ht="15.95" customHeight="1" x14ac:dyDescent="0.15">
      <c r="A212" s="69" t="s">
        <v>129</v>
      </c>
      <c r="D212" s="75"/>
      <c r="E212" s="75"/>
      <c r="F212" s="76"/>
      <c r="G212" s="77"/>
      <c r="H212" s="53"/>
      <c r="I212" s="53"/>
      <c r="J212" s="53"/>
      <c r="K212" s="76"/>
      <c r="L212" s="78"/>
      <c r="M212" s="77"/>
      <c r="N212" s="77"/>
    </row>
    <row r="213" spans="1:14" ht="15.95" customHeight="1" x14ac:dyDescent="0.15">
      <c r="A213" s="69" t="s">
        <v>129</v>
      </c>
      <c r="D213" s="75"/>
      <c r="E213" s="75"/>
      <c r="F213" s="76"/>
      <c r="G213" s="77"/>
      <c r="H213" s="53"/>
      <c r="I213" s="53"/>
      <c r="J213" s="53"/>
      <c r="K213" s="76"/>
      <c r="L213" s="78"/>
      <c r="M213" s="77"/>
      <c r="N213" s="77"/>
    </row>
  </sheetData>
  <mergeCells count="15">
    <mergeCell ref="D172:N172"/>
    <mergeCell ref="D4:N4"/>
    <mergeCell ref="D46:N46"/>
    <mergeCell ref="D130:N130"/>
    <mergeCell ref="D1:N1"/>
    <mergeCell ref="N2:N3"/>
    <mergeCell ref="J2:J3"/>
    <mergeCell ref="K2:K3"/>
    <mergeCell ref="L2:L3"/>
    <mergeCell ref="M2:M3"/>
    <mergeCell ref="I2:I3"/>
    <mergeCell ref="D2:D3"/>
    <mergeCell ref="E2:E3"/>
    <mergeCell ref="G2:G3"/>
    <mergeCell ref="H2:H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7"/>
  <dimension ref="A1:B27"/>
  <sheetViews>
    <sheetView workbookViewId="0">
      <selection activeCell="D1" sqref="D1:N1"/>
    </sheetView>
  </sheetViews>
  <sheetFormatPr defaultRowHeight="18.75" customHeight="1" x14ac:dyDescent="0.15"/>
  <cols>
    <col min="1" max="1" width="4.6640625" style="10" customWidth="1"/>
    <col min="2" max="2" width="73" customWidth="1"/>
  </cols>
  <sheetData>
    <row r="1" spans="1:2" ht="20.25" x14ac:dyDescent="0.25">
      <c r="B1" s="11" t="s">
        <v>21</v>
      </c>
    </row>
    <row r="2" spans="1:2" ht="18.95" customHeight="1" x14ac:dyDescent="0.15">
      <c r="A2" s="10" t="s">
        <v>22</v>
      </c>
      <c r="B2" t="s">
        <v>24</v>
      </c>
    </row>
    <row r="3" spans="1:2" ht="18.95" customHeight="1" x14ac:dyDescent="0.15">
      <c r="B3" t="s">
        <v>23</v>
      </c>
    </row>
    <row r="4" spans="1:2" ht="18.95" customHeight="1" x14ac:dyDescent="0.15">
      <c r="A4" s="10" t="s">
        <v>28</v>
      </c>
      <c r="B4" t="s">
        <v>26</v>
      </c>
    </row>
    <row r="5" spans="1:2" ht="18.95" customHeight="1" x14ac:dyDescent="0.15">
      <c r="A5" s="10" t="s">
        <v>29</v>
      </c>
      <c r="B5" t="s">
        <v>27</v>
      </c>
    </row>
    <row r="6" spans="1:2" ht="18.95" customHeight="1" x14ac:dyDescent="0.15"/>
    <row r="7" spans="1:2" ht="18.95" customHeight="1" x14ac:dyDescent="0.15"/>
    <row r="8" spans="1:2" ht="18.95" customHeight="1" x14ac:dyDescent="0.15"/>
    <row r="9" spans="1:2" ht="18.95" customHeight="1" x14ac:dyDescent="0.15"/>
    <row r="10" spans="1:2" ht="18.95" customHeight="1" x14ac:dyDescent="0.15"/>
    <row r="11" spans="1:2" ht="18.95" customHeight="1" x14ac:dyDescent="0.15"/>
    <row r="12" spans="1:2" ht="18.95" customHeight="1" x14ac:dyDescent="0.15"/>
    <row r="13" spans="1:2" ht="18.95" customHeight="1" x14ac:dyDescent="0.15"/>
    <row r="14" spans="1:2" ht="18.95" customHeight="1" x14ac:dyDescent="0.15"/>
    <row r="15" spans="1:2" ht="18.95" customHeight="1" x14ac:dyDescent="0.15"/>
    <row r="16" spans="1:2" ht="18.95" customHeight="1" x14ac:dyDescent="0.15"/>
    <row r="17" spans="2:2" ht="18.95" customHeight="1" x14ac:dyDescent="0.15">
      <c r="B17" t="s">
        <v>30</v>
      </c>
    </row>
    <row r="18" spans="2:2" ht="18.95" customHeight="1" x14ac:dyDescent="0.15">
      <c r="B18" t="s">
        <v>31</v>
      </c>
    </row>
    <row r="19" spans="2:2" ht="18.95" customHeight="1" x14ac:dyDescent="0.15"/>
    <row r="20" spans="2:2" ht="18.95" customHeight="1" x14ac:dyDescent="0.15"/>
    <row r="21" spans="2:2" ht="18.95" customHeight="1" x14ac:dyDescent="0.15"/>
    <row r="22" spans="2:2" ht="18.95" customHeight="1" x14ac:dyDescent="0.15"/>
    <row r="23" spans="2:2" ht="18.95" customHeight="1" x14ac:dyDescent="0.15"/>
    <row r="24" spans="2:2" ht="18.95" customHeight="1" x14ac:dyDescent="0.15"/>
    <row r="25" spans="2:2" ht="18.95" customHeight="1" x14ac:dyDescent="0.15"/>
    <row r="26" spans="2:2" ht="18.95" customHeight="1" x14ac:dyDescent="0.15"/>
    <row r="27" spans="2:2" ht="18.95" customHeight="1" x14ac:dyDescent="0.15"/>
  </sheetData>
  <phoneticPr fontId="1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 지정된 범위</vt:lpstr>
      </vt:variant>
      <vt:variant>
        <vt:i4>26</vt:i4>
      </vt:variant>
    </vt:vector>
  </HeadingPairs>
  <TitlesOfParts>
    <vt:vector size="49" baseType="lpstr">
      <vt:lpstr>표지</vt:lpstr>
      <vt:lpstr>갑지</vt:lpstr>
      <vt:lpstr>표지 (2)</vt:lpstr>
      <vt:lpstr>원가</vt:lpstr>
      <vt:lpstr>총괄표</vt:lpstr>
      <vt:lpstr>내역서</vt:lpstr>
      <vt:lpstr>표지 (3)</vt:lpstr>
      <vt:lpstr>일대목차</vt:lpstr>
      <vt:lpstr>일위대가</vt:lpstr>
      <vt:lpstr>일위노임</vt:lpstr>
      <vt:lpstr>합산자재</vt:lpstr>
      <vt:lpstr>표지 (4)</vt:lpstr>
      <vt:lpstr>노임근거</vt:lpstr>
      <vt:lpstr>표지 (5)</vt:lpstr>
      <vt:lpstr>단가조사</vt:lpstr>
      <vt:lpstr>옵션</vt:lpstr>
      <vt:lpstr>목차</vt:lpstr>
      <vt:lpstr>표지 (6)</vt:lpstr>
      <vt:lpstr>표지 (7)</vt:lpstr>
      <vt:lpstr>산출집계</vt:lpstr>
      <vt:lpstr>기본산출서</vt:lpstr>
      <vt:lpstr>목록별산출서</vt:lpstr>
      <vt:lpstr>사용설명</vt:lpstr>
      <vt:lpstr>갑지!Print_Area</vt:lpstr>
      <vt:lpstr>기본산출서!Print_Area</vt:lpstr>
      <vt:lpstr>내역서!Print_Area</vt:lpstr>
      <vt:lpstr>노임근거!Print_Area</vt:lpstr>
      <vt:lpstr>산출집계!Print_Area</vt:lpstr>
      <vt:lpstr>원가!Print_Area</vt:lpstr>
      <vt:lpstr>일위노임!Print_Area</vt:lpstr>
      <vt:lpstr>일위대가!Print_Area</vt:lpstr>
      <vt:lpstr>총괄표!Print_Area</vt:lpstr>
      <vt:lpstr>표지!Print_Area</vt:lpstr>
      <vt:lpstr>'표지 (2)'!Print_Area</vt:lpstr>
      <vt:lpstr>'표지 (3)'!Print_Area</vt:lpstr>
      <vt:lpstr>'표지 (4)'!Print_Area</vt:lpstr>
      <vt:lpstr>'표지 (5)'!Print_Area</vt:lpstr>
      <vt:lpstr>'표지 (6)'!Print_Area</vt:lpstr>
      <vt:lpstr>'표지 (7)'!Print_Area</vt:lpstr>
      <vt:lpstr>내역서!Print_Titles</vt:lpstr>
      <vt:lpstr>노임근거!Print_Titles</vt:lpstr>
      <vt:lpstr>단가조사!Print_Titles</vt:lpstr>
      <vt:lpstr>목록별산출서!Print_Titles</vt:lpstr>
      <vt:lpstr>목차!Print_Titles</vt:lpstr>
      <vt:lpstr>일대목차!Print_Titles</vt:lpstr>
      <vt:lpstr>일위노임!Print_Titles</vt:lpstr>
      <vt:lpstr>일위대가!Print_Titles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EKR</cp:lastModifiedBy>
  <cp:lastPrinted>2009-11-25T01:42:16Z</cp:lastPrinted>
  <dcterms:created xsi:type="dcterms:W3CDTF">2002-10-13T12:37:12Z</dcterms:created>
  <dcterms:modified xsi:type="dcterms:W3CDTF">2026-07-20T01:00:37Z</dcterms:modified>
</cp:coreProperties>
</file>