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1. 공고\3. 1인수의\"/>
    </mc:Choice>
  </mc:AlternateContent>
  <xr:revisionPtr revIDLastSave="0" documentId="8_{E1F8EA62-72E6-42A0-9092-1BF50A9130B1}" xr6:coauthVersionLast="36" xr6:coauthVersionMax="36" xr10:uidLastSave="{00000000-0000-0000-0000-000000000000}"/>
  <bookViews>
    <workbookView xWindow="32760" yWindow="32760" windowWidth="28800" windowHeight="12060"/>
  </bookViews>
  <sheets>
    <sheet name="내역서" sheetId="1" r:id="rId1"/>
    <sheet name="일위대가목록" sheetId="2" r:id="rId2"/>
    <sheet name="일위대가_호표" sheetId="3" r:id="rId3"/>
    <sheet name="일위대가_산근" sheetId="4" r:id="rId4"/>
    <sheet name="중기사용료목록" sheetId="5" r:id="rId5"/>
    <sheet name="중기사용료" sheetId="6" r:id="rId6"/>
    <sheet name="중기기초자료" sheetId="7" r:id="rId7"/>
    <sheet name="자재" sheetId="8" r:id="rId8"/>
    <sheet name="노임" sheetId="9" r:id="rId9"/>
    <sheet name="경비" sheetId="10" r:id="rId10"/>
    <sheet name="전역변수" sheetId="11" r:id="rId11"/>
    <sheet name="중기전역변수" sheetId="12" r:id="rId12"/>
    <sheet name="Sheet3" sheetId="13" r:id="rId13"/>
  </sheets>
  <definedNames>
    <definedName name="_xlnm.Print_Area" localSheetId="0">내역서!$A$1:$BB$145</definedName>
    <definedName name="_xlnm.Print_Titles" localSheetId="9">경비!$1:$2</definedName>
    <definedName name="_xlnm.Print_Titles" localSheetId="0">내역서!$1:$3</definedName>
    <definedName name="_xlnm.Print_Titles" localSheetId="8">노임!$1:$2</definedName>
    <definedName name="_xlnm.Print_Titles" localSheetId="3">일위대가_산근!$1:$2</definedName>
    <definedName name="_xlnm.Print_Titles" localSheetId="2">일위대가_호표!$1:$3</definedName>
    <definedName name="_xlnm.Print_Titles" localSheetId="1">일위대가목록!$1:$2</definedName>
    <definedName name="_xlnm.Print_Titles" localSheetId="7">자재!$1:$2</definedName>
    <definedName name="_xlnm.Print_Titles" localSheetId="10">전역변수!$1:$2</definedName>
    <definedName name="_xlnm.Print_Titles" localSheetId="6">중기기초자료!$1:$2</definedName>
    <definedName name="_xlnm.Print_Titles" localSheetId="4">중기사용료목록!$1:$2</definedName>
    <definedName name="_xlnm.Print_Titles" localSheetId="11">중기전역변수!$1:$2</definedName>
  </definedNames>
  <calcPr calcId="191029" fullCalcOnLoad="1"/>
</workbook>
</file>

<file path=xl/calcChain.xml><?xml version="1.0" encoding="utf-8"?>
<calcChain xmlns="http://schemas.openxmlformats.org/spreadsheetml/2006/main">
  <c r="G3" i="10" l="1"/>
  <c r="G4" i="10"/>
  <c r="BI5" i="1"/>
  <c r="BI6" i="1"/>
  <c r="BI7" i="1"/>
  <c r="BI8" i="1"/>
  <c r="I9" i="1"/>
  <c r="J9" i="1"/>
  <c r="BI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BI25" i="1"/>
  <c r="E26" i="1"/>
  <c r="E27" i="1"/>
  <c r="E28" i="1"/>
  <c r="E29" i="1"/>
  <c r="E30" i="1"/>
  <c r="E31" i="1"/>
  <c r="BI32" i="1"/>
  <c r="E33" i="1"/>
  <c r="G33" i="1"/>
  <c r="H33" i="1"/>
  <c r="F33" i="1"/>
  <c r="I33" i="1"/>
  <c r="J33" i="1"/>
  <c r="K33" i="1"/>
  <c r="L33" i="1"/>
  <c r="E34" i="1"/>
  <c r="E35" i="1"/>
  <c r="F35" i="1"/>
  <c r="E37" i="1"/>
  <c r="BI38" i="1"/>
  <c r="BI39" i="1"/>
  <c r="BI40" i="1"/>
  <c r="BI41" i="1"/>
  <c r="BI42" i="1"/>
  <c r="BI43" i="1"/>
  <c r="BI44" i="1"/>
  <c r="BI45" i="1"/>
  <c r="BI46" i="1"/>
  <c r="BI47" i="1"/>
  <c r="E48" i="1"/>
  <c r="F48" i="1"/>
  <c r="E50" i="1"/>
  <c r="BI51" i="1"/>
  <c r="BI52" i="1"/>
  <c r="BI53" i="1"/>
  <c r="BI54" i="1"/>
  <c r="BI55" i="1"/>
  <c r="E56" i="1"/>
  <c r="BI57" i="1"/>
  <c r="E58" i="1"/>
  <c r="BI59" i="1"/>
  <c r="BI60" i="1"/>
  <c r="BI61" i="1"/>
  <c r="BI62" i="1"/>
  <c r="BI63" i="1"/>
  <c r="BI64" i="1"/>
  <c r="E65" i="1"/>
  <c r="BI66" i="1"/>
  <c r="BI67" i="1"/>
  <c r="BI68" i="1"/>
  <c r="BI69" i="1"/>
  <c r="E70" i="1"/>
  <c r="F70" i="1"/>
  <c r="E72" i="1"/>
  <c r="BI73" i="1"/>
  <c r="BI74" i="1"/>
  <c r="BI75" i="1"/>
  <c r="BI76" i="1"/>
  <c r="BI77" i="1"/>
  <c r="BI78" i="1"/>
  <c r="E79" i="1"/>
  <c r="BI80" i="1"/>
  <c r="BI81" i="1"/>
  <c r="BI82" i="1"/>
  <c r="E83" i="1"/>
  <c r="F83" i="1"/>
  <c r="E85" i="1"/>
  <c r="BI86" i="1"/>
  <c r="BI87" i="1"/>
  <c r="E88" i="1"/>
  <c r="BI89" i="1"/>
  <c r="BI90" i="1"/>
  <c r="BI91" i="1"/>
  <c r="BI92" i="1"/>
  <c r="E93" i="1"/>
  <c r="F93" i="1"/>
  <c r="J94" i="1"/>
  <c r="L94" i="1"/>
  <c r="K9" i="1"/>
  <c r="L9" i="1"/>
  <c r="E95" i="1"/>
  <c r="J95" i="1"/>
  <c r="L95" i="1"/>
  <c r="E96" i="1"/>
  <c r="G96" i="1"/>
  <c r="H96" i="1"/>
  <c r="BI96" i="1"/>
  <c r="G97" i="1"/>
  <c r="E97" i="1"/>
  <c r="H97" i="1"/>
  <c r="F97" i="1"/>
  <c r="BI97" i="1"/>
  <c r="G98" i="1"/>
  <c r="E98" i="1"/>
  <c r="BI98" i="1"/>
  <c r="E99" i="1"/>
  <c r="J99" i="1"/>
  <c r="L99" i="1"/>
  <c r="E100" i="1"/>
  <c r="G100" i="1"/>
  <c r="H100" i="1"/>
  <c r="F100" i="1"/>
  <c r="BI100" i="1"/>
  <c r="G101" i="1"/>
  <c r="E101" i="1"/>
  <c r="H101" i="1"/>
  <c r="F101" i="1"/>
  <c r="BI101" i="1"/>
  <c r="G102" i="1"/>
  <c r="E102" i="1"/>
  <c r="BI102" i="1"/>
  <c r="E103" i="1"/>
  <c r="F103" i="1"/>
  <c r="G103" i="1"/>
  <c r="H103" i="1"/>
  <c r="BI103" i="1"/>
  <c r="E104" i="1"/>
  <c r="J104" i="1"/>
  <c r="L104" i="1"/>
  <c r="G105" i="1"/>
  <c r="E105" i="1"/>
  <c r="H105" i="1"/>
  <c r="H104" i="1"/>
  <c r="F104" i="1"/>
  <c r="BI105" i="1"/>
  <c r="E106" i="1"/>
  <c r="J106" i="1"/>
  <c r="L106" i="1"/>
  <c r="E107" i="1"/>
  <c r="F107" i="1"/>
  <c r="G107" i="1"/>
  <c r="H107" i="1"/>
  <c r="BI107" i="1"/>
  <c r="E108" i="1"/>
  <c r="G108" i="1"/>
  <c r="H108" i="1"/>
  <c r="F108" i="1"/>
  <c r="BI108" i="1"/>
  <c r="G109" i="1"/>
  <c r="E109" i="1"/>
  <c r="H109" i="1"/>
  <c r="F109" i="1"/>
  <c r="BI109" i="1"/>
  <c r="E110" i="1"/>
  <c r="F110" i="1"/>
  <c r="E112" i="1"/>
  <c r="BI113" i="1"/>
  <c r="BI114" i="1"/>
  <c r="BI115" i="1"/>
  <c r="E116" i="1"/>
  <c r="F116" i="1"/>
  <c r="E118" i="1"/>
  <c r="E119" i="1"/>
  <c r="E120" i="1"/>
  <c r="G120" i="1"/>
  <c r="H120" i="1"/>
  <c r="I120" i="1"/>
  <c r="J120" i="1"/>
  <c r="K120" i="1"/>
  <c r="L120" i="1"/>
  <c r="AB120" i="1"/>
  <c r="AD120" i="1"/>
  <c r="E121" i="1"/>
  <c r="L121" i="1"/>
  <c r="F121" i="1"/>
  <c r="E122" i="1"/>
  <c r="F122" i="1"/>
  <c r="E123" i="1"/>
  <c r="G124" i="1"/>
  <c r="H124" i="1"/>
  <c r="I124" i="1"/>
  <c r="J124" i="1"/>
  <c r="J123" i="1"/>
  <c r="K124" i="1"/>
  <c r="L124" i="1"/>
  <c r="G125" i="1"/>
  <c r="H125" i="1"/>
  <c r="F125" i="1"/>
  <c r="I125" i="1"/>
  <c r="J125" i="1"/>
  <c r="K125" i="1"/>
  <c r="L125" i="1"/>
  <c r="E126" i="1"/>
  <c r="E127" i="1"/>
  <c r="F127" i="1"/>
  <c r="E128" i="1"/>
  <c r="H128" i="1"/>
  <c r="E129" i="1"/>
  <c r="G129" i="1"/>
  <c r="H129" i="1"/>
  <c r="I129" i="1"/>
  <c r="J129" i="1"/>
  <c r="K129" i="1"/>
  <c r="L129" i="1"/>
  <c r="E130" i="1"/>
  <c r="G130" i="1"/>
  <c r="H130" i="1"/>
  <c r="I130" i="1"/>
  <c r="J130" i="1"/>
  <c r="K130" i="1"/>
  <c r="L130" i="1"/>
  <c r="E131" i="1"/>
  <c r="G131" i="1"/>
  <c r="H131" i="1"/>
  <c r="I131" i="1"/>
  <c r="J131" i="1"/>
  <c r="F131" i="1"/>
  <c r="K131" i="1"/>
  <c r="L131" i="1"/>
  <c r="E132" i="1"/>
  <c r="F132" i="1"/>
  <c r="G132" i="1"/>
  <c r="H132" i="1"/>
  <c r="I132" i="1"/>
  <c r="J132" i="1"/>
  <c r="K132" i="1"/>
  <c r="L132" i="1"/>
  <c r="E133" i="1"/>
  <c r="F133" i="1"/>
  <c r="G133" i="1"/>
  <c r="H133" i="1"/>
  <c r="I133" i="1"/>
  <c r="J133" i="1"/>
  <c r="K133" i="1"/>
  <c r="L133" i="1"/>
  <c r="E134" i="1"/>
  <c r="F134" i="1"/>
  <c r="G134" i="1"/>
  <c r="H134" i="1"/>
  <c r="I134" i="1"/>
  <c r="J134" i="1"/>
  <c r="K134" i="1"/>
  <c r="L134" i="1"/>
  <c r="E135" i="1"/>
  <c r="F135" i="1"/>
  <c r="G135" i="1"/>
  <c r="H135" i="1"/>
  <c r="I135" i="1"/>
  <c r="J135" i="1"/>
  <c r="K135" i="1"/>
  <c r="L135" i="1"/>
  <c r="AB135" i="1"/>
  <c r="AD135" i="1"/>
  <c r="E136" i="1"/>
  <c r="L136" i="1"/>
  <c r="F136" i="1"/>
  <c r="E137" i="1"/>
  <c r="F137" i="1"/>
  <c r="E138" i="1"/>
  <c r="H138" i="1"/>
  <c r="G139" i="1"/>
  <c r="H139" i="1"/>
  <c r="I139" i="1"/>
  <c r="E139" i="1"/>
  <c r="J139" i="1"/>
  <c r="K139" i="1"/>
  <c r="L139" i="1"/>
  <c r="E140" i="1"/>
  <c r="G140" i="1"/>
  <c r="H140" i="1"/>
  <c r="I140" i="1"/>
  <c r="J140" i="1"/>
  <c r="F140" i="1"/>
  <c r="K140" i="1"/>
  <c r="L140" i="1"/>
  <c r="E141" i="1"/>
  <c r="G141" i="1"/>
  <c r="H141" i="1"/>
  <c r="I141" i="1"/>
  <c r="J141" i="1"/>
  <c r="F141" i="1"/>
  <c r="K141" i="1"/>
  <c r="L141" i="1"/>
  <c r="E142" i="1"/>
  <c r="G142" i="1"/>
  <c r="H142" i="1"/>
  <c r="I142" i="1"/>
  <c r="J142" i="1"/>
  <c r="F142" i="1"/>
  <c r="K142" i="1"/>
  <c r="L142" i="1"/>
  <c r="AB142" i="1"/>
  <c r="AD142" i="1"/>
  <c r="E143" i="1"/>
  <c r="E144" i="1"/>
  <c r="F144" i="1"/>
  <c r="B15" i="4"/>
  <c r="AB15" i="4"/>
  <c r="AD15" i="4"/>
  <c r="AF15" i="4"/>
  <c r="A15" i="4"/>
  <c r="AH15" i="4"/>
  <c r="AB17" i="4"/>
  <c r="AB19" i="4"/>
  <c r="AD19" i="4"/>
  <c r="AB21" i="4"/>
  <c r="AD21" i="4"/>
  <c r="K26" i="4"/>
  <c r="AD26" i="4"/>
  <c r="AB27" i="4"/>
  <c r="AH26" i="4"/>
  <c r="AJ27" i="4"/>
  <c r="AD27" i="4"/>
  <c r="AF27" i="4"/>
  <c r="AH27" i="4"/>
  <c r="AD30" i="4"/>
  <c r="AB31" i="4"/>
  <c r="AF31" i="4"/>
  <c r="AH31" i="4"/>
  <c r="A50" i="4"/>
  <c r="K50" i="4"/>
  <c r="AD50" i="4"/>
  <c r="AB56" i="4"/>
  <c r="K61" i="4"/>
  <c r="AD61" i="4"/>
  <c r="AB62" i="4"/>
  <c r="AH61" i="4"/>
  <c r="AJ62" i="4"/>
  <c r="AL62" i="4"/>
  <c r="AD67" i="4"/>
  <c r="AB68" i="4"/>
  <c r="AF68" i="4"/>
  <c r="AH68" i="4"/>
  <c r="A79" i="4"/>
  <c r="K79" i="4"/>
  <c r="AD79" i="4"/>
  <c r="AB95" i="4"/>
  <c r="B81" i="4"/>
  <c r="A85" i="4"/>
  <c r="B85" i="4"/>
  <c r="AB85" i="4"/>
  <c r="AD85" i="4"/>
  <c r="AF85" i="4"/>
  <c r="AH85" i="4"/>
  <c r="A89" i="4"/>
  <c r="C89" i="4"/>
  <c r="B89" i="4"/>
  <c r="AB89" i="4"/>
  <c r="AD89" i="4"/>
  <c r="D91" i="4"/>
  <c r="E91" i="4"/>
  <c r="E99" i="4"/>
  <c r="B146" i="4"/>
  <c r="K146" i="4"/>
  <c r="AD146" i="4"/>
  <c r="AH146" i="4"/>
  <c r="AJ146" i="4"/>
  <c r="AL146" i="4"/>
  <c r="AN146" i="4"/>
  <c r="A146" i="4"/>
  <c r="A148" i="4"/>
  <c r="K148" i="4"/>
  <c r="AD148" i="4"/>
  <c r="AH148" i="4"/>
  <c r="B150" i="4"/>
  <c r="AB150" i="4"/>
  <c r="AD150" i="4"/>
  <c r="AF150" i="4"/>
  <c r="A150" i="4"/>
  <c r="AH150" i="4"/>
  <c r="A167" i="4"/>
  <c r="K167" i="4"/>
  <c r="AD167" i="4"/>
  <c r="AB169" i="4"/>
  <c r="B169" i="4"/>
  <c r="A188" i="4"/>
  <c r="K188" i="4"/>
  <c r="AD188" i="4"/>
  <c r="AB190" i="4"/>
  <c r="B190" i="4"/>
  <c r="C198" i="4"/>
  <c r="E198" i="4"/>
  <c r="A243" i="4"/>
  <c r="K243" i="4"/>
  <c r="AD243" i="4"/>
  <c r="B245" i="4"/>
  <c r="AB245" i="4"/>
  <c r="A245" i="4"/>
  <c r="AD245" i="4"/>
  <c r="AF245" i="4"/>
  <c r="AH245" i="4"/>
  <c r="AB253" i="4"/>
  <c r="AJ245" i="4"/>
  <c r="AL245" i="4"/>
  <c r="A264" i="4"/>
  <c r="K264" i="4"/>
  <c r="AD264" i="4"/>
  <c r="B266" i="4"/>
  <c r="AB266" i="4"/>
  <c r="A266" i="4"/>
  <c r="AD266" i="4"/>
  <c r="AF266" i="4"/>
  <c r="AH266" i="4"/>
  <c r="AJ266" i="4"/>
  <c r="AL266" i="4"/>
  <c r="AB272" i="4"/>
  <c r="AD272" i="4"/>
  <c r="AF272" i="4"/>
  <c r="D272" i="4"/>
  <c r="B272" i="4"/>
  <c r="AH272" i="4"/>
  <c r="AH274" i="4"/>
  <c r="AB274" i="4"/>
  <c r="A274" i="4"/>
  <c r="AD274" i="4"/>
  <c r="AF274" i="4"/>
  <c r="D274" i="4"/>
  <c r="B274" i="4"/>
  <c r="C276" i="4"/>
  <c r="E276" i="4"/>
  <c r="AB280" i="4"/>
  <c r="AB282" i="4"/>
  <c r="AD282" i="4"/>
  <c r="AB300" i="4"/>
  <c r="AB302" i="4"/>
  <c r="AD302" i="4"/>
  <c r="A325" i="4"/>
  <c r="K325" i="4"/>
  <c r="AD325" i="4"/>
  <c r="AB331" i="4"/>
  <c r="AH325" i="4"/>
  <c r="A327" i="4"/>
  <c r="K327" i="4"/>
  <c r="AD327" i="4"/>
  <c r="AH327" i="4"/>
  <c r="AN331" i="4"/>
  <c r="AP331" i="4"/>
  <c r="A329" i="4"/>
  <c r="K329" i="4"/>
  <c r="AD329" i="4"/>
  <c r="AR331" i="4"/>
  <c r="AT331" i="4"/>
  <c r="B331" i="4"/>
  <c r="AF331" i="4"/>
  <c r="AH331" i="4"/>
  <c r="AJ331" i="4"/>
  <c r="AL331" i="4"/>
  <c r="AD332" i="4"/>
  <c r="AF333" i="4"/>
  <c r="AH333" i="4"/>
  <c r="AF335" i="4"/>
  <c r="AH335" i="4"/>
  <c r="AF337" i="4"/>
  <c r="AH337" i="4"/>
  <c r="AD342" i="4"/>
  <c r="AB343" i="4"/>
  <c r="A358" i="4"/>
  <c r="B358" i="4"/>
  <c r="K358" i="4"/>
  <c r="AD358" i="4"/>
  <c r="AB362" i="4"/>
  <c r="AH358" i="4"/>
  <c r="AF362" i="4"/>
  <c r="AH362" i="4"/>
  <c r="AJ358" i="4"/>
  <c r="AL358" i="4"/>
  <c r="AJ362" i="4"/>
  <c r="AN358" i="4"/>
  <c r="AP358" i="4"/>
  <c r="A360" i="4"/>
  <c r="K360" i="4"/>
  <c r="AD360" i="4"/>
  <c r="AJ384" i="4"/>
  <c r="AH360" i="4"/>
  <c r="AR362" i="4"/>
  <c r="B362" i="4"/>
  <c r="AD362" i="4"/>
  <c r="AN362" i="4"/>
  <c r="AP362" i="4"/>
  <c r="AT362" i="4"/>
  <c r="AD363" i="4"/>
  <c r="AF366" i="4"/>
  <c r="AH366" i="4"/>
  <c r="AF364" i="4"/>
  <c r="AH364" i="4"/>
  <c r="AF368" i="4"/>
  <c r="AH368" i="4"/>
  <c r="A376" i="4"/>
  <c r="K376" i="4"/>
  <c r="AD376" i="4"/>
  <c r="B380" i="4"/>
  <c r="K380" i="4"/>
  <c r="AD380" i="4"/>
  <c r="AF380" i="4"/>
  <c r="AH380" i="4"/>
  <c r="AF392" i="4"/>
  <c r="AH392" i="4"/>
  <c r="AJ380" i="4"/>
  <c r="AL380" i="4"/>
  <c r="AN380" i="4"/>
  <c r="AP380" i="4"/>
  <c r="AR380" i="4"/>
  <c r="AT380" i="4"/>
  <c r="B382" i="4"/>
  <c r="AF382" i="4"/>
  <c r="AH382" i="4"/>
  <c r="B384" i="4"/>
  <c r="AB384" i="4"/>
  <c r="AD384" i="4"/>
  <c r="AL384" i="4"/>
  <c r="B386" i="4"/>
  <c r="A388" i="4"/>
  <c r="K388" i="4"/>
  <c r="AD388" i="4"/>
  <c r="AH388" i="4"/>
  <c r="AL388" i="4"/>
  <c r="AR390" i="4"/>
  <c r="AT390" i="4"/>
  <c r="B390" i="4"/>
  <c r="AJ390" i="4"/>
  <c r="AL390" i="4"/>
  <c r="AN390" i="4"/>
  <c r="AP390" i="4"/>
  <c r="B392" i="4"/>
  <c r="AJ392" i="4"/>
  <c r="AL392" i="4"/>
  <c r="AB423" i="4"/>
  <c r="A423" i="4"/>
  <c r="B425" i="4"/>
  <c r="D425" i="4"/>
  <c r="AB425" i="4"/>
  <c r="A425" i="4"/>
  <c r="C427" i="4"/>
  <c r="E427" i="4"/>
  <c r="AD430" i="4"/>
  <c r="AB431" i="4"/>
  <c r="AD431" i="4"/>
  <c r="AB433" i="4"/>
  <c r="AD433" i="4"/>
  <c r="AB435" i="4"/>
  <c r="AD435" i="4"/>
  <c r="AB458" i="4"/>
  <c r="D458" i="4"/>
  <c r="B458" i="4"/>
  <c r="AB460" i="4"/>
  <c r="A460" i="4"/>
  <c r="C462" i="4"/>
  <c r="E462" i="4"/>
  <c r="AD465" i="4"/>
  <c r="AB466" i="4"/>
  <c r="AD466" i="4"/>
  <c r="AB468" i="4"/>
  <c r="AD468" i="4"/>
  <c r="AB470" i="4"/>
  <c r="AD470" i="4"/>
  <c r="A489" i="4"/>
  <c r="K489" i="4"/>
  <c r="AD489" i="4"/>
  <c r="AB491" i="4"/>
  <c r="B491" i="4"/>
  <c r="AD491" i="4"/>
  <c r="AF491" i="4"/>
  <c r="AH491" i="4"/>
  <c r="AB499" i="4"/>
  <c r="A499" i="4"/>
  <c r="AB501" i="4"/>
  <c r="A501" i="4"/>
  <c r="A532" i="4"/>
  <c r="C532" i="4"/>
  <c r="B532" i="4"/>
  <c r="AB532" i="4"/>
  <c r="AF532" i="4"/>
  <c r="AH532" i="4"/>
  <c r="AB538" i="4"/>
  <c r="D534" i="4"/>
  <c r="E534" i="4"/>
  <c r="D540" i="4"/>
  <c r="E540" i="4"/>
  <c r="A544" i="4"/>
  <c r="K544" i="4"/>
  <c r="AD544" i="4"/>
  <c r="AB548" i="4"/>
  <c r="AD548" i="4"/>
  <c r="AF548" i="4"/>
  <c r="E550" i="4"/>
  <c r="E556" i="4"/>
  <c r="E558" i="4"/>
  <c r="B568" i="4"/>
  <c r="AB568" i="4"/>
  <c r="AD568" i="4"/>
  <c r="AF568" i="4"/>
  <c r="AH568" i="4"/>
  <c r="A579" i="4"/>
  <c r="K579" i="4"/>
  <c r="AD579" i="4"/>
  <c r="AB583" i="4"/>
  <c r="AB589" i="4"/>
  <c r="C589" i="4"/>
  <c r="B589" i="4"/>
  <c r="A602" i="4"/>
  <c r="K602" i="4"/>
  <c r="AD602" i="4"/>
  <c r="AH602" i="4"/>
  <c r="AB666" i="4"/>
  <c r="AD666" i="4"/>
  <c r="A604" i="4"/>
  <c r="K604" i="4"/>
  <c r="AD604" i="4"/>
  <c r="AH604" i="4"/>
  <c r="A620" i="4"/>
  <c r="K620" i="4"/>
  <c r="AD620" i="4"/>
  <c r="AB636" i="4"/>
  <c r="AD636" i="4"/>
  <c r="A622" i="4"/>
  <c r="K622" i="4"/>
  <c r="AD622" i="4"/>
  <c r="A624" i="4"/>
  <c r="K624" i="4"/>
  <c r="AD624" i="4"/>
  <c r="A626" i="4"/>
  <c r="K626" i="4"/>
  <c r="AD626" i="4"/>
  <c r="AH626" i="4"/>
  <c r="B628" i="4"/>
  <c r="K628" i="4"/>
  <c r="AD628" i="4"/>
  <c r="AF628" i="4"/>
  <c r="AH628" i="4"/>
  <c r="AB632" i="4"/>
  <c r="AD632" i="4"/>
  <c r="AJ628" i="4"/>
  <c r="AL628" i="4"/>
  <c r="A630" i="4"/>
  <c r="K630" i="4"/>
  <c r="AD630" i="4"/>
  <c r="B632" i="4"/>
  <c r="B634" i="4"/>
  <c r="AB634" i="4"/>
  <c r="AD634" i="4"/>
  <c r="AF634" i="4"/>
  <c r="AJ634" i="4"/>
  <c r="AL634" i="4"/>
  <c r="B636" i="4"/>
  <c r="B638" i="4"/>
  <c r="AB638" i="4"/>
  <c r="AD638" i="4"/>
  <c r="AF638" i="4"/>
  <c r="AH638" i="4"/>
  <c r="B640" i="4"/>
  <c r="B666" i="4"/>
  <c r="AB678" i="4"/>
  <c r="B692" i="4"/>
  <c r="A694" i="4"/>
  <c r="K694" i="4"/>
  <c r="AD694" i="4"/>
  <c r="B697" i="4"/>
  <c r="A705" i="4"/>
  <c r="B705" i="4"/>
  <c r="AB705" i="4"/>
  <c r="AD705" i="4"/>
  <c r="AB715" i="4"/>
  <c r="AF705" i="4"/>
  <c r="AH705" i="4"/>
  <c r="A725" i="4"/>
  <c r="B725" i="4"/>
  <c r="AB725" i="4"/>
  <c r="AD725" i="4"/>
  <c r="AF725" i="4"/>
  <c r="AH725" i="4"/>
  <c r="A727" i="4"/>
  <c r="K727" i="4"/>
  <c r="AD727" i="4"/>
  <c r="AH727" i="4"/>
  <c r="B729" i="4"/>
  <c r="A748" i="4"/>
  <c r="K748" i="4"/>
  <c r="AD748" i="4"/>
  <c r="AB750" i="4"/>
  <c r="AD750" i="4"/>
  <c r="B750" i="4"/>
  <c r="C762" i="4"/>
  <c r="E762" i="4"/>
  <c r="AB789" i="4"/>
  <c r="A789" i="4"/>
  <c r="E795" i="4"/>
  <c r="A808" i="4"/>
  <c r="AB808" i="4"/>
  <c r="D808" i="4"/>
  <c r="B808" i="4"/>
  <c r="AD808" i="4"/>
  <c r="AD810" i="4"/>
  <c r="D810" i="4"/>
  <c r="B810" i="4"/>
  <c r="AB810" i="4"/>
  <c r="A810" i="4"/>
  <c r="C812" i="4"/>
  <c r="E812" i="4"/>
  <c r="C818" i="4"/>
  <c r="AD818" i="4"/>
  <c r="D818" i="4"/>
  <c r="C820" i="4"/>
  <c r="A833" i="4"/>
  <c r="B833" i="4"/>
  <c r="D833" i="4"/>
  <c r="AB833" i="4"/>
  <c r="AD833" i="4"/>
  <c r="AB835" i="4"/>
  <c r="AD835" i="4"/>
  <c r="C837" i="4"/>
  <c r="E837" i="4"/>
  <c r="C843" i="4"/>
  <c r="C845" i="4"/>
  <c r="A854" i="4"/>
  <c r="B854" i="4"/>
  <c r="C854" i="4"/>
  <c r="AB854" i="4"/>
  <c r="AD854" i="4"/>
  <c r="AB870" i="4"/>
  <c r="D856" i="4"/>
  <c r="E856" i="4"/>
  <c r="AB856" i="4"/>
  <c r="C856" i="4"/>
  <c r="B856" i="4"/>
  <c r="AB860" i="4"/>
  <c r="A860" i="4"/>
  <c r="A862" i="4"/>
  <c r="D862" i="4"/>
  <c r="B862" i="4"/>
  <c r="AB862" i="4"/>
  <c r="E864" i="4"/>
  <c r="AB864" i="4"/>
  <c r="C864" i="4"/>
  <c r="C870" i="4"/>
  <c r="C872" i="4"/>
  <c r="AB872" i="4"/>
  <c r="C881" i="4"/>
  <c r="B881" i="4"/>
  <c r="AB881" i="4"/>
  <c r="D883" i="4"/>
  <c r="E883" i="4"/>
  <c r="A887" i="4"/>
  <c r="B887" i="4"/>
  <c r="D887" i="4"/>
  <c r="AB887" i="4"/>
  <c r="AD887" i="4"/>
  <c r="AB889" i="4"/>
  <c r="A889" i="4"/>
  <c r="E891" i="4"/>
  <c r="AB912" i="4"/>
  <c r="AD912" i="4"/>
  <c r="AD914" i="4"/>
  <c r="AD916" i="4"/>
  <c r="D916" i="4"/>
  <c r="A914" i="4"/>
  <c r="AB914" i="4"/>
  <c r="D914" i="4"/>
  <c r="B914" i="4"/>
  <c r="C916" i="4"/>
  <c r="E916" i="4"/>
  <c r="AD919" i="4"/>
  <c r="AB920" i="4"/>
  <c r="AD920" i="4"/>
  <c r="AB922" i="4"/>
  <c r="AD922" i="4"/>
  <c r="AB924" i="4"/>
  <c r="A941" i="4"/>
  <c r="B941" i="4"/>
  <c r="D941" i="4"/>
  <c r="AB941" i="4"/>
  <c r="AD941" i="4"/>
  <c r="A943" i="4"/>
  <c r="D943" i="4"/>
  <c r="B943" i="4"/>
  <c r="AB943" i="4"/>
  <c r="AD943" i="4"/>
  <c r="AD945" i="4"/>
  <c r="D945" i="4"/>
  <c r="C945" i="4"/>
  <c r="E945" i="4"/>
  <c r="AD948" i="4"/>
  <c r="AB953" i="4"/>
  <c r="C966" i="4"/>
  <c r="B966" i="4"/>
  <c r="AB966" i="4"/>
  <c r="A966" i="4"/>
  <c r="AD966" i="4"/>
  <c r="D968" i="4"/>
  <c r="E968" i="4"/>
  <c r="A972" i="4"/>
  <c r="D972" i="4"/>
  <c r="B972" i="4"/>
  <c r="AB972" i="4"/>
  <c r="AD972" i="4"/>
  <c r="AD974" i="4"/>
  <c r="D974" i="4"/>
  <c r="E974" i="4"/>
  <c r="E976" i="4"/>
  <c r="AD976" i="4"/>
  <c r="D976" i="4"/>
  <c r="D978" i="4"/>
  <c r="D961" i="4"/>
  <c r="AB985" i="4"/>
  <c r="A985" i="4"/>
  <c r="AD985" i="4"/>
  <c r="D987" i="4"/>
  <c r="E987" i="4"/>
  <c r="E993" i="4"/>
  <c r="AB993" i="4"/>
  <c r="C993" i="4"/>
  <c r="A1002" i="4"/>
  <c r="K1002" i="4"/>
  <c r="AD1002" i="4"/>
  <c r="AB1007" i="4"/>
  <c r="B1003" i="4"/>
  <c r="C1010" i="4"/>
  <c r="E1010" i="4"/>
  <c r="A1075" i="4"/>
  <c r="K1075" i="4"/>
  <c r="AD1075" i="4"/>
  <c r="AB1077" i="4"/>
  <c r="B1077" i="4"/>
  <c r="C1083" i="4"/>
  <c r="E1083" i="4"/>
  <c r="A1104" i="4"/>
  <c r="K1104" i="4"/>
  <c r="AD1104" i="4"/>
  <c r="AB1106" i="4"/>
  <c r="B1106" i="4"/>
  <c r="C1114" i="4"/>
  <c r="E1114" i="4"/>
  <c r="A1177" i="4"/>
  <c r="K1177" i="4"/>
  <c r="AD1177" i="4"/>
  <c r="B1179" i="4"/>
  <c r="AB1179" i="4"/>
  <c r="AD1179" i="4"/>
  <c r="AF1179" i="4"/>
  <c r="AH1179" i="4"/>
  <c r="AB1183" i="4"/>
  <c r="AD1183" i="4"/>
  <c r="AF1183" i="4"/>
  <c r="C1185" i="4"/>
  <c r="E1185" i="4"/>
  <c r="A1206" i="4"/>
  <c r="K1206" i="4"/>
  <c r="AD1206" i="4"/>
  <c r="B1208" i="4"/>
  <c r="AB1208" i="4"/>
  <c r="AD1208" i="4"/>
  <c r="AF1208" i="4"/>
  <c r="AH1208" i="4"/>
  <c r="AB1212" i="4"/>
  <c r="AD1212" i="4"/>
  <c r="AF1212" i="4"/>
  <c r="AB1214" i="4"/>
  <c r="AD1214" i="4"/>
  <c r="AF1214" i="4"/>
  <c r="D1214" i="4"/>
  <c r="B1214" i="4"/>
  <c r="C1216" i="4"/>
  <c r="E1216" i="4"/>
  <c r="A1261" i="4"/>
  <c r="K1261" i="4"/>
  <c r="AD1261" i="4"/>
  <c r="AB1263" i="4"/>
  <c r="B1263" i="4"/>
  <c r="C1271" i="4"/>
  <c r="E1271" i="4"/>
  <c r="A1298" i="4"/>
  <c r="K1298" i="4"/>
  <c r="AD1298" i="4"/>
  <c r="A1300" i="4"/>
  <c r="K1300" i="4"/>
  <c r="AD1300" i="4"/>
  <c r="A1315" i="4"/>
  <c r="K1315" i="4"/>
  <c r="AD1315" i="4"/>
  <c r="AJ1330" i="4"/>
  <c r="AL1330" i="4"/>
  <c r="AH1315" i="4"/>
  <c r="A1320" i="4"/>
  <c r="K1320" i="4"/>
  <c r="AD1320" i="4"/>
  <c r="AF1328" i="4"/>
  <c r="AH1328" i="4"/>
  <c r="B1322" i="4"/>
  <c r="AB1322" i="4"/>
  <c r="A1322" i="4"/>
  <c r="AD1322" i="4"/>
  <c r="AF1326" i="4"/>
  <c r="AH1326" i="4"/>
  <c r="B1324" i="4"/>
  <c r="AB1324" i="4"/>
  <c r="AD1324" i="4"/>
  <c r="AJ1324" i="4"/>
  <c r="AL1324" i="4"/>
  <c r="AF1324" i="4"/>
  <c r="AH1324" i="4"/>
  <c r="AN1324" i="4"/>
  <c r="B1326" i="4"/>
  <c r="AJ1328" i="4"/>
  <c r="AL1328" i="4"/>
  <c r="AF1332" i="4"/>
  <c r="AH1332" i="4"/>
  <c r="C1334" i="4"/>
  <c r="D1334" i="4"/>
  <c r="AD1337" i="4"/>
  <c r="AF1346" i="4"/>
  <c r="B1340" i="4"/>
  <c r="AB1340" i="4"/>
  <c r="AF1340" i="4"/>
  <c r="AH1340" i="4"/>
  <c r="AF1342" i="4"/>
  <c r="AH1342" i="4"/>
  <c r="AF1344" i="4"/>
  <c r="AH1344" i="4"/>
  <c r="AH1346" i="4"/>
  <c r="C1348" i="4"/>
  <c r="D1348" i="4"/>
  <c r="A1352" i="4"/>
  <c r="B1352" i="4"/>
  <c r="AB1352" i="4"/>
  <c r="AD1352" i="4"/>
  <c r="AJ1352" i="4"/>
  <c r="AL1352" i="4"/>
  <c r="AF1352" i="4"/>
  <c r="AH1352" i="4"/>
  <c r="AN1352" i="4"/>
  <c r="AP1352" i="4"/>
  <c r="AF1356" i="4"/>
  <c r="AH1356" i="4"/>
  <c r="AF1358" i="4"/>
  <c r="AH1358" i="4"/>
  <c r="C1360" i="4"/>
  <c r="D1360" i="4"/>
  <c r="B1364" i="4"/>
  <c r="AB1364" i="4"/>
  <c r="AD1364" i="4"/>
  <c r="AF1364" i="4"/>
  <c r="AF1366" i="4"/>
  <c r="AH1366" i="4"/>
  <c r="AF1368" i="4"/>
  <c r="AH1368" i="4"/>
  <c r="AF1370" i="4"/>
  <c r="AH1370" i="4"/>
  <c r="C1372" i="4"/>
  <c r="D1372" i="4"/>
  <c r="C1374" i="4"/>
  <c r="D1374" i="4"/>
  <c r="AD1386" i="4"/>
  <c r="AB1391" i="4"/>
  <c r="C1393" i="4"/>
  <c r="D1393" i="4"/>
  <c r="A1402" i="4"/>
  <c r="K1402" i="4"/>
  <c r="AD1402" i="4"/>
  <c r="AB1406" i="4"/>
  <c r="B1406" i="4"/>
  <c r="B1408" i="4"/>
  <c r="A1414" i="4"/>
  <c r="C1414" i="4"/>
  <c r="B1414" i="4"/>
  <c r="AB1414" i="4"/>
  <c r="AD1414" i="4"/>
  <c r="AD1418" i="4"/>
  <c r="AF1414" i="4"/>
  <c r="AH1414" i="4"/>
  <c r="A1418" i="4"/>
  <c r="AB1418" i="4"/>
  <c r="C1418" i="4"/>
  <c r="B1418" i="4"/>
  <c r="AF1418" i="4"/>
  <c r="AH1418" i="4"/>
  <c r="AF1452" i="4"/>
  <c r="AH1452" i="4"/>
  <c r="D1420" i="4"/>
  <c r="E1420" i="4"/>
  <c r="E1428" i="4"/>
  <c r="AB1452" i="4"/>
  <c r="AD1452" i="4"/>
  <c r="A1465" i="4"/>
  <c r="K1465" i="4"/>
  <c r="AD1465" i="4"/>
  <c r="AB1469" i="4"/>
  <c r="AD1469" i="4"/>
  <c r="AF1469" i="4"/>
  <c r="AH1469" i="4"/>
  <c r="AB1471" i="4"/>
  <c r="AD1471" i="4"/>
  <c r="AF1471" i="4"/>
  <c r="AH1471" i="4"/>
  <c r="B1469" i="4"/>
  <c r="B1471" i="4"/>
  <c r="AJ1471" i="4"/>
  <c r="AL1471" i="4"/>
  <c r="A1477" i="4"/>
  <c r="AB1477" i="4"/>
  <c r="C1477" i="4"/>
  <c r="B1477" i="4"/>
  <c r="AD1477" i="4"/>
  <c r="AD1481" i="4"/>
  <c r="AB1483" i="4"/>
  <c r="C1483" i="4"/>
  <c r="B1483" i="4"/>
  <c r="AF1477" i="4"/>
  <c r="AH1477" i="4"/>
  <c r="A1481" i="4"/>
  <c r="C1481" i="4"/>
  <c r="B1481" i="4"/>
  <c r="AB1481" i="4"/>
  <c r="AF1481" i="4"/>
  <c r="AH1481" i="4"/>
  <c r="D1483" i="4"/>
  <c r="E1483" i="4"/>
  <c r="AB1487" i="4"/>
  <c r="AB1489" i="4"/>
  <c r="A1489" i="4"/>
  <c r="E1491" i="4"/>
  <c r="AB1495" i="4"/>
  <c r="AD1495" i="4"/>
  <c r="AB1497" i="4"/>
  <c r="AB1507" i="4"/>
  <c r="AD1507" i="4"/>
  <c r="AB1509" i="4"/>
  <c r="AD1509" i="4"/>
  <c r="AB1515" i="4"/>
  <c r="AD1515" i="4"/>
  <c r="AJ1515" i="4"/>
  <c r="C1515" i="4"/>
  <c r="B1515" i="4"/>
  <c r="AF1515" i="4"/>
  <c r="AH1515" i="4"/>
  <c r="A1528" i="4"/>
  <c r="K1528" i="4"/>
  <c r="AD1528" i="4"/>
  <c r="B1530" i="4"/>
  <c r="AB1530" i="4"/>
  <c r="AD1530" i="4"/>
  <c r="A1536" i="4"/>
  <c r="AB1536" i="4"/>
  <c r="AD1536" i="4"/>
  <c r="AD1540" i="4"/>
  <c r="A1540" i="4"/>
  <c r="AB1540" i="4"/>
  <c r="AF1540" i="4"/>
  <c r="AH1540" i="4"/>
  <c r="AF1575" i="4"/>
  <c r="AH1575" i="4"/>
  <c r="D1542" i="4"/>
  <c r="E1542" i="4"/>
  <c r="A1546" i="4"/>
  <c r="AB1546" i="4"/>
  <c r="AD1546" i="4"/>
  <c r="AF1546" i="4"/>
  <c r="AB1548" i="4"/>
  <c r="A1548" i="4"/>
  <c r="E1550" i="4"/>
  <c r="A1588" i="4"/>
  <c r="K1588" i="4"/>
  <c r="AD1588" i="4"/>
  <c r="AB1590" i="4"/>
  <c r="B1590" i="4"/>
  <c r="A1596" i="4"/>
  <c r="AB1596" i="4"/>
  <c r="C1596" i="4"/>
  <c r="B1596" i="4"/>
  <c r="A1600" i="4"/>
  <c r="C1600" i="4"/>
  <c r="B1600" i="4"/>
  <c r="AB1600" i="4"/>
  <c r="AF1600" i="4"/>
  <c r="AH1600" i="4"/>
  <c r="AF1635" i="4"/>
  <c r="AH1635" i="4"/>
  <c r="D1602" i="4"/>
  <c r="E1602" i="4"/>
  <c r="AB1606" i="4"/>
  <c r="A1606" i="4"/>
  <c r="AB1608" i="4"/>
  <c r="A1608" i="4"/>
  <c r="E1610" i="4"/>
  <c r="AB1650" i="4"/>
  <c r="AD1650" i="4"/>
  <c r="AD1656" i="4"/>
  <c r="AB1660" i="4"/>
  <c r="E1662" i="4"/>
  <c r="AB1666" i="4"/>
  <c r="A1666" i="4"/>
  <c r="AB1670" i="4"/>
  <c r="A1670" i="4"/>
  <c r="E1672" i="4"/>
  <c r="AD1678" i="4"/>
  <c r="AF1678" i="4"/>
  <c r="D1682" i="4"/>
  <c r="B1682" i="4"/>
  <c r="AB1682" i="4"/>
  <c r="A1682" i="4"/>
  <c r="A1686" i="4"/>
  <c r="C1686" i="4"/>
  <c r="B1686" i="4"/>
  <c r="AD1686" i="4"/>
  <c r="AF1686" i="4"/>
  <c r="AJ1686" i="4"/>
  <c r="AL1686" i="4"/>
  <c r="AB1690" i="4"/>
  <c r="AH1690" i="4"/>
  <c r="E1692" i="4"/>
  <c r="E1694" i="4"/>
  <c r="C1707" i="4"/>
  <c r="B1707" i="4"/>
  <c r="AB1707" i="4"/>
  <c r="A1707" i="4"/>
  <c r="A1711" i="4"/>
  <c r="D1711" i="4"/>
  <c r="B1711" i="4"/>
  <c r="AB1711" i="4"/>
  <c r="AD1711" i="4"/>
  <c r="E1713" i="4"/>
  <c r="AD1713" i="4"/>
  <c r="D1713" i="4"/>
  <c r="D1716" i="4"/>
  <c r="D1698" i="4"/>
  <c r="G42" i="2"/>
  <c r="I114" i="1"/>
  <c r="J114" i="1"/>
  <c r="AD1723" i="4"/>
  <c r="A1724" i="4"/>
  <c r="B1724" i="4"/>
  <c r="AB1724" i="4"/>
  <c r="AD1724" i="4"/>
  <c r="AB1728" i="4"/>
  <c r="AD1728" i="4"/>
  <c r="AF1728" i="4"/>
  <c r="C1730" i="4"/>
  <c r="E1730" i="4"/>
  <c r="A1741" i="4"/>
  <c r="K1741" i="4"/>
  <c r="AD1741" i="4"/>
  <c r="AH1741" i="4"/>
  <c r="AL1741" i="4"/>
  <c r="B1747" i="4"/>
  <c r="AB1747" i="4"/>
  <c r="AD1747" i="4"/>
  <c r="AF1747" i="4"/>
  <c r="AH1747" i="4"/>
  <c r="B1749" i="4"/>
  <c r="B1751" i="4"/>
  <c r="AB1751" i="4"/>
  <c r="AD1751" i="4"/>
  <c r="B1753" i="4"/>
  <c r="AD1773" i="4"/>
  <c r="AB1774" i="4"/>
  <c r="AD1774" i="4"/>
  <c r="AF1774" i="4"/>
  <c r="AD1777" i="4"/>
  <c r="AB1778" i="4"/>
  <c r="AD1778" i="4"/>
  <c r="AF1778" i="4"/>
  <c r="AD1781" i="4"/>
  <c r="AF1782" i="4"/>
  <c r="AH1782" i="4"/>
  <c r="AD1785" i="4"/>
  <c r="B1786" i="4"/>
  <c r="AB1786" i="4"/>
  <c r="AD1786" i="4"/>
  <c r="AD1791" i="4"/>
  <c r="B1792" i="4"/>
  <c r="AB1792" i="4"/>
  <c r="AD1792" i="4"/>
  <c r="AB1809" i="4"/>
  <c r="C1809" i="4"/>
  <c r="B1809" i="4"/>
  <c r="A1811" i="4"/>
  <c r="B1811" i="4"/>
  <c r="C1811" i="4"/>
  <c r="AB1811" i="4"/>
  <c r="AD1812" i="4"/>
  <c r="AB1813" i="4"/>
  <c r="AD1813" i="4"/>
  <c r="AF1813" i="4"/>
  <c r="E1815" i="4"/>
  <c r="AA3" i="2"/>
  <c r="AA4" i="2"/>
  <c r="AA5" i="2"/>
  <c r="AA6" i="2"/>
  <c r="AA7" i="2"/>
  <c r="AA8" i="2"/>
  <c r="AA9" i="2"/>
  <c r="AA10" i="2"/>
  <c r="AA11" i="2"/>
  <c r="AA12" i="2"/>
  <c r="AA13" i="2"/>
  <c r="AA14" i="2"/>
  <c r="AA15" i="2"/>
  <c r="H16" i="2"/>
  <c r="AA16" i="2"/>
  <c r="AA17" i="2"/>
  <c r="AA18" i="2"/>
  <c r="AA19" i="2"/>
  <c r="H20" i="2"/>
  <c r="K60" i="1"/>
  <c r="L60" i="1"/>
  <c r="AA20" i="2"/>
  <c r="F21" i="2"/>
  <c r="G61" i="1"/>
  <c r="AA21" i="2"/>
  <c r="F22" i="2"/>
  <c r="G62" i="1"/>
  <c r="AA22" i="2"/>
  <c r="AA23" i="2"/>
  <c r="AA24" i="2"/>
  <c r="AA25" i="2"/>
  <c r="AA26" i="2"/>
  <c r="G27" i="2"/>
  <c r="I68" i="1"/>
  <c r="J68" i="1"/>
  <c r="H27" i="2"/>
  <c r="K68" i="1"/>
  <c r="L68" i="1"/>
  <c r="AA27" i="2"/>
  <c r="H28" i="2"/>
  <c r="K69" i="1"/>
  <c r="L69" i="1"/>
  <c r="AA28" i="2"/>
  <c r="AA29" i="2"/>
  <c r="AA30" i="2"/>
  <c r="AA31" i="2"/>
  <c r="AA32" i="2"/>
  <c r="AA33" i="2"/>
  <c r="AA34" i="2"/>
  <c r="F35" i="2"/>
  <c r="G86" i="1"/>
  <c r="G35" i="2"/>
  <c r="I86" i="1"/>
  <c r="J86" i="1"/>
  <c r="AA35" i="2"/>
  <c r="F36" i="2"/>
  <c r="G87" i="1"/>
  <c r="G36" i="2"/>
  <c r="I87" i="1"/>
  <c r="J87" i="1"/>
  <c r="AA36" i="2"/>
  <c r="AA37" i="2"/>
  <c r="AA38" i="2"/>
  <c r="AA39" i="2"/>
  <c r="AA40" i="2"/>
  <c r="H41" i="2"/>
  <c r="K113" i="1"/>
  <c r="L113" i="1"/>
  <c r="AA41" i="2"/>
  <c r="H42" i="2"/>
  <c r="K114" i="1"/>
  <c r="L114" i="1"/>
  <c r="AA42" i="2"/>
  <c r="F43" i="2"/>
  <c r="G115" i="1"/>
  <c r="H43" i="2"/>
  <c r="K115" i="1"/>
  <c r="L115" i="1"/>
  <c r="AA43" i="2"/>
  <c r="AA44" i="2"/>
  <c r="AA45" i="2"/>
  <c r="H46" i="2"/>
  <c r="AA46" i="2"/>
  <c r="D6" i="6"/>
  <c r="G6" i="6"/>
  <c r="G7" i="6"/>
  <c r="F6" i="6"/>
  <c r="AG6" i="6"/>
  <c r="F8" i="6"/>
  <c r="G8" i="6"/>
  <c r="G10" i="6"/>
  <c r="E3" i="5"/>
  <c r="AG8" i="6"/>
  <c r="G9" i="6"/>
  <c r="AG11" i="6"/>
  <c r="D18" i="6"/>
  <c r="F18" i="6"/>
  <c r="G18" i="6"/>
  <c r="G19" i="6"/>
  <c r="AG18" i="6"/>
  <c r="F20" i="6"/>
  <c r="G20" i="6"/>
  <c r="AG20" i="6"/>
  <c r="G21" i="6"/>
  <c r="G22" i="6"/>
  <c r="E4" i="5"/>
  <c r="AG23" i="6"/>
  <c r="D30" i="6"/>
  <c r="F30" i="6"/>
  <c r="G30" i="6"/>
  <c r="G31" i="6"/>
  <c r="AG30" i="6"/>
  <c r="F32" i="6"/>
  <c r="G32" i="6"/>
  <c r="G33" i="6"/>
  <c r="AG32" i="6"/>
  <c r="F35" i="6"/>
  <c r="G35" i="6"/>
  <c r="G36" i="6"/>
  <c r="AG35" i="6"/>
  <c r="D42" i="6"/>
  <c r="F42" i="6"/>
  <c r="G42" i="6"/>
  <c r="G43" i="6"/>
  <c r="AG42" i="6"/>
  <c r="F44" i="6"/>
  <c r="G44" i="6"/>
  <c r="AG44" i="6"/>
  <c r="G45" i="6"/>
  <c r="G46" i="6"/>
  <c r="F47" i="6"/>
  <c r="G47" i="6"/>
  <c r="G48" i="6"/>
  <c r="F6" i="5"/>
  <c r="AG47" i="6"/>
  <c r="D54" i="6"/>
  <c r="F54" i="6"/>
  <c r="G54" i="6"/>
  <c r="AG54" i="6"/>
  <c r="AG55" i="6"/>
  <c r="F57" i="6"/>
  <c r="G57" i="6"/>
  <c r="G59" i="6"/>
  <c r="E7" i="5"/>
  <c r="AG57" i="6"/>
  <c r="G58" i="6"/>
  <c r="AG58" i="6"/>
  <c r="AG60" i="6"/>
  <c r="D67" i="6"/>
  <c r="F67" i="6"/>
  <c r="AG67" i="6"/>
  <c r="D78" i="6"/>
  <c r="F78" i="6"/>
  <c r="G78" i="6"/>
  <c r="G79" i="6"/>
  <c r="AG78" i="6"/>
  <c r="F80" i="6"/>
  <c r="G80" i="6"/>
  <c r="AG80" i="6"/>
  <c r="G81" i="6"/>
  <c r="AG81" i="6"/>
  <c r="G82" i="6"/>
  <c r="E9" i="5"/>
  <c r="F83" i="6"/>
  <c r="G83" i="6"/>
  <c r="G84" i="6"/>
  <c r="F9" i="5"/>
  <c r="AG83" i="6"/>
  <c r="D90" i="6"/>
  <c r="F90" i="6"/>
  <c r="G90" i="6"/>
  <c r="G91" i="6"/>
  <c r="AG90" i="6"/>
  <c r="F92" i="6"/>
  <c r="G92" i="6"/>
  <c r="AG92" i="6"/>
  <c r="G93" i="6"/>
  <c r="AG93" i="6"/>
  <c r="G94" i="6"/>
  <c r="F95" i="6"/>
  <c r="G95" i="6"/>
  <c r="G96" i="6"/>
  <c r="AG95" i="6"/>
  <c r="D102" i="6"/>
  <c r="F102" i="6"/>
  <c r="G102" i="6"/>
  <c r="G103" i="6"/>
  <c r="AG102" i="6"/>
  <c r="F104" i="6"/>
  <c r="G104" i="6"/>
  <c r="AG104" i="6"/>
  <c r="G105" i="6"/>
  <c r="AG105" i="6"/>
  <c r="G106" i="6"/>
  <c r="F107" i="6"/>
  <c r="G107" i="6"/>
  <c r="G108" i="6"/>
  <c r="AG107" i="6"/>
  <c r="D114" i="6"/>
  <c r="F114" i="6"/>
  <c r="G114" i="6"/>
  <c r="G115" i="6"/>
  <c r="G120" i="6"/>
  <c r="AG114" i="6"/>
  <c r="D125" i="6"/>
  <c r="F125" i="6"/>
  <c r="G125" i="6"/>
  <c r="G126" i="6"/>
  <c r="AG125" i="6"/>
  <c r="F127" i="6"/>
  <c r="G127" i="6"/>
  <c r="G128" i="6"/>
  <c r="AG127" i="6"/>
  <c r="AG128" i="6"/>
  <c r="G129" i="6"/>
  <c r="E13" i="5"/>
  <c r="F130" i="6"/>
  <c r="G130" i="6"/>
  <c r="G131" i="6"/>
  <c r="AG130" i="6"/>
  <c r="D137" i="6"/>
  <c r="F137" i="6"/>
  <c r="G137" i="6"/>
  <c r="AG137" i="6"/>
  <c r="G138" i="6"/>
  <c r="F139" i="6"/>
  <c r="G139" i="6"/>
  <c r="G140" i="6"/>
  <c r="AG139" i="6"/>
  <c r="AG140" i="6"/>
  <c r="G141" i="6"/>
  <c r="F142" i="6"/>
  <c r="G142" i="6"/>
  <c r="G143" i="6"/>
  <c r="AG142" i="6"/>
  <c r="D149" i="6"/>
  <c r="F149" i="6"/>
  <c r="G149" i="6"/>
  <c r="G150" i="6"/>
  <c r="AG149" i="6"/>
  <c r="F151" i="6"/>
  <c r="G151" i="6"/>
  <c r="G152" i="6"/>
  <c r="AG151" i="6"/>
  <c r="AG152" i="6"/>
  <c r="G153" i="6"/>
  <c r="F154" i="6"/>
  <c r="G154" i="6"/>
  <c r="G155" i="6"/>
  <c r="AG154" i="6"/>
  <c r="D161" i="6"/>
  <c r="F161" i="6"/>
  <c r="G161" i="6"/>
  <c r="AG161" i="6"/>
  <c r="G162" i="6"/>
  <c r="G168" i="6"/>
  <c r="F163" i="6"/>
  <c r="G163" i="6"/>
  <c r="G164" i="6"/>
  <c r="AG163" i="6"/>
  <c r="AG164" i="6"/>
  <c r="G165" i="6"/>
  <c r="E16" i="5"/>
  <c r="F166" i="6"/>
  <c r="G166" i="6"/>
  <c r="G167" i="6"/>
  <c r="AG166" i="6"/>
  <c r="D173" i="6"/>
  <c r="F173" i="6"/>
  <c r="G173" i="6"/>
  <c r="G174" i="6"/>
  <c r="AG173" i="6"/>
  <c r="F175" i="6"/>
  <c r="G175" i="6"/>
  <c r="G176" i="6"/>
  <c r="AG175" i="6"/>
  <c r="AG176" i="6"/>
  <c r="G177" i="6"/>
  <c r="F178" i="6"/>
  <c r="G178" i="6"/>
  <c r="G179" i="6"/>
  <c r="AG178" i="6"/>
  <c r="D185" i="6"/>
  <c r="F185" i="6"/>
  <c r="G185" i="6"/>
  <c r="AG185" i="6"/>
  <c r="G186" i="6"/>
  <c r="G192" i="6"/>
  <c r="F187" i="6"/>
  <c r="G187" i="6"/>
  <c r="G188" i="6"/>
  <c r="AG187" i="6"/>
  <c r="AG188" i="6"/>
  <c r="G189" i="6"/>
  <c r="F190" i="6"/>
  <c r="G190" i="6"/>
  <c r="G191" i="6"/>
  <c r="AG190" i="6"/>
  <c r="D197" i="6"/>
  <c r="F197" i="6"/>
  <c r="G197" i="6"/>
  <c r="G198" i="6"/>
  <c r="AG197" i="6"/>
  <c r="F199" i="6"/>
  <c r="G199" i="6"/>
  <c r="G200" i="6"/>
  <c r="AG199" i="6"/>
  <c r="AG200" i="6"/>
  <c r="G201" i="6"/>
  <c r="E19" i="5"/>
  <c r="F202" i="6"/>
  <c r="G202" i="6"/>
  <c r="G203" i="6"/>
  <c r="F19" i="5"/>
  <c r="AG202" i="6"/>
  <c r="D209" i="6"/>
  <c r="F209" i="6"/>
  <c r="G209" i="6"/>
  <c r="AG209" i="6"/>
  <c r="G210" i="6"/>
  <c r="G216" i="6"/>
  <c r="F211" i="6"/>
  <c r="G211" i="6"/>
  <c r="G212" i="6"/>
  <c r="AG211" i="6"/>
  <c r="AG212" i="6"/>
  <c r="G213" i="6"/>
  <c r="F214" i="6"/>
  <c r="G214" i="6"/>
  <c r="G215" i="6"/>
  <c r="AG214" i="6"/>
  <c r="D221" i="6"/>
  <c r="F221" i="6"/>
  <c r="G221" i="6"/>
  <c r="G222" i="6"/>
  <c r="AG221" i="6"/>
  <c r="F223" i="6"/>
  <c r="G223" i="6"/>
  <c r="G224" i="6"/>
  <c r="AG223" i="6"/>
  <c r="AG224" i="6"/>
  <c r="G225" i="6"/>
  <c r="E21" i="5"/>
  <c r="F226" i="6"/>
  <c r="G226" i="6"/>
  <c r="G227" i="6"/>
  <c r="AG226" i="6"/>
  <c r="D233" i="6"/>
  <c r="F233" i="6"/>
  <c r="G233" i="6"/>
  <c r="G234" i="6"/>
  <c r="AG233" i="6"/>
  <c r="F235" i="6"/>
  <c r="G235" i="6"/>
  <c r="G236" i="6"/>
  <c r="AG235" i="6"/>
  <c r="AG236" i="6"/>
  <c r="G237" i="6"/>
  <c r="F238" i="6"/>
  <c r="G238" i="6"/>
  <c r="G239" i="6"/>
  <c r="F22" i="5"/>
  <c r="AG238" i="6"/>
  <c r="D245" i="6"/>
  <c r="G245" i="6"/>
  <c r="G246" i="6"/>
  <c r="F245" i="6"/>
  <c r="AG245" i="6"/>
  <c r="F247" i="6"/>
  <c r="G247" i="6"/>
  <c r="G249" i="6"/>
  <c r="E23" i="5"/>
  <c r="AG247" i="6"/>
  <c r="G248" i="6"/>
  <c r="AG248" i="6"/>
  <c r="F250" i="6"/>
  <c r="G250" i="6"/>
  <c r="G251" i="6"/>
  <c r="F23" i="5"/>
  <c r="AG250" i="6"/>
  <c r="D257" i="6"/>
  <c r="F257" i="6"/>
  <c r="G257" i="6"/>
  <c r="G258" i="6"/>
  <c r="AG257" i="6"/>
  <c r="F259" i="6"/>
  <c r="G259" i="6"/>
  <c r="G260" i="6"/>
  <c r="AG259" i="6"/>
  <c r="AG260" i="6"/>
  <c r="F262" i="6"/>
  <c r="G262" i="6"/>
  <c r="G263" i="6"/>
  <c r="AG262" i="6"/>
  <c r="D269" i="6"/>
  <c r="F269" i="6"/>
  <c r="G269" i="6"/>
  <c r="G270" i="6"/>
  <c r="AG269" i="6"/>
  <c r="F271" i="6"/>
  <c r="G271" i="6"/>
  <c r="G272" i="6"/>
  <c r="G273" i="6"/>
  <c r="E25" i="5"/>
  <c r="AG271" i="6"/>
  <c r="AG272" i="6"/>
  <c r="F274" i="6"/>
  <c r="G274" i="6"/>
  <c r="G275" i="6"/>
  <c r="AG274" i="6"/>
  <c r="D281" i="6"/>
  <c r="F281" i="6"/>
  <c r="G281" i="6"/>
  <c r="G282" i="6"/>
  <c r="AG281" i="6"/>
  <c r="D292" i="6"/>
  <c r="F292" i="6"/>
  <c r="G292" i="6"/>
  <c r="G293" i="6"/>
  <c r="AG292" i="6"/>
  <c r="F294" i="6"/>
  <c r="G294" i="6"/>
  <c r="G295" i="6"/>
  <c r="AG294" i="6"/>
  <c r="AG295" i="6"/>
  <c r="F297" i="6"/>
  <c r="G297" i="6"/>
  <c r="G298" i="6"/>
  <c r="F27" i="5"/>
  <c r="AG297" i="6"/>
  <c r="D304" i="6"/>
  <c r="F304" i="6"/>
  <c r="G304" i="6"/>
  <c r="AG304" i="6"/>
  <c r="G305" i="6"/>
  <c r="G28" i="5"/>
  <c r="F306" i="6"/>
  <c r="G306" i="6"/>
  <c r="G307" i="6"/>
  <c r="AG306" i="6"/>
  <c r="AG307" i="6"/>
  <c r="F309" i="6"/>
  <c r="G309" i="6"/>
  <c r="G310" i="6"/>
  <c r="F28" i="5"/>
  <c r="AG309" i="6"/>
  <c r="D316" i="6"/>
  <c r="F316" i="6"/>
  <c r="G316" i="6"/>
  <c r="AG316" i="6"/>
  <c r="G317" i="6"/>
  <c r="G29" i="5"/>
  <c r="F318" i="6"/>
  <c r="G318" i="6"/>
  <c r="AG318" i="6"/>
  <c r="AG319" i="6"/>
  <c r="D328" i="6"/>
  <c r="F328" i="6"/>
  <c r="G328" i="6"/>
  <c r="G329" i="6"/>
  <c r="G30" i="5"/>
  <c r="AG328" i="6"/>
  <c r="F330" i="6"/>
  <c r="G330" i="6"/>
  <c r="AG330" i="6"/>
  <c r="AG331" i="6"/>
  <c r="F333" i="6"/>
  <c r="G333" i="6"/>
  <c r="G334" i="6"/>
  <c r="F30" i="5"/>
  <c r="AG333" i="6"/>
  <c r="G3" i="5"/>
  <c r="O3" i="5"/>
  <c r="G4" i="5"/>
  <c r="O4" i="5"/>
  <c r="F5" i="5"/>
  <c r="O5" i="5"/>
  <c r="E6" i="5"/>
  <c r="G6" i="5"/>
  <c r="O6" i="5"/>
  <c r="O7" i="5"/>
  <c r="O8" i="5"/>
  <c r="G9" i="5"/>
  <c r="O9" i="5"/>
  <c r="E10" i="5"/>
  <c r="F10" i="5"/>
  <c r="O10" i="5"/>
  <c r="E11" i="5"/>
  <c r="F11" i="5"/>
  <c r="G11" i="5"/>
  <c r="O11" i="5"/>
  <c r="G12" i="5"/>
  <c r="O12" i="5"/>
  <c r="F13" i="5"/>
  <c r="O13" i="5"/>
  <c r="E14" i="5"/>
  <c r="F14" i="5"/>
  <c r="O14" i="5"/>
  <c r="E15" i="5"/>
  <c r="F15" i="5"/>
  <c r="O15" i="5"/>
  <c r="F16" i="5"/>
  <c r="H16" i="5"/>
  <c r="G16" i="5"/>
  <c r="O16" i="5"/>
  <c r="E17" i="5"/>
  <c r="F17" i="5"/>
  <c r="O17" i="5"/>
  <c r="E18" i="5"/>
  <c r="F18" i="5"/>
  <c r="O18" i="5"/>
  <c r="O19" i="5"/>
  <c r="E20" i="5"/>
  <c r="F20" i="5"/>
  <c r="G20" i="5"/>
  <c r="H20" i="5"/>
  <c r="O20" i="5"/>
  <c r="F21" i="5"/>
  <c r="O21" i="5"/>
  <c r="E22" i="5"/>
  <c r="O22" i="5"/>
  <c r="O23" i="5"/>
  <c r="F24" i="5"/>
  <c r="O24" i="5"/>
  <c r="F25" i="5"/>
  <c r="O25" i="5"/>
  <c r="O26" i="5"/>
  <c r="O27" i="5"/>
  <c r="O28" i="5"/>
  <c r="O29" i="5"/>
  <c r="O30" i="5"/>
  <c r="C18" i="12"/>
  <c r="F23" i="6"/>
  <c r="G23" i="6"/>
  <c r="G24" i="6"/>
  <c r="F4" i="5"/>
  <c r="C19" i="12"/>
  <c r="C20" i="12"/>
  <c r="C21" i="12"/>
  <c r="C22" i="12"/>
  <c r="C23" i="12"/>
  <c r="G319" i="6"/>
  <c r="G320" i="6"/>
  <c r="E29" i="5"/>
  <c r="G24" i="5"/>
  <c r="AF920" i="4"/>
  <c r="G276" i="6"/>
  <c r="G25" i="5"/>
  <c r="AF282" i="4"/>
  <c r="D282" i="4"/>
  <c r="B282" i="4"/>
  <c r="H4" i="5"/>
  <c r="G132" i="6"/>
  <c r="G13" i="5"/>
  <c r="G27" i="5"/>
  <c r="G156" i="6"/>
  <c r="G15" i="5"/>
  <c r="AF302" i="4"/>
  <c r="E302" i="4"/>
  <c r="B302" i="4"/>
  <c r="H6" i="5"/>
  <c r="G252" i="6"/>
  <c r="G23" i="5"/>
  <c r="G240" i="6"/>
  <c r="G22" i="5"/>
  <c r="G180" i="6"/>
  <c r="G17" i="5"/>
  <c r="H13" i="5"/>
  <c r="H25" i="5"/>
  <c r="G204" i="6"/>
  <c r="G19" i="5"/>
  <c r="H19" i="5"/>
  <c r="G287" i="6"/>
  <c r="G26" i="5"/>
  <c r="G228" i="6"/>
  <c r="G21" i="5"/>
  <c r="G97" i="6"/>
  <c r="G10" i="5"/>
  <c r="AD1660" i="4"/>
  <c r="AF1660" i="4"/>
  <c r="D1660" i="4"/>
  <c r="B1660" i="4"/>
  <c r="AB1550" i="4"/>
  <c r="C1550" i="4"/>
  <c r="AB1542" i="4"/>
  <c r="C1542" i="4"/>
  <c r="B1542" i="4"/>
  <c r="AF922" i="4"/>
  <c r="D922" i="4"/>
  <c r="B922" i="4"/>
  <c r="G109" i="6"/>
  <c r="AF1507" i="4"/>
  <c r="G85" i="6"/>
  <c r="AJ1792" i="4"/>
  <c r="AF1792" i="4"/>
  <c r="AH1792" i="4"/>
  <c r="AJ1747" i="4"/>
  <c r="AL1747" i="4"/>
  <c r="AN1747" i="4"/>
  <c r="AP1747" i="4"/>
  <c r="AD1666" i="4"/>
  <c r="AB1662" i="4"/>
  <c r="C1662" i="4"/>
  <c r="A1778" i="4"/>
  <c r="D1778" i="4"/>
  <c r="B1778" i="4"/>
  <c r="G18" i="5"/>
  <c r="G49" i="6"/>
  <c r="A1813" i="4"/>
  <c r="D1813" i="4"/>
  <c r="B1813" i="4"/>
  <c r="AH1813" i="4"/>
  <c r="A1774" i="4"/>
  <c r="D1774" i="4"/>
  <c r="B1774" i="4"/>
  <c r="AH1774" i="4"/>
  <c r="AH1778" i="4"/>
  <c r="AH1728" i="4"/>
  <c r="A1728" i="4"/>
  <c r="D1728" i="4"/>
  <c r="B1728" i="4"/>
  <c r="D1546" i="4"/>
  <c r="B1546" i="4"/>
  <c r="AH1546" i="4"/>
  <c r="AJ1546" i="4"/>
  <c r="AL1546" i="4"/>
  <c r="AB1569" i="4"/>
  <c r="AF1530" i="4"/>
  <c r="AH1530" i="4"/>
  <c r="AJ1530" i="4"/>
  <c r="G144" i="6"/>
  <c r="G14" i="5"/>
  <c r="G5" i="5"/>
  <c r="G25" i="6"/>
  <c r="A1678" i="4"/>
  <c r="C1678" i="4"/>
  <c r="B1678" i="4"/>
  <c r="AF1509" i="4"/>
  <c r="AJ1786" i="4"/>
  <c r="AF1786" i="4"/>
  <c r="AH1786" i="4"/>
  <c r="AB1788" i="4"/>
  <c r="H17" i="5"/>
  <c r="H12" i="5"/>
  <c r="H10" i="5"/>
  <c r="AB668" i="4"/>
  <c r="G296" i="6"/>
  <c r="E27" i="5"/>
  <c r="G261" i="6"/>
  <c r="E24" i="5"/>
  <c r="G67" i="6"/>
  <c r="G68" i="6"/>
  <c r="AD1690" i="4"/>
  <c r="AJ1690" i="4"/>
  <c r="D1690" i="4"/>
  <c r="B1690" i="4"/>
  <c r="A1690" i="4"/>
  <c r="AD1590" i="4"/>
  <c r="H15" i="5"/>
  <c r="H11" i="5"/>
  <c r="G331" i="6"/>
  <c r="G332" i="6"/>
  <c r="G323" i="6"/>
  <c r="G308" i="6"/>
  <c r="E28" i="5"/>
  <c r="H22" i="5"/>
  <c r="H9" i="5"/>
  <c r="G34" i="6"/>
  <c r="E5" i="5"/>
  <c r="AB1354" i="4"/>
  <c r="AB1356" i="4"/>
  <c r="AB1358" i="4"/>
  <c r="AB1328" i="4"/>
  <c r="AB1326" i="4"/>
  <c r="AD1106" i="4"/>
  <c r="H61" i="1"/>
  <c r="A1809" i="4"/>
  <c r="AD1707" i="4"/>
  <c r="C1666" i="4"/>
  <c r="B1666" i="4"/>
  <c r="C1650" i="4"/>
  <c r="B1650" i="4"/>
  <c r="AD1608" i="4"/>
  <c r="AF1608" i="4"/>
  <c r="C1540" i="4"/>
  <c r="B1540" i="4"/>
  <c r="A1515" i="4"/>
  <c r="A1471" i="4"/>
  <c r="AJ1452" i="4"/>
  <c r="C1452" i="4"/>
  <c r="B1452" i="4"/>
  <c r="AB1428" i="4"/>
  <c r="C1428" i="4"/>
  <c r="AB1420" i="4"/>
  <c r="C1420" i="4"/>
  <c r="B1420" i="4"/>
  <c r="AD1406" i="4"/>
  <c r="A1747" i="4"/>
  <c r="AF1656" i="4"/>
  <c r="AD1606" i="4"/>
  <c r="AF1606" i="4"/>
  <c r="AD1489" i="4"/>
  <c r="AF1489" i="4"/>
  <c r="AJ1469" i="4"/>
  <c r="A1452" i="4"/>
  <c r="AD1391" i="4"/>
  <c r="AF1391" i="4"/>
  <c r="E1391" i="4"/>
  <c r="B1391" i="4"/>
  <c r="A1391" i="4"/>
  <c r="H62" i="1"/>
  <c r="A1650" i="4"/>
  <c r="AB841" i="4"/>
  <c r="AD837" i="4"/>
  <c r="D837" i="4"/>
  <c r="B837" i="4"/>
  <c r="AD845" i="4"/>
  <c r="D845" i="4"/>
  <c r="AD843" i="4"/>
  <c r="D843" i="4"/>
  <c r="D847" i="4"/>
  <c r="F60" i="6"/>
  <c r="G60" i="6"/>
  <c r="G61" i="6"/>
  <c r="F7" i="5"/>
  <c r="F11" i="6"/>
  <c r="G11" i="6"/>
  <c r="G12" i="6"/>
  <c r="F3" i="5"/>
  <c r="J85" i="1"/>
  <c r="D1670" i="4"/>
  <c r="B1670" i="4"/>
  <c r="AF1596" i="4"/>
  <c r="AH1596" i="4"/>
  <c r="AB1635" i="4"/>
  <c r="A1214" i="4"/>
  <c r="AD1007" i="4"/>
  <c r="AF1007" i="4"/>
  <c r="A1007" i="4"/>
  <c r="H115" i="1"/>
  <c r="H86" i="1"/>
  <c r="K82" i="1"/>
  <c r="L82" i="1"/>
  <c r="K54" i="1"/>
  <c r="L54" i="1"/>
  <c r="AD1809" i="4"/>
  <c r="AD1811" i="4"/>
  <c r="AD1596" i="4"/>
  <c r="AD1600" i="4"/>
  <c r="AD1548" i="4"/>
  <c r="AF1548" i="4"/>
  <c r="AF1536" i="4"/>
  <c r="AH1536" i="4"/>
  <c r="AB1575" i="4"/>
  <c r="AB1491" i="4"/>
  <c r="C1491" i="4"/>
  <c r="AB1505" i="4"/>
  <c r="AB1499" i="4"/>
  <c r="A1212" i="4"/>
  <c r="D1212" i="4"/>
  <c r="B1212" i="4"/>
  <c r="AH1212" i="4"/>
  <c r="AH1214" i="4"/>
  <c r="A1324" i="4"/>
  <c r="AP1324" i="4"/>
  <c r="AD1263" i="4"/>
  <c r="AB1236" i="4"/>
  <c r="AB1234" i="4"/>
  <c r="AB1232" i="4"/>
  <c r="AB1248" i="4"/>
  <c r="AB1224" i="4"/>
  <c r="AB1246" i="4"/>
  <c r="AB1222" i="4"/>
  <c r="AB1244" i="4"/>
  <c r="AB1220" i="4"/>
  <c r="AH1183" i="4"/>
  <c r="D1183" i="4"/>
  <c r="B1183" i="4"/>
  <c r="AD1077" i="4"/>
  <c r="L111" i="1"/>
  <c r="K25" i="1"/>
  <c r="L25" i="1"/>
  <c r="L112" i="1"/>
  <c r="H87" i="1"/>
  <c r="C1536" i="4"/>
  <c r="B1536" i="4"/>
  <c r="AD1497" i="4"/>
  <c r="AF1497" i="4"/>
  <c r="AD1487" i="4"/>
  <c r="AF1487" i="4"/>
  <c r="A1487" i="4"/>
  <c r="AD1340" i="4"/>
  <c r="AB1193" i="4"/>
  <c r="AB1191" i="4"/>
  <c r="AB1189" i="4"/>
  <c r="AH1364" i="4"/>
  <c r="AF1354" i="4"/>
  <c r="AH1354" i="4"/>
  <c r="AF1330" i="4"/>
  <c r="AH1330" i="4"/>
  <c r="AB991" i="4"/>
  <c r="C995" i="4"/>
  <c r="AB987" i="4"/>
  <c r="C987" i="4"/>
  <c r="B987" i="4"/>
  <c r="AH922" i="4"/>
  <c r="AF468" i="4"/>
  <c r="AF435" i="4"/>
  <c r="AJ1208" i="4"/>
  <c r="AB1110" i="4"/>
  <c r="AB1008" i="4"/>
  <c r="B945" i="4"/>
  <c r="AF750" i="4"/>
  <c r="AH750" i="4"/>
  <c r="AJ750" i="4"/>
  <c r="AB509" i="4"/>
  <c r="AB507" i="4"/>
  <c r="AB511" i="4"/>
  <c r="AB1269" i="4"/>
  <c r="A1183" i="4"/>
  <c r="AB1112" i="4"/>
  <c r="AB1081" i="4"/>
  <c r="C985" i="4"/>
  <c r="B985" i="4"/>
  <c r="B916" i="4"/>
  <c r="D678" i="4"/>
  <c r="B678" i="4"/>
  <c r="A678" i="4"/>
  <c r="AF433" i="4"/>
  <c r="AJ1332" i="4"/>
  <c r="AL1332" i="4"/>
  <c r="AB1267" i="4"/>
  <c r="A922" i="4"/>
  <c r="D835" i="4"/>
  <c r="B835" i="4"/>
  <c r="A835" i="4"/>
  <c r="AD583" i="4"/>
  <c r="AJ1179" i="4"/>
  <c r="AL1179" i="4"/>
  <c r="AD953" i="4"/>
  <c r="AF953" i="4"/>
  <c r="A953" i="4"/>
  <c r="AD889" i="4"/>
  <c r="A548" i="4"/>
  <c r="D548" i="4"/>
  <c r="B548" i="4"/>
  <c r="AD538" i="4"/>
  <c r="AF538" i="4"/>
  <c r="C538" i="4"/>
  <c r="B538" i="4"/>
  <c r="AB1387" i="4"/>
  <c r="AB1003" i="4"/>
  <c r="AB968" i="4"/>
  <c r="C968" i="4"/>
  <c r="B968" i="4"/>
  <c r="AB976" i="4"/>
  <c r="C976" i="4"/>
  <c r="B976" i="4"/>
  <c r="AB974" i="4"/>
  <c r="C974" i="4"/>
  <c r="B974" i="4"/>
  <c r="AD812" i="4"/>
  <c r="D812" i="4"/>
  <c r="B812" i="4"/>
  <c r="AD820" i="4"/>
  <c r="D820" i="4"/>
  <c r="D822" i="4"/>
  <c r="AB816" i="4"/>
  <c r="AD715" i="4"/>
  <c r="AH282" i="4"/>
  <c r="AD276" i="4"/>
  <c r="D276" i="4"/>
  <c r="B276" i="4"/>
  <c r="C978" i="4"/>
  <c r="AB951" i="4"/>
  <c r="AB949" i="4"/>
  <c r="A920" i="4"/>
  <c r="A912" i="4"/>
  <c r="D912" i="4"/>
  <c r="B912" i="4"/>
  <c r="D889" i="4"/>
  <c r="B889" i="4"/>
  <c r="AD881" i="4"/>
  <c r="A881" i="4"/>
  <c r="AB729" i="4"/>
  <c r="AD729" i="4"/>
  <c r="AB733" i="4"/>
  <c r="AF729" i="4"/>
  <c r="AH634" i="4"/>
  <c r="AN634" i="4"/>
  <c r="AP634" i="4"/>
  <c r="AF632" i="4"/>
  <c r="AB682" i="4"/>
  <c r="AB680" i="4"/>
  <c r="AF470" i="4"/>
  <c r="AB382" i="4"/>
  <c r="AB392" i="4"/>
  <c r="A924" i="4"/>
  <c r="AJ640" i="4"/>
  <c r="AL640" i="4"/>
  <c r="AN640" i="4"/>
  <c r="AP640" i="4"/>
  <c r="AB571" i="4"/>
  <c r="AB569" i="4"/>
  <c r="AB573" i="4"/>
  <c r="AL362" i="4"/>
  <c r="AZ362" i="4"/>
  <c r="AD924" i="4"/>
  <c r="AF924" i="4"/>
  <c r="C874" i="4"/>
  <c r="AD860" i="4"/>
  <c r="AD862" i="4"/>
  <c r="AD789" i="4"/>
  <c r="A638" i="4"/>
  <c r="AD532" i="4"/>
  <c r="A272" i="4"/>
  <c r="AD95" i="4"/>
  <c r="AF95" i="4"/>
  <c r="A95" i="4"/>
  <c r="AF666" i="4"/>
  <c r="A589" i="4"/>
  <c r="AB581" i="4"/>
  <c r="AB546" i="4"/>
  <c r="AJ491" i="4"/>
  <c r="A458" i="4"/>
  <c r="AD62" i="4"/>
  <c r="D860" i="4"/>
  <c r="B860" i="4"/>
  <c r="C789" i="4"/>
  <c r="B789" i="4"/>
  <c r="AB760" i="4"/>
  <c r="AF636" i="4"/>
  <c r="AB294" i="4"/>
  <c r="AB292" i="4"/>
  <c r="AB312" i="4"/>
  <c r="AB290" i="4"/>
  <c r="AB310" i="4"/>
  <c r="AB308" i="4"/>
  <c r="AB284" i="4"/>
  <c r="AD169" i="4"/>
  <c r="AB758" i="4"/>
  <c r="A628" i="4"/>
  <c r="D460" i="4"/>
  <c r="B460" i="4"/>
  <c r="A380" i="4"/>
  <c r="A282" i="4"/>
  <c r="AD253" i="4"/>
  <c r="AF253" i="4"/>
  <c r="AD56" i="4"/>
  <c r="AD501" i="4"/>
  <c r="AF501" i="4"/>
  <c r="AD499" i="4"/>
  <c r="AF499" i="4"/>
  <c r="AB386" i="4"/>
  <c r="AF386" i="4"/>
  <c r="AH386" i="4"/>
  <c r="AV362" i="4"/>
  <c r="AX362" i="4"/>
  <c r="AD343" i="4"/>
  <c r="AF343" i="4"/>
  <c r="D343" i="4"/>
  <c r="B343" i="4"/>
  <c r="AD280" i="4"/>
  <c r="AF280" i="4"/>
  <c r="AB131" i="4"/>
  <c r="AB129" i="4"/>
  <c r="AB127" i="4"/>
  <c r="AD458" i="4"/>
  <c r="AD460" i="4"/>
  <c r="AD423" i="4"/>
  <c r="AD425" i="4"/>
  <c r="AD331" i="4"/>
  <c r="A302" i="4"/>
  <c r="AL27" i="4"/>
  <c r="AN27" i="4"/>
  <c r="AF466" i="4"/>
  <c r="AF431" i="4"/>
  <c r="AD300" i="4"/>
  <c r="AF300" i="4"/>
  <c r="AD190" i="4"/>
  <c r="D423" i="4"/>
  <c r="B423" i="4"/>
  <c r="AB156" i="4"/>
  <c r="AB154" i="4"/>
  <c r="AB152" i="4"/>
  <c r="AB91" i="4"/>
  <c r="C91" i="4"/>
  <c r="B91" i="4"/>
  <c r="AB99" i="4"/>
  <c r="C99" i="4"/>
  <c r="AB97" i="4"/>
  <c r="AB81" i="4"/>
  <c r="AD31" i="4"/>
  <c r="AJ31" i="4"/>
  <c r="E31" i="4"/>
  <c r="B31" i="4"/>
  <c r="J138" i="1"/>
  <c r="H95" i="1"/>
  <c r="F95" i="1"/>
  <c r="F96" i="1"/>
  <c r="AD68" i="4"/>
  <c r="AJ68" i="4"/>
  <c r="E68" i="4"/>
  <c r="B68" i="4"/>
  <c r="L143" i="1"/>
  <c r="F143" i="1"/>
  <c r="L128" i="1"/>
  <c r="AP146" i="4"/>
  <c r="J128" i="1"/>
  <c r="F128" i="1"/>
  <c r="AB249" i="4"/>
  <c r="AF62" i="4"/>
  <c r="AH62" i="4"/>
  <c r="F139" i="1"/>
  <c r="AB251" i="4"/>
  <c r="AB194" i="4"/>
  <c r="AB52" i="4"/>
  <c r="F129" i="1"/>
  <c r="L119" i="1"/>
  <c r="L117" i="1"/>
  <c r="K32" i="1"/>
  <c r="L32" i="1"/>
  <c r="AB196" i="4"/>
  <c r="AB54" i="4"/>
  <c r="AD17" i="4"/>
  <c r="AF17" i="4"/>
  <c r="H118" i="1"/>
  <c r="L126" i="1"/>
  <c r="F126" i="1"/>
  <c r="H123" i="1"/>
  <c r="AB125" i="1"/>
  <c r="AD125" i="1"/>
  <c r="F124" i="1"/>
  <c r="J119" i="1"/>
  <c r="J118" i="1"/>
  <c r="J117" i="1"/>
  <c r="I32" i="1"/>
  <c r="J32" i="1"/>
  <c r="F130" i="1"/>
  <c r="F120" i="1"/>
  <c r="H119" i="1"/>
  <c r="F119" i="1"/>
  <c r="H102" i="1"/>
  <c r="F102" i="1"/>
  <c r="H99" i="1"/>
  <c r="F99" i="1"/>
  <c r="E125" i="1"/>
  <c r="E124" i="1"/>
  <c r="H117" i="1"/>
  <c r="F105" i="1"/>
  <c r="H98" i="1"/>
  <c r="F98" i="1"/>
  <c r="H106" i="1"/>
  <c r="F106" i="1"/>
  <c r="D27" i="4"/>
  <c r="B27" i="4"/>
  <c r="A27" i="4"/>
  <c r="AH280" i="4"/>
  <c r="C280" i="4"/>
  <c r="B280" i="4"/>
  <c r="A280" i="4"/>
  <c r="E253" i="4"/>
  <c r="B253" i="4"/>
  <c r="AH253" i="4"/>
  <c r="A253" i="4"/>
  <c r="A733" i="4"/>
  <c r="C733" i="4"/>
  <c r="B733" i="4"/>
  <c r="BB362" i="4"/>
  <c r="A362" i="4"/>
  <c r="D1497" i="4"/>
  <c r="B1497" i="4"/>
  <c r="A1497" i="4"/>
  <c r="C300" i="4"/>
  <c r="B300" i="4"/>
  <c r="A300" i="4"/>
  <c r="G335" i="6"/>
  <c r="E30" i="5"/>
  <c r="C17" i="4"/>
  <c r="B17" i="4"/>
  <c r="AH17" i="4"/>
  <c r="A17" i="4"/>
  <c r="AB364" i="4"/>
  <c r="AB368" i="4"/>
  <c r="AB366" i="4"/>
  <c r="AD284" i="4"/>
  <c r="AF284" i="4"/>
  <c r="A546" i="4"/>
  <c r="AD546" i="4"/>
  <c r="AF546" i="4"/>
  <c r="AD308" i="4"/>
  <c r="AD581" i="4"/>
  <c r="AD573" i="4"/>
  <c r="AD392" i="4"/>
  <c r="AH729" i="4"/>
  <c r="A729" i="4"/>
  <c r="AD949" i="4"/>
  <c r="AF949" i="4"/>
  <c r="A949" i="4"/>
  <c r="E816" i="4"/>
  <c r="B816" i="4"/>
  <c r="AD816" i="4"/>
  <c r="A816" i="4"/>
  <c r="AD1008" i="4"/>
  <c r="AF1008" i="4"/>
  <c r="D1008" i="4"/>
  <c r="B1008" i="4"/>
  <c r="C980" i="4"/>
  <c r="F28" i="2"/>
  <c r="AD1193" i="4"/>
  <c r="AD1248" i="4"/>
  <c r="AF1248" i="4"/>
  <c r="E1248" i="4"/>
  <c r="B1248" i="4"/>
  <c r="AD1216" i="4"/>
  <c r="D1216" i="4"/>
  <c r="B1216" i="4"/>
  <c r="D1548" i="4"/>
  <c r="B1548" i="4"/>
  <c r="AJ1548" i="4"/>
  <c r="AL1548" i="4"/>
  <c r="AF1569" i="4"/>
  <c r="AH1569" i="4"/>
  <c r="A841" i="4"/>
  <c r="AD841" i="4"/>
  <c r="E841" i="4"/>
  <c r="B841" i="4"/>
  <c r="AL1469" i="4"/>
  <c r="A1469" i="4"/>
  <c r="AJ1106" i="4"/>
  <c r="AF1106" i="4"/>
  <c r="AH1106" i="4"/>
  <c r="AL1792" i="4"/>
  <c r="A1792" i="4"/>
  <c r="AB735" i="4"/>
  <c r="AF1193" i="4"/>
  <c r="AB731" i="4"/>
  <c r="H29" i="5"/>
  <c r="AD310" i="4"/>
  <c r="AF310" i="4"/>
  <c r="D310" i="4"/>
  <c r="B310" i="4"/>
  <c r="AB793" i="4"/>
  <c r="C797" i="4"/>
  <c r="AB795" i="4"/>
  <c r="C795" i="4"/>
  <c r="AD569" i="4"/>
  <c r="AD382" i="4"/>
  <c r="AD951" i="4"/>
  <c r="AF951" i="4"/>
  <c r="A951" i="4"/>
  <c r="D799" i="4"/>
  <c r="G21" i="2"/>
  <c r="AD1003" i="4"/>
  <c r="AD897" i="4"/>
  <c r="D897" i="4"/>
  <c r="AB895" i="4"/>
  <c r="D901" i="4"/>
  <c r="D876" i="4"/>
  <c r="G24" i="2"/>
  <c r="I64" i="1"/>
  <c r="J64" i="1"/>
  <c r="AD891" i="4"/>
  <c r="D891" i="4"/>
  <c r="AD899" i="4"/>
  <c r="D899" i="4"/>
  <c r="AD511" i="4"/>
  <c r="AF511" i="4"/>
  <c r="A1110" i="4"/>
  <c r="AD1110" i="4"/>
  <c r="AF1110" i="4"/>
  <c r="AD991" i="4"/>
  <c r="A991" i="4"/>
  <c r="D991" i="4"/>
  <c r="B991" i="4"/>
  <c r="AD1232" i="4"/>
  <c r="AF1232" i="4"/>
  <c r="C1232" i="4"/>
  <c r="B1232" i="4"/>
  <c r="AB1602" i="4"/>
  <c r="C1602" i="4"/>
  <c r="B1602" i="4"/>
  <c r="AB1610" i="4"/>
  <c r="C1610" i="4"/>
  <c r="AJ1489" i="4"/>
  <c r="AL1489" i="4"/>
  <c r="D1489" i="4"/>
  <c r="B1489" i="4"/>
  <c r="AJ1608" i="4"/>
  <c r="AL1608" i="4"/>
  <c r="AF1629" i="4"/>
  <c r="AH1629" i="4"/>
  <c r="D1608" i="4"/>
  <c r="B1608" i="4"/>
  <c r="AB670" i="4"/>
  <c r="AF507" i="4"/>
  <c r="AB644" i="4"/>
  <c r="H5" i="5"/>
  <c r="A1509" i="4"/>
  <c r="E1509" i="4"/>
  <c r="B1509" i="4"/>
  <c r="H14" i="5"/>
  <c r="H23" i="5"/>
  <c r="AD156" i="4"/>
  <c r="AD127" i="4"/>
  <c r="AD760" i="4"/>
  <c r="AF760" i="4"/>
  <c r="A760" i="4"/>
  <c r="AH538" i="4"/>
  <c r="AB534" i="4"/>
  <c r="C534" i="4"/>
  <c r="B534" i="4"/>
  <c r="AB640" i="4"/>
  <c r="AD640" i="4"/>
  <c r="AF640" i="4"/>
  <c r="L118" i="1"/>
  <c r="A249" i="4"/>
  <c r="AD249" i="4"/>
  <c r="AF249" i="4"/>
  <c r="H94" i="1"/>
  <c r="D499" i="4"/>
  <c r="B499" i="4"/>
  <c r="AH499" i="4"/>
  <c r="AH501" i="4"/>
  <c r="AH509" i="4"/>
  <c r="AJ499" i="4"/>
  <c r="AL499" i="4"/>
  <c r="AB517" i="4"/>
  <c r="AD290" i="4"/>
  <c r="AF290" i="4"/>
  <c r="C290" i="4"/>
  <c r="B290" i="4"/>
  <c r="A290" i="4"/>
  <c r="A62" i="4"/>
  <c r="D874" i="4"/>
  <c r="D849" i="4"/>
  <c r="G23" i="2"/>
  <c r="I63" i="1"/>
  <c r="J63" i="1"/>
  <c r="AD872" i="4"/>
  <c r="D872" i="4"/>
  <c r="AD870" i="4"/>
  <c r="D870" i="4"/>
  <c r="AB868" i="4"/>
  <c r="AD864" i="4"/>
  <c r="D864" i="4"/>
  <c r="B864" i="4"/>
  <c r="B978" i="4"/>
  <c r="C961" i="4"/>
  <c r="F27" i="2"/>
  <c r="A507" i="4"/>
  <c r="AD507" i="4"/>
  <c r="A1208" i="4"/>
  <c r="AL1208" i="4"/>
  <c r="AJ1340" i="4"/>
  <c r="AL1340" i="4"/>
  <c r="AN1340" i="4"/>
  <c r="AD1185" i="4"/>
  <c r="D1185" i="4"/>
  <c r="B1185" i="4"/>
  <c r="AH1191" i="4"/>
  <c r="AD1234" i="4"/>
  <c r="AF1234" i="4"/>
  <c r="D1234" i="4"/>
  <c r="B1234" i="4"/>
  <c r="A1234" i="4"/>
  <c r="AB1815" i="4"/>
  <c r="C1815" i="4"/>
  <c r="C1817" i="4"/>
  <c r="AH1007" i="4"/>
  <c r="D1007" i="4"/>
  <c r="B1007" i="4"/>
  <c r="AJ1606" i="4"/>
  <c r="AL1606" i="4"/>
  <c r="AB1629" i="4"/>
  <c r="D1606" i="4"/>
  <c r="B1606" i="4"/>
  <c r="AH1606" i="4"/>
  <c r="AH1608" i="4"/>
  <c r="A1179" i="4"/>
  <c r="G73" i="6"/>
  <c r="G8" i="5"/>
  <c r="AD1788" i="4"/>
  <c r="AD1730" i="4"/>
  <c r="D1730" i="4"/>
  <c r="B1730" i="4"/>
  <c r="D1732" i="4"/>
  <c r="AD386" i="4"/>
  <c r="AV331" i="4"/>
  <c r="AX331" i="4"/>
  <c r="AZ331" i="4"/>
  <c r="D501" i="4"/>
  <c r="B501" i="4"/>
  <c r="AJ501" i="4"/>
  <c r="AL501" i="4"/>
  <c r="AF517" i="4"/>
  <c r="AH517" i="4"/>
  <c r="AN62" i="4"/>
  <c r="D62" i="4"/>
  <c r="B62" i="4"/>
  <c r="AD1387" i="4"/>
  <c r="AF1387" i="4"/>
  <c r="A1387" i="4"/>
  <c r="A1267" i="4"/>
  <c r="AD1267" i="4"/>
  <c r="AF1267" i="4"/>
  <c r="AD1081" i="4"/>
  <c r="AF1081" i="4"/>
  <c r="AD509" i="4"/>
  <c r="AF509" i="4"/>
  <c r="D509" i="4"/>
  <c r="B509" i="4"/>
  <c r="A509" i="4"/>
  <c r="AD1220" i="4"/>
  <c r="AF1220" i="4"/>
  <c r="AD1236" i="4"/>
  <c r="AF19" i="4"/>
  <c r="AF54" i="4"/>
  <c r="A1656" i="4"/>
  <c r="D1656" i="4"/>
  <c r="B1656" i="4"/>
  <c r="AH1656" i="4"/>
  <c r="AH1660" i="4"/>
  <c r="AD1326" i="4"/>
  <c r="H24" i="5"/>
  <c r="AL1786" i="4"/>
  <c r="A1786" i="4"/>
  <c r="AL1530" i="4"/>
  <c r="A1530" i="4"/>
  <c r="AB1782" i="4"/>
  <c r="D1507" i="4"/>
  <c r="B1507" i="4"/>
  <c r="A1507" i="4"/>
  <c r="AJ1358" i="4"/>
  <c r="E1358" i="4"/>
  <c r="B1358" i="4"/>
  <c r="AD81" i="4"/>
  <c r="AD129" i="4"/>
  <c r="F118" i="1"/>
  <c r="AD97" i="4"/>
  <c r="AF97" i="4"/>
  <c r="D97" i="4"/>
  <c r="B97" i="4"/>
  <c r="A97" i="4"/>
  <c r="AD131" i="4"/>
  <c r="G32" i="1"/>
  <c r="F117" i="1"/>
  <c r="L138" i="1"/>
  <c r="F138" i="1"/>
  <c r="L123" i="1"/>
  <c r="AF190" i="4"/>
  <c r="AH190" i="4"/>
  <c r="AJ190" i="4"/>
  <c r="A666" i="4"/>
  <c r="AH666" i="4"/>
  <c r="AD571" i="4"/>
  <c r="A470" i="4"/>
  <c r="E470" i="4"/>
  <c r="B470" i="4"/>
  <c r="AH470" i="4"/>
  <c r="AD312" i="4"/>
  <c r="AF312" i="4"/>
  <c r="A31" i="4"/>
  <c r="C849" i="4"/>
  <c r="F23" i="2"/>
  <c r="A680" i="4"/>
  <c r="D680" i="4"/>
  <c r="B680" i="4"/>
  <c r="AB883" i="4"/>
  <c r="C883" i="4"/>
  <c r="B883" i="4"/>
  <c r="C901" i="4"/>
  <c r="AB891" i="4"/>
  <c r="C891" i="4"/>
  <c r="AB897" i="4"/>
  <c r="C897" i="4"/>
  <c r="AB899" i="4"/>
  <c r="C899" i="4"/>
  <c r="AH953" i="4"/>
  <c r="E953" i="4"/>
  <c r="B953" i="4"/>
  <c r="AD52" i="4"/>
  <c r="AF52" i="4"/>
  <c r="A52" i="4"/>
  <c r="AH433" i="4"/>
  <c r="AD427" i="4"/>
  <c r="D427" i="4"/>
  <c r="B427" i="4"/>
  <c r="AD758" i="4"/>
  <c r="AF758" i="4"/>
  <c r="A758" i="4"/>
  <c r="AD292" i="4"/>
  <c r="AF292" i="4"/>
  <c r="D292" i="4"/>
  <c r="B292" i="4"/>
  <c r="A292" i="4"/>
  <c r="E924" i="4"/>
  <c r="B924" i="4"/>
  <c r="AH924" i="4"/>
  <c r="AB652" i="4"/>
  <c r="AB656" i="4"/>
  <c r="AB654" i="4"/>
  <c r="A682" i="4"/>
  <c r="D682" i="4"/>
  <c r="B682" i="4"/>
  <c r="AH292" i="4"/>
  <c r="AD286" i="4"/>
  <c r="D286" i="4"/>
  <c r="A538" i="4"/>
  <c r="A1112" i="4"/>
  <c r="AD1112" i="4"/>
  <c r="AF1112" i="4"/>
  <c r="D1112" i="4"/>
  <c r="B1112" i="4"/>
  <c r="AL750" i="4"/>
  <c r="A750" i="4"/>
  <c r="A435" i="4"/>
  <c r="E435" i="4"/>
  <c r="B435" i="4"/>
  <c r="AH435" i="4"/>
  <c r="AN1364" i="4"/>
  <c r="AJ1364" i="4"/>
  <c r="AL1364" i="4"/>
  <c r="AD1244" i="4"/>
  <c r="AF1244" i="4"/>
  <c r="AF1263" i="4"/>
  <c r="AH1263" i="4"/>
  <c r="AJ1263" i="4"/>
  <c r="A1499" i="4"/>
  <c r="AD1499" i="4"/>
  <c r="AF1499" i="4"/>
  <c r="D824" i="4"/>
  <c r="G22" i="2"/>
  <c r="AB1713" i="4"/>
  <c r="C1713" i="4"/>
  <c r="B1713" i="4"/>
  <c r="C1716" i="4"/>
  <c r="AD1328" i="4"/>
  <c r="AN1328" i="4"/>
  <c r="H28" i="5"/>
  <c r="AF308" i="4"/>
  <c r="C308" i="4"/>
  <c r="B308" i="4"/>
  <c r="AJ1354" i="4"/>
  <c r="E1354" i="4"/>
  <c r="B1354" i="4"/>
  <c r="H27" i="5"/>
  <c r="G13" i="6"/>
  <c r="AB1562" i="4"/>
  <c r="AB1560" i="4"/>
  <c r="AB1558" i="4"/>
  <c r="AH1678" i="4"/>
  <c r="AH1686" i="4"/>
  <c r="AB1672" i="4"/>
  <c r="C1672" i="4"/>
  <c r="A1660" i="4"/>
  <c r="AF1236" i="4"/>
  <c r="E1236" i="4"/>
  <c r="B1236" i="4"/>
  <c r="G299" i="6"/>
  <c r="AD54" i="4"/>
  <c r="A54" i="4"/>
  <c r="AD194" i="4"/>
  <c r="AF194" i="4"/>
  <c r="A194" i="4"/>
  <c r="AD152" i="4"/>
  <c r="AF152" i="4"/>
  <c r="AH431" i="4"/>
  <c r="A431" i="4"/>
  <c r="C431" i="4"/>
  <c r="B431" i="4"/>
  <c r="AH468" i="4"/>
  <c r="AD462" i="4"/>
  <c r="D462" i="4"/>
  <c r="B462" i="4"/>
  <c r="AD294" i="4"/>
  <c r="AF294" i="4"/>
  <c r="E294" i="4"/>
  <c r="B294" i="4"/>
  <c r="AH95" i="4"/>
  <c r="AH97" i="4"/>
  <c r="D95" i="4"/>
  <c r="B95" i="4"/>
  <c r="AR634" i="4"/>
  <c r="A433" i="4"/>
  <c r="D433" i="4"/>
  <c r="B433" i="4"/>
  <c r="AB766" i="4"/>
  <c r="AB768" i="4"/>
  <c r="AB770" i="4"/>
  <c r="A468" i="4"/>
  <c r="D468" i="4"/>
  <c r="B468" i="4"/>
  <c r="AD1222" i="4"/>
  <c r="AF1222" i="4"/>
  <c r="D1222" i="4"/>
  <c r="B1222" i="4"/>
  <c r="AD1505" i="4"/>
  <c r="AF1505" i="4"/>
  <c r="C1505" i="4"/>
  <c r="B1505" i="4"/>
  <c r="A1505" i="4"/>
  <c r="H85" i="1"/>
  <c r="AD1635" i="4"/>
  <c r="AJ1635" i="4"/>
  <c r="C1635" i="4"/>
  <c r="B1635" i="4"/>
  <c r="A1635" i="4"/>
  <c r="A1358" i="4"/>
  <c r="AD1358" i="4"/>
  <c r="AF1590" i="4"/>
  <c r="AH1590" i="4"/>
  <c r="AJ1590" i="4"/>
  <c r="G37" i="6"/>
  <c r="AD1569" i="4"/>
  <c r="AJ1569" i="4"/>
  <c r="C1569" i="4"/>
  <c r="B1569" i="4"/>
  <c r="G311" i="6"/>
  <c r="AF1788" i="4"/>
  <c r="A1788" i="4"/>
  <c r="H26" i="5"/>
  <c r="AH920" i="4"/>
  <c r="C920" i="4"/>
  <c r="B920" i="4"/>
  <c r="AH632" i="4"/>
  <c r="A632" i="4"/>
  <c r="AD196" i="4"/>
  <c r="AF196" i="4"/>
  <c r="D196" i="4"/>
  <c r="B196" i="4"/>
  <c r="AD251" i="4"/>
  <c r="AF251" i="4"/>
  <c r="A251" i="4"/>
  <c r="AD154" i="4"/>
  <c r="AF154" i="4"/>
  <c r="A154" i="4"/>
  <c r="AH466" i="4"/>
  <c r="A466" i="4"/>
  <c r="C466" i="4"/>
  <c r="B466" i="4"/>
  <c r="A68" i="4"/>
  <c r="A343" i="4"/>
  <c r="AF169" i="4"/>
  <c r="AH169" i="4"/>
  <c r="AJ169" i="4"/>
  <c r="AH636" i="4"/>
  <c r="A636" i="4"/>
  <c r="A491" i="4"/>
  <c r="AL491" i="4"/>
  <c r="A1269" i="4"/>
  <c r="AD1269" i="4"/>
  <c r="AF1269" i="4"/>
  <c r="AD926" i="4"/>
  <c r="D926" i="4"/>
  <c r="AD928" i="4"/>
  <c r="D928" i="4"/>
  <c r="D930" i="4"/>
  <c r="D903" i="4"/>
  <c r="G25" i="2"/>
  <c r="I66" i="1"/>
  <c r="J66" i="1"/>
  <c r="AD1189" i="4"/>
  <c r="AF1189" i="4"/>
  <c r="A1189" i="4"/>
  <c r="AJ1077" i="4"/>
  <c r="AF1077" i="4"/>
  <c r="AH1077" i="4"/>
  <c r="AD1246" i="4"/>
  <c r="AF1246" i="4"/>
  <c r="D1246" i="4"/>
  <c r="B1246" i="4"/>
  <c r="AD1356" i="4"/>
  <c r="AJ1356" i="4"/>
  <c r="E1356" i="4"/>
  <c r="B1356" i="4"/>
  <c r="A668" i="4"/>
  <c r="D668" i="4"/>
  <c r="B668" i="4"/>
  <c r="AF156" i="4"/>
  <c r="A156" i="4"/>
  <c r="AB646" i="4"/>
  <c r="AB672" i="4"/>
  <c r="AH1548" i="4"/>
  <c r="D1817" i="4"/>
  <c r="D1804" i="4"/>
  <c r="G46" i="2"/>
  <c r="AD1815" i="4"/>
  <c r="D1815" i="4"/>
  <c r="AB1749" i="4"/>
  <c r="AB1753" i="4"/>
  <c r="AD1753" i="4"/>
  <c r="AF1755" i="4"/>
  <c r="AH1755" i="4"/>
  <c r="AF1753" i="4"/>
  <c r="F123" i="1"/>
  <c r="AD1191" i="4"/>
  <c r="AF1191" i="4"/>
  <c r="D1191" i="4"/>
  <c r="B1191" i="4"/>
  <c r="AJ1487" i="4"/>
  <c r="AL1487" i="4"/>
  <c r="D1487" i="4"/>
  <c r="B1487" i="4"/>
  <c r="AH1487" i="4"/>
  <c r="AH1489" i="4"/>
  <c r="A1224" i="4"/>
  <c r="AD1224" i="4"/>
  <c r="AF1224" i="4"/>
  <c r="A1575" i="4"/>
  <c r="AD1575" i="4"/>
  <c r="AJ1575" i="4"/>
  <c r="C1575" i="4"/>
  <c r="B1575" i="4"/>
  <c r="AJ1406" i="4"/>
  <c r="AF1406" i="4"/>
  <c r="AH1406" i="4"/>
  <c r="A1354" i="4"/>
  <c r="AD1354" i="4"/>
  <c r="AB642" i="4"/>
  <c r="AB1796" i="4"/>
  <c r="AB1795" i="4"/>
  <c r="AB1794" i="4"/>
  <c r="H21" i="5"/>
  <c r="H3" i="5"/>
  <c r="G264" i="6"/>
  <c r="H18" i="5"/>
  <c r="C152" i="4"/>
  <c r="B152" i="4"/>
  <c r="AH152" i="4"/>
  <c r="A152" i="4"/>
  <c r="C1244" i="4"/>
  <c r="B1244" i="4"/>
  <c r="A1244" i="4"/>
  <c r="E312" i="4"/>
  <c r="B312" i="4"/>
  <c r="A312" i="4"/>
  <c r="E511" i="4"/>
  <c r="B511" i="4"/>
  <c r="AH511" i="4"/>
  <c r="A511" i="4"/>
  <c r="AH1081" i="4"/>
  <c r="D1081" i="4"/>
  <c r="B1081" i="4"/>
  <c r="AD1197" i="4"/>
  <c r="D1197" i="4"/>
  <c r="AD1195" i="4"/>
  <c r="D1195" i="4"/>
  <c r="D1199" i="4"/>
  <c r="D1172" i="4"/>
  <c r="G32" i="2"/>
  <c r="I76" i="1"/>
  <c r="J76" i="1"/>
  <c r="A670" i="4"/>
  <c r="C670" i="4"/>
  <c r="B670" i="4"/>
  <c r="AJ1003" i="4"/>
  <c r="AF1003" i="4"/>
  <c r="AH1003" i="4"/>
  <c r="AB1120" i="4"/>
  <c r="AB1142" i="4"/>
  <c r="AB1162" i="4"/>
  <c r="AB1118" i="4"/>
  <c r="AB1140" i="4"/>
  <c r="AB1134" i="4"/>
  <c r="AB1154" i="4"/>
  <c r="AB1132" i="4"/>
  <c r="AB1152" i="4"/>
  <c r="AB1130" i="4"/>
  <c r="AB1150" i="4"/>
  <c r="AB1166" i="4"/>
  <c r="AB1122" i="4"/>
  <c r="AB1144" i="4"/>
  <c r="AB1164" i="4"/>
  <c r="G69" i="1"/>
  <c r="A364" i="4"/>
  <c r="AD364" i="4"/>
  <c r="AJ364" i="4"/>
  <c r="AF255" i="4"/>
  <c r="E255" i="4"/>
  <c r="E257" i="4"/>
  <c r="E238" i="4"/>
  <c r="H9" i="2"/>
  <c r="K44" i="1"/>
  <c r="L44" i="1"/>
  <c r="G63" i="1"/>
  <c r="D54" i="4"/>
  <c r="B54" i="4"/>
  <c r="AH54" i="4"/>
  <c r="AD1491" i="4"/>
  <c r="D1491" i="4"/>
  <c r="B1491" i="4"/>
  <c r="AH1497" i="4"/>
  <c r="E646" i="4"/>
  <c r="B646" i="4"/>
  <c r="AD646" i="4"/>
  <c r="A646" i="4"/>
  <c r="A1356" i="4"/>
  <c r="H32" i="1"/>
  <c r="F32" i="1"/>
  <c r="E32" i="1"/>
  <c r="AD1782" i="4"/>
  <c r="AJ1782" i="4"/>
  <c r="AJ1326" i="4"/>
  <c r="AL1326" i="4"/>
  <c r="AN1326" i="4"/>
  <c r="AH19" i="4"/>
  <c r="A19" i="4"/>
  <c r="D19" i="4"/>
  <c r="B19" i="4"/>
  <c r="A1081" i="4"/>
  <c r="BB331" i="4"/>
  <c r="A331" i="4"/>
  <c r="G68" i="1"/>
  <c r="E27" i="2"/>
  <c r="Y27" i="2"/>
  <c r="A731" i="4"/>
  <c r="D731" i="4"/>
  <c r="B731" i="4"/>
  <c r="AL1106" i="4"/>
  <c r="A1106" i="4"/>
  <c r="A308" i="4"/>
  <c r="AB1424" i="4"/>
  <c r="AB1408" i="4"/>
  <c r="AB1426" i="4"/>
  <c r="A1753" i="4"/>
  <c r="AH1753" i="4"/>
  <c r="AB478" i="4"/>
  <c r="C478" i="4"/>
  <c r="AB472" i="4"/>
  <c r="C472" i="4"/>
  <c r="AB480" i="4"/>
  <c r="C480" i="4"/>
  <c r="C482" i="4"/>
  <c r="A1569" i="4"/>
  <c r="AT634" i="4"/>
  <c r="A634" i="4"/>
  <c r="A1558" i="4"/>
  <c r="AD1558" i="4"/>
  <c r="AF1558" i="4"/>
  <c r="A656" i="4"/>
  <c r="D656" i="4"/>
  <c r="B656" i="4"/>
  <c r="B891" i="4"/>
  <c r="AF81" i="4"/>
  <c r="AH81" i="4"/>
  <c r="AJ81" i="4"/>
  <c r="A1236" i="4"/>
  <c r="AJ1267" i="4"/>
  <c r="AL1267" i="4"/>
  <c r="AB1285" i="4"/>
  <c r="D1267" i="4"/>
  <c r="B1267" i="4"/>
  <c r="AH1267" i="4"/>
  <c r="AH1269" i="4"/>
  <c r="AB333" i="4"/>
  <c r="AB337" i="4"/>
  <c r="AB335" i="4"/>
  <c r="F55" i="6"/>
  <c r="G55" i="6"/>
  <c r="G56" i="6"/>
  <c r="H8" i="5"/>
  <c r="Y961" i="4"/>
  <c r="B961" i="4"/>
  <c r="AH640" i="4"/>
  <c r="A640" i="4"/>
  <c r="A1232" i="4"/>
  <c r="AH1222" i="4"/>
  <c r="A1008" i="4"/>
  <c r="D546" i="4"/>
  <c r="B546" i="4"/>
  <c r="AH546" i="4"/>
  <c r="AH548" i="4"/>
  <c r="AD480" i="4"/>
  <c r="D480" i="4"/>
  <c r="AB476" i="4"/>
  <c r="AD476" i="4"/>
  <c r="D482" i="4"/>
  <c r="D449" i="4"/>
  <c r="G14" i="2"/>
  <c r="I52" i="1"/>
  <c r="J52" i="1"/>
  <c r="AD472" i="4"/>
  <c r="D472" i="4"/>
  <c r="AD478" i="4"/>
  <c r="D478" i="4"/>
  <c r="E1328" i="4"/>
  <c r="B1328" i="4"/>
  <c r="AP1328" i="4"/>
  <c r="A1222" i="4"/>
  <c r="B1716" i="4"/>
  <c r="C1698" i="4"/>
  <c r="F42" i="2"/>
  <c r="A654" i="4"/>
  <c r="D654" i="4"/>
  <c r="B654" i="4"/>
  <c r="AJ758" i="4"/>
  <c r="AL758" i="4"/>
  <c r="AB776" i="4"/>
  <c r="D758" i="4"/>
  <c r="B758" i="4"/>
  <c r="AH758" i="4"/>
  <c r="AH760" i="4"/>
  <c r="AD1794" i="4"/>
  <c r="AF1794" i="4"/>
  <c r="C1794" i="4"/>
  <c r="B1794" i="4"/>
  <c r="AL1406" i="4"/>
  <c r="A1406" i="4"/>
  <c r="AH156" i="4"/>
  <c r="E156" i="4"/>
  <c r="B156" i="4"/>
  <c r="A652" i="4"/>
  <c r="D652" i="4"/>
  <c r="B652" i="4"/>
  <c r="AD445" i="4"/>
  <c r="D445" i="4"/>
  <c r="AB441" i="4"/>
  <c r="D447" i="4"/>
  <c r="D414" i="4"/>
  <c r="G13" i="2"/>
  <c r="I51" i="1"/>
  <c r="J51" i="1"/>
  <c r="AD437" i="4"/>
  <c r="D437" i="4"/>
  <c r="AD443" i="4"/>
  <c r="D443" i="4"/>
  <c r="C876" i="4"/>
  <c r="F24" i="2"/>
  <c r="AL190" i="4"/>
  <c r="A190" i="4"/>
  <c r="AJ386" i="4"/>
  <c r="AL386" i="4"/>
  <c r="AF390" i="4"/>
  <c r="AH390" i="4"/>
  <c r="AN386" i="4"/>
  <c r="AH1008" i="4"/>
  <c r="AP1340" i="4"/>
  <c r="A1340" i="4"/>
  <c r="AD517" i="4"/>
  <c r="AJ517" i="4"/>
  <c r="C517" i="4"/>
  <c r="B517" i="4"/>
  <c r="AB692" i="4"/>
  <c r="AD692" i="4"/>
  <c r="AF692" i="4"/>
  <c r="I61" i="1"/>
  <c r="C784" i="4"/>
  <c r="F20" i="2"/>
  <c r="E1193" i="4"/>
  <c r="B1193" i="4"/>
  <c r="AH1193" i="4"/>
  <c r="AB33" i="4"/>
  <c r="C33" i="4"/>
  <c r="AB37" i="4"/>
  <c r="C37" i="4"/>
  <c r="AB35" i="4"/>
  <c r="C35" i="4"/>
  <c r="C39" i="4"/>
  <c r="AB23" i="4"/>
  <c r="C23" i="4"/>
  <c r="A672" i="4"/>
  <c r="E672" i="4"/>
  <c r="B672" i="4"/>
  <c r="C1189" i="4"/>
  <c r="B1189" i="4"/>
  <c r="AH1189" i="4"/>
  <c r="AH1788" i="4"/>
  <c r="E1788" i="4"/>
  <c r="B1788" i="4"/>
  <c r="AD1749" i="4"/>
  <c r="E930" i="4"/>
  <c r="E903" i="4"/>
  <c r="H25" i="2"/>
  <c r="K66" i="1"/>
  <c r="L66" i="1"/>
  <c r="L65" i="1"/>
  <c r="AF928" i="4"/>
  <c r="E928" i="4"/>
  <c r="AF926" i="4"/>
  <c r="E926" i="4"/>
  <c r="AD1662" i="4"/>
  <c r="D1662" i="4"/>
  <c r="B1662" i="4"/>
  <c r="AD1670" i="4"/>
  <c r="AH1220" i="4"/>
  <c r="C1220" i="4"/>
  <c r="B1220" i="4"/>
  <c r="C1804" i="4"/>
  <c r="F46" i="2"/>
  <c r="B1817" i="4"/>
  <c r="AB1342" i="4"/>
  <c r="AB1344" i="4"/>
  <c r="AB1346" i="4"/>
  <c r="A868" i="4"/>
  <c r="E868" i="4"/>
  <c r="B868" i="4"/>
  <c r="AD868" i="4"/>
  <c r="AD521" i="4"/>
  <c r="D521" i="4"/>
  <c r="AD519" i="4"/>
  <c r="D519" i="4"/>
  <c r="AD513" i="4"/>
  <c r="D513" i="4"/>
  <c r="D523" i="4"/>
  <c r="D484" i="4"/>
  <c r="G15" i="2"/>
  <c r="A793" i="4"/>
  <c r="AD793" i="4"/>
  <c r="D793" i="4"/>
  <c r="B793" i="4"/>
  <c r="A1248" i="4"/>
  <c r="AF818" i="4"/>
  <c r="E818" i="4"/>
  <c r="B818" i="4"/>
  <c r="E822" i="4"/>
  <c r="AF820" i="4"/>
  <c r="E820" i="4"/>
  <c r="B820" i="4"/>
  <c r="E284" i="4"/>
  <c r="B284" i="4"/>
  <c r="AH284" i="4"/>
  <c r="AB1279" i="4"/>
  <c r="AB1277" i="4"/>
  <c r="AB1275" i="4"/>
  <c r="AB443" i="4"/>
  <c r="C443" i="4"/>
  <c r="AB437" i="4"/>
  <c r="C437" i="4"/>
  <c r="B437" i="4"/>
  <c r="AB445" i="4"/>
  <c r="C445" i="4"/>
  <c r="C447" i="4"/>
  <c r="AD1560" i="4"/>
  <c r="AF1560" i="4"/>
  <c r="D1560" i="4"/>
  <c r="B1560" i="4"/>
  <c r="AB1370" i="4"/>
  <c r="AB1366" i="4"/>
  <c r="AB1368" i="4"/>
  <c r="A1795" i="4"/>
  <c r="AD1795" i="4"/>
  <c r="AF1795" i="4"/>
  <c r="AL169" i="4"/>
  <c r="A169" i="4"/>
  <c r="D154" i="4"/>
  <c r="B154" i="4"/>
  <c r="AH154" i="4"/>
  <c r="AB928" i="4"/>
  <c r="C928" i="4"/>
  <c r="B928" i="4"/>
  <c r="C930" i="4"/>
  <c r="AB926" i="4"/>
  <c r="C926" i="4"/>
  <c r="B926" i="4"/>
  <c r="AD770" i="4"/>
  <c r="AF770" i="4"/>
  <c r="AD99" i="4"/>
  <c r="D99" i="4"/>
  <c r="B99" i="4"/>
  <c r="A1562" i="4"/>
  <c r="AD1562" i="4"/>
  <c r="AF1562" i="4"/>
  <c r="I62" i="1"/>
  <c r="AP1364" i="4"/>
  <c r="A1364" i="4"/>
  <c r="AF472" i="4"/>
  <c r="E472" i="4"/>
  <c r="AB216" i="4"/>
  <c r="AB214" i="4"/>
  <c r="AB230" i="4"/>
  <c r="AB206" i="4"/>
  <c r="AB228" i="4"/>
  <c r="AB204" i="4"/>
  <c r="AB226" i="4"/>
  <c r="AB202" i="4"/>
  <c r="AB218" i="4"/>
  <c r="A1796" i="4"/>
  <c r="AD1796" i="4"/>
  <c r="AF1796" i="4"/>
  <c r="E1796" i="4"/>
  <c r="B1796" i="4"/>
  <c r="A1191" i="4"/>
  <c r="A1246" i="4"/>
  <c r="AJ1269" i="4"/>
  <c r="AL1269" i="4"/>
  <c r="AF1285" i="4"/>
  <c r="AH1285" i="4"/>
  <c r="D1269" i="4"/>
  <c r="B1269" i="4"/>
  <c r="AB177" i="4"/>
  <c r="AB175" i="4"/>
  <c r="AB173" i="4"/>
  <c r="AL1590" i="4"/>
  <c r="A1590" i="4"/>
  <c r="AD768" i="4"/>
  <c r="AF768" i="4"/>
  <c r="D768" i="4"/>
  <c r="B768" i="4"/>
  <c r="A768" i="4"/>
  <c r="A294" i="4"/>
  <c r="E1499" i="4"/>
  <c r="B1499" i="4"/>
  <c r="AH1499" i="4"/>
  <c r="AD441" i="4"/>
  <c r="AF437" i="4"/>
  <c r="E437" i="4"/>
  <c r="C52" i="4"/>
  <c r="B52" i="4"/>
  <c r="AH52" i="4"/>
  <c r="A1220" i="4"/>
  <c r="E1387" i="4"/>
  <c r="B1387" i="4"/>
  <c r="AH1387" i="4"/>
  <c r="AH1391" i="4"/>
  <c r="AD1610" i="4"/>
  <c r="D1610" i="4"/>
  <c r="B1610" i="4"/>
  <c r="B1815" i="4"/>
  <c r="AB550" i="4"/>
  <c r="C550" i="4"/>
  <c r="AB540" i="4"/>
  <c r="C540" i="4"/>
  <c r="B540" i="4"/>
  <c r="AD644" i="4"/>
  <c r="A644" i="4"/>
  <c r="C644" i="4"/>
  <c r="B644" i="4"/>
  <c r="AH951" i="4"/>
  <c r="D951" i="4"/>
  <c r="B951" i="4"/>
  <c r="A310" i="4"/>
  <c r="E735" i="4"/>
  <c r="B735" i="4"/>
  <c r="A735" i="4"/>
  <c r="AF845" i="4"/>
  <c r="E845" i="4"/>
  <c r="B845" i="4"/>
  <c r="E847" i="4"/>
  <c r="AF843" i="4"/>
  <c r="E843" i="4"/>
  <c r="B843" i="4"/>
  <c r="A1193" i="4"/>
  <c r="A284" i="4"/>
  <c r="AF1495" i="4"/>
  <c r="H30" i="5"/>
  <c r="AB286" i="4"/>
  <c r="C286" i="4"/>
  <c r="AH290" i="4"/>
  <c r="D251" i="4"/>
  <c r="B251" i="4"/>
  <c r="AH251" i="4"/>
  <c r="AB1622" i="4"/>
  <c r="AB1620" i="4"/>
  <c r="AB1618" i="4"/>
  <c r="B1732" i="4"/>
  <c r="D1718" i="4"/>
  <c r="G43" i="2"/>
  <c r="G9" i="1"/>
  <c r="F94" i="1"/>
  <c r="C507" i="4"/>
  <c r="B507" i="4"/>
  <c r="AH507" i="4"/>
  <c r="D995" i="4"/>
  <c r="AD993" i="4"/>
  <c r="D993" i="4"/>
  <c r="B993" i="4"/>
  <c r="E895" i="4"/>
  <c r="B895" i="4"/>
  <c r="AD895" i="4"/>
  <c r="A895" i="4"/>
  <c r="AN382" i="4"/>
  <c r="AJ382" i="4"/>
  <c r="AL382" i="4"/>
  <c r="AF384" i="4"/>
  <c r="AF581" i="4"/>
  <c r="AD366" i="4"/>
  <c r="AJ366" i="4"/>
  <c r="A366" i="4"/>
  <c r="AD642" i="4"/>
  <c r="A642" i="4"/>
  <c r="D642" i="4"/>
  <c r="B642" i="4"/>
  <c r="AB1087" i="4"/>
  <c r="AB1091" i="4"/>
  <c r="AB1089" i="4"/>
  <c r="AD766" i="4"/>
  <c r="AF766" i="4"/>
  <c r="A766" i="4"/>
  <c r="AD296" i="4"/>
  <c r="D296" i="4"/>
  <c r="AH310" i="4"/>
  <c r="AD304" i="4"/>
  <c r="D304" i="4"/>
  <c r="E1224" i="4"/>
  <c r="B1224" i="4"/>
  <c r="AH1224" i="4"/>
  <c r="AD1550" i="4"/>
  <c r="D1550" i="4"/>
  <c r="B1550" i="4"/>
  <c r="AL1077" i="4"/>
  <c r="A1077" i="4"/>
  <c r="A196" i="4"/>
  <c r="D194" i="4"/>
  <c r="B194" i="4"/>
  <c r="AH194" i="4"/>
  <c r="AH196" i="4"/>
  <c r="AB1694" i="4"/>
  <c r="C1694" i="4"/>
  <c r="AB1692" i="4"/>
  <c r="C1692" i="4"/>
  <c r="C1696" i="4"/>
  <c r="A1328" i="4"/>
  <c r="AL1263" i="4"/>
  <c r="A1263" i="4"/>
  <c r="AF957" i="4"/>
  <c r="E957" i="4"/>
  <c r="AF955" i="4"/>
  <c r="E955" i="4"/>
  <c r="E959" i="4"/>
  <c r="E932" i="4"/>
  <c r="H26" i="2"/>
  <c r="K67" i="1"/>
  <c r="L67" i="1"/>
  <c r="AD1629" i="4"/>
  <c r="AJ1629" i="4"/>
  <c r="C1629" i="4"/>
  <c r="B1629" i="4"/>
  <c r="C249" i="4"/>
  <c r="B249" i="4"/>
  <c r="AH249" i="4"/>
  <c r="D760" i="4"/>
  <c r="B760" i="4"/>
  <c r="AJ760" i="4"/>
  <c r="AL760" i="4"/>
  <c r="AF776" i="4"/>
  <c r="AH776" i="4"/>
  <c r="AH1110" i="4"/>
  <c r="AH1112" i="4"/>
  <c r="D1110" i="4"/>
  <c r="B1110" i="4"/>
  <c r="C949" i="4"/>
  <c r="B949" i="4"/>
  <c r="AH949" i="4"/>
  <c r="AD368" i="4"/>
  <c r="AJ368" i="4"/>
  <c r="A368" i="4"/>
  <c r="E482" i="4"/>
  <c r="E449" i="4"/>
  <c r="H14" i="2"/>
  <c r="K52" i="1"/>
  <c r="L52" i="1"/>
  <c r="AF480" i="4"/>
  <c r="E480" i="4"/>
  <c r="AF478" i="4"/>
  <c r="E478" i="4"/>
  <c r="AD316" i="4"/>
  <c r="D316" i="4"/>
  <c r="AD314" i="4"/>
  <c r="D314" i="4"/>
  <c r="D318" i="4"/>
  <c r="D259" i="4"/>
  <c r="G10" i="2"/>
  <c r="I45" i="1"/>
  <c r="J45" i="1"/>
  <c r="AF899" i="4"/>
  <c r="E899" i="4"/>
  <c r="B899" i="4"/>
  <c r="AF897" i="4"/>
  <c r="E897" i="4"/>
  <c r="B897" i="4"/>
  <c r="E901" i="4"/>
  <c r="E447" i="4"/>
  <c r="E414" i="4"/>
  <c r="H13" i="2"/>
  <c r="K51" i="1"/>
  <c r="L51" i="1"/>
  <c r="AF445" i="4"/>
  <c r="E445" i="4"/>
  <c r="AF443" i="4"/>
  <c r="E443" i="4"/>
  <c r="AD173" i="4"/>
  <c r="AF173" i="4"/>
  <c r="A173" i="4"/>
  <c r="AD214" i="4"/>
  <c r="AF214" i="4"/>
  <c r="C214" i="4"/>
  <c r="B214" i="4"/>
  <c r="A214" i="4"/>
  <c r="E1562" i="4"/>
  <c r="B1562" i="4"/>
  <c r="AH1562" i="4"/>
  <c r="AD1366" i="4"/>
  <c r="AJ1366" i="4"/>
  <c r="E1366" i="4"/>
  <c r="B1366" i="4"/>
  <c r="AD1275" i="4"/>
  <c r="AF1275" i="4"/>
  <c r="AF872" i="4"/>
  <c r="E872" i="4"/>
  <c r="B872" i="4"/>
  <c r="AF870" i="4"/>
  <c r="E870" i="4"/>
  <c r="B870" i="4"/>
  <c r="E874" i="4"/>
  <c r="AF1749" i="4"/>
  <c r="AH1749" i="4"/>
  <c r="AJ1749" i="4"/>
  <c r="AB554" i="4"/>
  <c r="AD550" i="4"/>
  <c r="D550" i="4"/>
  <c r="AD558" i="4"/>
  <c r="D558" i="4"/>
  <c r="AD556" i="4"/>
  <c r="D556" i="4"/>
  <c r="D560" i="4"/>
  <c r="D525" i="4"/>
  <c r="G16" i="2"/>
  <c r="C1558" i="4"/>
  <c r="B1558" i="4"/>
  <c r="AH1558" i="4"/>
  <c r="B478" i="4"/>
  <c r="AP62" i="4"/>
  <c r="AD58" i="4"/>
  <c r="D58" i="4"/>
  <c r="AD1130" i="4"/>
  <c r="AF1130" i="4"/>
  <c r="C1130" i="4"/>
  <c r="B1130" i="4"/>
  <c r="AD1142" i="4"/>
  <c r="AF1142" i="4"/>
  <c r="D1142" i="4"/>
  <c r="B1142" i="4"/>
  <c r="AH1509" i="4"/>
  <c r="AF1501" i="4"/>
  <c r="E1501" i="4"/>
  <c r="AD216" i="4"/>
  <c r="AF216" i="4"/>
  <c r="D216" i="4"/>
  <c r="B216" i="4"/>
  <c r="A216" i="4"/>
  <c r="AD158" i="4"/>
  <c r="D158" i="4"/>
  <c r="D160" i="4"/>
  <c r="D139" i="4"/>
  <c r="G6" i="2"/>
  <c r="I41" i="1"/>
  <c r="J41" i="1"/>
  <c r="AD1277" i="4"/>
  <c r="AF1277" i="4"/>
  <c r="D1277" i="4"/>
  <c r="B1277" i="4"/>
  <c r="C4" i="4"/>
  <c r="F3" i="2"/>
  <c r="AH768" i="4"/>
  <c r="AD762" i="4"/>
  <c r="D762" i="4"/>
  <c r="B762" i="4"/>
  <c r="AD1285" i="4"/>
  <c r="AJ1285" i="4"/>
  <c r="C1285" i="4"/>
  <c r="B1285" i="4"/>
  <c r="A1152" i="4"/>
  <c r="AD1152" i="4"/>
  <c r="AF1152" i="4"/>
  <c r="D1152" i="4"/>
  <c r="B1152" i="4"/>
  <c r="AB658" i="4"/>
  <c r="C658" i="4"/>
  <c r="AB648" i="4"/>
  <c r="C648" i="4"/>
  <c r="AB660" i="4"/>
  <c r="C660" i="4"/>
  <c r="AD670" i="4"/>
  <c r="AD1672" i="4"/>
  <c r="D1672" i="4"/>
  <c r="B1672" i="4"/>
  <c r="AD1682" i="4"/>
  <c r="AL1690" i="4"/>
  <c r="G60" i="1"/>
  <c r="G64" i="1"/>
  <c r="H69" i="1"/>
  <c r="AD1132" i="4"/>
  <c r="AF1132" i="4"/>
  <c r="D1132" i="4"/>
  <c r="B1132" i="4"/>
  <c r="AB1014" i="4"/>
  <c r="AB1036" i="4"/>
  <c r="AB1028" i="4"/>
  <c r="AB1048" i="4"/>
  <c r="AB1030" i="4"/>
  <c r="AB1038" i="4"/>
  <c r="AB1050" i="4"/>
  <c r="AB1058" i="4"/>
  <c r="AB1018" i="4"/>
  <c r="AB1062" i="4"/>
  <c r="AB1026" i="4"/>
  <c r="AB1040" i="4"/>
  <c r="AB1016" i="4"/>
  <c r="AB1046" i="4"/>
  <c r="AB1060" i="4"/>
  <c r="B1718" i="4"/>
  <c r="Y1718" i="4"/>
  <c r="A202" i="4"/>
  <c r="AD202" i="4"/>
  <c r="AF202" i="4"/>
  <c r="C959" i="4"/>
  <c r="AB957" i="4"/>
  <c r="C957" i="4"/>
  <c r="AB955" i="4"/>
  <c r="C955" i="4"/>
  <c r="A1629" i="4"/>
  <c r="C1643" i="4"/>
  <c r="F41" i="2"/>
  <c r="AH1560" i="4"/>
  <c r="D980" i="4"/>
  <c r="G28" i="2"/>
  <c r="B995" i="4"/>
  <c r="AD226" i="4"/>
  <c r="AF226" i="4"/>
  <c r="C226" i="4"/>
  <c r="B226" i="4"/>
  <c r="A1560" i="4"/>
  <c r="AH294" i="4"/>
  <c r="AF286" i="4"/>
  <c r="E286" i="4"/>
  <c r="A1346" i="4"/>
  <c r="AD1346" i="4"/>
  <c r="AJ1346" i="4"/>
  <c r="E1346" i="4"/>
  <c r="B1346" i="4"/>
  <c r="AH1796" i="4"/>
  <c r="AD1010" i="4"/>
  <c r="D1010" i="4"/>
  <c r="B1010" i="4"/>
  <c r="AF158" i="4"/>
  <c r="E158" i="4"/>
  <c r="E160" i="4"/>
  <c r="E139" i="4"/>
  <c r="H6" i="2"/>
  <c r="K41" i="1"/>
  <c r="L41" i="1"/>
  <c r="AD776" i="4"/>
  <c r="AJ776" i="4"/>
  <c r="C776" i="4"/>
  <c r="B776" i="4"/>
  <c r="AH1234" i="4"/>
  <c r="AD1226" i="4"/>
  <c r="D1226" i="4"/>
  <c r="G62" i="6"/>
  <c r="G7" i="5"/>
  <c r="AL81" i="4"/>
  <c r="A81" i="4"/>
  <c r="AD23" i="4"/>
  <c r="D23" i="4"/>
  <c r="AP27" i="4"/>
  <c r="AD1164" i="4"/>
  <c r="AF1164" i="4"/>
  <c r="D1164" i="4"/>
  <c r="B1164" i="4"/>
  <c r="A1154" i="4"/>
  <c r="AD1154" i="4"/>
  <c r="AF1154" i="4"/>
  <c r="E1154" i="4"/>
  <c r="B1154" i="4"/>
  <c r="AL1003" i="4"/>
  <c r="A1003" i="4"/>
  <c r="AB1226" i="4"/>
  <c r="C1226" i="4"/>
  <c r="B1226" i="4"/>
  <c r="AH1232" i="4"/>
  <c r="AL366" i="4"/>
  <c r="D366" i="4"/>
  <c r="B366" i="4"/>
  <c r="AD1279" i="4"/>
  <c r="AF1279" i="4"/>
  <c r="D797" i="4"/>
  <c r="AD795" i="4"/>
  <c r="D795" i="4"/>
  <c r="B795" i="4"/>
  <c r="AD1089" i="4"/>
  <c r="AF1089" i="4"/>
  <c r="D1089" i="4"/>
  <c r="B1089" i="4"/>
  <c r="A1089" i="4"/>
  <c r="D581" i="4"/>
  <c r="B581" i="4"/>
  <c r="A581" i="4"/>
  <c r="AB513" i="4"/>
  <c r="C513" i="4"/>
  <c r="AL517" i="4"/>
  <c r="AD1618" i="4"/>
  <c r="AF1618" i="4"/>
  <c r="C1495" i="4"/>
  <c r="B1495" i="4"/>
  <c r="AH1495" i="4"/>
  <c r="A1495" i="4"/>
  <c r="A204" i="4"/>
  <c r="AD204" i="4"/>
  <c r="AF204" i="4"/>
  <c r="D204" i="4"/>
  <c r="B204" i="4"/>
  <c r="E770" i="4"/>
  <c r="B770" i="4"/>
  <c r="AH770" i="4"/>
  <c r="C414" i="4"/>
  <c r="F13" i="2"/>
  <c r="B447" i="4"/>
  <c r="I53" i="1"/>
  <c r="J53" i="1"/>
  <c r="I81" i="1"/>
  <c r="J81" i="1"/>
  <c r="A1344" i="4"/>
  <c r="AD1344" i="4"/>
  <c r="AJ1344" i="4"/>
  <c r="E1344" i="4"/>
  <c r="B1344" i="4"/>
  <c r="AB1197" i="4"/>
  <c r="C1197" i="4"/>
  <c r="AB1195" i="4"/>
  <c r="C1195" i="4"/>
  <c r="C1199" i="4"/>
  <c r="J61" i="1"/>
  <c r="AP386" i="4"/>
  <c r="A386" i="4"/>
  <c r="AD335" i="4"/>
  <c r="AJ335" i="4"/>
  <c r="AB115" i="4"/>
  <c r="AB109" i="4"/>
  <c r="AB107" i="4"/>
  <c r="AB105" i="4"/>
  <c r="AB119" i="4"/>
  <c r="AB117" i="4"/>
  <c r="AD1426" i="4"/>
  <c r="AF1426" i="4"/>
  <c r="A1426" i="4"/>
  <c r="AP1326" i="4"/>
  <c r="A1326" i="4"/>
  <c r="AF658" i="4"/>
  <c r="E658" i="4"/>
  <c r="AF648" i="4"/>
  <c r="E648" i="4"/>
  <c r="AD672" i="4"/>
  <c r="AF660" i="4"/>
  <c r="E660" i="4"/>
  <c r="H63" i="1"/>
  <c r="AD1144" i="4"/>
  <c r="AF1144" i="4"/>
  <c r="E1144" i="4"/>
  <c r="B1144" i="4"/>
  <c r="A1134" i="4"/>
  <c r="AD1134" i="4"/>
  <c r="AF1134" i="4"/>
  <c r="E1134" i="4"/>
  <c r="B1134" i="4"/>
  <c r="AH1089" i="4"/>
  <c r="AD1083" i="4"/>
  <c r="D1083" i="4"/>
  <c r="B1083" i="4"/>
  <c r="AB255" i="4"/>
  <c r="C255" i="4"/>
  <c r="C257" i="4"/>
  <c r="E824" i="4"/>
  <c r="H22" i="2"/>
  <c r="B847" i="4"/>
  <c r="AD175" i="4"/>
  <c r="AF175" i="4"/>
  <c r="A175" i="4"/>
  <c r="AD1120" i="4"/>
  <c r="AF1120" i="4"/>
  <c r="D1120" i="4"/>
  <c r="B1120" i="4"/>
  <c r="E368" i="4"/>
  <c r="B368" i="4"/>
  <c r="AL368" i="4"/>
  <c r="AH766" i="4"/>
  <c r="C766" i="4"/>
  <c r="B766" i="4"/>
  <c r="B286" i="4"/>
  <c r="AF1393" i="4"/>
  <c r="E1393" i="4"/>
  <c r="B1393" i="4"/>
  <c r="E1395" i="4"/>
  <c r="AD177" i="4"/>
  <c r="AF177" i="4"/>
  <c r="A177" i="4"/>
  <c r="AH1236" i="4"/>
  <c r="AF1226" i="4"/>
  <c r="E1226" i="4"/>
  <c r="A1091" i="4"/>
  <c r="AD1091" i="4"/>
  <c r="AF1091" i="4"/>
  <c r="AH384" i="4"/>
  <c r="AD1620" i="4"/>
  <c r="AF1620" i="4"/>
  <c r="B550" i="4"/>
  <c r="AB58" i="4"/>
  <c r="C58" i="4"/>
  <c r="C72" i="4"/>
  <c r="AB64" i="4"/>
  <c r="C64" i="4"/>
  <c r="AB70" i="4"/>
  <c r="C70" i="4"/>
  <c r="A228" i="4"/>
  <c r="AD228" i="4"/>
  <c r="AF228" i="4"/>
  <c r="D228" i="4"/>
  <c r="B228" i="4"/>
  <c r="A770" i="4"/>
  <c r="D1795" i="4"/>
  <c r="B1795" i="4"/>
  <c r="AH1795" i="4"/>
  <c r="B445" i="4"/>
  <c r="AD1342" i="4"/>
  <c r="AJ1342" i="4"/>
  <c r="E1342" i="4"/>
  <c r="B1342" i="4"/>
  <c r="A1342" i="4"/>
  <c r="AH692" i="4"/>
  <c r="A692" i="4"/>
  <c r="AD337" i="4"/>
  <c r="AJ337" i="4"/>
  <c r="C449" i="4"/>
  <c r="F14" i="2"/>
  <c r="B482" i="4"/>
  <c r="AD1408" i="4"/>
  <c r="E68" i="1"/>
  <c r="H68" i="1"/>
  <c r="F68" i="1"/>
  <c r="AB1330" i="4"/>
  <c r="AB1332" i="4"/>
  <c r="AD1122" i="4"/>
  <c r="AF1122" i="4"/>
  <c r="A1122" i="4"/>
  <c r="AD1140" i="4"/>
  <c r="AF1140" i="4"/>
  <c r="C1140" i="4"/>
  <c r="B1140" i="4"/>
  <c r="AD648" i="4"/>
  <c r="D648" i="4"/>
  <c r="AD652" i="4"/>
  <c r="AD654" i="4"/>
  <c r="AD656" i="4"/>
  <c r="I115" i="1"/>
  <c r="E43" i="2"/>
  <c r="Y43" i="2"/>
  <c r="AB296" i="4"/>
  <c r="C296" i="4"/>
  <c r="AH300" i="4"/>
  <c r="AD218" i="4"/>
  <c r="AF218" i="4"/>
  <c r="E218" i="4"/>
  <c r="B218" i="4"/>
  <c r="AD1370" i="4"/>
  <c r="AJ1370" i="4"/>
  <c r="E1370" i="4"/>
  <c r="B1370" i="4"/>
  <c r="AD206" i="4"/>
  <c r="AF206" i="4"/>
  <c r="AD333" i="4"/>
  <c r="AJ333" i="4"/>
  <c r="B480" i="4"/>
  <c r="A1424" i="4"/>
  <c r="AD1424" i="4"/>
  <c r="AF1424" i="4"/>
  <c r="AL1782" i="4"/>
  <c r="AH1794" i="4"/>
  <c r="C1782" i="4"/>
  <c r="B1782" i="4"/>
  <c r="AH1507" i="4"/>
  <c r="AD1501" i="4"/>
  <c r="D1501" i="4"/>
  <c r="A1166" i="4"/>
  <c r="AD1166" i="4"/>
  <c r="AF1166" i="4"/>
  <c r="E1166" i="4"/>
  <c r="B1166" i="4"/>
  <c r="AD1118" i="4"/>
  <c r="AF1118" i="4"/>
  <c r="A1118" i="4"/>
  <c r="AB158" i="4"/>
  <c r="C158" i="4"/>
  <c r="B158" i="4"/>
  <c r="C160" i="4"/>
  <c r="AD1114" i="4"/>
  <c r="D1114" i="4"/>
  <c r="B1114" i="4"/>
  <c r="AD198" i="4"/>
  <c r="D198" i="4"/>
  <c r="B198" i="4"/>
  <c r="AH204" i="4"/>
  <c r="AD1087" i="4"/>
  <c r="AF1087" i="4"/>
  <c r="A1087" i="4"/>
  <c r="AP382" i="4"/>
  <c r="A382" i="4"/>
  <c r="AD1622" i="4"/>
  <c r="AF1622" i="4"/>
  <c r="A1622" i="4"/>
  <c r="E799" i="4"/>
  <c r="H21" i="2"/>
  <c r="B822" i="4"/>
  <c r="B1804" i="4"/>
  <c r="Y1804" i="4"/>
  <c r="AF697" i="4"/>
  <c r="AB697" i="4"/>
  <c r="AD697" i="4"/>
  <c r="AF715" i="4"/>
  <c r="A441" i="4"/>
  <c r="E441" i="4"/>
  <c r="B441" i="4"/>
  <c r="G114" i="1"/>
  <c r="E42" i="2"/>
  <c r="Y42" i="2"/>
  <c r="A476" i="4"/>
  <c r="E476" i="4"/>
  <c r="B476" i="4"/>
  <c r="E9" i="1"/>
  <c r="H9" i="1"/>
  <c r="F9" i="1"/>
  <c r="AD255" i="4"/>
  <c r="D255" i="4"/>
  <c r="D257" i="4"/>
  <c r="D238" i="4"/>
  <c r="G9" i="2"/>
  <c r="I44" i="1"/>
  <c r="J44" i="1"/>
  <c r="AD955" i="4"/>
  <c r="D955" i="4"/>
  <c r="AD957" i="4"/>
  <c r="D957" i="4"/>
  <c r="D959" i="4"/>
  <c r="D932" i="4"/>
  <c r="G26" i="2"/>
  <c r="I67" i="1"/>
  <c r="J67" i="1"/>
  <c r="AD230" i="4"/>
  <c r="AF230" i="4"/>
  <c r="E230" i="4"/>
  <c r="B230" i="4"/>
  <c r="J62" i="1"/>
  <c r="B930" i="4"/>
  <c r="C903" i="4"/>
  <c r="F25" i="2"/>
  <c r="AD1368" i="4"/>
  <c r="AJ1368" i="4"/>
  <c r="E1368" i="4"/>
  <c r="B1368" i="4"/>
  <c r="B443" i="4"/>
  <c r="E46" i="2"/>
  <c r="Y46" i="2"/>
  <c r="AF583" i="4"/>
  <c r="AF1197" i="4"/>
  <c r="E1197" i="4"/>
  <c r="AF1195" i="4"/>
  <c r="E1195" i="4"/>
  <c r="E1199" i="4"/>
  <c r="E1172" i="4"/>
  <c r="H32" i="2"/>
  <c r="K76" i="1"/>
  <c r="L76" i="1"/>
  <c r="A517" i="4"/>
  <c r="A1794" i="4"/>
  <c r="Y1698" i="4"/>
  <c r="B1698" i="4"/>
  <c r="AH1277" i="4"/>
  <c r="AD1271" i="4"/>
  <c r="D1271" i="4"/>
  <c r="B1271" i="4"/>
  <c r="B472" i="4"/>
  <c r="A1782" i="4"/>
  <c r="AL364" i="4"/>
  <c r="C364" i="4"/>
  <c r="B364" i="4"/>
  <c r="A1150" i="4"/>
  <c r="AD1150" i="4"/>
  <c r="AF1150" i="4"/>
  <c r="C1150" i="4"/>
  <c r="B1150" i="4"/>
  <c r="AD1162" i="4"/>
  <c r="AF1162" i="4"/>
  <c r="C1162" i="4"/>
  <c r="B1162" i="4"/>
  <c r="A1162" i="4"/>
  <c r="AF521" i="4"/>
  <c r="E521" i="4"/>
  <c r="AF519" i="4"/>
  <c r="E519" i="4"/>
  <c r="AF513" i="4"/>
  <c r="E513" i="4"/>
  <c r="E523" i="4"/>
  <c r="E484" i="4"/>
  <c r="H15" i="2"/>
  <c r="AB370" i="4"/>
  <c r="C370" i="4"/>
  <c r="K61" i="1"/>
  <c r="E21" i="2"/>
  <c r="Y21" i="2"/>
  <c r="AL333" i="4"/>
  <c r="C333" i="4"/>
  <c r="B333" i="4"/>
  <c r="B955" i="4"/>
  <c r="AD1046" i="4"/>
  <c r="AF1046" i="4"/>
  <c r="C1046" i="4"/>
  <c r="B1046" i="4"/>
  <c r="A1046" i="4"/>
  <c r="AD1038" i="4"/>
  <c r="AF1038" i="4"/>
  <c r="D1038" i="4"/>
  <c r="B1038" i="4"/>
  <c r="Y903" i="4"/>
  <c r="B903" i="4"/>
  <c r="A333" i="4"/>
  <c r="AH1122" i="4"/>
  <c r="E1122" i="4"/>
  <c r="B1122" i="4"/>
  <c r="G52" i="1"/>
  <c r="E14" i="2"/>
  <c r="Y14" i="2"/>
  <c r="AH1091" i="4"/>
  <c r="E1091" i="4"/>
  <c r="B1091" i="4"/>
  <c r="AD105" i="4"/>
  <c r="AF105" i="4"/>
  <c r="A1164" i="4"/>
  <c r="A226" i="4"/>
  <c r="B957" i="4"/>
  <c r="AD1016" i="4"/>
  <c r="AF1016" i="4"/>
  <c r="A1016" i="4"/>
  <c r="AD1030" i="4"/>
  <c r="AF1030" i="4"/>
  <c r="E1030" i="4"/>
  <c r="B1030" i="4"/>
  <c r="AB686" i="4"/>
  <c r="C686" i="4"/>
  <c r="AB674" i="4"/>
  <c r="C674" i="4"/>
  <c r="AB684" i="4"/>
  <c r="C684" i="4"/>
  <c r="A1130" i="4"/>
  <c r="AB304" i="4"/>
  <c r="C304" i="4"/>
  <c r="AH308" i="4"/>
  <c r="D175" i="4"/>
  <c r="B175" i="4"/>
  <c r="AH175" i="4"/>
  <c r="AD107" i="4"/>
  <c r="AF107" i="4"/>
  <c r="AB1501" i="4"/>
  <c r="C1501" i="4"/>
  <c r="B1501" i="4"/>
  <c r="AH1505" i="4"/>
  <c r="AD370" i="4"/>
  <c r="D370" i="4"/>
  <c r="AD1240" i="4"/>
  <c r="D1240" i="4"/>
  <c r="AD1238" i="4"/>
  <c r="D1238" i="4"/>
  <c r="AH1246" i="4"/>
  <c r="E1802" i="4"/>
  <c r="E1765" i="4"/>
  <c r="H45" i="2"/>
  <c r="AF1800" i="4"/>
  <c r="E1800" i="4"/>
  <c r="AF1798" i="4"/>
  <c r="E1798" i="4"/>
  <c r="Y980" i="4"/>
  <c r="B980" i="4"/>
  <c r="B959" i="4"/>
  <c r="C932" i="4"/>
  <c r="F26" i="2"/>
  <c r="A1040" i="4"/>
  <c r="AD1040" i="4"/>
  <c r="AF1040" i="4"/>
  <c r="E1040" i="4"/>
  <c r="B1040" i="4"/>
  <c r="AD1048" i="4"/>
  <c r="AF1048" i="4"/>
  <c r="D1048" i="4"/>
  <c r="B1048" i="4"/>
  <c r="C1275" i="4"/>
  <c r="B1275" i="4"/>
  <c r="AH1275" i="4"/>
  <c r="E1279" i="4"/>
  <c r="B1279" i="4"/>
  <c r="AH1279" i="4"/>
  <c r="E206" i="4"/>
  <c r="B206" i="4"/>
  <c r="AH206" i="4"/>
  <c r="AL337" i="4"/>
  <c r="E337" i="4"/>
  <c r="B337" i="4"/>
  <c r="C41" i="4"/>
  <c r="F4" i="2"/>
  <c r="AD1289" i="4"/>
  <c r="D1289" i="4"/>
  <c r="AD1281" i="4"/>
  <c r="D1281" i="4"/>
  <c r="AD1287" i="4"/>
  <c r="D1287" i="4"/>
  <c r="D1291" i="4"/>
  <c r="D1256" i="4"/>
  <c r="G34" i="2"/>
  <c r="I80" i="1"/>
  <c r="J80" i="1"/>
  <c r="C139" i="4"/>
  <c r="F6" i="2"/>
  <c r="B160" i="4"/>
  <c r="A206" i="4"/>
  <c r="J115" i="1"/>
  <c r="F115" i="1"/>
  <c r="E115" i="1"/>
  <c r="A1330" i="4"/>
  <c r="AD1330" i="4"/>
  <c r="AN1330" i="4"/>
  <c r="A337" i="4"/>
  <c r="D1802" i="4"/>
  <c r="D1765" i="4"/>
  <c r="G45" i="2"/>
  <c r="AF569" i="4"/>
  <c r="AD1800" i="4"/>
  <c r="D1800" i="4"/>
  <c r="AD1798" i="4"/>
  <c r="D1798" i="4"/>
  <c r="Y824" i="4"/>
  <c r="B824" i="4"/>
  <c r="A1144" i="4"/>
  <c r="AD109" i="4"/>
  <c r="AF109" i="4"/>
  <c r="A109" i="4"/>
  <c r="B414" i="4"/>
  <c r="Y414" i="4"/>
  <c r="AB1238" i="4"/>
  <c r="C1238" i="4"/>
  <c r="AH1244" i="4"/>
  <c r="AB1240" i="4"/>
  <c r="C1240" i="4"/>
  <c r="B1240" i="4"/>
  <c r="AD35" i="4"/>
  <c r="D35" i="4"/>
  <c r="AD37" i="4"/>
  <c r="D37" i="4"/>
  <c r="D39" i="4"/>
  <c r="AD33" i="4"/>
  <c r="D33" i="4"/>
  <c r="A776" i="4"/>
  <c r="I69" i="1"/>
  <c r="E28" i="2"/>
  <c r="Y28" i="2"/>
  <c r="AH202" i="4"/>
  <c r="C202" i="4"/>
  <c r="B202" i="4"/>
  <c r="AD1026" i="4"/>
  <c r="AF1026" i="4"/>
  <c r="C1026" i="4"/>
  <c r="B1026" i="4"/>
  <c r="AD1028" i="4"/>
  <c r="AF1028" i="4"/>
  <c r="D1028" i="4"/>
  <c r="B1028" i="4"/>
  <c r="H64" i="1"/>
  <c r="B648" i="4"/>
  <c r="D782" i="4"/>
  <c r="D743" i="4"/>
  <c r="G19" i="2"/>
  <c r="I59" i="1"/>
  <c r="J59" i="1"/>
  <c r="AD772" i="4"/>
  <c r="D772" i="4"/>
  <c r="AD778" i="4"/>
  <c r="D778" i="4"/>
  <c r="AD780" i="4"/>
  <c r="D780" i="4"/>
  <c r="D72" i="4"/>
  <c r="D41" i="4"/>
  <c r="G4" i="2"/>
  <c r="I39" i="1"/>
  <c r="J39" i="1"/>
  <c r="AD64" i="4"/>
  <c r="D64" i="4"/>
  <c r="AD70" i="4"/>
  <c r="D70" i="4"/>
  <c r="A554" i="4"/>
  <c r="C554" i="4"/>
  <c r="B554" i="4"/>
  <c r="AD554" i="4"/>
  <c r="A1275" i="4"/>
  <c r="C173" i="4"/>
  <c r="B173" i="4"/>
  <c r="AH173" i="4"/>
  <c r="B449" i="4"/>
  <c r="Y449" i="4"/>
  <c r="E1622" i="4"/>
  <c r="B1622" i="4"/>
  <c r="AH1622" i="4"/>
  <c r="AH1120" i="4"/>
  <c r="AD1511" i="4"/>
  <c r="D1511" i="4"/>
  <c r="AD1519" i="4"/>
  <c r="D1519" i="4"/>
  <c r="D1521" i="4"/>
  <c r="D1460" i="4"/>
  <c r="G38" i="2"/>
  <c r="I90" i="1"/>
  <c r="J90" i="1"/>
  <c r="AD1517" i="4"/>
  <c r="D1517" i="4"/>
  <c r="AD1332" i="4"/>
  <c r="AN1332" i="4"/>
  <c r="E1332" i="4"/>
  <c r="B1332" i="4"/>
  <c r="C583" i="4"/>
  <c r="B583" i="4"/>
  <c r="A583" i="4"/>
  <c r="AH715" i="4"/>
  <c r="AJ715" i="4"/>
  <c r="C715" i="4"/>
  <c r="B715" i="4"/>
  <c r="A230" i="4"/>
  <c r="A697" i="4"/>
  <c r="AH697" i="4"/>
  <c r="AB1800" i="4"/>
  <c r="C1800" i="4"/>
  <c r="B1800" i="4"/>
  <c r="AB1798" i="4"/>
  <c r="C1798" i="4"/>
  <c r="B1798" i="4"/>
  <c r="C1802" i="4"/>
  <c r="A1370" i="4"/>
  <c r="AD660" i="4"/>
  <c r="D660" i="4"/>
  <c r="B660" i="4"/>
  <c r="AD668" i="4"/>
  <c r="AD658" i="4"/>
  <c r="D658" i="4"/>
  <c r="B658" i="4"/>
  <c r="AF1240" i="4"/>
  <c r="E1240" i="4"/>
  <c r="AF1238" i="4"/>
  <c r="E1238" i="4"/>
  <c r="AH1248" i="4"/>
  <c r="AL776" i="4"/>
  <c r="AB772" i="4"/>
  <c r="C772" i="4"/>
  <c r="K62" i="1"/>
  <c r="E22" i="2"/>
  <c r="Y22" i="2"/>
  <c r="AD115" i="4"/>
  <c r="AF115" i="4"/>
  <c r="C115" i="4"/>
  <c r="B115" i="4"/>
  <c r="B1199" i="4"/>
  <c r="C1172" i="4"/>
  <c r="F32" i="2"/>
  <c r="G51" i="1"/>
  <c r="E13" i="2"/>
  <c r="Y13" i="2"/>
  <c r="C1618" i="4"/>
  <c r="B1618" i="4"/>
  <c r="AH1618" i="4"/>
  <c r="AD1579" i="4"/>
  <c r="D1579" i="4"/>
  <c r="AD1571" i="4"/>
  <c r="D1571" i="4"/>
  <c r="AD1577" i="4"/>
  <c r="D1577" i="4"/>
  <c r="AD1564" i="4"/>
  <c r="D1564" i="4"/>
  <c r="D1581" i="4"/>
  <c r="D1523" i="4"/>
  <c r="G39" i="2"/>
  <c r="I91" i="1"/>
  <c r="J91" i="1"/>
  <c r="A1062" i="4"/>
  <c r="AD1062" i="4"/>
  <c r="AF1062" i="4"/>
  <c r="E1062" i="4"/>
  <c r="B1062" i="4"/>
  <c r="AD1036" i="4"/>
  <c r="AF1036" i="4"/>
  <c r="C1036" i="4"/>
  <c r="B1036" i="4"/>
  <c r="AR384" i="4"/>
  <c r="AN384" i="4"/>
  <c r="AP384" i="4"/>
  <c r="B1395" i="4"/>
  <c r="E1378" i="4"/>
  <c r="H36" i="2"/>
  <c r="D1097" i="4"/>
  <c r="D1070" i="4"/>
  <c r="G30" i="2"/>
  <c r="I74" i="1"/>
  <c r="J74" i="1"/>
  <c r="AD1095" i="4"/>
  <c r="D1095" i="4"/>
  <c r="AD1093" i="4"/>
  <c r="D1093" i="4"/>
  <c r="AF686" i="4"/>
  <c r="E686" i="4"/>
  <c r="AF684" i="4"/>
  <c r="E684" i="4"/>
  <c r="AF674" i="4"/>
  <c r="E674" i="4"/>
  <c r="AD735" i="4"/>
  <c r="AF717" i="4"/>
  <c r="E717" i="4"/>
  <c r="AD119" i="4"/>
  <c r="AF119" i="4"/>
  <c r="E119" i="4"/>
  <c r="B119" i="4"/>
  <c r="D1424" i="4"/>
  <c r="B1424" i="4"/>
  <c r="AH1424" i="4"/>
  <c r="AH1426" i="4"/>
  <c r="AJ1424" i="4"/>
  <c r="AL1424" i="4"/>
  <c r="D1620" i="4"/>
  <c r="B1620" i="4"/>
  <c r="AH1620" i="4"/>
  <c r="AF370" i="4"/>
  <c r="E370" i="4"/>
  <c r="C238" i="4"/>
  <c r="F9" i="2"/>
  <c r="B257" i="4"/>
  <c r="AL335" i="4"/>
  <c r="D335" i="4"/>
  <c r="B335" i="4"/>
  <c r="B1195" i="4"/>
  <c r="AF772" i="4"/>
  <c r="E772" i="4"/>
  <c r="AF778" i="4"/>
  <c r="E778" i="4"/>
  <c r="E782" i="4"/>
  <c r="E743" i="4"/>
  <c r="H19" i="2"/>
  <c r="K59" i="1"/>
  <c r="L59" i="1"/>
  <c r="AF780" i="4"/>
  <c r="E780" i="4"/>
  <c r="A1618" i="4"/>
  <c r="AD1018" i="4"/>
  <c r="AF1018" i="4"/>
  <c r="A1018" i="4"/>
  <c r="AD1014" i="4"/>
  <c r="AF1014" i="4"/>
  <c r="A1014" i="4"/>
  <c r="H60" i="1"/>
  <c r="G38" i="1"/>
  <c r="AF1511" i="4"/>
  <c r="E1511" i="4"/>
  <c r="AF1517" i="4"/>
  <c r="E1517" i="4"/>
  <c r="AF1519" i="4"/>
  <c r="E1519" i="4"/>
  <c r="E1521" i="4"/>
  <c r="E1460" i="4"/>
  <c r="H38" i="2"/>
  <c r="K90" i="1"/>
  <c r="L90" i="1"/>
  <c r="AB1564" i="4"/>
  <c r="C1564" i="4"/>
  <c r="AL1569" i="4"/>
  <c r="AL1749" i="4"/>
  <c r="A1749" i="4"/>
  <c r="A1366" i="4"/>
  <c r="G66" i="1"/>
  <c r="E25" i="2"/>
  <c r="Y25" i="2"/>
  <c r="E114" i="1"/>
  <c r="H114" i="1"/>
  <c r="F114" i="1"/>
  <c r="K81" i="1"/>
  <c r="L81" i="1"/>
  <c r="K53" i="1"/>
  <c r="L53" i="1"/>
  <c r="A1368" i="4"/>
  <c r="C1087" i="4"/>
  <c r="B1087" i="4"/>
  <c r="AH1087" i="4"/>
  <c r="C1118" i="4"/>
  <c r="B1118" i="4"/>
  <c r="AH1118" i="4"/>
  <c r="A218" i="4"/>
  <c r="A1140" i="4"/>
  <c r="AJ1408" i="4"/>
  <c r="AF1408" i="4"/>
  <c r="AH1408" i="4"/>
  <c r="A1620" i="4"/>
  <c r="B255" i="4"/>
  <c r="D1426" i="4"/>
  <c r="B1426" i="4"/>
  <c r="AJ1426" i="4"/>
  <c r="AL1426" i="4"/>
  <c r="A335" i="4"/>
  <c r="B1197" i="4"/>
  <c r="AB521" i="4"/>
  <c r="C521" i="4"/>
  <c r="B521" i="4"/>
  <c r="AB519" i="4"/>
  <c r="C519" i="4"/>
  <c r="B519" i="4"/>
  <c r="C523" i="4"/>
  <c r="D784" i="4"/>
  <c r="G20" i="2"/>
  <c r="B797" i="4"/>
  <c r="AH302" i="4"/>
  <c r="AF296" i="4"/>
  <c r="E296" i="4"/>
  <c r="B296" i="4"/>
  <c r="G113" i="1"/>
  <c r="AD1058" i="4"/>
  <c r="AF1058" i="4"/>
  <c r="C1058" i="4"/>
  <c r="B1058" i="4"/>
  <c r="A1058" i="4"/>
  <c r="A1277" i="4"/>
  <c r="A1142" i="4"/>
  <c r="AF1751" i="4"/>
  <c r="AJ1755" i="4"/>
  <c r="AL1755" i="4"/>
  <c r="AF1579" i="4"/>
  <c r="E1579" i="4"/>
  <c r="AF1571" i="4"/>
  <c r="E1571" i="4"/>
  <c r="AF1577" i="4"/>
  <c r="E1577" i="4"/>
  <c r="AF1564" i="4"/>
  <c r="E1564" i="4"/>
  <c r="E1581" i="4"/>
  <c r="E1523" i="4"/>
  <c r="H39" i="2"/>
  <c r="K91" i="1"/>
  <c r="L91" i="1"/>
  <c r="B799" i="4"/>
  <c r="Y799" i="4"/>
  <c r="AH216" i="4"/>
  <c r="AD208" i="4"/>
  <c r="D208" i="4"/>
  <c r="AH177" i="4"/>
  <c r="E177" i="4"/>
  <c r="B177" i="4"/>
  <c r="A1120" i="4"/>
  <c r="AD117" i="4"/>
  <c r="AF117" i="4"/>
  <c r="D117" i="4"/>
  <c r="B117" i="4"/>
  <c r="A117" i="4"/>
  <c r="B513" i="4"/>
  <c r="A1279" i="4"/>
  <c r="AF21" i="4"/>
  <c r="AF56" i="4"/>
  <c r="H7" i="5"/>
  <c r="A1060" i="4"/>
  <c r="AD1060" i="4"/>
  <c r="AF1060" i="4"/>
  <c r="D1060" i="4"/>
  <c r="B1060" i="4"/>
  <c r="AD1050" i="4"/>
  <c r="AF1050" i="4"/>
  <c r="E1050" i="4"/>
  <c r="B1050" i="4"/>
  <c r="A1050" i="4"/>
  <c r="A1132" i="4"/>
  <c r="AD1694" i="4"/>
  <c r="D1694" i="4"/>
  <c r="B1694" i="4"/>
  <c r="AD1692" i="4"/>
  <c r="D1692" i="4"/>
  <c r="B1692" i="4"/>
  <c r="D1696" i="4"/>
  <c r="A1285" i="4"/>
  <c r="I82" i="1"/>
  <c r="J82" i="1"/>
  <c r="I54" i="1"/>
  <c r="J54" i="1"/>
  <c r="E849" i="4"/>
  <c r="H23" i="2"/>
  <c r="B874" i="4"/>
  <c r="E876" i="4"/>
  <c r="H24" i="2"/>
  <c r="B901" i="4"/>
  <c r="Y876" i="4"/>
  <c r="B876" i="4"/>
  <c r="AH56" i="4"/>
  <c r="E56" i="4"/>
  <c r="B56" i="4"/>
  <c r="A56" i="4"/>
  <c r="AF179" i="4"/>
  <c r="E179" i="4"/>
  <c r="E181" i="4"/>
  <c r="E162" i="4"/>
  <c r="H7" i="2"/>
  <c r="K42" i="1"/>
  <c r="L42" i="1"/>
  <c r="B772" i="4"/>
  <c r="D1643" i="4"/>
  <c r="G41" i="2"/>
  <c r="B1696" i="4"/>
  <c r="I60" i="1"/>
  <c r="E20" i="2"/>
  <c r="Y20" i="2"/>
  <c r="C1097" i="4"/>
  <c r="AB1095" i="4"/>
  <c r="C1095" i="4"/>
  <c r="AB1093" i="4"/>
  <c r="C1093" i="4"/>
  <c r="AH1014" i="4"/>
  <c r="C1014" i="4"/>
  <c r="B1014" i="4"/>
  <c r="AD1639" i="4"/>
  <c r="D1639" i="4"/>
  <c r="AD1624" i="4"/>
  <c r="D1624" i="4"/>
  <c r="AD1631" i="4"/>
  <c r="D1631" i="4"/>
  <c r="AD1637" i="4"/>
  <c r="D1637" i="4"/>
  <c r="D1641" i="4"/>
  <c r="D1583" i="4"/>
  <c r="G40" i="2"/>
  <c r="I92" i="1"/>
  <c r="J92" i="1"/>
  <c r="E741" i="4"/>
  <c r="E597" i="4"/>
  <c r="H18" i="2"/>
  <c r="K57" i="1"/>
  <c r="L57" i="1"/>
  <c r="L56" i="1"/>
  <c r="AF739" i="4"/>
  <c r="E739" i="4"/>
  <c r="AF737" i="4"/>
  <c r="E737" i="4"/>
  <c r="B1378" i="4"/>
  <c r="Y1378" i="4"/>
  <c r="H51" i="1"/>
  <c r="E51" i="1"/>
  <c r="AB780" i="4"/>
  <c r="C780" i="4"/>
  <c r="B780" i="4"/>
  <c r="C782" i="4"/>
  <c r="AB778" i="4"/>
  <c r="C778" i="4"/>
  <c r="B778" i="4"/>
  <c r="C1765" i="4"/>
  <c r="F45" i="2"/>
  <c r="B1802" i="4"/>
  <c r="A1028" i="4"/>
  <c r="Y139" i="4"/>
  <c r="B139" i="4"/>
  <c r="AB316" i="4"/>
  <c r="C316" i="4"/>
  <c r="AB314" i="4"/>
  <c r="C314" i="4"/>
  <c r="C318" i="4"/>
  <c r="C484" i="4"/>
  <c r="F15" i="2"/>
  <c r="B523" i="4"/>
  <c r="E66" i="1"/>
  <c r="H66" i="1"/>
  <c r="AJ394" i="4"/>
  <c r="AL394" i="4"/>
  <c r="AB390" i="4"/>
  <c r="E1097" i="4"/>
  <c r="E1070" i="4"/>
  <c r="H30" i="2"/>
  <c r="K74" i="1"/>
  <c r="L74" i="1"/>
  <c r="AF1095" i="4"/>
  <c r="E1095" i="4"/>
  <c r="AF1093" i="4"/>
  <c r="E1093" i="4"/>
  <c r="K64" i="1"/>
  <c r="E24" i="2"/>
  <c r="Y24" i="2"/>
  <c r="E21" i="4"/>
  <c r="B21" i="4"/>
  <c r="AH21" i="4"/>
  <c r="A21" i="4"/>
  <c r="AB1434" i="4"/>
  <c r="AB1432" i="4"/>
  <c r="AB1446" i="4"/>
  <c r="AB1444" i="4"/>
  <c r="AB1442" i="4"/>
  <c r="AB1436" i="4"/>
  <c r="AD339" i="4"/>
  <c r="D339" i="4"/>
  <c r="AH343" i="4"/>
  <c r="AT384" i="4"/>
  <c r="A384" i="4"/>
  <c r="Y1172" i="4"/>
  <c r="B1172" i="4"/>
  <c r="AF1639" i="4"/>
  <c r="E1639" i="4"/>
  <c r="AF1624" i="4"/>
  <c r="E1624" i="4"/>
  <c r="AF1631" i="4"/>
  <c r="E1631" i="4"/>
  <c r="AF1637" i="4"/>
  <c r="E1637" i="4"/>
  <c r="E1641" i="4"/>
  <c r="E1583" i="4"/>
  <c r="H40" i="2"/>
  <c r="K92" i="1"/>
  <c r="L92" i="1"/>
  <c r="AB558" i="4"/>
  <c r="C558" i="4"/>
  <c r="B558" i="4"/>
  <c r="AB556" i="4"/>
  <c r="C556" i="4"/>
  <c r="B556" i="4"/>
  <c r="C560" i="4"/>
  <c r="A1026" i="4"/>
  <c r="E109" i="4"/>
  <c r="B109" i="4"/>
  <c r="AH109" i="4"/>
  <c r="J79" i="1"/>
  <c r="AH218" i="4"/>
  <c r="AF208" i="4"/>
  <c r="E208" i="4"/>
  <c r="A1048" i="4"/>
  <c r="D1016" i="4"/>
  <c r="B1016" i="4"/>
  <c r="AH1016" i="4"/>
  <c r="C349" i="4"/>
  <c r="AB339" i="4"/>
  <c r="C339" i="4"/>
  <c r="AB347" i="4"/>
  <c r="C347" i="4"/>
  <c r="AB345" i="4"/>
  <c r="C345" i="4"/>
  <c r="AD220" i="4"/>
  <c r="D220" i="4"/>
  <c r="AH228" i="4"/>
  <c r="AD222" i="4"/>
  <c r="D222" i="4"/>
  <c r="AL1408" i="4"/>
  <c r="A1408" i="4"/>
  <c r="AD1428" i="4"/>
  <c r="D1428" i="4"/>
  <c r="B1428" i="4"/>
  <c r="A115" i="4"/>
  <c r="A1332" i="4"/>
  <c r="E1330" i="4"/>
  <c r="B1330" i="4"/>
  <c r="AP1330" i="4"/>
  <c r="AP1332" i="4"/>
  <c r="E1018" i="4"/>
  <c r="B1018" i="4"/>
  <c r="AH1018" i="4"/>
  <c r="G76" i="1"/>
  <c r="E32" i="2"/>
  <c r="Y32" i="2"/>
  <c r="E1254" i="4"/>
  <c r="E1201" i="4"/>
  <c r="H33" i="2"/>
  <c r="K77" i="1"/>
  <c r="L77" i="1"/>
  <c r="AF1252" i="4"/>
  <c r="E1252" i="4"/>
  <c r="AF1250" i="4"/>
  <c r="E1250" i="4"/>
  <c r="AD1124" i="4"/>
  <c r="D1124" i="4"/>
  <c r="AH1132" i="4"/>
  <c r="D4" i="4"/>
  <c r="G3" i="2"/>
  <c r="K63" i="1"/>
  <c r="E23" i="2"/>
  <c r="Y23" i="2"/>
  <c r="H113" i="1"/>
  <c r="B238" i="4"/>
  <c r="Y238" i="4"/>
  <c r="AB208" i="4"/>
  <c r="C208" i="4"/>
  <c r="B208" i="4"/>
  <c r="AH214" i="4"/>
  <c r="AF1289" i="4"/>
  <c r="E1289" i="4"/>
  <c r="AF1281" i="4"/>
  <c r="E1281" i="4"/>
  <c r="AF1287" i="4"/>
  <c r="E1287" i="4"/>
  <c r="E1291" i="4"/>
  <c r="E1256" i="4"/>
  <c r="H34" i="2"/>
  <c r="K80" i="1"/>
  <c r="L80" i="1"/>
  <c r="L79" i="1"/>
  <c r="AD1252" i="4"/>
  <c r="D1252" i="4"/>
  <c r="AD1250" i="4"/>
  <c r="D1250" i="4"/>
  <c r="D1254" i="4"/>
  <c r="D1201" i="4"/>
  <c r="G33" i="2"/>
  <c r="I77" i="1"/>
  <c r="J77" i="1"/>
  <c r="C107" i="4"/>
  <c r="B107" i="4"/>
  <c r="AH107" i="4"/>
  <c r="H52" i="1"/>
  <c r="F52" i="1"/>
  <c r="E52" i="1"/>
  <c r="A1038" i="4"/>
  <c r="L61" i="1"/>
  <c r="F61" i="1"/>
  <c r="E61" i="1"/>
  <c r="G41" i="1"/>
  <c r="E6" i="2"/>
  <c r="Y6" i="2"/>
  <c r="AF345" i="4"/>
  <c r="E345" i="4"/>
  <c r="AF339" i="4"/>
  <c r="E339" i="4"/>
  <c r="E349" i="4"/>
  <c r="E320" i="4"/>
  <c r="H11" i="2"/>
  <c r="K46" i="1"/>
  <c r="L46" i="1"/>
  <c r="AF347" i="4"/>
  <c r="E347" i="4"/>
  <c r="G44" i="1"/>
  <c r="E9" i="2"/>
  <c r="Y9" i="2"/>
  <c r="A1036" i="4"/>
  <c r="AB1624" i="4"/>
  <c r="C1624" i="4"/>
  <c r="AL1629" i="4"/>
  <c r="AD678" i="4"/>
  <c r="AD680" i="4"/>
  <c r="AD682" i="4"/>
  <c r="AD674" i="4"/>
  <c r="D674" i="4"/>
  <c r="B674" i="4"/>
  <c r="AB1252" i="4"/>
  <c r="C1252" i="4"/>
  <c r="AB1250" i="4"/>
  <c r="C1250" i="4"/>
  <c r="B1250" i="4"/>
  <c r="C1254" i="4"/>
  <c r="G67" i="1"/>
  <c r="E26" i="2"/>
  <c r="Y26" i="2"/>
  <c r="A107" i="4"/>
  <c r="AL715" i="4"/>
  <c r="B370" i="4"/>
  <c r="D569" i="4"/>
  <c r="B569" i="4"/>
  <c r="AH569" i="4"/>
  <c r="A569" i="4"/>
  <c r="AL1515" i="4"/>
  <c r="AB1511" i="4"/>
  <c r="C1511" i="4"/>
  <c r="B1511" i="4"/>
  <c r="Y849" i="4"/>
  <c r="B849" i="4"/>
  <c r="H38" i="1"/>
  <c r="AB1571" i="4"/>
  <c r="C1571" i="4"/>
  <c r="B1571" i="4"/>
  <c r="AL1575" i="4"/>
  <c r="AH1751" i="4"/>
  <c r="AH312" i="4"/>
  <c r="AF304" i="4"/>
  <c r="E304" i="4"/>
  <c r="B304" i="4"/>
  <c r="AH1130" i="4"/>
  <c r="AB1124" i="4"/>
  <c r="C1124" i="4"/>
  <c r="B1124" i="4"/>
  <c r="B1564" i="4"/>
  <c r="A119" i="4"/>
  <c r="L62" i="1"/>
  <c r="F62" i="1"/>
  <c r="E62" i="1"/>
  <c r="A715" i="4"/>
  <c r="J69" i="1"/>
  <c r="E69" i="1"/>
  <c r="B1238" i="4"/>
  <c r="AB1281" i="4"/>
  <c r="C1281" i="4"/>
  <c r="B1281" i="4"/>
  <c r="AL1285" i="4"/>
  <c r="B932" i="4"/>
  <c r="Y932" i="4"/>
  <c r="AD179" i="4"/>
  <c r="D179" i="4"/>
  <c r="D181" i="4"/>
  <c r="D162" i="4"/>
  <c r="G7" i="2"/>
  <c r="I42" i="1"/>
  <c r="J42" i="1"/>
  <c r="D105" i="4"/>
  <c r="B105" i="4"/>
  <c r="AH105" i="4"/>
  <c r="AF1124" i="4"/>
  <c r="E1124" i="4"/>
  <c r="AH1134" i="4"/>
  <c r="B784" i="4"/>
  <c r="Y784" i="4"/>
  <c r="K87" i="1"/>
  <c r="E36" i="2"/>
  <c r="Y36" i="2"/>
  <c r="AB179" i="4"/>
  <c r="C179" i="4"/>
  <c r="C181" i="4"/>
  <c r="G39" i="1"/>
  <c r="A1030" i="4"/>
  <c r="A105" i="4"/>
  <c r="AJ1751" i="4"/>
  <c r="AL1751" i="4"/>
  <c r="AN1751" i="4"/>
  <c r="AB1631" i="4"/>
  <c r="C1631" i="4"/>
  <c r="B1631" i="4"/>
  <c r="AL1635" i="4"/>
  <c r="B179" i="4"/>
  <c r="AB1577" i="4"/>
  <c r="C1577" i="4"/>
  <c r="B1577" i="4"/>
  <c r="C1581" i="4"/>
  <c r="AB1579" i="4"/>
  <c r="C1579" i="4"/>
  <c r="B1579" i="4"/>
  <c r="C1521" i="4"/>
  <c r="AB1519" i="4"/>
  <c r="C1519" i="4"/>
  <c r="B1519" i="4"/>
  <c r="AB1517" i="4"/>
  <c r="C1517" i="4"/>
  <c r="B1517" i="4"/>
  <c r="E67" i="1"/>
  <c r="H67" i="1"/>
  <c r="F67" i="1"/>
  <c r="B1624" i="4"/>
  <c r="AF1334" i="4"/>
  <c r="E1334" i="4"/>
  <c r="B1334" i="4"/>
  <c r="AL1342" i="4"/>
  <c r="AL1344" i="4"/>
  <c r="AL1346" i="4"/>
  <c r="C320" i="4"/>
  <c r="F11" i="2"/>
  <c r="AL31" i="4"/>
  <c r="AF23" i="4"/>
  <c r="E23" i="4"/>
  <c r="B23" i="4"/>
  <c r="B1095" i="4"/>
  <c r="L87" i="1"/>
  <c r="F87" i="1"/>
  <c r="E87" i="1"/>
  <c r="AH581" i="4"/>
  <c r="AD575" i="4"/>
  <c r="D575" i="4"/>
  <c r="AD1442" i="4"/>
  <c r="AF1442" i="4"/>
  <c r="C1442" i="4"/>
  <c r="B1442" i="4"/>
  <c r="A1442" i="4"/>
  <c r="F51" i="1"/>
  <c r="F69" i="1"/>
  <c r="J65" i="1"/>
  <c r="AB1136" i="4"/>
  <c r="C1136" i="4"/>
  <c r="AH1140" i="4"/>
  <c r="B1252" i="4"/>
  <c r="H44" i="1"/>
  <c r="F44" i="1"/>
  <c r="E44" i="1"/>
  <c r="AB111" i="4"/>
  <c r="C111" i="4"/>
  <c r="AH115" i="4"/>
  <c r="L63" i="1"/>
  <c r="E63" i="1"/>
  <c r="AD234" i="4"/>
  <c r="D234" i="4"/>
  <c r="AD232" i="4"/>
  <c r="D232" i="4"/>
  <c r="D236" i="4"/>
  <c r="D183" i="4"/>
  <c r="G8" i="2"/>
  <c r="C525" i="4"/>
  <c r="F16" i="2"/>
  <c r="B560" i="4"/>
  <c r="A1444" i="4"/>
  <c r="AD1444" i="4"/>
  <c r="AF1444" i="4"/>
  <c r="D1444" i="4"/>
  <c r="B1444" i="4"/>
  <c r="L64" i="1"/>
  <c r="F64" i="1"/>
  <c r="E64" i="1"/>
  <c r="B484" i="4"/>
  <c r="Y484" i="4"/>
  <c r="J60" i="1"/>
  <c r="E60" i="1"/>
  <c r="AL68" i="4"/>
  <c r="AF58" i="4"/>
  <c r="E58" i="4"/>
  <c r="B58" i="4"/>
  <c r="AF64" i="4"/>
  <c r="E64" i="4"/>
  <c r="B64" i="4"/>
  <c r="AB222" i="4"/>
  <c r="C222" i="4"/>
  <c r="AB220" i="4"/>
  <c r="C220" i="4"/>
  <c r="AH226" i="4"/>
  <c r="E76" i="1"/>
  <c r="H76" i="1"/>
  <c r="F76" i="1"/>
  <c r="A1446" i="4"/>
  <c r="AD1446" i="4"/>
  <c r="AF1446" i="4"/>
  <c r="E1446" i="4"/>
  <c r="B1446" i="4"/>
  <c r="G53" i="1"/>
  <c r="G81" i="1"/>
  <c r="E15" i="2"/>
  <c r="Y15" i="2"/>
  <c r="B1765" i="4"/>
  <c r="Y1765" i="4"/>
  <c r="B1643" i="4"/>
  <c r="Y1643" i="4"/>
  <c r="C1201" i="4"/>
  <c r="F33" i="2"/>
  <c r="B1254" i="4"/>
  <c r="H112" i="1"/>
  <c r="H111" i="1"/>
  <c r="AD1020" i="4"/>
  <c r="D1020" i="4"/>
  <c r="AH1028" i="4"/>
  <c r="F66" i="1"/>
  <c r="H65" i="1"/>
  <c r="F65" i="1"/>
  <c r="AF222" i="4"/>
  <c r="E222" i="4"/>
  <c r="AF220" i="4"/>
  <c r="E220" i="4"/>
  <c r="AH230" i="4"/>
  <c r="A1432" i="4"/>
  <c r="AD1432" i="4"/>
  <c r="AF1432" i="4"/>
  <c r="C259" i="4"/>
  <c r="F10" i="2"/>
  <c r="AF573" i="4"/>
  <c r="AF571" i="4"/>
  <c r="E45" i="2"/>
  <c r="Y45" i="2"/>
  <c r="I113" i="1"/>
  <c r="E41" i="2"/>
  <c r="Y41" i="2"/>
  <c r="AD1436" i="4"/>
  <c r="AF1436" i="4"/>
  <c r="A1436" i="4"/>
  <c r="C1070" i="4"/>
  <c r="F30" i="2"/>
  <c r="B1097" i="4"/>
  <c r="E41" i="1"/>
  <c r="H41" i="1"/>
  <c r="F41" i="1"/>
  <c r="AH1144" i="4"/>
  <c r="AF1136" i="4"/>
  <c r="E1136" i="4"/>
  <c r="AB717" i="4"/>
  <c r="C717" i="4"/>
  <c r="AD733" i="4"/>
  <c r="I38" i="1"/>
  <c r="AF1020" i="4"/>
  <c r="E1020" i="4"/>
  <c r="AH1030" i="4"/>
  <c r="H39" i="1"/>
  <c r="AB1289" i="4"/>
  <c r="C1289" i="4"/>
  <c r="B1289" i="4"/>
  <c r="AB1287" i="4"/>
  <c r="C1287" i="4"/>
  <c r="B1287" i="4"/>
  <c r="C1291" i="4"/>
  <c r="AD684" i="4"/>
  <c r="D684" i="4"/>
  <c r="B684" i="4"/>
  <c r="AD731" i="4"/>
  <c r="AD717" i="4"/>
  <c r="D717" i="4"/>
  <c r="AD686" i="4"/>
  <c r="D686" i="4"/>
  <c r="B686" i="4"/>
  <c r="AH1142" i="4"/>
  <c r="AD1136" i="4"/>
  <c r="D1136" i="4"/>
  <c r="B347" i="4"/>
  <c r="AD1434" i="4"/>
  <c r="AF1434" i="4"/>
  <c r="A1434" i="4"/>
  <c r="AH1026" i="4"/>
  <c r="AB1020" i="4"/>
  <c r="C1020" i="4"/>
  <c r="B1020" i="4"/>
  <c r="AF316" i="4"/>
  <c r="E316" i="4"/>
  <c r="B316" i="4"/>
  <c r="AF314" i="4"/>
  <c r="E314" i="4"/>
  <c r="B314" i="4"/>
  <c r="E318" i="4"/>
  <c r="E259" i="4"/>
  <c r="H10" i="2"/>
  <c r="K45" i="1"/>
  <c r="L45" i="1"/>
  <c r="C162" i="4"/>
  <c r="F7" i="2"/>
  <c r="B181" i="4"/>
  <c r="AH117" i="4"/>
  <c r="AD111" i="4"/>
  <c r="D111" i="4"/>
  <c r="B339" i="4"/>
  <c r="AH119" i="4"/>
  <c r="AF111" i="4"/>
  <c r="E111" i="4"/>
  <c r="D349" i="4"/>
  <c r="D320" i="4"/>
  <c r="G11" i="2"/>
  <c r="I46" i="1"/>
  <c r="J46" i="1"/>
  <c r="AD345" i="4"/>
  <c r="D345" i="4"/>
  <c r="B345" i="4"/>
  <c r="AD347" i="4"/>
  <c r="D347" i="4"/>
  <c r="AD390" i="4"/>
  <c r="B782" i="4"/>
  <c r="C743" i="4"/>
  <c r="F19" i="2"/>
  <c r="B1093" i="4"/>
  <c r="Y743" i="4"/>
  <c r="B743" i="4"/>
  <c r="J58" i="1"/>
  <c r="F60" i="1"/>
  <c r="G54" i="1"/>
  <c r="G82" i="1"/>
  <c r="E16" i="2"/>
  <c r="Y16" i="2"/>
  <c r="AL1354" i="4"/>
  <c r="AL1356" i="4"/>
  <c r="AL1358" i="4"/>
  <c r="AF1348" i="4"/>
  <c r="E1348" i="4"/>
  <c r="B1348" i="4"/>
  <c r="AD1146" i="4"/>
  <c r="D1146" i="4"/>
  <c r="AH1152" i="4"/>
  <c r="J113" i="1"/>
  <c r="E113" i="1"/>
  <c r="AF234" i="4"/>
  <c r="E234" i="4"/>
  <c r="AF232" i="4"/>
  <c r="E232" i="4"/>
  <c r="E236" i="4"/>
  <c r="E183" i="4"/>
  <c r="H8" i="2"/>
  <c r="AH1036" i="4"/>
  <c r="AB1032" i="4"/>
  <c r="C1032" i="4"/>
  <c r="AF1032" i="4"/>
  <c r="E1032" i="4"/>
  <c r="AH1040" i="4"/>
  <c r="B220" i="4"/>
  <c r="AV390" i="4"/>
  <c r="AX390" i="4"/>
  <c r="AZ390" i="4"/>
  <c r="AD123" i="4"/>
  <c r="D123" i="4"/>
  <c r="AD121" i="4"/>
  <c r="D121" i="4"/>
  <c r="AD739" i="4"/>
  <c r="D739" i="4"/>
  <c r="AD737" i="4"/>
  <c r="D737" i="4"/>
  <c r="D741" i="4"/>
  <c r="D597" i="4"/>
  <c r="G18" i="2"/>
  <c r="I57" i="1"/>
  <c r="J57" i="1"/>
  <c r="J56" i="1"/>
  <c r="C571" i="4"/>
  <c r="B571" i="4"/>
  <c r="AH571" i="4"/>
  <c r="A571" i="4"/>
  <c r="E81" i="1"/>
  <c r="H81" i="1"/>
  <c r="F81" i="1"/>
  <c r="B222" i="4"/>
  <c r="AH1150" i="4"/>
  <c r="AB1146" i="4"/>
  <c r="C1146" i="4"/>
  <c r="B1070" i="4"/>
  <c r="Y1070" i="4"/>
  <c r="E573" i="4"/>
  <c r="B573" i="4"/>
  <c r="AH573" i="4"/>
  <c r="A573" i="4"/>
  <c r="B1201" i="4"/>
  <c r="Y1201" i="4"/>
  <c r="H53" i="1"/>
  <c r="E53" i="1"/>
  <c r="B1136" i="4"/>
  <c r="AB1639" i="4"/>
  <c r="C1639" i="4"/>
  <c r="B1639" i="4"/>
  <c r="AB1637" i="4"/>
  <c r="C1637" i="4"/>
  <c r="B1637" i="4"/>
  <c r="C1641" i="4"/>
  <c r="AB737" i="4"/>
  <c r="C737" i="4"/>
  <c r="B737" i="4"/>
  <c r="C741" i="4"/>
  <c r="AB739" i="4"/>
  <c r="C739" i="4"/>
  <c r="B739" i="4"/>
  <c r="AF121" i="4"/>
  <c r="E121" i="4"/>
  <c r="AF123" i="4"/>
  <c r="E123" i="4"/>
  <c r="AF1146" i="4"/>
  <c r="E1146" i="4"/>
  <c r="AH1154" i="4"/>
  <c r="G25" i="1"/>
  <c r="AB234" i="4"/>
  <c r="C234" i="4"/>
  <c r="AB232" i="4"/>
  <c r="C232" i="4"/>
  <c r="B232" i="4"/>
  <c r="C236" i="4"/>
  <c r="I78" i="1"/>
  <c r="J78" i="1"/>
  <c r="I43" i="1"/>
  <c r="J43" i="1"/>
  <c r="C1523" i="4"/>
  <c r="F39" i="2"/>
  <c r="B1581" i="4"/>
  <c r="Y162" i="4"/>
  <c r="B162" i="4"/>
  <c r="G42" i="1"/>
  <c r="E7" i="2"/>
  <c r="Y7" i="2"/>
  <c r="D1434" i="4"/>
  <c r="B1434" i="4"/>
  <c r="AH1434" i="4"/>
  <c r="C1256" i="4"/>
  <c r="F34" i="2"/>
  <c r="B1291" i="4"/>
  <c r="J38" i="1"/>
  <c r="G74" i="1"/>
  <c r="E30" i="2"/>
  <c r="Y30" i="2"/>
  <c r="B318" i="4"/>
  <c r="G77" i="1"/>
  <c r="E33" i="2"/>
  <c r="Y33" i="2"/>
  <c r="F63" i="1"/>
  <c r="L58" i="1"/>
  <c r="D595" i="4"/>
  <c r="D562" i="4"/>
  <c r="G17" i="2"/>
  <c r="I55" i="1"/>
  <c r="J55" i="1"/>
  <c r="AD585" i="4"/>
  <c r="D585" i="4"/>
  <c r="AD593" i="4"/>
  <c r="D593" i="4"/>
  <c r="AD591" i="4"/>
  <c r="D591" i="4"/>
  <c r="AF37" i="4"/>
  <c r="E37" i="4"/>
  <c r="B37" i="4"/>
  <c r="AF33" i="4"/>
  <c r="E33" i="4"/>
  <c r="B33" i="4"/>
  <c r="AF35" i="4"/>
  <c r="E35" i="4"/>
  <c r="B35" i="4"/>
  <c r="E39" i="4"/>
  <c r="AF70" i="4"/>
  <c r="E70" i="4"/>
  <c r="B70" i="4"/>
  <c r="E72" i="4"/>
  <c r="AP1751" i="4"/>
  <c r="A1751" i="4"/>
  <c r="G45" i="1"/>
  <c r="E10" i="2"/>
  <c r="Y10" i="2"/>
  <c r="AB123" i="4"/>
  <c r="C123" i="4"/>
  <c r="AB121" i="4"/>
  <c r="C121" i="4"/>
  <c r="B349" i="4"/>
  <c r="G59" i="1"/>
  <c r="E19" i="2"/>
  <c r="Y19" i="2"/>
  <c r="B717" i="4"/>
  <c r="E1436" i="4"/>
  <c r="B1436" i="4"/>
  <c r="AH1436" i="4"/>
  <c r="C1432" i="4"/>
  <c r="B1432" i="4"/>
  <c r="AH1432" i="4"/>
  <c r="AD1032" i="4"/>
  <c r="D1032" i="4"/>
  <c r="AH1038" i="4"/>
  <c r="B525" i="4"/>
  <c r="Y525" i="4"/>
  <c r="B111" i="4"/>
  <c r="G46" i="1"/>
  <c r="E11" i="2"/>
  <c r="Y11" i="2"/>
  <c r="B1521" i="4"/>
  <c r="C1460" i="4"/>
  <c r="F38" i="2"/>
  <c r="AB1755" i="4"/>
  <c r="AB1759" i="4"/>
  <c r="AB1757" i="4"/>
  <c r="E77" i="1"/>
  <c r="H77" i="1"/>
  <c r="F77" i="1"/>
  <c r="H59" i="1"/>
  <c r="E59" i="1"/>
  <c r="AF394" i="4"/>
  <c r="AH394" i="4"/>
  <c r="AN392" i="4"/>
  <c r="AN394" i="4"/>
  <c r="AP394" i="4"/>
  <c r="E46" i="1"/>
  <c r="H46" i="1"/>
  <c r="F46" i="1"/>
  <c r="AF1438" i="4"/>
  <c r="E1438" i="4"/>
  <c r="AH1446" i="4"/>
  <c r="B234" i="4"/>
  <c r="F53" i="1"/>
  <c r="B1146" i="4"/>
  <c r="E82" i="1"/>
  <c r="H82" i="1"/>
  <c r="F82" i="1"/>
  <c r="B1641" i="4"/>
  <c r="C1583" i="4"/>
  <c r="F40" i="2"/>
  <c r="AD1755" i="4"/>
  <c r="AN1755" i="4"/>
  <c r="A1755" i="4"/>
  <c r="Y320" i="4"/>
  <c r="B320" i="4"/>
  <c r="B121" i="4"/>
  <c r="E4" i="4"/>
  <c r="H3" i="2"/>
  <c r="B39" i="4"/>
  <c r="B123" i="4"/>
  <c r="B1256" i="4"/>
  <c r="Y1256" i="4"/>
  <c r="C597" i="4"/>
  <c r="F18" i="2"/>
  <c r="B741" i="4"/>
  <c r="AB1158" i="4"/>
  <c r="C1158" i="4"/>
  <c r="B1158" i="4"/>
  <c r="AB1156" i="4"/>
  <c r="C1156" i="4"/>
  <c r="AH1162" i="4"/>
  <c r="AF1042" i="4"/>
  <c r="E1042" i="4"/>
  <c r="AH1050" i="4"/>
  <c r="J111" i="1"/>
  <c r="J112" i="1"/>
  <c r="F112" i="1"/>
  <c r="F113" i="1"/>
  <c r="E54" i="1"/>
  <c r="H54" i="1"/>
  <c r="F54" i="1"/>
  <c r="AH1166" i="4"/>
  <c r="AF1158" i="4"/>
  <c r="E1158" i="4"/>
  <c r="AF1156" i="4"/>
  <c r="E1156" i="4"/>
  <c r="G90" i="1"/>
  <c r="E38" i="2"/>
  <c r="Y38" i="2"/>
  <c r="J50" i="1"/>
  <c r="J49" i="1"/>
  <c r="I6" i="1"/>
  <c r="J6" i="1"/>
  <c r="A1757" i="4"/>
  <c r="AD1757" i="4"/>
  <c r="AF1757" i="4"/>
  <c r="G80" i="1"/>
  <c r="E34" i="2"/>
  <c r="Y34" i="2"/>
  <c r="Y1523" i="4"/>
  <c r="B1523" i="4"/>
  <c r="H25" i="1"/>
  <c r="AH1164" i="4"/>
  <c r="AD1158" i="4"/>
  <c r="D1158" i="4"/>
  <c r="AD1156" i="4"/>
  <c r="D1156" i="4"/>
  <c r="B1032" i="4"/>
  <c r="B259" i="4"/>
  <c r="Y259" i="4"/>
  <c r="AF575" i="4"/>
  <c r="E575" i="4"/>
  <c r="AF591" i="4"/>
  <c r="E591" i="4"/>
  <c r="E595" i="4"/>
  <c r="E562" i="4"/>
  <c r="H17" i="2"/>
  <c r="K55" i="1"/>
  <c r="L55" i="1"/>
  <c r="AF585" i="4"/>
  <c r="E585" i="4"/>
  <c r="AF593" i="4"/>
  <c r="E593" i="4"/>
  <c r="AH1046" i="4"/>
  <c r="AB1042" i="4"/>
  <c r="C1042" i="4"/>
  <c r="B1042" i="4"/>
  <c r="AD1759" i="4"/>
  <c r="AF1759" i="4"/>
  <c r="G91" i="1"/>
  <c r="E39" i="2"/>
  <c r="Y39" i="2"/>
  <c r="AD1042" i="4"/>
  <c r="D1042" i="4"/>
  <c r="AH1048" i="4"/>
  <c r="K78" i="1"/>
  <c r="L78" i="1"/>
  <c r="K43" i="1"/>
  <c r="L43" i="1"/>
  <c r="AF1360" i="4"/>
  <c r="E1360" i="4"/>
  <c r="B1360" i="4"/>
  <c r="AL1366" i="4"/>
  <c r="AL1368" i="4"/>
  <c r="AL1370" i="4"/>
  <c r="H45" i="1"/>
  <c r="F45" i="1"/>
  <c r="E45" i="1"/>
  <c r="AD1438" i="4"/>
  <c r="D1438" i="4"/>
  <c r="AH1444" i="4"/>
  <c r="Y1460" i="4"/>
  <c r="B1460" i="4"/>
  <c r="AH1442" i="4"/>
  <c r="AB1438" i="4"/>
  <c r="C1438" i="4"/>
  <c r="B1438" i="4"/>
  <c r="E41" i="4"/>
  <c r="H4" i="2"/>
  <c r="B72" i="4"/>
  <c r="E74" i="1"/>
  <c r="H74" i="1"/>
  <c r="F74" i="1"/>
  <c r="E42" i="1"/>
  <c r="H42" i="1"/>
  <c r="F42" i="1"/>
  <c r="C183" i="4"/>
  <c r="F8" i="2"/>
  <c r="B236" i="4"/>
  <c r="AB575" i="4"/>
  <c r="C575" i="4"/>
  <c r="B575" i="4"/>
  <c r="AH583" i="4"/>
  <c r="BB390" i="4"/>
  <c r="A390" i="4"/>
  <c r="I25" i="1"/>
  <c r="F111" i="1"/>
  <c r="AB1052" i="4"/>
  <c r="C1052" i="4"/>
  <c r="AH1058" i="4"/>
  <c r="AB1054" i="4"/>
  <c r="C1054" i="4"/>
  <c r="AH1062" i="4"/>
  <c r="AF1054" i="4"/>
  <c r="E1054" i="4"/>
  <c r="AF1052" i="4"/>
  <c r="E1052" i="4"/>
  <c r="C1755" i="4"/>
  <c r="B1755" i="4"/>
  <c r="AP1755" i="4"/>
  <c r="AD1456" i="4"/>
  <c r="D1456" i="4"/>
  <c r="AD1448" i="4"/>
  <c r="D1448" i="4"/>
  <c r="AD1454" i="4"/>
  <c r="D1454" i="4"/>
  <c r="D1458" i="4"/>
  <c r="D1397" i="4"/>
  <c r="G37" i="2"/>
  <c r="I89" i="1"/>
  <c r="J89" i="1"/>
  <c r="AD1052" i="4"/>
  <c r="D1052" i="4"/>
  <c r="AH1060" i="4"/>
  <c r="AD1054" i="4"/>
  <c r="D1054" i="4"/>
  <c r="E80" i="1"/>
  <c r="H80" i="1"/>
  <c r="G92" i="1"/>
  <c r="E40" i="2"/>
  <c r="Y40" i="2"/>
  <c r="AH1757" i="4"/>
  <c r="D1757" i="4"/>
  <c r="B1757" i="4"/>
  <c r="AF1168" i="4"/>
  <c r="E1168" i="4"/>
  <c r="E1170" i="4"/>
  <c r="E1099" i="4"/>
  <c r="H31" i="2"/>
  <c r="K75" i="1"/>
  <c r="L75" i="1"/>
  <c r="C1170" i="4"/>
  <c r="AB1168" i="4"/>
  <c r="C1168" i="4"/>
  <c r="B4" i="4"/>
  <c r="Y4" i="4"/>
  <c r="Y1583" i="4"/>
  <c r="B1583" i="4"/>
  <c r="AP392" i="4"/>
  <c r="B1156" i="4"/>
  <c r="K38" i="1"/>
  <c r="E3" i="2"/>
  <c r="Y3" i="2"/>
  <c r="E90" i="1"/>
  <c r="H90" i="1"/>
  <c r="F90" i="1"/>
  <c r="AD589" i="4"/>
  <c r="AB585" i="4"/>
  <c r="C585" i="4"/>
  <c r="B585" i="4"/>
  <c r="Y41" i="4"/>
  <c r="B41" i="4"/>
  <c r="K39" i="1"/>
  <c r="E4" i="2"/>
  <c r="Y4" i="2"/>
  <c r="E91" i="1"/>
  <c r="H91" i="1"/>
  <c r="F91" i="1"/>
  <c r="Y183" i="4"/>
  <c r="B183" i="4"/>
  <c r="E1376" i="4"/>
  <c r="AF1372" i="4"/>
  <c r="E1372" i="4"/>
  <c r="B1372" i="4"/>
  <c r="AF1374" i="4"/>
  <c r="E1374" i="4"/>
  <c r="B1374" i="4"/>
  <c r="E1759" i="4"/>
  <c r="B1759" i="4"/>
  <c r="AH1759" i="4"/>
  <c r="B597" i="4"/>
  <c r="Y597" i="4"/>
  <c r="E1458" i="4"/>
  <c r="E1397" i="4"/>
  <c r="H37" i="2"/>
  <c r="K89" i="1"/>
  <c r="L89" i="1"/>
  <c r="L88" i="1"/>
  <c r="AF1456" i="4"/>
  <c r="E1456" i="4"/>
  <c r="AF1448" i="4"/>
  <c r="E1448" i="4"/>
  <c r="AF1454" i="4"/>
  <c r="E1454" i="4"/>
  <c r="H58" i="1"/>
  <c r="F58" i="1"/>
  <c r="F59" i="1"/>
  <c r="L50" i="1"/>
  <c r="L49" i="1"/>
  <c r="K6" i="1"/>
  <c r="L6" i="1"/>
  <c r="D1170" i="4"/>
  <c r="D1099" i="4"/>
  <c r="G31" i="2"/>
  <c r="I75" i="1"/>
  <c r="J75" i="1"/>
  <c r="AD1168" i="4"/>
  <c r="D1168" i="4"/>
  <c r="G78" i="1"/>
  <c r="G43" i="1"/>
  <c r="E8" i="2"/>
  <c r="Y8" i="2"/>
  <c r="AB1448" i="4"/>
  <c r="C1448" i="4"/>
  <c r="B1448" i="4"/>
  <c r="AL1452" i="4"/>
  <c r="A1759" i="4"/>
  <c r="G57" i="1"/>
  <c r="E18" i="2"/>
  <c r="Y18" i="2"/>
  <c r="AR392" i="4"/>
  <c r="AT392" i="4"/>
  <c r="AV392" i="4"/>
  <c r="AD1066" i="4"/>
  <c r="D1066" i="4"/>
  <c r="AD1064" i="4"/>
  <c r="D1064" i="4"/>
  <c r="D1068" i="4"/>
  <c r="D997" i="4"/>
  <c r="G29" i="2"/>
  <c r="I73" i="1"/>
  <c r="J73" i="1"/>
  <c r="AB1454" i="4"/>
  <c r="C1454" i="4"/>
  <c r="B1454" i="4"/>
  <c r="C1458" i="4"/>
  <c r="AB1456" i="4"/>
  <c r="C1456" i="4"/>
  <c r="B1456" i="4"/>
  <c r="C595" i="4"/>
  <c r="AB593" i="4"/>
  <c r="C593" i="4"/>
  <c r="B593" i="4"/>
  <c r="AB591" i="4"/>
  <c r="C591" i="4"/>
  <c r="B591" i="4"/>
  <c r="E1763" i="4"/>
  <c r="E1734" i="4"/>
  <c r="H44" i="2"/>
  <c r="AF131" i="4"/>
  <c r="AF1761" i="4"/>
  <c r="E1761" i="4"/>
  <c r="D1763" i="4"/>
  <c r="D1734" i="4"/>
  <c r="G44" i="2"/>
  <c r="AF129" i="4"/>
  <c r="AD1761" i="4"/>
  <c r="D1761" i="4"/>
  <c r="J88" i="1"/>
  <c r="J84" i="1"/>
  <c r="I8" i="1"/>
  <c r="J8" i="1"/>
  <c r="AF1066" i="4"/>
  <c r="E1066" i="4"/>
  <c r="AF1064" i="4"/>
  <c r="E1064" i="4"/>
  <c r="E1068" i="4"/>
  <c r="E997" i="4"/>
  <c r="H29" i="2"/>
  <c r="K73" i="1"/>
  <c r="L73" i="1"/>
  <c r="B1054" i="4"/>
  <c r="H57" i="1"/>
  <c r="E57" i="1"/>
  <c r="E92" i="1"/>
  <c r="H92" i="1"/>
  <c r="F92" i="1"/>
  <c r="C1068" i="4"/>
  <c r="AB1064" i="4"/>
  <c r="C1064" i="4"/>
  <c r="B1064" i="4"/>
  <c r="AB1066" i="4"/>
  <c r="C1066" i="4"/>
  <c r="B1066" i="4"/>
  <c r="E78" i="1"/>
  <c r="H78" i="1"/>
  <c r="F78" i="1"/>
  <c r="L38" i="1"/>
  <c r="E38" i="1"/>
  <c r="B1168" i="4"/>
  <c r="F80" i="1"/>
  <c r="H79" i="1"/>
  <c r="F79" i="1"/>
  <c r="B1052" i="4"/>
  <c r="H43" i="1"/>
  <c r="F43" i="1"/>
  <c r="E43" i="1"/>
  <c r="L39" i="1"/>
  <c r="F39" i="1"/>
  <c r="E39" i="1"/>
  <c r="E1293" i="4"/>
  <c r="H35" i="2"/>
  <c r="B1376" i="4"/>
  <c r="B1170" i="4"/>
  <c r="C1099" i="4"/>
  <c r="F31" i="2"/>
  <c r="C1763" i="4"/>
  <c r="AB1761" i="4"/>
  <c r="C1761" i="4"/>
  <c r="B1761" i="4"/>
  <c r="J25" i="1"/>
  <c r="F25" i="1"/>
  <c r="E25" i="1"/>
  <c r="F38" i="1"/>
  <c r="C1397" i="4"/>
  <c r="F37" i="2"/>
  <c r="B1458" i="4"/>
  <c r="F57" i="1"/>
  <c r="H56" i="1"/>
  <c r="F56" i="1"/>
  <c r="D129" i="4"/>
  <c r="B129" i="4"/>
  <c r="A129" i="4"/>
  <c r="AH129" i="4"/>
  <c r="J71" i="1"/>
  <c r="I7" i="1"/>
  <c r="J7" i="1"/>
  <c r="J72" i="1"/>
  <c r="L71" i="1"/>
  <c r="K7" i="1"/>
  <c r="L7" i="1"/>
  <c r="L72" i="1"/>
  <c r="E131" i="4"/>
  <c r="B131" i="4"/>
  <c r="A131" i="4"/>
  <c r="AH131" i="4"/>
  <c r="C1734" i="4"/>
  <c r="F44" i="2"/>
  <c r="B1763" i="4"/>
  <c r="G75" i="1"/>
  <c r="E31" i="2"/>
  <c r="Y31" i="2"/>
  <c r="B1099" i="4"/>
  <c r="Y1099" i="4"/>
  <c r="Y1293" i="4"/>
  <c r="B1293" i="4"/>
  <c r="C997" i="4"/>
  <c r="F29" i="2"/>
  <c r="B1068" i="4"/>
  <c r="AX392" i="4"/>
  <c r="A392" i="4"/>
  <c r="K86" i="1"/>
  <c r="E35" i="2"/>
  <c r="Y35" i="2"/>
  <c r="C562" i="4"/>
  <c r="F17" i="2"/>
  <c r="B595" i="4"/>
  <c r="AB398" i="4"/>
  <c r="AB396" i="4"/>
  <c r="AB404" i="4"/>
  <c r="AB394" i="4"/>
  <c r="G55" i="1"/>
  <c r="E17" i="2"/>
  <c r="Y17" i="2"/>
  <c r="L86" i="1"/>
  <c r="E86" i="1"/>
  <c r="B1397" i="4"/>
  <c r="Y1397" i="4"/>
  <c r="AD404" i="4"/>
  <c r="AF404" i="4"/>
  <c r="E404" i="4"/>
  <c r="B404" i="4"/>
  <c r="E75" i="1"/>
  <c r="H75" i="1"/>
  <c r="F75" i="1"/>
  <c r="G89" i="1"/>
  <c r="E37" i="2"/>
  <c r="Y37" i="2"/>
  <c r="B562" i="4"/>
  <c r="Y562" i="4"/>
  <c r="AF135" i="4"/>
  <c r="E135" i="4"/>
  <c r="AF133" i="4"/>
  <c r="E133" i="4"/>
  <c r="E137" i="4"/>
  <c r="E74" i="4"/>
  <c r="H5" i="2"/>
  <c r="K40" i="1"/>
  <c r="L40" i="1"/>
  <c r="AD394" i="4"/>
  <c r="AR394" i="4"/>
  <c r="A394" i="4"/>
  <c r="AD396" i="4"/>
  <c r="AF396" i="4"/>
  <c r="B1734" i="4"/>
  <c r="Y1734" i="4"/>
  <c r="B997" i="4"/>
  <c r="Y997" i="4"/>
  <c r="AD398" i="4"/>
  <c r="AF398" i="4"/>
  <c r="G73" i="1"/>
  <c r="E29" i="2"/>
  <c r="Y29" i="2"/>
  <c r="E44" i="2"/>
  <c r="Y44" i="2"/>
  <c r="AF127" i="4"/>
  <c r="AD135" i="4"/>
  <c r="D135" i="4"/>
  <c r="AD133" i="4"/>
  <c r="D133" i="4"/>
  <c r="D137" i="4"/>
  <c r="D74" i="4"/>
  <c r="G5" i="2"/>
  <c r="I40" i="1"/>
  <c r="J40" i="1"/>
  <c r="C127" i="4"/>
  <c r="B127" i="4"/>
  <c r="A127" i="4"/>
  <c r="AH127" i="4"/>
  <c r="A404" i="4"/>
  <c r="D396" i="4"/>
  <c r="B396" i="4"/>
  <c r="AH396" i="4"/>
  <c r="H73" i="1"/>
  <c r="E73" i="1"/>
  <c r="A396" i="4"/>
  <c r="E398" i="4"/>
  <c r="B398" i="4"/>
  <c r="AH398" i="4"/>
  <c r="H89" i="1"/>
  <c r="E89" i="1"/>
  <c r="L84" i="1"/>
  <c r="K8" i="1"/>
  <c r="L8" i="1"/>
  <c r="L85" i="1"/>
  <c r="F85" i="1"/>
  <c r="F86" i="1"/>
  <c r="J37" i="1"/>
  <c r="A398" i="4"/>
  <c r="C394" i="4"/>
  <c r="B394" i="4"/>
  <c r="AT394" i="4"/>
  <c r="L37" i="1"/>
  <c r="E55" i="1"/>
  <c r="H55" i="1"/>
  <c r="F89" i="1"/>
  <c r="H88" i="1"/>
  <c r="F88" i="1"/>
  <c r="H84" i="1"/>
  <c r="F55" i="1"/>
  <c r="H50" i="1"/>
  <c r="F50" i="1"/>
  <c r="H49" i="1"/>
  <c r="F73" i="1"/>
  <c r="H72" i="1"/>
  <c r="F72" i="1"/>
  <c r="H71" i="1"/>
  <c r="AD410" i="4"/>
  <c r="D410" i="4"/>
  <c r="AD400" i="4"/>
  <c r="D400" i="4"/>
  <c r="AD408" i="4"/>
  <c r="D408" i="4"/>
  <c r="D412" i="4"/>
  <c r="D351" i="4"/>
  <c r="G12" i="2"/>
  <c r="I47" i="1"/>
  <c r="J47" i="1"/>
  <c r="J36" i="1"/>
  <c r="I5" i="1"/>
  <c r="J5" i="1"/>
  <c r="AD406" i="4"/>
  <c r="D406" i="4"/>
  <c r="AB400" i="4"/>
  <c r="C400" i="4"/>
  <c r="B400" i="4"/>
  <c r="C412" i="4"/>
  <c r="AB408" i="4"/>
  <c r="C408" i="4"/>
  <c r="AB406" i="4"/>
  <c r="C406" i="4"/>
  <c r="AB410" i="4"/>
  <c r="C410" i="4"/>
  <c r="AF400" i="4"/>
  <c r="E400" i="4"/>
  <c r="AH404" i="4"/>
  <c r="AB135" i="4"/>
  <c r="C135" i="4"/>
  <c r="B135" i="4"/>
  <c r="AB133" i="4"/>
  <c r="C133" i="4"/>
  <c r="B133" i="4"/>
  <c r="C137" i="4"/>
  <c r="G6" i="1"/>
  <c r="F49" i="1"/>
  <c r="B137" i="4"/>
  <c r="C74" i="4"/>
  <c r="F5" i="2"/>
  <c r="J10" i="1"/>
  <c r="C351" i="4"/>
  <c r="F12" i="2"/>
  <c r="G8" i="1"/>
  <c r="F84" i="1"/>
  <c r="AF406" i="4"/>
  <c r="E406" i="4"/>
  <c r="AF408" i="4"/>
  <c r="E408" i="4"/>
  <c r="B408" i="4"/>
  <c r="E412" i="4"/>
  <c r="E351" i="4"/>
  <c r="H12" i="2"/>
  <c r="K47" i="1"/>
  <c r="L47" i="1"/>
  <c r="L36" i="1"/>
  <c r="K5" i="1"/>
  <c r="L5" i="1"/>
  <c r="AF410" i="4"/>
  <c r="E410" i="4"/>
  <c r="B410" i="4"/>
  <c r="B406" i="4"/>
  <c r="G7" i="1"/>
  <c r="F71" i="1"/>
  <c r="B412" i="4"/>
  <c r="L10" i="1"/>
  <c r="G40" i="1"/>
  <c r="E5" i="2"/>
  <c r="Y5" i="2"/>
  <c r="Y74" i="4"/>
  <c r="B74" i="4"/>
  <c r="AB16" i="1"/>
  <c r="AD16" i="1"/>
  <c r="AB10" i="1"/>
  <c r="AD10" i="1"/>
  <c r="AB18" i="1"/>
  <c r="AD18" i="1"/>
  <c r="AB15" i="1"/>
  <c r="AD15" i="1"/>
  <c r="L17" i="1"/>
  <c r="F17" i="1"/>
  <c r="J11" i="1"/>
  <c r="AB14" i="1"/>
  <c r="AD14" i="1"/>
  <c r="L19" i="1"/>
  <c r="F19" i="1"/>
  <c r="L16" i="1"/>
  <c r="E7" i="1"/>
  <c r="H7" i="1"/>
  <c r="F7" i="1"/>
  <c r="E8" i="1"/>
  <c r="H8" i="1"/>
  <c r="F8" i="1"/>
  <c r="G47" i="1"/>
  <c r="E12" i="2"/>
  <c r="Y12" i="2"/>
  <c r="H6" i="1"/>
  <c r="F6" i="1"/>
  <c r="E6" i="1"/>
  <c r="J26" i="1"/>
  <c r="J29" i="1"/>
  <c r="J31" i="1"/>
  <c r="L13" i="1"/>
  <c r="F13" i="1"/>
  <c r="L12" i="1"/>
  <c r="E40" i="1"/>
  <c r="H40" i="1"/>
  <c r="E47" i="1"/>
  <c r="H47" i="1"/>
  <c r="F47" i="1"/>
  <c r="F11" i="1"/>
  <c r="J4" i="1"/>
  <c r="L15" i="1"/>
  <c r="F15" i="1"/>
  <c r="L14" i="1"/>
  <c r="F14" i="1"/>
  <c r="AB13" i="1"/>
  <c r="AD13" i="1"/>
  <c r="L18" i="1"/>
  <c r="F18" i="1"/>
  <c r="AB17" i="1"/>
  <c r="AD17" i="1"/>
  <c r="F16" i="1"/>
  <c r="AB11" i="1"/>
  <c r="AD11" i="1"/>
  <c r="AB12" i="1"/>
  <c r="AD12" i="1"/>
  <c r="Y351" i="4"/>
  <c r="B351" i="4"/>
  <c r="AB31" i="1"/>
  <c r="AD31" i="1"/>
  <c r="F40" i="1"/>
  <c r="H36" i="1"/>
  <c r="H37" i="1"/>
  <c r="F37" i="1"/>
  <c r="F12" i="1"/>
  <c r="AB34" i="1"/>
  <c r="AD34" i="1"/>
  <c r="J34" i="1"/>
  <c r="G5" i="1"/>
  <c r="F36" i="1"/>
  <c r="H5" i="1"/>
  <c r="E5" i="1"/>
  <c r="AB9" i="1"/>
  <c r="AD9" i="1"/>
  <c r="H4" i="1"/>
  <c r="F5" i="1"/>
  <c r="H10" i="1"/>
  <c r="AB25" i="1"/>
  <c r="AD25" i="1"/>
  <c r="AB21" i="1"/>
  <c r="AD21" i="1"/>
  <c r="L23" i="1"/>
  <c r="F23" i="1"/>
  <c r="L20" i="1"/>
  <c r="AB23" i="1"/>
  <c r="AD23" i="1"/>
  <c r="L22" i="1"/>
  <c r="F22" i="1"/>
  <c r="H26" i="1"/>
  <c r="F10" i="1"/>
  <c r="AB22" i="1"/>
  <c r="AD22" i="1"/>
  <c r="AB19" i="1"/>
  <c r="AD19" i="1"/>
  <c r="L24" i="1"/>
  <c r="F24" i="1"/>
  <c r="L21" i="1"/>
  <c r="F21" i="1"/>
  <c r="AB20" i="1"/>
  <c r="AD20" i="1"/>
  <c r="F20" i="1"/>
  <c r="L26" i="1"/>
  <c r="AB28" i="1"/>
  <c r="AD28" i="1"/>
  <c r="H29" i="1"/>
  <c r="L27" i="1"/>
  <c r="AB27" i="1"/>
  <c r="AD27" i="1"/>
  <c r="F26" i="1"/>
  <c r="AB26" i="1"/>
  <c r="AD26" i="1"/>
  <c r="H31" i="1"/>
  <c r="AB30" i="1"/>
  <c r="AD30" i="1"/>
  <c r="AB33" i="1"/>
  <c r="AD33" i="1"/>
  <c r="H34" i="1"/>
  <c r="F27" i="1"/>
  <c r="L28" i="1"/>
  <c r="F28" i="1"/>
  <c r="L29" i="1"/>
  <c r="L30" i="1"/>
  <c r="AB32" i="1"/>
  <c r="AD32" i="1"/>
  <c r="F29" i="1"/>
  <c r="AB29" i="1"/>
  <c r="AD29" i="1"/>
  <c r="F30" i="1"/>
  <c r="L4" i="1"/>
  <c r="F4" i="1"/>
  <c r="L31" i="1"/>
  <c r="L34" i="1"/>
  <c r="F34" i="1"/>
  <c r="AB35" i="1"/>
  <c r="AD35" i="1"/>
  <c r="F31" i="1"/>
</calcChain>
</file>

<file path=xl/sharedStrings.xml><?xml version="1.0" encoding="utf-8"?>
<sst xmlns="http://schemas.openxmlformats.org/spreadsheetml/2006/main" count="9407" uniqueCount="2453">
  <si>
    <t>G06100240</t>
  </si>
  <si>
    <t>2. 포 설(아스팔트 피니셔 3.0M)</t>
  </si>
  <si>
    <t>SB03950</t>
  </si>
  <si>
    <t>SE01810</t>
  </si>
  <si>
    <t xml:space="preserve">1387_1_1+ = </t>
  </si>
  <si>
    <t xml:space="preserve">1142_1_1+ = </t>
  </si>
  <si>
    <t>SF05000</t>
  </si>
  <si>
    <t xml:space="preserve">1751_1_2 = </t>
  </si>
  <si>
    <t>SB03950</t>
  </si>
  <si>
    <t>'○ 1시간 작업량 :' Q1 = {B} / 8'hr' =?'m/hr'</t>
  </si>
  <si>
    <t xml:space="preserve">1795_1_1 = </t>
  </si>
  <si>
    <t>SE01810</t>
  </si>
  <si>
    <t>10-12 TON</t>
  </si>
  <si>
    <t xml:space="preserve">1087_1_1+ = </t>
  </si>
  <si>
    <t xml:space="preserve">            'V=15/20'</t>
  </si>
  <si>
    <t>#42 물운반</t>
  </si>
  <si>
    <t>QEQTY2</t>
  </si>
  <si>
    <t>(SANG + JUNG + KWAN)*10^-4</t>
  </si>
  <si>
    <t>일위대가_호표</t>
  </si>
  <si>
    <t>(재+직간노)의</t>
  </si>
  <si>
    <t xml:space="preserve">T6 = </t>
  </si>
  <si>
    <t xml:space="preserve">   '노 무 비 :' ~E00020110701.L~ / {Q} = ?LA+</t>
  </si>
  <si>
    <t>대형장비</t>
  </si>
  <si>
    <t>L087</t>
  </si>
  <si>
    <t xml:space="preserve">    {LA()} * {C} '%' =?MA+</t>
  </si>
  <si>
    <t xml:space="preserve">1495_1_1 = </t>
  </si>
  <si>
    <t xml:space="preserve">1434_1_1 = </t>
  </si>
  <si>
    <t xml:space="preserve"> 산식=((상각비율+정비비율/내용년수)+(년간관리비율/표준가동시간)</t>
  </si>
  <si>
    <t>'1. 흙막이(TS판넬) 압입'</t>
  </si>
  <si>
    <t xml:space="preserve">300_1_1 = </t>
  </si>
  <si>
    <t>일반하역요금</t>
  </si>
  <si>
    <t xml:space="preserve">     중     기</t>
  </si>
  <si>
    <t xml:space="preserve">L2+ = </t>
  </si>
  <si>
    <t>SA01500</t>
  </si>
  <si>
    <t>SA01500</t>
  </si>
  <si>
    <t>#.20</t>
  </si>
  <si>
    <t xml:space="preserve">1036_1_1 = </t>
  </si>
  <si>
    <t>.sang=3000, jung=2833, kwan=768</t>
  </si>
  <si>
    <t>MZ93268</t>
  </si>
  <si>
    <t>#11 PE다중벽관접합및부설</t>
  </si>
  <si>
    <t>MZ93268</t>
  </si>
  <si>
    <t>500미만, A-TYPE(직선구간)</t>
  </si>
  <si>
    <t>2. 우  수  공</t>
  </si>
  <si>
    <t xml:space="preserve">362_1_6+ = </t>
  </si>
  <si>
    <t>A10</t>
  </si>
  <si>
    <t>E0072040055</t>
  </si>
  <si>
    <t xml:space="preserve">   라. 소형브레이커 (1.3㎥/min 1대)</t>
  </si>
  <si>
    <t xml:space="preserve">   나. 보통인부</t>
  </si>
  <si>
    <t xml:space="preserve">697_1_1 = </t>
  </si>
  <si>
    <t xml:space="preserve">636_1_1 = </t>
  </si>
  <si>
    <t>#8 되메우기및다짐</t>
  </si>
  <si>
    <t>.sang=818 ,jung=636 ,kwan=659</t>
  </si>
  <si>
    <t>/물자1 P149</t>
  </si>
  <si>
    <t xml:space="preserve">     다중벽관 이경티</t>
  </si>
  <si>
    <t xml:space="preserve">    '재료비 :' {S}'㎥' * ~SB00900.M~ =?MA+</t>
  </si>
  <si>
    <t>MZ913060</t>
  </si>
  <si>
    <t>MZ913060</t>
  </si>
  <si>
    <t>φ648</t>
  </si>
  <si>
    <t xml:space="preserve">   Q  = (60 * {q1} * {F} * {E}) / {CM} = ?'M3/HR'</t>
  </si>
  <si>
    <t>56900017074</t>
  </si>
  <si>
    <t>'  1). B.H 0.7㎥ 시간당 작업량'</t>
  </si>
  <si>
    <t>적용단위</t>
  </si>
  <si>
    <t xml:space="preserve">1285_1_1 = </t>
  </si>
  <si>
    <t xml:space="preserve">   '경    비 : ' ~E0013060100.E~ / {Q1} =?EQ+</t>
  </si>
  <si>
    <t>수 량</t>
  </si>
  <si>
    <t>#30 프라임코팅(기계식)</t>
  </si>
  <si>
    <t>수 량</t>
  </si>
  <si>
    <t xml:space="preserve">1224_1_1 = </t>
  </si>
  <si>
    <t xml:space="preserve">&gt;LA = </t>
  </si>
  <si>
    <t xml:space="preserve">   '노 무 비 :' ~E0072040160.L~ / {Q} * 0.5 =?LA+</t>
  </si>
  <si>
    <t>덤프트럭 자동덮개시설</t>
  </si>
  <si>
    <t xml:space="preserve">&gt;LA = </t>
  </si>
  <si>
    <t xml:space="preserve">398_1_1+ = </t>
  </si>
  <si>
    <t xml:space="preserve">   18. 기  타  경  비</t>
  </si>
  <si>
    <t xml:space="preserve">   2. 우   수   공</t>
  </si>
  <si>
    <t xml:space="preserve">1164_1_1 = </t>
  </si>
  <si>
    <t xml:space="preserve">768_1_1+ = </t>
  </si>
  <si>
    <t xml:space="preserve">380_3_1+ = </t>
  </si>
  <si>
    <t xml:space="preserve">266_1_2+ = </t>
  </si>
  <si>
    <t xml:space="preserve">169_1_1+ = </t>
  </si>
  <si>
    <t xml:space="preserve">   'PE분기관 :'  1.0'EA' * ~MZ978400~ =?MA+</t>
  </si>
  <si>
    <t xml:space="preserve">1426_1_1+ = </t>
  </si>
  <si>
    <t xml:space="preserve">   '경    비 :' ~E0072040160.E~ / {Q} * 0.5 =?EQ+</t>
  </si>
  <si>
    <t xml:space="preserve">   '경    비 : ' ~E0006020045.E~ / {Q} =?EQ+</t>
  </si>
  <si>
    <t>250</t>
  </si>
  <si>
    <t>1. 기계사용료 (대형브레이카 + 굴삭기 0.7M3)</t>
  </si>
  <si>
    <t xml:space="preserve">468_1_1+ = </t>
  </si>
  <si>
    <t xml:space="preserve">1050_1_1 = </t>
  </si>
  <si>
    <t xml:space="preserve">1142_1_1 = </t>
  </si>
  <si>
    <t xml:space="preserve">   21. 일 반 관 리 비</t>
  </si>
  <si>
    <t xml:space="preserve">   17. 환 경 보 전 비</t>
  </si>
  <si>
    <t xml:space="preserve">     {AAA1} * {0.05}   = ?LA+</t>
  </si>
  <si>
    <t xml:space="preserve">A1+ = </t>
  </si>
  <si>
    <t xml:space="preserve">   '노 무 비 :' ~E0012060008.L~ / {Q} =?LA+</t>
  </si>
  <si>
    <t xml:space="preserve">499_1_1 = </t>
  </si>
  <si>
    <t>노임계금액소숫점</t>
  </si>
  <si>
    <t xml:space="preserve">   '노 무 비 : ' ~E0073300010.L~ / {Q} =?LA+</t>
  </si>
  <si>
    <t xml:space="preserve">1330_1_3 = </t>
  </si>
  <si>
    <t xml:space="preserve">      '재 료 비 : '~E0021040010.M~ * {T2}*{D}=?EQ+</t>
  </si>
  <si>
    <t xml:space="preserve"> 나. 타이어롤러 (8-15TON)</t>
  </si>
  <si>
    <t xml:space="preserve">758_1_1+ = </t>
  </si>
  <si>
    <t>'3. 흙막이(TS판넬) 손료'</t>
  </si>
  <si>
    <t>QEINC2</t>
  </si>
  <si>
    <t xml:space="preserve">1774_1_1 = </t>
  </si>
  <si>
    <t xml:space="preserve">    소  계</t>
  </si>
  <si>
    <t xml:space="preserve">1324_1_1+ = </t>
  </si>
  <si>
    <t xml:space="preserve">152_1_1 = </t>
  </si>
  <si>
    <t>#5 흙깍기(보통토사)소규모 1만㎥미만</t>
  </si>
  <si>
    <t>1. 재료비</t>
  </si>
  <si>
    <t>8 - 15 TON</t>
  </si>
  <si>
    <t xml:space="preserve">1728_1_1 = </t>
  </si>
  <si>
    <t xml:space="preserve">1747_1_1+ = </t>
  </si>
  <si>
    <t>G21050010</t>
  </si>
  <si>
    <t>특별인부</t>
  </si>
  <si>
    <t>SB01035</t>
  </si>
  <si>
    <t>SB01035</t>
  </si>
  <si>
    <t>210</t>
  </si>
  <si>
    <t xml:space="preserve">1246_1_1+ = </t>
  </si>
  <si>
    <t xml:space="preserve">    5) 우수맨홀</t>
  </si>
  <si>
    <t>#1 구조물헐기(무근)</t>
  </si>
  <si>
    <t xml:space="preserve">CM = </t>
  </si>
  <si>
    <t xml:space="preserve">68_1_1+ = </t>
  </si>
  <si>
    <t xml:space="preserve">CM = </t>
  </si>
  <si>
    <t xml:space="preserve">  '재 료 비 :' ~E0072100485.M~ / {Q} * 0.5 =?MA+</t>
  </si>
  <si>
    <t>물정/1-265/물정/1-265</t>
  </si>
  <si>
    <t>4. 공구손료 및 경장비 기계경비 (인력품의 3%)</t>
  </si>
  <si>
    <t>3. 굴착기(1.0㎥)</t>
  </si>
  <si>
    <t xml:space="preserve">      '재 료 비 : '~E0033020038.M~ * {T2}*{D}=?EQ+</t>
  </si>
  <si>
    <t xml:space="preserve">1014_1_1+ = </t>
  </si>
  <si>
    <t xml:space="preserve">1179_1_2+ = </t>
  </si>
  <si>
    <t>φ648, 우수</t>
  </si>
  <si>
    <t xml:space="preserve">228_1_1 = </t>
  </si>
  <si>
    <t xml:space="preserve">274_1_1 = </t>
  </si>
  <si>
    <t xml:space="preserve">366_1_1 = </t>
  </si>
  <si>
    <t>1. 스틸그레이팅(400x500x50)</t>
  </si>
  <si>
    <t xml:space="preserve">1452_1_1 = </t>
  </si>
  <si>
    <t>다이아몬드톱날</t>
  </si>
  <si>
    <t xml:space="preserve"> &lt;토목품셈 1-5-4&gt;</t>
  </si>
  <si>
    <t xml:space="preserve">  '보통인부 :' 0.19 * ~L085~ =?LA+</t>
  </si>
  <si>
    <t xml:space="preserve">190_1_2+ = </t>
  </si>
  <si>
    <t>E0006020240</t>
  </si>
  <si>
    <t>(노+경+일반)의</t>
  </si>
  <si>
    <t xml:space="preserve">  '배 관 공 :'(0.13'인'/6.0'm') * ~L138~ =?LA+</t>
  </si>
  <si>
    <t xml:space="preserve">331_1_5 = </t>
  </si>
  <si>
    <t xml:space="preserve">384_1_2 = </t>
  </si>
  <si>
    <t xml:space="preserve">390_1_5 = </t>
  </si>
  <si>
    <t>LA</t>
  </si>
  <si>
    <t xml:space="preserve">1515_1_1+ = </t>
  </si>
  <si>
    <t xml:space="preserve">   '노 무 비 :' ~E0002010100.L~ / {Q} =?LA+</t>
  </si>
  <si>
    <t xml:space="preserve">390_1_6+ = </t>
  </si>
  <si>
    <t xml:space="preserve">491_1_2+ = </t>
  </si>
  <si>
    <t xml:space="preserve">1489_1_1 = </t>
  </si>
  <si>
    <t xml:space="preserve">     모    래</t>
  </si>
  <si>
    <t xml:space="preserve">760_1_1+ = </t>
  </si>
  <si>
    <t xml:space="preserve">380_3_1 = </t>
  </si>
  <si>
    <t>보통인부</t>
  </si>
  <si>
    <t>경    비</t>
  </si>
  <si>
    <t>.eq=tot(70)*qty()/100</t>
  </si>
  <si>
    <t xml:space="preserve">1342_1_2+ = </t>
  </si>
  <si>
    <t xml:space="preserve">1489_1_1+ = </t>
  </si>
  <si>
    <t xml:space="preserve">1786_1_2+ = </t>
  </si>
  <si>
    <t>140</t>
  </si>
  <si>
    <t>소형-공압식</t>
  </si>
  <si>
    <t xml:space="preserve"> 1. 공사안내판(각종)</t>
  </si>
  <si>
    <t xml:space="preserve">   1. 토         공</t>
  </si>
  <si>
    <t xml:space="preserve">1106_1_2 = </t>
  </si>
  <si>
    <t>G11060012</t>
  </si>
  <si>
    <t xml:space="preserve">1813_1_1 = </t>
  </si>
  <si>
    <t>시간당노임산출계수(해상장비:버켓준설선)</t>
  </si>
  <si>
    <t xml:space="preserve">31_1_1+ = </t>
  </si>
  <si>
    <t xml:space="preserve">   '재 료 비 :' ~E0032010003.M~ / {Q} =?MA+</t>
  </si>
  <si>
    <t xml:space="preserve">    휘 니 샤     3.0      1</t>
  </si>
  <si>
    <t xml:space="preserve">  '보통인부 :'  0.11/2 '인' * ~L085~ * {B}=?LA+</t>
  </si>
  <si>
    <t xml:space="preserve">251_1_1+ = </t>
  </si>
  <si>
    <t xml:space="preserve">632_1_1+ = </t>
  </si>
  <si>
    <t xml:space="preserve">1263_1_1 = </t>
  </si>
  <si>
    <t>.sang=1071,jung=536, kwan=691</t>
  </si>
  <si>
    <t>SA00450</t>
  </si>
  <si>
    <t>#21 분기관천공및접합</t>
  </si>
  <si>
    <t xml:space="preserve">394_1_1+ = </t>
  </si>
  <si>
    <t>화물차운전사</t>
  </si>
  <si>
    <t>노임금액소숫점</t>
  </si>
  <si>
    <t xml:space="preserve">1332_1_2 = </t>
  </si>
  <si>
    <t>SF04110</t>
  </si>
  <si>
    <t xml:space="preserve">K+ = </t>
  </si>
  <si>
    <t>.sang=1286,jung=786,kwan=504</t>
  </si>
  <si>
    <t xml:space="preserve">571_1_1 = </t>
  </si>
  <si>
    <t xml:space="preserve">333_1_1+ = </t>
  </si>
  <si>
    <t>SA00450</t>
  </si>
  <si>
    <t xml:space="preserve">750_1_1+ = </t>
  </si>
  <si>
    <t xml:space="preserve">   '보통인부 :' 1.0'인' / {B} * ~L085~ =?LA+</t>
  </si>
  <si>
    <t>잡    품</t>
  </si>
  <si>
    <t xml:space="preserve">     차선도색(페인트),유지보수</t>
  </si>
  <si>
    <t xml:space="preserve">1755_1_1 = </t>
  </si>
  <si>
    <t>노임단가소숫점</t>
  </si>
  <si>
    <t xml:space="preserve">173_1_1 = </t>
  </si>
  <si>
    <t xml:space="preserve">     사다리설치</t>
  </si>
  <si>
    <t>물자/1-107/물자/1-107</t>
  </si>
  <si>
    <t xml:space="preserve">   '경    비 : ' ~E0013050007.E~ / {Q1} =?EQ+</t>
  </si>
  <si>
    <t>#.41</t>
  </si>
  <si>
    <t xml:space="preserve">362_1_1+ = </t>
  </si>
  <si>
    <t xml:space="preserve">17,289 천원  </t>
  </si>
  <si>
    <t>100</t>
  </si>
  <si>
    <t xml:space="preserve"> 1. 조립식PC맨홀 (Ø1,500) - 별산</t>
  </si>
  <si>
    <t xml:space="preserve">109_1_1 = </t>
  </si>
  <si>
    <t>공구연장500m미만</t>
  </si>
  <si>
    <t>#40 교통안전시설</t>
  </si>
  <si>
    <t>G14060015</t>
  </si>
  <si>
    <t xml:space="preserve"> 가. 덤프트럭 운반 &lt;공통품셈 8-2-8 덤프 트럭&gt;</t>
  </si>
  <si>
    <t>90</t>
  </si>
  <si>
    <t xml:space="preserve">1364_1_3+ = </t>
  </si>
  <si>
    <t xml:space="preserve">  - 1회 이동량:1.5ton기준</t>
  </si>
  <si>
    <t xml:space="preserve">L2 = </t>
  </si>
  <si>
    <t>3.0m≤B, T=8~10cm</t>
  </si>
  <si>
    <t>3.0m≤B, T=8~10cm</t>
  </si>
  <si>
    <t xml:space="preserve">230_1_1+ = </t>
  </si>
  <si>
    <t xml:space="preserve">431_1_1+ = </t>
  </si>
  <si>
    <t>.EQ=TOT(70)*qty()/100</t>
  </si>
  <si>
    <t>3. 공구손료 및 경장비(인력품의 2%)</t>
  </si>
  <si>
    <t xml:space="preserve">392_1_4 = </t>
  </si>
  <si>
    <t xml:space="preserve">386_1_3 = </t>
  </si>
  <si>
    <t xml:space="preserve">62_1_1 = </t>
  </si>
  <si>
    <t>QLINCZ</t>
  </si>
  <si>
    <t>QH21</t>
  </si>
  <si>
    <t>변 수 명</t>
  </si>
  <si>
    <t xml:space="preserve">     아스팔트 기층 (대형장비)</t>
  </si>
  <si>
    <t>&gt;'소      계 : '</t>
  </si>
  <si>
    <t>125</t>
  </si>
  <si>
    <t xml:space="preserve">1749_1_1 = </t>
  </si>
  <si>
    <t>' - 년간관리비율: 10%, - 상각비율: 90%, - 정비비율: 40% '</t>
  </si>
  <si>
    <t xml:space="preserve">1328_1_1+ = </t>
  </si>
  <si>
    <t xml:space="preserve">  소      계 :</t>
  </si>
  <si>
    <t>'   - TA=박기작업 소요시간'</t>
  </si>
  <si>
    <t xml:space="preserve">366_1_1+ = </t>
  </si>
  <si>
    <t xml:space="preserve">705_1_1+ = </t>
  </si>
  <si>
    <t xml:space="preserve">112,342 천원  </t>
  </si>
  <si>
    <t xml:space="preserve">  '재 료 비 :' ~E0072040055.M~ / {Q} * {T0} / {CM} = ?MA+</t>
  </si>
  <si>
    <t>'    노무비:'~E0002010070.L~ * QA / L= ?LA+</t>
  </si>
  <si>
    <t>.A=0.66</t>
  </si>
  <si>
    <t xml:space="preserve">1028_1_1+ = </t>
  </si>
  <si>
    <t xml:space="preserve">1629_1_1+ = </t>
  </si>
  <si>
    <t xml:space="preserve">115_1_1 = </t>
  </si>
  <si>
    <t>총   계</t>
  </si>
  <si>
    <t xml:space="preserve">   1). 공기산정</t>
  </si>
  <si>
    <t xml:space="preserve">1792_1_1 = </t>
  </si>
  <si>
    <t xml:space="preserve">204_1_1+ = </t>
  </si>
  <si>
    <t>G33020038</t>
  </si>
  <si>
    <t>QUS2WON3</t>
  </si>
  <si>
    <t>50</t>
  </si>
  <si>
    <t xml:space="preserve">54_1_1+ = </t>
  </si>
  <si>
    <t xml:space="preserve">249_1_1 = </t>
  </si>
  <si>
    <t xml:space="preserve">362_1_2 = </t>
  </si>
  <si>
    <t xml:space="preserve">435_1_1+ = </t>
  </si>
  <si>
    <t>600×1200mm  (부속품별도)</t>
  </si>
  <si>
    <t>E0002300007</t>
  </si>
  <si>
    <t xml:space="preserve">    - T2=준비및 기타시간:</t>
  </si>
  <si>
    <t xml:space="preserve">1018_1_1+ = </t>
  </si>
  <si>
    <t>50</t>
  </si>
  <si>
    <t xml:space="preserve">      Q=3600*q*K*f*E/Cm=?'㎥/Hr'</t>
  </si>
  <si>
    <t xml:space="preserve"> 1. 굴삭기 1.0 M3</t>
  </si>
  <si>
    <t>물자/216/유통 P203</t>
  </si>
  <si>
    <t xml:space="preserve">292_1_1 = </t>
  </si>
  <si>
    <t xml:space="preserve">951_1_1 = </t>
  </si>
  <si>
    <t>M8922017</t>
  </si>
  <si>
    <t xml:space="preserve">1507_1_1 = </t>
  </si>
  <si>
    <t xml:space="preserve">LA+ = </t>
  </si>
  <si>
    <t xml:space="preserve">LA+ = </t>
  </si>
  <si>
    <t>E0012060008</t>
  </si>
  <si>
    <t>165</t>
  </si>
  <si>
    <t xml:space="preserve">     조립식PC맨홀(하부구체+상판)</t>
  </si>
  <si>
    <t xml:space="preserve">    3) 우수받이</t>
  </si>
  <si>
    <t>&lt;공통품셈 2-9-4&gt;</t>
  </si>
  <si>
    <t xml:space="preserve">1548_1_1+ = </t>
  </si>
  <si>
    <t>2. 인건비</t>
  </si>
  <si>
    <t>#.24</t>
  </si>
  <si>
    <t>180</t>
  </si>
  <si>
    <t xml:space="preserve">1782_1_2+ = </t>
  </si>
  <si>
    <t xml:space="preserve">1346_1_2+ = </t>
  </si>
  <si>
    <t xml:space="preserve">705_1_1 = </t>
  </si>
  <si>
    <t>'    재료비:'~E0002010100.M~*Cm2/60*(Wt/1.5)/28'm'= ?MA+</t>
  </si>
  <si>
    <t>내역서</t>
  </si>
  <si>
    <t>QDECLA</t>
  </si>
  <si>
    <t xml:space="preserve">KG    </t>
  </si>
  <si>
    <t xml:space="preserve">1354_1_2 = </t>
  </si>
  <si>
    <t xml:space="preserve">   '특별인부 :' 1.0'인' / {B} * ~L084~ =?LA+</t>
  </si>
  <si>
    <t xml:space="preserve">517_1_1 = </t>
  </si>
  <si>
    <t>10</t>
  </si>
  <si>
    <t xml:space="preserve">636_1_1+ = </t>
  </si>
  <si>
    <t>물자/797/물자1 P789</t>
  </si>
  <si>
    <t>10</t>
  </si>
  <si>
    <t xml:space="preserve">   '재 료 비 : ' ~E0006020045.M~ / {Q} =?MA+</t>
  </si>
  <si>
    <t>QYEN2WON</t>
  </si>
  <si>
    <t xml:space="preserve">D = </t>
  </si>
  <si>
    <t xml:space="preserve">      계</t>
  </si>
  <si>
    <t>유물/104/물자1 P249</t>
  </si>
  <si>
    <t>간단,6회-수직고7.0m 이하</t>
  </si>
  <si>
    <t xml:space="preserve">   13. 노인장기요양보험료</t>
  </si>
  <si>
    <t xml:space="preserve">천원  </t>
  </si>
  <si>
    <t xml:space="preserve">D = </t>
  </si>
  <si>
    <t xml:space="preserve">   소         계</t>
  </si>
  <si>
    <t>유물/116/물자1 P175</t>
  </si>
  <si>
    <t xml:space="preserve">337_1_1+ = </t>
  </si>
  <si>
    <t xml:space="preserve">390_1_1+ = </t>
  </si>
  <si>
    <t>QOPtimeDecOp</t>
  </si>
  <si>
    <t xml:space="preserve">1208_1_2 = </t>
  </si>
  <si>
    <t xml:space="preserve">1346_1_2 = </t>
  </si>
  <si>
    <t xml:space="preserve">1366_1_2+ = </t>
  </si>
  <si>
    <t>SE02100</t>
  </si>
  <si>
    <t>동력분무기   4.85Kw</t>
  </si>
  <si>
    <t xml:space="preserve">245_1_1+ = </t>
  </si>
  <si>
    <t xml:space="preserve">   '재 료 비 :'~MU230000~ * 50'EA' * 0.15 =  ?MA+</t>
  </si>
  <si>
    <t>라인 마커   10Km/hr</t>
  </si>
  <si>
    <t>SA04850</t>
  </si>
  <si>
    <t>아스팔트 피니셔   3 M</t>
  </si>
  <si>
    <t>트럭탑제형 크레인   10 TON</t>
  </si>
  <si>
    <t xml:space="preserve">   '재 료 비 : ' ~E0013060100.M~ / {Q1} =?MA+</t>
  </si>
  <si>
    <t>4.5 톤</t>
  </si>
  <si>
    <t>&gt;&gt;'   계'</t>
  </si>
  <si>
    <t>금 액</t>
  </si>
  <si>
    <t xml:space="preserve">      상부구체(원형3호)</t>
  </si>
  <si>
    <t>금 액</t>
  </si>
  <si>
    <t xml:space="preserve">431_1_1 = </t>
  </si>
  <si>
    <t>SF03850</t>
  </si>
  <si>
    <t xml:space="preserve">    '경    비:'~E0002010070.E~ / {Q} '&lt;HR&gt;' =?EQ+</t>
  </si>
  <si>
    <t xml:space="preserve">   소    계 :</t>
  </si>
  <si>
    <t>D1500x1000</t>
  </si>
  <si>
    <t xml:space="preserve">581_1_1+ = </t>
  </si>
  <si>
    <t>'    노무비:'~E0002010070.L~ * TB / L= ?LA+</t>
  </si>
  <si>
    <t xml:space="preserve">   소    계 :</t>
  </si>
  <si>
    <t>E0002010060</t>
  </si>
  <si>
    <t>4. 트럭 (2.5TON)</t>
  </si>
  <si>
    <t xml:space="preserve">T1+ = </t>
  </si>
  <si>
    <t xml:space="preserve">1558_1_1+ = </t>
  </si>
  <si>
    <t xml:space="preserve">  ({C} * ~M8448007~) / {Q} = ?EQ+</t>
  </si>
  <si>
    <t>2. 하차비 (일반하역요금 적용)</t>
  </si>
  <si>
    <t xml:space="preserve">     RSC-4</t>
  </si>
  <si>
    <t xml:space="preserve">175_1_1+ = </t>
  </si>
  <si>
    <t xml:space="preserve">  '배 관 공 :'0.13'인' * ~L138~ =?LA+</t>
  </si>
  <si>
    <t>EQ</t>
  </si>
  <si>
    <t>'1. 시멘트 :' 510 'KG' * 7570 / 40 =?MA+</t>
  </si>
  <si>
    <t xml:space="preserve">1792_1_2+ = </t>
  </si>
  <si>
    <t xml:space="preserve">1356_1_2+ = </t>
  </si>
  <si>
    <t xml:space="preserve">  - 내용년수:5년     -내용시간:6,000</t>
  </si>
  <si>
    <t>#3 아스팔트포장절단 | |m</t>
  </si>
  <si>
    <t xml:space="preserve">15_1_1+ = </t>
  </si>
  <si>
    <t>라바콘</t>
  </si>
  <si>
    <t xml:space="preserve">    6) 모래부설</t>
  </si>
  <si>
    <t xml:space="preserve">  &lt;건축품셈 9-1-1&gt;</t>
  </si>
  <si>
    <t xml:space="preserve">   '노 무 비 : '~E0027020020.L~ * {CM} * {A} * {N1} =?EQ+</t>
  </si>
  <si>
    <t xml:space="preserve">1008_1_1+ = </t>
  </si>
  <si>
    <t>.sang=1125,jung=563,kwan=674</t>
  </si>
  <si>
    <t>G06020045</t>
  </si>
  <si>
    <t>MZ91630</t>
  </si>
  <si>
    <t>MU230000</t>
  </si>
  <si>
    <t>G13050007</t>
  </si>
  <si>
    <t>'  1). 공기산정'</t>
  </si>
  <si>
    <t>1:3</t>
  </si>
  <si>
    <t xml:space="preserve">1509_1_1+ = </t>
  </si>
  <si>
    <t xml:space="preserve">   '특별인부 :' 3.0'인' / {A} * ~L084~ =?LA+ :B</t>
  </si>
  <si>
    <t xml:space="preserve">      ① 설   치</t>
  </si>
  <si>
    <t>#38 차선도색(페인트,수동식),유지보수 | 횡단보도,주차장|㎡</t>
  </si>
  <si>
    <t xml:space="preserve">  &lt;유지관리 2-1-2 아스콘포장 절단&gt;</t>
  </si>
  <si>
    <t xml:space="preserve">280_1_1 = </t>
  </si>
  <si>
    <t xml:space="preserve">333_1_1 = </t>
  </si>
  <si>
    <t xml:space="preserve">392_1_1 = </t>
  </si>
  <si>
    <t xml:space="preserve">725_1_1+ = </t>
  </si>
  <si>
    <t xml:space="preserve">   '경    비 : ' ~E0072040055.E~ / {Q1} * 0.5 =?EQ+</t>
  </si>
  <si>
    <t xml:space="preserve">1515_1_1 = </t>
  </si>
  <si>
    <t>2. 운반 (덤프트럭 24.0 TON)</t>
  </si>
  <si>
    <t>3. 공구손료 및 경장비의 기계경비 (인력품의 2%)</t>
  </si>
  <si>
    <t xml:space="preserve">   '재 료 비 :' ~E0014060015.M~ / {Q} =?MA+</t>
  </si>
  <si>
    <t xml:space="preserve">715_1_1+ = </t>
  </si>
  <si>
    <t xml:space="preserve">EO = </t>
  </si>
  <si>
    <t>1. 기계 ( 90 %) 백호우 0.7 M3</t>
  </si>
  <si>
    <t>QOPtimeDecCnt</t>
  </si>
  <si>
    <t>EQ=MA(70,0,80)*0.0054 + 1000-548</t>
  </si>
  <si>
    <t>108</t>
  </si>
  <si>
    <t xml:space="preserve">1340_1_3+ = </t>
  </si>
  <si>
    <t xml:space="preserve">1038_1_1+ = </t>
  </si>
  <si>
    <t xml:space="preserve">TA = </t>
  </si>
  <si>
    <t xml:space="preserve">214_1_1+ = </t>
  </si>
  <si>
    <t xml:space="preserve">107_1_1 = </t>
  </si>
  <si>
    <t>MZ900115</t>
  </si>
  <si>
    <t>1.3㎥/min</t>
  </si>
  <si>
    <t>3. 수팽창고무지수재 (20x10T)</t>
  </si>
  <si>
    <t>'    중기명 : 규 격 :    트 레 일 러     '</t>
  </si>
  <si>
    <t>#.22</t>
  </si>
  <si>
    <t>#35 차선도색(페인트,기계식),유지보수</t>
  </si>
  <si>
    <t xml:space="preserve">56_1_1 = </t>
  </si>
  <si>
    <t>굴삭기(무한궤도)   0.6 M3</t>
  </si>
  <si>
    <t>A12</t>
  </si>
  <si>
    <t>E0013060120</t>
  </si>
  <si>
    <t xml:space="preserve">    나.살수차 (5500 L) - 1대</t>
  </si>
  <si>
    <t xml:space="preserve">1530_1_2 = </t>
  </si>
  <si>
    <t xml:space="preserve">1003_1_2+ = </t>
  </si>
  <si>
    <t>#2 아스콘포장깨기</t>
  </si>
  <si>
    <t xml:space="preserve">394_1_3 = </t>
  </si>
  <si>
    <t>공 종 명</t>
  </si>
  <si>
    <t xml:space="preserve">   '경    비 :' ~E0012060008.E~ / {Q} =?EQ+</t>
  </si>
  <si>
    <t>Ø14" × 3.2t (콘크리트,아스팔트용)</t>
  </si>
  <si>
    <t xml:space="preserve">1509_1_1 = </t>
  </si>
  <si>
    <t xml:space="preserve">   '재 료 비:' ~E0002010100.M~ / {Q}  =?MA+</t>
  </si>
  <si>
    <t>공 종 명</t>
  </si>
  <si>
    <t>.sang=2500,jung=0  , kwan=0</t>
  </si>
  <si>
    <t xml:space="preserve">    '경    비 : '~E0002010070.E~ / {Q} * {A} =?EQ+</t>
  </si>
  <si>
    <t>경비</t>
  </si>
  <si>
    <t xml:space="preserve">   22. 이          윤</t>
  </si>
  <si>
    <t>3. 공구손료 및 잡재료(노무비의 5%)</t>
  </si>
  <si>
    <t>경    유</t>
  </si>
  <si>
    <t xml:space="preserve">     {B} '인' * ~L085~ =?LA+</t>
  </si>
  <si>
    <t>#44 몰탈 | 1:3|㎥</t>
  </si>
  <si>
    <t>&gt;&gt;&gt;'합   계'</t>
  </si>
  <si>
    <t xml:space="preserve">573_1_1+ = </t>
  </si>
  <si>
    <t xml:space="preserve">1747_1_1 = </t>
  </si>
  <si>
    <t>1. 트레일러 (20 TON) - 6대</t>
  </si>
  <si>
    <t>.A=0.9</t>
  </si>
  <si>
    <t xml:space="preserve"> &lt;공통품셈 8-2-13 대형 브레이커&gt;</t>
  </si>
  <si>
    <t>.sang=750, jung=417, kwan=552</t>
  </si>
  <si>
    <t>Ø22X300X220</t>
  </si>
  <si>
    <t>노임할증계수(터널구간:야간)</t>
  </si>
  <si>
    <t>QECU2WON</t>
  </si>
  <si>
    <t xml:space="preserve">      환봉연결구</t>
  </si>
  <si>
    <t xml:space="preserve">     보조기층(기계시공)</t>
  </si>
  <si>
    <t xml:space="preserve">   '특별인부 :' 2.0'인' / {A} * ~L084~ =?LA+ :D</t>
  </si>
  <si>
    <t xml:space="preserve">   '경    비 :' ~E0002010100.E~ / {Q} =?EQ+</t>
  </si>
  <si>
    <t xml:space="preserve">21_1_1+ = </t>
  </si>
  <si>
    <t>백색-파선</t>
  </si>
  <si>
    <t>도로표지용유리알</t>
  </si>
  <si>
    <t>노임할증계수(장대터널:주야간)</t>
  </si>
  <si>
    <t xml:space="preserve">   25. 폐 기 물 처 리</t>
  </si>
  <si>
    <t xml:space="preserve">A = </t>
  </si>
  <si>
    <t xml:space="preserve">90,649 천원  </t>
  </si>
  <si>
    <t xml:space="preserve">   24. 관 급 자 재 대</t>
  </si>
  <si>
    <t xml:space="preserve">   1) 윙카호스 &lt;공통품셈 2-9-11&gt;</t>
  </si>
  <si>
    <t>123</t>
  </si>
  <si>
    <t>' - 년간표준공용일수:150일'</t>
  </si>
  <si>
    <t xml:space="preserve">384_1_1+ = </t>
  </si>
  <si>
    <t>E0052100013</t>
  </si>
  <si>
    <t xml:space="preserve">   값   </t>
  </si>
  <si>
    <t>&gt;&gt;  '계'</t>
  </si>
  <si>
    <t>L085</t>
  </si>
  <si>
    <t>경비계금액소숫점</t>
  </si>
  <si>
    <t xml:space="preserve">770_1_1+ = </t>
  </si>
  <si>
    <t xml:space="preserve">AAA1 = </t>
  </si>
  <si>
    <t>10Km/hr</t>
  </si>
  <si>
    <t xml:space="preserve">     폐기물상차</t>
  </si>
  <si>
    <t xml:space="preserve"> &lt;공통품셈 6-7-2&gt;</t>
  </si>
  <si>
    <t>4. 공구손료 및 소모재료 (인력품의 8%)</t>
  </si>
  <si>
    <t>#7 구조물터파기(보통토사)</t>
  </si>
  <si>
    <t>#10 사토(토사) | 굴삭기 0.7㎥|㎥</t>
  </si>
  <si>
    <t>1.0 M3</t>
  </si>
  <si>
    <t>물탱크 5500ℓ</t>
  </si>
  <si>
    <t xml:space="preserve">1352_1_2+ = </t>
  </si>
  <si>
    <t xml:space="preserve">1499_1_1+ = </t>
  </si>
  <si>
    <t>'○ 1시간 작업량 :' Q = {A} / 8'hr' =?'M/hr'</t>
  </si>
  <si>
    <t>소형브레이카(공압식)</t>
  </si>
  <si>
    <t xml:space="preserve">   15. 건설기계보증수수료</t>
  </si>
  <si>
    <t xml:space="preserve">470_1_1+ = </t>
  </si>
  <si>
    <t xml:space="preserve">628_2_1+ = </t>
  </si>
  <si>
    <t>E0027020020</t>
  </si>
  <si>
    <t xml:space="preserve">      '경    비 : '~E0021040010.E~ * {T2}*{D}=?EQ+</t>
  </si>
  <si>
    <t xml:space="preserve">Q+ = </t>
  </si>
  <si>
    <t>D300x45˚</t>
  </si>
  <si>
    <t>.MA=MA(260,0,290)_x000D_
.LA=LA(260,0,290)_x000D_
.EQ=EQ(260,0,290)</t>
  </si>
  <si>
    <t>D300x45˚</t>
  </si>
  <si>
    <t xml:space="preserve">266_1_1 = </t>
  </si>
  <si>
    <t xml:space="preserve">T3 = </t>
  </si>
  <si>
    <t xml:space="preserve">103,333 천원  </t>
  </si>
  <si>
    <t xml:space="preserve">228_1_1+ = </t>
  </si>
  <si>
    <t>3800 L</t>
  </si>
  <si>
    <t xml:space="preserve">      아 스 콘</t>
  </si>
  <si>
    <t xml:space="preserve">922_1_1 = </t>
  </si>
  <si>
    <t>D1000x600mm</t>
  </si>
  <si>
    <t>' - 1회 이동량:1.5ton기준'</t>
  </si>
  <si>
    <t>크레인(타이어)</t>
  </si>
  <si>
    <t xml:space="preserve">   '경    비 : '~E0027020020.E~ * {CM} * {A} * {N1} =?EQ+</t>
  </si>
  <si>
    <t xml:space="preserve">729_1_1+ = </t>
  </si>
  <si>
    <t>.공원, 단지, 택지조성공사의 보도 등 장비이동 및 적재가 용이한 구간</t>
  </si>
  <si>
    <t xml:space="preserve">68_1_2 = </t>
  </si>
  <si>
    <t xml:space="preserve">337_1_2 = </t>
  </si>
  <si>
    <t xml:space="preserve">   T0 = 10 + 20 + T2 = ?</t>
  </si>
  <si>
    <t>#.26</t>
  </si>
  <si>
    <t xml:space="preserve">T8 = </t>
  </si>
  <si>
    <t xml:space="preserve">   '운반비 :'(~GTR105010.E~/10.5*0.2)/{B}=?EQ+</t>
  </si>
  <si>
    <t>물탱크(살수차)</t>
  </si>
  <si>
    <t xml:space="preserve">1505_1_1+ = </t>
  </si>
  <si>
    <t xml:space="preserve">6,966 천원  </t>
  </si>
  <si>
    <t>D1000x600mm</t>
  </si>
  <si>
    <t xml:space="preserve">136,400 천원  </t>
  </si>
  <si>
    <t xml:space="preserve">1166_1_1+ = </t>
  </si>
  <si>
    <t xml:space="preserve">1757_1_1+ = </t>
  </si>
  <si>
    <t xml:space="preserve"> 가. 페인트 (수용성형) : 백색</t>
  </si>
  <si>
    <t xml:space="preserve">    '노무비 :' {S}'㎥' * ~SB00900.L~ =?LA+</t>
  </si>
  <si>
    <t>#13 레디믹스콘크리트타설</t>
  </si>
  <si>
    <t xml:space="preserve">21,982 천원  </t>
  </si>
  <si>
    <t>0.7 M3</t>
  </si>
  <si>
    <t>견적가/견적가</t>
  </si>
  <si>
    <t xml:space="preserve">1635_1_1+ = </t>
  </si>
  <si>
    <t xml:space="preserve">  '특별인부 :' 0.80 * ~L084~ =?LA+</t>
  </si>
  <si>
    <t xml:space="preserve">   '재 료 비 : ' ~E0013050007.M~ / {Q1} =?MA+</t>
  </si>
  <si>
    <t xml:space="preserve">218_1_1+ = </t>
  </si>
  <si>
    <t>M9366005</t>
  </si>
  <si>
    <t>QDECEQ</t>
  </si>
  <si>
    <t>MU240000</t>
  </si>
  <si>
    <t xml:space="preserve">     보차도경계석(직선)</t>
  </si>
  <si>
    <t xml:space="preserve"> - 흙막이 재원:(DS403825)</t>
  </si>
  <si>
    <t>2017년 개정</t>
  </si>
  <si>
    <t xml:space="preserve">1406_1_1+ = </t>
  </si>
  <si>
    <t xml:space="preserve">538_1_1 = </t>
  </si>
  <si>
    <t xml:space="preserve">     Q1 ={E} 'hr' =?</t>
  </si>
  <si>
    <t>4. 핸드가이드식 진동롤러 (0.7 TON)</t>
  </si>
  <si>
    <t xml:space="preserve">249_1_1+ = </t>
  </si>
  <si>
    <t xml:space="preserve">1342_1_1 = </t>
  </si>
  <si>
    <t xml:space="preserve">   '경    비 : '{D}'HR'* ~E0021050010.E~ =?EQ+</t>
  </si>
  <si>
    <t>G32010003</t>
  </si>
  <si>
    <t xml:space="preserve">1208_1_2+ = </t>
  </si>
  <si>
    <t xml:space="preserve">         '보통인부 :'0.18'인/개'* ~L085~ * {A}'개'  =  ?LA+</t>
  </si>
  <si>
    <t xml:space="preserve">81_1_2+ = </t>
  </si>
  <si>
    <t xml:space="preserve">    진동 롤러  10         1</t>
  </si>
  <si>
    <t xml:space="preserve">47,263 천원  </t>
  </si>
  <si>
    <t>%</t>
  </si>
  <si>
    <t xml:space="preserve">1364_1_1 = </t>
  </si>
  <si>
    <t xml:space="preserve">      TB = L * H * 2 * t6 / 60= ?</t>
  </si>
  <si>
    <t>SA02100</t>
  </si>
  <si>
    <t>QUS2WON1</t>
  </si>
  <si>
    <t>10cm</t>
  </si>
  <si>
    <t xml:space="preserve">      '노 무 비 : '~E0072040055.L~ * {T2}*{D}=?EQ+</t>
  </si>
  <si>
    <t>SA02100</t>
  </si>
  <si>
    <t>탠덤롤러(자주식)</t>
  </si>
  <si>
    <t xml:space="preserve">1038_1_1 = </t>
  </si>
  <si>
    <t>5. 사급자재대</t>
  </si>
  <si>
    <t>&gt; 계</t>
  </si>
  <si>
    <t xml:space="preserve">750_1_1 = </t>
  </si>
  <si>
    <t>4. 공구손료 및 경장비 기계경비(품의 3%)</t>
  </si>
  <si>
    <t>#.28</t>
  </si>
  <si>
    <t>.sang=1125 ,jung=563 ,kwan=674</t>
  </si>
  <si>
    <t xml:space="preserve">      '경    비 : '~E0033020038.E~ * {T2}*{D}=?EQ+</t>
  </si>
  <si>
    <t>L081</t>
  </si>
  <si>
    <t>가림막휀스</t>
  </si>
  <si>
    <t>ma=ma(10,0,60)_x000D_
LA=LA(10,0,60)_x000D_
EQ=EQ(10,0,60)</t>
  </si>
  <si>
    <t xml:space="preserve">1150_1_1 = </t>
  </si>
  <si>
    <t xml:space="preserve">776_1_1 = </t>
  </si>
  <si>
    <t>.MA = MA(300,0,310)_x000D_
.LA = LA(300,0,310)_x000D_
.EQ = EQ(300,0,310)</t>
  </si>
  <si>
    <t xml:space="preserve">19_1_1+ = </t>
  </si>
  <si>
    <t xml:space="preserve">638_1_1 = </t>
  </si>
  <si>
    <t>D 250mm</t>
  </si>
  <si>
    <t>SE01910</t>
  </si>
  <si>
    <t xml:space="preserve">1436_1_1+ = </t>
  </si>
  <si>
    <t>.C=0.01</t>
  </si>
  <si>
    <t>Ø 1500 MM</t>
  </si>
  <si>
    <t>.C=0.01</t>
  </si>
  <si>
    <t>KSL2521 1호</t>
  </si>
  <si>
    <t>SB01110</t>
  </si>
  <si>
    <t>가림막휀스</t>
  </si>
  <si>
    <t xml:space="preserve">1660_1_1+ = </t>
  </si>
  <si>
    <t xml:space="preserve">   '경    비 : '{D}'HR' * ~E0021040010.E~ =?EQ+</t>
  </si>
  <si>
    <t xml:space="preserve">  '노 무 비:'  ~SA00500.L~ * {A}'㎥'  =?LA+</t>
  </si>
  <si>
    <t xml:space="preserve">             V=15/20</t>
  </si>
  <si>
    <t>비교검토</t>
  </si>
  <si>
    <t>중기야간경비산출계수</t>
  </si>
  <si>
    <t xml:space="preserve">S = </t>
  </si>
  <si>
    <t>'   재 료 비:'~MZ206110~ * {S} * {D} / 28'm'= ?MA+</t>
  </si>
  <si>
    <t xml:space="preserve">1560_1_1+ = </t>
  </si>
  <si>
    <t>#38 차선도색(페인트,수동식),유지보수</t>
  </si>
  <si>
    <t>56900017059</t>
  </si>
  <si>
    <t xml:space="preserve">1236_1_1 = </t>
  </si>
  <si>
    <t xml:space="preserve">1324_1_1 = </t>
  </si>
  <si>
    <t xml:space="preserve">D1 = </t>
  </si>
  <si>
    <t>470</t>
  </si>
  <si>
    <t xml:space="preserve">    소    계</t>
  </si>
  <si>
    <t xml:space="preserve">      조달수수료</t>
  </si>
  <si>
    <t xml:space="preserve">1795_1_1+ = </t>
  </si>
  <si>
    <t>'○ 포설 및 다짐 작업 포함'</t>
  </si>
  <si>
    <t xml:space="preserve">     맨홀뚜껑설치(차도부)</t>
  </si>
  <si>
    <t>황색-실선</t>
  </si>
  <si>
    <t>단 가</t>
  </si>
  <si>
    <t xml:space="preserve">     분기관천공및접합</t>
  </si>
  <si>
    <t>310</t>
  </si>
  <si>
    <t>QLINCX</t>
  </si>
  <si>
    <t xml:space="preserve">&gt;&gt;EQ = </t>
  </si>
  <si>
    <t>G72100485</t>
  </si>
  <si>
    <t xml:space="preserve">1110_1_1 = </t>
  </si>
  <si>
    <t>L041</t>
  </si>
  <si>
    <t xml:space="preserve">1495_1_1+ = </t>
  </si>
  <si>
    <t>비    고</t>
  </si>
  <si>
    <t xml:space="preserve">&gt;&gt;EQ = </t>
  </si>
  <si>
    <t>건설기계운전사</t>
  </si>
  <si>
    <t>공기압축기(이동식)   3.5 M3/Min</t>
  </si>
  <si>
    <t xml:space="preserve"> ○ 종합 일당시공량 대비 적용시공량 : 50 %</t>
  </si>
  <si>
    <t xml:space="preserve">1432_1_1+ = </t>
  </si>
  <si>
    <t xml:space="preserve">   합  계</t>
  </si>
  <si>
    <t xml:space="preserve">    - T1=판넬 압입시간</t>
  </si>
  <si>
    <t xml:space="preserve">   '노 무 비 ' ~E0002010070.L~ / {Q} = ?LA</t>
  </si>
  <si>
    <t>S</t>
  </si>
  <si>
    <t xml:space="preserve"> &lt;토목품셈 1-5-1&gt;</t>
  </si>
  <si>
    <t>#17 우수받이 설치 | 900-1100미만|개</t>
  </si>
  <si>
    <t xml:space="preserve">  &lt;공통품셈 6-1-1&gt;</t>
  </si>
  <si>
    <t xml:space="preserve">368_1_1 = </t>
  </si>
  <si>
    <t xml:space="preserve">226_1_1 = </t>
  </si>
  <si>
    <t>유제아스팔트</t>
  </si>
  <si>
    <t>&gt;&gt;'합  계'</t>
  </si>
  <si>
    <t xml:space="preserve">   1). B.H 0.7㎥ 시간당 작업량</t>
  </si>
  <si>
    <t xml:space="preserve">TB+ = </t>
  </si>
  <si>
    <t>KSM6080(2종),18ℓ</t>
  </si>
  <si>
    <t xml:space="preserve">&gt;&gt;&gt;MA = </t>
  </si>
  <si>
    <t xml:space="preserve">1487_1_1 = </t>
  </si>
  <si>
    <t>물탱크(살수차)   5500 L</t>
  </si>
  <si>
    <t xml:space="preserve">312_1_1 = </t>
  </si>
  <si>
    <t xml:space="preserve"> =======================================</t>
  </si>
  <si>
    <t xml:space="preserve">※ 노란색 셀을 수정하고 툴바에서 수식 &gt; 시트계산을 하면 </t>
  </si>
  <si>
    <t xml:space="preserve">1162_1_1+ = </t>
  </si>
  <si>
    <t>구)운전사(기계)</t>
  </si>
  <si>
    <t xml:space="preserve">   MA() * 0.05 =?LA+</t>
  </si>
  <si>
    <t xml:space="preserve">   '재 료 비 : ' ~E0072040055.M~ / {Q1} * 0.5 =?MA+</t>
  </si>
  <si>
    <t xml:space="preserve">1426_1_1 = </t>
  </si>
  <si>
    <t xml:space="preserve">&gt;&gt;&gt;MA = </t>
  </si>
  <si>
    <t>D600mm</t>
  </si>
  <si>
    <t>350</t>
  </si>
  <si>
    <t xml:space="preserve">1753_1_1+ = </t>
  </si>
  <si>
    <t xml:space="preserve">1330_1_1+ = </t>
  </si>
  <si>
    <t xml:space="preserve">1152_1_1+ = </t>
  </si>
  <si>
    <t xml:space="preserve">  '보통인부 :'(0.12'인'/6.0'm') * ~L085~ =?LA+</t>
  </si>
  <si>
    <t>#34 아스팔트운반비</t>
  </si>
  <si>
    <t>노임할증계수(해상장비:주간)</t>
  </si>
  <si>
    <t xml:space="preserve">   '노 무 비 : ' ~E0006020025.L~ / {Q} =?LA+</t>
  </si>
  <si>
    <t xml:space="preserve">1030_1_1+ = </t>
  </si>
  <si>
    <t xml:space="preserve"> 2. 흙막이(TS판넬) 인발</t>
  </si>
  <si>
    <t xml:space="preserve">      TA=T0+T1+T2= ?, QA=T1+T2= ?</t>
  </si>
  <si>
    <t>.sang=1286,jung=857,kwan=682</t>
  </si>
  <si>
    <t>대형 브레이카   0.7 M3용</t>
  </si>
  <si>
    <t xml:space="preserve">1424_1_1 = </t>
  </si>
  <si>
    <t xml:space="preserve">  2). 인건비(작업반 편성)</t>
  </si>
  <si>
    <t xml:space="preserve">    - TA=박기작업 소요시간</t>
  </si>
  <si>
    <t xml:space="preserve">310_1_1 = </t>
  </si>
  <si>
    <t xml:space="preserve">202_1_1 = </t>
  </si>
  <si>
    <t xml:space="preserve">   '경    비 : ' ~E0002010100.E~ / {Q1} =?EQ+</t>
  </si>
  <si>
    <t>타이어롤러(자주식)   8 - 15 TON</t>
  </si>
  <si>
    <t>M8448007</t>
  </si>
  <si>
    <t>QLINCB</t>
  </si>
  <si>
    <t>#25 사다리설치</t>
  </si>
  <si>
    <t xml:space="preserve">    '노 무 비 : '~E0052050035.L~ * {Q1} =?LA+</t>
  </si>
  <si>
    <t xml:space="preserve">1575_1_2 = </t>
  </si>
  <si>
    <t>물자/1-164/물자/1-164</t>
  </si>
  <si>
    <t xml:space="preserve">     Cm2=t8+t9+t10=?'분'</t>
  </si>
  <si>
    <t>G</t>
  </si>
  <si>
    <t>#14 유로폼 조립.해체(벽체)</t>
  </si>
  <si>
    <t>' - 연간표준가동시간:1,200'</t>
  </si>
  <si>
    <t xml:space="preserve"> 가.트럭 (4.5TON)</t>
  </si>
  <si>
    <t>56900017122</t>
  </si>
  <si>
    <t xml:space="preserve">   계</t>
  </si>
  <si>
    <t xml:space="preserve">   '노 무 비 :' ~E0002010040.L~ / {Q} =?LA+</t>
  </si>
  <si>
    <t>비 고</t>
  </si>
  <si>
    <t xml:space="preserve">1620_1_1+ = </t>
  </si>
  <si>
    <t xml:space="preserve">147,825 천원  </t>
  </si>
  <si>
    <t xml:space="preserve">1442_1_1+ = </t>
  </si>
  <si>
    <t xml:space="preserve">1629_1_2 = </t>
  </si>
  <si>
    <t>QDM2WON</t>
  </si>
  <si>
    <t>노임할증계수(터널구간:주간)</t>
  </si>
  <si>
    <t xml:space="preserve">HR    </t>
  </si>
  <si>
    <t>비 고</t>
  </si>
  <si>
    <t>#.1</t>
  </si>
  <si>
    <t>.sang=750, jung=500, kwan=552</t>
  </si>
  <si>
    <t>윙카호스</t>
  </si>
  <si>
    <t>4. 부  대  공</t>
  </si>
  <si>
    <t xml:space="preserve">      소    계 :</t>
  </si>
  <si>
    <t xml:space="preserve">62_1_2+ = </t>
  </si>
  <si>
    <t>'× ((1.1×내용년수+0.9)/(2×내용연수))'</t>
  </si>
  <si>
    <t xml:space="preserve">1724_1_1 = </t>
  </si>
  <si>
    <t xml:space="preserve">1778_1_1 = </t>
  </si>
  <si>
    <t>'○ 1시간 작업량 :' Q = {A} / 8'hr' =?'m3/hr'</t>
  </si>
  <si>
    <t xml:space="preserve">   도 급 예 정 액</t>
  </si>
  <si>
    <t>280</t>
  </si>
  <si>
    <t xml:space="preserve">1387_1_1 = </t>
  </si>
  <si>
    <t xml:space="preserve">1370_1_1+ = </t>
  </si>
  <si>
    <t xml:space="preserve">1326_1_1 = </t>
  </si>
  <si>
    <t xml:space="preserve">1234_1_1 = </t>
  </si>
  <si>
    <t xml:space="preserve">1112_1_1+ = </t>
  </si>
  <si>
    <t xml:space="preserve">    Q = (3600*q*f*K*E)/cm = ?'㎥/hr'</t>
  </si>
  <si>
    <t>MU210000</t>
  </si>
  <si>
    <t>#.30</t>
  </si>
  <si>
    <t>1.맨홀뚜껑(φ648)</t>
  </si>
  <si>
    <t>'   - T0=굴착 소요시간'</t>
  </si>
  <si>
    <t xml:space="preserve">468_1_1 = </t>
  </si>
  <si>
    <t>혼합골재</t>
  </si>
  <si>
    <t>.SANG=900*1.1, JUNG=700*1.1, KWAN=485</t>
  </si>
  <si>
    <t xml:space="preserve">1212_1_1 = </t>
  </si>
  <si>
    <t>3. 기계사용료</t>
  </si>
  <si>
    <t>.sang=900 ,jung=650 ,kwan=679</t>
  </si>
  <si>
    <t>RSC-4:30ℓ/a</t>
  </si>
  <si>
    <t xml:space="preserve">1212_1_1+ = </t>
  </si>
  <si>
    <t xml:space="preserve">331_1_2+ = </t>
  </si>
  <si>
    <t xml:space="preserve">S2 = </t>
  </si>
  <si>
    <t>D200x45˚</t>
  </si>
  <si>
    <t>EA</t>
  </si>
  <si>
    <t xml:space="preserve">1040_1_1+ = </t>
  </si>
  <si>
    <t xml:space="preserve">1222_1_1+ = </t>
  </si>
  <si>
    <t xml:space="preserve">1285_1_1+ = </t>
  </si>
  <si>
    <t xml:space="preserve">768_1_1 = </t>
  </si>
  <si>
    <t>중기가격</t>
  </si>
  <si>
    <t xml:space="preserve">   '노 무 비 : ' ~E0002010100.L~ / {Q} =?LA+</t>
  </si>
  <si>
    <t>D200x45˚</t>
  </si>
  <si>
    <t>#36 차선도색(페인트,기계식),유지보수 | 백색-파선|㎡</t>
  </si>
  <si>
    <t xml:space="preserve">1112_1_1 = </t>
  </si>
  <si>
    <t>공사안전PE드럼</t>
  </si>
  <si>
    <t xml:space="preserve">1122_1_1+ = </t>
  </si>
  <si>
    <t>환율(사용자 환율1)</t>
  </si>
  <si>
    <t xml:space="preserve">   '재 료 비 :' ~E0013060120.M~ / {Q} =?MA+</t>
  </si>
  <si>
    <t xml:space="preserve">  '보통인부 :' 1'인' / {A} * ~L085~ = ?LA+</t>
  </si>
  <si>
    <t xml:space="preserve">1340_1_1+ = </t>
  </si>
  <si>
    <t xml:space="preserve">1026_1_1 = </t>
  </si>
  <si>
    <t xml:space="preserve">1087_1_1 = </t>
  </si>
  <si>
    <t xml:space="preserve">1134_1_1 = </t>
  </si>
  <si>
    <t xml:space="preserve">     텍코팅(기계식)</t>
  </si>
  <si>
    <t>SF05075</t>
  </si>
  <si>
    <t>MZ2602032</t>
  </si>
  <si>
    <t>물자/1-167/물자/1-167</t>
  </si>
  <si>
    <t>#.15</t>
  </si>
  <si>
    <t>#4 폐기물상차</t>
  </si>
  <si>
    <t>&gt;&gt;' 계'</t>
  </si>
  <si>
    <t xml:space="preserve">    '재 료 비 :' ~MU240000~ * {50}'&lt;개&gt;'* 0.15 = ?MA+:AAA1</t>
  </si>
  <si>
    <t>240</t>
  </si>
  <si>
    <t xml:space="preserve">1575_1_1+ = </t>
  </si>
  <si>
    <t>#23 조립식PC맨홀(하부구체+상판)</t>
  </si>
  <si>
    <t xml:space="preserve">634_1_2+ = </t>
  </si>
  <si>
    <t xml:space="preserve">1366_1_1 = </t>
  </si>
  <si>
    <t xml:space="preserve">K = </t>
  </si>
  <si>
    <t>&gt;&gt;'      계 : '</t>
  </si>
  <si>
    <t xml:space="preserve">  '특별인부 :' 1'인' / {A} * ~L084~ = ?LA+</t>
  </si>
  <si>
    <t xml:space="preserve">    7) 사토(토사)</t>
  </si>
  <si>
    <t xml:space="preserve">1340_1_1 = </t>
  </si>
  <si>
    <t xml:space="preserve">   '재 료 비 :' ~E0033020038.M~ / {Q} =?MA+</t>
  </si>
  <si>
    <t xml:space="preserve">A1 = </t>
  </si>
  <si>
    <t>휘 발 유</t>
  </si>
  <si>
    <t>&gt;&gt;'      계 : '</t>
  </si>
  <si>
    <t xml:space="preserve">  LA() * 0.05 =?EQ+</t>
  </si>
  <si>
    <t xml:space="preserve">335_1_2+ = </t>
  </si>
  <si>
    <t xml:space="preserve">392_1_2+ = </t>
  </si>
  <si>
    <t xml:space="preserve">S2+ = </t>
  </si>
  <si>
    <t xml:space="preserve">   '재 료 비 : '{D}'HR'/6.0'm'* ~E0021050010.M~ =?MA+</t>
  </si>
  <si>
    <t xml:space="preserve">1152_1_1 = </t>
  </si>
  <si>
    <t xml:space="preserve">634_1_4 = </t>
  </si>
  <si>
    <t xml:space="preserve">666_1_1 = </t>
  </si>
  <si>
    <t>2. 아스팔트 디스트리뷰터(3800ℓ)</t>
  </si>
  <si>
    <t>산 출 근 거</t>
  </si>
  <si>
    <t>56900017041</t>
  </si>
  <si>
    <t xml:space="preserve">1040_1_1 = </t>
  </si>
  <si>
    <t>2. 아스팔트 디스트리뷰터(3800ℓ)</t>
  </si>
  <si>
    <t xml:space="preserve">  소   계</t>
  </si>
  <si>
    <t>공기압축기(이동식)</t>
  </si>
  <si>
    <t xml:space="preserve"> &lt;공통품셈 6-7-3&gt;</t>
  </si>
  <si>
    <t>대형 브레이카</t>
  </si>
  <si>
    <t xml:space="preserve">640_1_1 = </t>
  </si>
  <si>
    <t xml:space="preserve">   Q = 60 * 5.5 * {E} / {CM} =?</t>
  </si>
  <si>
    <t>.EQ=LA(70)*qty()/100</t>
  </si>
  <si>
    <t xml:space="preserve">1189_1_1 = </t>
  </si>
  <si>
    <t xml:space="preserve">1344_1_1+ = </t>
  </si>
  <si>
    <t>2. 고르기(인력 10%)</t>
  </si>
  <si>
    <t xml:space="preserve">1003_1_2 = </t>
  </si>
  <si>
    <t>QDATE</t>
  </si>
  <si>
    <t>200</t>
  </si>
  <si>
    <t>SB01025</t>
  </si>
  <si>
    <t xml:space="preserve">920_1_1 = </t>
  </si>
  <si>
    <t>SB01025</t>
  </si>
  <si>
    <t>.A=0.57</t>
  </si>
  <si>
    <t>.sang=900, jung=700, kwan=485</t>
  </si>
  <si>
    <t xml:space="preserve">922 천원  </t>
  </si>
  <si>
    <t xml:space="preserve">  토사발생  --------&gt;  사 토 장</t>
  </si>
  <si>
    <t xml:space="preserve">1499_1_1 = </t>
  </si>
  <si>
    <t>배 관 공</t>
  </si>
  <si>
    <t xml:space="preserve">335_1_2 = </t>
  </si>
  <si>
    <t xml:space="preserve">394_1_2 = </t>
  </si>
  <si>
    <t>.D=0.31</t>
  </si>
  <si>
    <t>시간당노임산출계수(터널구간)</t>
  </si>
  <si>
    <t xml:space="preserve"> 1. 흙막이(TS판넬) 압입</t>
  </si>
  <si>
    <t xml:space="preserve">1277_1_1+ = </t>
  </si>
  <si>
    <t xml:space="preserve">1569_1_2 = </t>
  </si>
  <si>
    <t xml:space="preserve">362_1_6 = </t>
  </si>
  <si>
    <t xml:space="preserve">64,113 천원  </t>
  </si>
  <si>
    <t xml:space="preserve">  '경    비 :' ~E0072100485.E~ / {Q} * 0.5 =?EQ+</t>
  </si>
  <si>
    <t>25-21-80</t>
  </si>
  <si>
    <t xml:space="preserve">384_1_3+ = </t>
  </si>
  <si>
    <t xml:space="preserve">1442_1_1 = </t>
  </si>
  <si>
    <t>D300mm</t>
  </si>
  <si>
    <t>덤프트럭 자동덮개시설   24톤용</t>
  </si>
  <si>
    <t xml:space="preserve">1446_1_1+ = </t>
  </si>
  <si>
    <t xml:space="preserve">1749_1_2+ = </t>
  </si>
  <si>
    <t xml:space="preserve">1786_1_2 = </t>
  </si>
  <si>
    <t xml:space="preserve">    ~L085~ * 2 '인' * {A} '일' =?LA+</t>
  </si>
  <si>
    <t>MA</t>
  </si>
  <si>
    <t xml:space="preserve">   '보통인부 :' 1.0'인' / {A} * ~L085~ =?LA+</t>
  </si>
  <si>
    <t>D300mm</t>
  </si>
  <si>
    <t xml:space="preserve">364_1_2+ = </t>
  </si>
  <si>
    <t xml:space="preserve">1635_1_2 = </t>
  </si>
  <si>
    <t>재료비할증계수(주야간)</t>
  </si>
  <si>
    <t xml:space="preserve">   S = ((0.9+0.4)/6000+(0.1/1200)*((1.1*5+0.9)/(2*5)))*8={? ,'9.9999R'}</t>
  </si>
  <si>
    <t>물자/1-166/물자/1-166</t>
  </si>
  <si>
    <t xml:space="preserve">109_1_1+ = </t>
  </si>
  <si>
    <t>포 장 공</t>
  </si>
  <si>
    <t>'                       20 TON  30 TON   '</t>
  </si>
  <si>
    <t>공사안내표지판</t>
  </si>
  <si>
    <t xml:space="preserve">3,249 천원  </t>
  </si>
  <si>
    <t>560</t>
  </si>
  <si>
    <t>굴삭기(무한궤도)</t>
  </si>
  <si>
    <t>아스팔트 피니셔</t>
  </si>
  <si>
    <t xml:space="preserve">    4) 경 계 석</t>
  </si>
  <si>
    <t>E0052050035</t>
  </si>
  <si>
    <t>150</t>
  </si>
  <si>
    <t xml:space="preserve">   '특별인부 :'2'인' / {A} * ~L084~ =?LA+:L1</t>
  </si>
  <si>
    <t xml:space="preserve">S+ = </t>
  </si>
  <si>
    <t xml:space="preserve">150_1_1+ = </t>
  </si>
  <si>
    <t>합 계</t>
  </si>
  <si>
    <t>#.11</t>
  </si>
  <si>
    <t xml:space="preserve"> 나. 자동덮개</t>
  </si>
  <si>
    <t xml:space="preserve">97_1_1+ = </t>
  </si>
  <si>
    <t xml:space="preserve">491_1_2 = </t>
  </si>
  <si>
    <t xml:space="preserve">EQ+ = </t>
  </si>
  <si>
    <t xml:space="preserve">   공  급  가  액</t>
  </si>
  <si>
    <t xml:space="preserve">   2). 손료산정</t>
  </si>
  <si>
    <t xml:space="preserve">1358_1_2 = </t>
  </si>
  <si>
    <t>0.7 톤</t>
  </si>
  <si>
    <t>25</t>
  </si>
  <si>
    <t>L = 5.0km</t>
  </si>
  <si>
    <t>할 증</t>
  </si>
  <si>
    <t xml:space="preserve"> × ((1.1×내용년수+0.9)/(2×내용연수))</t>
  </si>
  <si>
    <t xml:space="preserve"> ○ 블레이드 :   0.27 EA  / 100 M</t>
  </si>
  <si>
    <t>#24 조립식PC맨홀(연직구체)</t>
  </si>
  <si>
    <t>다중벽관 이경티</t>
  </si>
  <si>
    <t>MU610000</t>
  </si>
  <si>
    <t xml:space="preserve">1788_1_1+ = </t>
  </si>
  <si>
    <t xml:space="preserve">1189_1_1+ = </t>
  </si>
  <si>
    <t xml:space="preserve">T8+ = </t>
  </si>
  <si>
    <t xml:space="preserve">302_1_1+ = </t>
  </si>
  <si>
    <t xml:space="preserve">117,766 천원  </t>
  </si>
  <si>
    <t>동상방지층</t>
  </si>
  <si>
    <t xml:space="preserve"> 3. 흙막이(TS판넬) 손료</t>
  </si>
  <si>
    <t xml:space="preserve">1471_1_2+ = </t>
  </si>
  <si>
    <t xml:space="preserve">    4.2'kg' * ~M1488003~ / 10 =?MA+ :A2</t>
  </si>
  <si>
    <t>110</t>
  </si>
  <si>
    <t xml:space="preserve">T9 = </t>
  </si>
  <si>
    <t xml:space="preserve">    '굴삭기(유압식백호우 0.7M3)'</t>
  </si>
  <si>
    <t xml:space="preserve">131_1_1+ = </t>
  </si>
  <si>
    <t xml:space="preserve">196_1_1+ = </t>
  </si>
  <si>
    <t xml:space="preserve">   cm = {t1}+{t2}+{t3}+{t4}+{t5}= ?</t>
  </si>
  <si>
    <t>문자</t>
  </si>
  <si>
    <t xml:space="preserve">1406_1_2 = </t>
  </si>
  <si>
    <t xml:space="preserve">31_1_2 = </t>
  </si>
  <si>
    <t xml:space="preserve">54_1_1 = </t>
  </si>
  <si>
    <t xml:space="preserve">245_1_1 = </t>
  </si>
  <si>
    <t xml:space="preserve">T2 = </t>
  </si>
  <si>
    <t xml:space="preserve">T2 = </t>
  </si>
  <si>
    <t xml:space="preserve"> &lt;토목품셈 1-3-2&gt;</t>
  </si>
  <si>
    <t>굴삭기(무한궤도)   0.4 M3</t>
  </si>
  <si>
    <t xml:space="preserve">331_1_5+ = </t>
  </si>
  <si>
    <t>E0073300010</t>
  </si>
  <si>
    <t>손율 : 3개월 15% 적용</t>
  </si>
  <si>
    <t xml:space="preserve">951_1_1+ = </t>
  </si>
  <si>
    <t>&lt;공통품셈 8-2-3 굴삭기&gt;</t>
  </si>
  <si>
    <t xml:space="preserve">119_1_1 = </t>
  </si>
  <si>
    <t>ton</t>
  </si>
  <si>
    <t>QH31</t>
  </si>
  <si>
    <t>'    특별인부:' ~L084~ * TB * 3.00 / 8 / L= ?LA+</t>
  </si>
  <si>
    <t>트럭탑제형 크레인</t>
  </si>
  <si>
    <t>OP값</t>
  </si>
  <si>
    <t xml:space="preserve">   11. 건 강 보 험 료</t>
  </si>
  <si>
    <t>80</t>
  </si>
  <si>
    <t xml:space="preserve">  '경    비 :' {B}'TON' * ~SA07600.E~ = ?EQ+</t>
  </si>
  <si>
    <t xml:space="preserve">S                                                                                                   </t>
  </si>
  <si>
    <t>노임할증계수(해상장비:야간)</t>
  </si>
  <si>
    <t xml:space="preserve">   12. 연 금 보 험 료</t>
  </si>
  <si>
    <t>0.6 M3</t>
  </si>
  <si>
    <t xml:space="preserve">QA = </t>
  </si>
  <si>
    <t xml:space="preserve">390_1_1 = </t>
  </si>
  <si>
    <t xml:space="preserve">331_1_1 = </t>
  </si>
  <si>
    <t xml:space="preserve">282_1_1 = </t>
  </si>
  <si>
    <t xml:space="preserve"> ○ 포설 및 다짐 작업 포함</t>
  </si>
  <si>
    <t xml:space="preserve"> &lt;공통품셈 8-2-3 굴착기&gt;</t>
  </si>
  <si>
    <t>QLINCF</t>
  </si>
  <si>
    <t>135</t>
  </si>
  <si>
    <t>형틀목공</t>
  </si>
  <si>
    <t>SB40908</t>
  </si>
  <si>
    <t>백호우0.7㎥</t>
  </si>
  <si>
    <t xml:space="preserve">1618_1_1+ = </t>
  </si>
  <si>
    <t xml:space="preserve">   '재 료 비 :' ~E0011060012.M~ / {Q} =?MA+</t>
  </si>
  <si>
    <t xml:space="preserve">   T1 + T3 = 40'MIN' / 60 =?K'HR'</t>
  </si>
  <si>
    <t>SB40908</t>
  </si>
  <si>
    <t xml:space="preserve">292_1_1+ = </t>
  </si>
  <si>
    <t xml:space="preserve">392_1_5+ = </t>
  </si>
  <si>
    <t xml:space="preserve">1590_1_1 = </t>
  </si>
  <si>
    <t>중기주야간할증계수</t>
  </si>
  <si>
    <t>조립식 흙막이공법(TS패널)</t>
  </si>
  <si>
    <t xml:space="preserve">1326_1_2+ = </t>
  </si>
  <si>
    <t>물자/1-167/유통 P226</t>
  </si>
  <si>
    <t xml:space="preserve">105_1_1 = </t>
  </si>
  <si>
    <t xml:space="preserve">WT = </t>
  </si>
  <si>
    <t xml:space="preserve">1690_1_1 = </t>
  </si>
  <si>
    <t xml:space="preserve">1782_1_1 = </t>
  </si>
  <si>
    <t xml:space="preserve">368_1_2+ = </t>
  </si>
  <si>
    <t xml:space="preserve">404_1_1+ = </t>
  </si>
  <si>
    <t xml:space="preserve">666_1_1+ = </t>
  </si>
  <si>
    <t>QMINC3</t>
  </si>
  <si>
    <t>G02010100</t>
  </si>
  <si>
    <t xml:space="preserve">   '경    비 :' ~E0044300400.E~ / {Q} =?EQ+</t>
  </si>
  <si>
    <t>#.5</t>
  </si>
  <si>
    <t>D1000mm</t>
  </si>
  <si>
    <t xml:space="preserve">                                        </t>
  </si>
  <si>
    <t xml:space="preserve">105_1_1+ = </t>
  </si>
  <si>
    <t xml:space="preserve">1759_1_1 = </t>
  </si>
  <si>
    <t>40</t>
  </si>
  <si>
    <t>#.34</t>
  </si>
  <si>
    <t>190</t>
  </si>
  <si>
    <t xml:space="preserve">1077_1_2+ = </t>
  </si>
  <si>
    <t xml:space="preserve">433_1_1 = </t>
  </si>
  <si>
    <t xml:space="preserve">154_1_1+ = </t>
  </si>
  <si>
    <t>STEEL PANEL</t>
  </si>
  <si>
    <t xml:space="preserve">   1.0'EA' *  ~MZ2602032~ =?MA+</t>
  </si>
  <si>
    <t xml:space="preserve">507_1_1 = </t>
  </si>
  <si>
    <t>24톤용</t>
  </si>
  <si>
    <t xml:space="preserve"> 나. 유리알</t>
  </si>
  <si>
    <t>175</t>
  </si>
  <si>
    <t xml:space="preserve">   '보통인부 :' 2.0'인' / {A} * ~L085~ =?LA+ :C</t>
  </si>
  <si>
    <t>&lt;2018년 토목공사 9-37-2 물 탱크(살수차)의 손료 및 장비&gt;</t>
  </si>
  <si>
    <t xml:space="preserve">384_1_4+ = </t>
  </si>
  <si>
    <t xml:space="preserve">1344_1_2 = </t>
  </si>
  <si>
    <t>QH1</t>
  </si>
  <si>
    <t>단위</t>
  </si>
  <si>
    <t xml:space="preserve">M     </t>
  </si>
  <si>
    <t xml:space="preserve">QA+ = </t>
  </si>
  <si>
    <t>1. 재 료 비</t>
  </si>
  <si>
    <t xml:space="preserve">1048_1_1+ = </t>
  </si>
  <si>
    <t xml:space="preserve">715_1_1 = </t>
  </si>
  <si>
    <t>1. 재 료 비</t>
  </si>
  <si>
    <t xml:space="preserve">1330_1_3+ = </t>
  </si>
  <si>
    <t>#27 아스팔트 표층 기계포설(대형장비)</t>
  </si>
  <si>
    <t>M3</t>
  </si>
  <si>
    <t xml:space="preserve">  1.0'EA' *  ~MZ91630~  =?MA+</t>
  </si>
  <si>
    <t xml:space="preserve">   '경    비 : ' ~E0002010060.E~ / {Q1} =?EQ+</t>
  </si>
  <si>
    <t xml:space="preserve">1007_1_1 = </t>
  </si>
  <si>
    <t xml:space="preserve">507_1_1+ = </t>
  </si>
  <si>
    <t>D800mm</t>
  </si>
  <si>
    <t>SA02420</t>
  </si>
  <si>
    <t>규    격</t>
  </si>
  <si>
    <t>QDECMA</t>
  </si>
  <si>
    <t xml:space="preserve">     아스팔트포장절단</t>
  </si>
  <si>
    <t xml:space="preserve">1058_1_1+ = </t>
  </si>
  <si>
    <t xml:space="preserve">924_1_1+ = </t>
  </si>
  <si>
    <t xml:space="preserve">274_1_1+ = </t>
  </si>
  <si>
    <t>SF03840</t>
  </si>
  <si>
    <t>PE코팅 Ø22</t>
  </si>
  <si>
    <t>E0002010070</t>
  </si>
  <si>
    <t>물자/149/거가 P101</t>
  </si>
  <si>
    <t xml:space="preserve">1358_1_1+ = </t>
  </si>
  <si>
    <t xml:space="preserve">   '경    비 :' ~E0002010040.E~ / {Q} =?EQ+</t>
  </si>
  <si>
    <t xml:space="preserve">   '경    비:' ~E0002010100.E~ / {Q}  =?EQ+</t>
  </si>
  <si>
    <t xml:space="preserve">692_1_1 = </t>
  </si>
  <si>
    <t xml:space="preserve">517_1_1+ = </t>
  </si>
  <si>
    <t>SA00500</t>
  </si>
  <si>
    <t>G13060100</t>
  </si>
  <si>
    <t xml:space="preserve">1569_1_1+ = </t>
  </si>
  <si>
    <t xml:space="preserve">1370_1_2 = </t>
  </si>
  <si>
    <t xml:space="preserve">1368_1_1+ = </t>
  </si>
  <si>
    <t xml:space="preserve">   '보통인부 :'1'인'/ {A}  * ~L085~ =?LA+:L2</t>
  </si>
  <si>
    <t xml:space="preserve">B+ = </t>
  </si>
  <si>
    <t xml:space="preserve">  ({C} * ~M8448007~) / {Q} =?EQ+</t>
  </si>
  <si>
    <t xml:space="preserve">&gt;&gt;&gt;EQ = </t>
  </si>
  <si>
    <t>구역화물(10.5ton)</t>
  </si>
  <si>
    <t xml:space="preserve">  ({A} '인' * ~L085~) / ({Q} * {B} 'HR')=?LA+</t>
  </si>
  <si>
    <t>SB40980</t>
  </si>
  <si>
    <t>&lt;공통품셈 6-7-1&gt;</t>
  </si>
  <si>
    <t>#.19</t>
  </si>
  <si>
    <t xml:space="preserve">394_1_4+ = </t>
  </si>
  <si>
    <t xml:space="preserve">1356_1_2 = </t>
  </si>
  <si>
    <t xml:space="preserve">N+ = </t>
  </si>
  <si>
    <t xml:space="preserve">LA = </t>
  </si>
  <si>
    <t xml:space="preserve">1590_1_2+ = </t>
  </si>
  <si>
    <t xml:space="preserve">1755_1_2+ = </t>
  </si>
  <si>
    <t xml:space="preserve">117_1_1 = </t>
  </si>
  <si>
    <t>2. 노 무 비</t>
  </si>
  <si>
    <t>중기기초자료</t>
  </si>
  <si>
    <t>.B=0.37</t>
  </si>
  <si>
    <t xml:space="preserve">LA = </t>
  </si>
  <si>
    <t>순공사비의</t>
  </si>
  <si>
    <t>#.17</t>
  </si>
  <si>
    <t xml:space="preserve">362_1_4+ = </t>
  </si>
  <si>
    <t>QSABUN</t>
  </si>
  <si>
    <t xml:space="preserve">&gt;&gt;MA = </t>
  </si>
  <si>
    <t xml:space="preserve">131_1_1 = </t>
  </si>
  <si>
    <t xml:space="preserve">190_1_1 = </t>
  </si>
  <si>
    <t>#8 되메우기및다짐 | 대형장비|㎥</t>
  </si>
  <si>
    <t xml:space="preserve">67,216 천원  </t>
  </si>
  <si>
    <t xml:space="preserve">&gt;&gt;MA = </t>
  </si>
  <si>
    <t xml:space="preserve">115_1_1+ = </t>
  </si>
  <si>
    <t xml:space="preserve">1751_1_3 = </t>
  </si>
  <si>
    <t xml:space="preserve">                        20 TON  30 TON</t>
  </si>
  <si>
    <t>MZ951230</t>
  </si>
  <si>
    <t>SB11315</t>
  </si>
  <si>
    <t>'   진동 롤러  10         1              '</t>
  </si>
  <si>
    <t xml:space="preserve">81_1_1 = </t>
  </si>
  <si>
    <t xml:space="preserve">290_1_1 = </t>
  </si>
  <si>
    <t xml:space="preserve">382_1_1 = </t>
  </si>
  <si>
    <t xml:space="preserve">953_1_1 = </t>
  </si>
  <si>
    <t xml:space="preserve">1505_1_1 = </t>
  </si>
  <si>
    <t>일위대가_산근</t>
  </si>
  <si>
    <t>MZ951230</t>
  </si>
  <si>
    <t>SB11315</t>
  </si>
  <si>
    <t xml:space="preserve">546_1_1+ = </t>
  </si>
  <si>
    <t xml:space="preserve">   '재 료 비 : ' ~E0002010100.M~ / {Q1} =?MA+</t>
  </si>
  <si>
    <t>노 무 비</t>
  </si>
  <si>
    <t>노 무 비</t>
  </si>
  <si>
    <t>#32 보차도 및 도로경계블럭 설치 | 500미만, A-TYPE(직선구간)|m</t>
  </si>
  <si>
    <t xml:space="preserve">    설치 및 철거(재료비의 5%)</t>
  </si>
  <si>
    <t xml:space="preserve">    탠덤 롤러   5 -  8    1</t>
  </si>
  <si>
    <t xml:space="preserve">   </t>
  </si>
  <si>
    <t xml:space="preserve">1608_1_1+ = </t>
  </si>
  <si>
    <t xml:space="preserve">     조립식흙막이공(TS판넬)</t>
  </si>
  <si>
    <t>.EQ=TOT(260)*qty()/100</t>
  </si>
  <si>
    <t xml:space="preserve">282_1_1+ = </t>
  </si>
  <si>
    <t xml:space="preserve">1408_1_2 = </t>
  </si>
  <si>
    <t>2.5 톤</t>
  </si>
  <si>
    <t xml:space="preserve">1751_1_2+ = </t>
  </si>
  <si>
    <t xml:space="preserve">1332_1_2+ = </t>
  </si>
  <si>
    <t>2. 자주식중기</t>
  </si>
  <si>
    <t>.sang=750, jung=458, kwan=655</t>
  </si>
  <si>
    <t>굴삭기(무한궤도)+브레이카</t>
  </si>
  <si>
    <t>G02010040</t>
  </si>
  <si>
    <t>모 래</t>
  </si>
  <si>
    <t xml:space="preserve">   '재 료 비 : '~E0027020020.M~ * {T2} * {A} * {N1} =?EQ+</t>
  </si>
  <si>
    <t xml:space="preserve">1757_1_1 = </t>
  </si>
  <si>
    <t>#.32</t>
  </si>
  <si>
    <t>#41 교통통제및안전처리 | 공구연장500m미만|일</t>
  </si>
  <si>
    <t>다중벽관 곡관</t>
  </si>
  <si>
    <t xml:space="preserve">%     </t>
  </si>
  <si>
    <t>A02</t>
  </si>
  <si>
    <t>.D=0.56</t>
  </si>
  <si>
    <t>1. 배치인원</t>
  </si>
  <si>
    <t>E0006020025</t>
  </si>
  <si>
    <t xml:space="preserve">    2) 우수받이</t>
  </si>
  <si>
    <t xml:space="preserve">   3. 포   장   공</t>
  </si>
  <si>
    <t xml:space="preserve">        ***  중기 운반 목록표  ***</t>
  </si>
  <si>
    <t>#30 프라임코팅(기계식) | RSC-3:75ℓ/a|㎡</t>
  </si>
  <si>
    <t xml:space="preserve">390_1_4 = </t>
  </si>
  <si>
    <t xml:space="preserve">384_1_3 = </t>
  </si>
  <si>
    <t xml:space="preserve">343_1_1+ = </t>
  </si>
  <si>
    <t xml:space="preserve">331_1_4 = </t>
  </si>
  <si>
    <t xml:space="preserve">    3) PE다벽관</t>
  </si>
  <si>
    <t xml:space="preserve">         '보통인부 :'0.55'인/개'* ~L085~ * {A=4}'개'  =  ?LA+</t>
  </si>
  <si>
    <t xml:space="preserve">1471_1_1 = </t>
  </si>
  <si>
    <t xml:space="preserve">    '재 료 비:'~E0002010070.M~ / {Q} '&lt;HR&gt;' = ?MA+</t>
  </si>
  <si>
    <t>MZ900120</t>
  </si>
  <si>
    <t xml:space="preserve"> 2. 인건비</t>
  </si>
  <si>
    <t xml:space="preserve">     아스콘포장깨기</t>
  </si>
  <si>
    <t xml:space="preserve">1324_1_3+ = </t>
  </si>
  <si>
    <t xml:space="preserve">1747_1_3+ = </t>
  </si>
  <si>
    <t xml:space="preserve">68,298 천원  </t>
  </si>
  <si>
    <t>환율(장비가격10만불이하)</t>
  </si>
  <si>
    <t>.EQ=(TOT(260,0,270)-MA(70))*qty()/100-12966/1.1</t>
  </si>
  <si>
    <t>시간당노임산출계수(해상장비:펌프준설선)</t>
  </si>
  <si>
    <t xml:space="preserve">      하부구체(원형3호)</t>
  </si>
  <si>
    <t xml:space="preserve">920_1_1+ = </t>
  </si>
  <si>
    <t xml:space="preserve">    1.0'조' *  ~MZ157226~ =?ma+</t>
  </si>
  <si>
    <t xml:space="preserve">312_1_1+ = </t>
  </si>
  <si>
    <t>문자,기호</t>
  </si>
  <si>
    <t>아스팔트 디스트리뷰우터   3800 L</t>
  </si>
  <si>
    <t>#.3</t>
  </si>
  <si>
    <t xml:space="preserve">    설치 및 철거</t>
  </si>
  <si>
    <t xml:space="preserve">1330_1_2 = </t>
  </si>
  <si>
    <t xml:space="preserve">573_1_1 = </t>
  </si>
  <si>
    <t xml:space="preserve">  나. 동력분무기(4.85kW) - 0.5대</t>
  </si>
  <si>
    <t xml:space="preserve">   '재 료 비 : '~E00020110701.M~ / {Q} =?MA+</t>
  </si>
  <si>
    <t>.sang=1200, jung=1067,kwan=700</t>
  </si>
  <si>
    <t>G44300400</t>
  </si>
  <si>
    <t xml:space="preserve">    보 통 인 부</t>
  </si>
  <si>
    <t xml:space="preserve">509_1_1 = </t>
  </si>
  <si>
    <t xml:space="preserve">390_1_4+ = </t>
  </si>
  <si>
    <t xml:space="preserve">     계</t>
  </si>
  <si>
    <t>L138</t>
  </si>
  <si>
    <t>환율(유로화)</t>
  </si>
  <si>
    <t>SZ260203</t>
  </si>
  <si>
    <t>400*400*750cm</t>
  </si>
  <si>
    <t xml:space="preserve">  소 계</t>
  </si>
  <si>
    <t>#.9</t>
  </si>
  <si>
    <t>A06</t>
  </si>
  <si>
    <t>안내판 및 안전시설</t>
  </si>
  <si>
    <t>3. 다  짐</t>
  </si>
  <si>
    <t>#.36</t>
  </si>
  <si>
    <t>SZ260203</t>
  </si>
  <si>
    <t>덤프트럭</t>
  </si>
  <si>
    <t xml:space="preserve">640_2_1+ = </t>
  </si>
  <si>
    <t xml:space="preserve">949_1_1+ = </t>
  </si>
  <si>
    <t>' 1) 굴삭기(0.7㎥)'</t>
  </si>
  <si>
    <t xml:space="preserve">   5. 사 급 자 재 대</t>
  </si>
  <si>
    <t xml:space="preserve">     다중벽관 곡관</t>
  </si>
  <si>
    <t xml:space="preserve">   7. 산 재 보 험 료</t>
  </si>
  <si>
    <t>.D=1.25</t>
  </si>
  <si>
    <t>'  2). 손료산정'</t>
  </si>
  <si>
    <t xml:space="preserve">   {A} * 0.29 =?ma+</t>
  </si>
  <si>
    <t xml:space="preserve">169_1_2 = </t>
  </si>
  <si>
    <t xml:space="preserve">150_1_1 = </t>
  </si>
  <si>
    <t xml:space="preserve">119_1_1+ = </t>
  </si>
  <si>
    <t>규 격</t>
  </si>
  <si>
    <t xml:space="preserve">1469_1_2+ = </t>
  </si>
  <si>
    <t xml:space="preserve">386_1_2 = </t>
  </si>
  <si>
    <t xml:space="preserve">392_1_5 = </t>
  </si>
  <si>
    <t>500*800</t>
  </si>
  <si>
    <t xml:space="preserve">   16. 산업안전보건관리비</t>
  </si>
  <si>
    <t xml:space="preserve">129_1_1+ = </t>
  </si>
  <si>
    <t>커터(콘크리트및아스팔트용)</t>
  </si>
  <si>
    <t xml:space="preserve">  '노 무 비 :' ~E0072040055.L~ / {Q} = ?LA+</t>
  </si>
  <si>
    <t xml:space="preserve">1469_1_2 = </t>
  </si>
  <si>
    <t xml:space="preserve">  &lt;유지보수 품셈 2-1-12&gt;</t>
  </si>
  <si>
    <t xml:space="preserve">1267_1_1+ = </t>
  </si>
  <si>
    <t xml:space="preserve">394_1_3+ = </t>
  </si>
  <si>
    <t xml:space="preserve">364_1_1 = </t>
  </si>
  <si>
    <t>RSC-4,RSC-3</t>
  </si>
  <si>
    <t>20 TON</t>
  </si>
  <si>
    <t>QLINCD</t>
  </si>
  <si>
    <t>자재</t>
  </si>
  <si>
    <t>&gt;&gt; '   계'</t>
  </si>
  <si>
    <t xml:space="preserve">1236_1_1+ = </t>
  </si>
  <si>
    <t xml:space="preserve">1140_1_1 = </t>
  </si>
  <si>
    <t>A</t>
  </si>
  <si>
    <t xml:space="preserve">766_1_1 = </t>
  </si>
  <si>
    <t xml:space="preserve">%                                                                                                   </t>
  </si>
  <si>
    <t xml:space="preserve">    4.2'ℓ' * ~MU610000~ / 10 =?MA+ :A1</t>
  </si>
  <si>
    <t xml:space="preserve">1179_1_2 = </t>
  </si>
  <si>
    <t>조</t>
  </si>
  <si>
    <t xml:space="preserve">362_1_3+ = </t>
  </si>
  <si>
    <t xml:space="preserve">776_1_2+ = </t>
  </si>
  <si>
    <t xml:space="preserve">1191_1_1+ = </t>
  </si>
  <si>
    <t xml:space="preserve">71,351 천원  </t>
  </si>
  <si>
    <t>D1500x550</t>
  </si>
  <si>
    <t>트럭탑재형 크레인</t>
  </si>
  <si>
    <t xml:space="preserve">1354_1_1+ = </t>
  </si>
  <si>
    <t xml:space="preserve">  가. 배치인원</t>
  </si>
  <si>
    <t>.sang=1125,jung=1063,kwan=496</t>
  </si>
  <si>
    <t xml:space="preserve"> &lt;유지보수 품셈 2-1-12&gt;</t>
  </si>
  <si>
    <t xml:space="preserve">1028_1_1 = </t>
  </si>
  <si>
    <t xml:space="preserve">1089_1_1 = </t>
  </si>
  <si>
    <t xml:space="preserve">1166_1_1 = </t>
  </si>
  <si>
    <t>SB01100</t>
  </si>
  <si>
    <t xml:space="preserve">1332_1_3 = </t>
  </si>
  <si>
    <t xml:space="preserve">1106_1_1+ = </t>
  </si>
  <si>
    <t xml:space="preserve">1364_1_1+ = </t>
  </si>
  <si>
    <t xml:space="preserve">27_1_2+ = </t>
  </si>
  <si>
    <t xml:space="preserve">1408_1_2+ = </t>
  </si>
  <si>
    <t>'    노무비:'~E0002010100.L~*Cm2/60*(Wt/1.5)/28'm'= ?LA+</t>
  </si>
  <si>
    <t>.D=1</t>
  </si>
  <si>
    <t xml:space="preserve">N2 = </t>
  </si>
  <si>
    <t xml:space="preserve">   총  공  사  비</t>
  </si>
  <si>
    <t xml:space="preserve">   &gt; '소    계 : '</t>
  </si>
  <si>
    <t>SB01100</t>
  </si>
  <si>
    <t xml:space="preserve"> 다. 텐덤롤러 (5-8TON)</t>
  </si>
  <si>
    <t xml:space="preserve">1328_1_1 = </t>
  </si>
  <si>
    <t>E0021040010</t>
  </si>
  <si>
    <t>QSDR2WON</t>
  </si>
  <si>
    <t xml:space="preserve">466_1_1 = </t>
  </si>
  <si>
    <t xml:space="preserve">  '보통인부 :'0.14'인' * ~L085~ =?LA+</t>
  </si>
  <si>
    <t>#.38</t>
  </si>
  <si>
    <t xml:space="preserve">   8. 고 용 보 험 료</t>
  </si>
  <si>
    <t>0.7M3(리핑암)</t>
  </si>
  <si>
    <t xml:space="preserve">382_1_2+ = </t>
  </si>
  <si>
    <t xml:space="preserve">1352_1_1 = </t>
  </si>
  <si>
    <t>#.7</t>
  </si>
  <si>
    <t xml:space="preserve">   '노 무 비 :' ~E0044300400.L~ / {Q} =?LA+</t>
  </si>
  <si>
    <t xml:space="preserve">   '재 료 비 : '{D}'HR' * ~E0021040010.M~ =?MA+</t>
  </si>
  <si>
    <t xml:space="preserve">   '경    비 : '~E00020110701.E~ / {Q} =?EQ+</t>
  </si>
  <si>
    <t xml:space="preserve">1050_1_1+ = </t>
  </si>
  <si>
    <t xml:space="preserve">1232_1_1+ = </t>
  </si>
  <si>
    <t xml:space="preserve"> '○ 1시간 작업량 :' Q = {A} / 8'hr' =?'주/hr'</t>
  </si>
  <si>
    <t xml:space="preserve">1328_1_3+ = </t>
  </si>
  <si>
    <t xml:space="preserve">634_1_1 = </t>
  </si>
  <si>
    <t xml:space="preserve">1077_1_2 = </t>
  </si>
  <si>
    <t xml:space="preserve">1794_1_1+ = </t>
  </si>
  <si>
    <t xml:space="preserve">1132_1_1+ = </t>
  </si>
  <si>
    <t xml:space="preserve">   '재 료 비 : ' ~E0002010060.M~ / {Q1} =?MA+</t>
  </si>
  <si>
    <t>16000 L</t>
  </si>
  <si>
    <t>EQ=MA(30,0,30)*0.0054 + 1000-341</t>
  </si>
  <si>
    <t xml:space="preserve">     보조기층</t>
  </si>
  <si>
    <t xml:space="preserve">1368_1_1 = </t>
  </si>
  <si>
    <t xml:space="preserve">    '재 료 비 : '~E0002010070.M~ / {Q} * {A} =?MA+</t>
  </si>
  <si>
    <t xml:space="preserve">E = </t>
  </si>
  <si>
    <t>QH33</t>
  </si>
  <si>
    <t xml:space="preserve">N = </t>
  </si>
  <si>
    <t xml:space="preserve"> ○ 물운반차 : 작업시간 (분)</t>
  </si>
  <si>
    <t>#17 우수받이 설치</t>
  </si>
  <si>
    <t xml:space="preserve">1060_1_1+ = </t>
  </si>
  <si>
    <t xml:space="preserve">  -  별  산 -</t>
  </si>
  <si>
    <t xml:space="preserve">568_1_1 = </t>
  </si>
  <si>
    <t>#39 교통안전시설 | |식</t>
  </si>
  <si>
    <t>300</t>
  </si>
  <si>
    <t xml:space="preserve">    2) 흙깍기(보통토사)소규모</t>
  </si>
  <si>
    <t>#33 중기운반비</t>
  </si>
  <si>
    <t>#9 모래부설</t>
  </si>
  <si>
    <t xml:space="preserve">386_1_2+ = </t>
  </si>
  <si>
    <t xml:space="preserve">     유로폼 조립.해체(벽체)</t>
  </si>
  <si>
    <t xml:space="preserve">     구조물헐기(무근)</t>
  </si>
  <si>
    <t xml:space="preserve">1452_1_1+ = </t>
  </si>
  <si>
    <t xml:space="preserve">   '경    비 : '{D}'HR'/6.0'm'* ~E0021050010.E~ =?EQ+</t>
  </si>
  <si>
    <t>#4 폐기물상차 | 굴삭기 0.7㎥|㎥</t>
  </si>
  <si>
    <t>#.13</t>
  </si>
  <si>
    <t xml:space="preserve">1678_1_1 = </t>
  </si>
  <si>
    <t xml:space="preserve">1530_1_1+ = </t>
  </si>
  <si>
    <t>'   탠덤 롤러   5 -  8    1              '</t>
  </si>
  <si>
    <t>규        격</t>
  </si>
  <si>
    <t>7</t>
  </si>
  <si>
    <t>QLINC2</t>
  </si>
  <si>
    <t xml:space="preserve">AAA1+ = </t>
  </si>
  <si>
    <t xml:space="preserve">1497_1_1 = </t>
  </si>
  <si>
    <t xml:space="preserve">1436_1_1 = </t>
  </si>
  <si>
    <t xml:space="preserve">   '노 무 비 : '{D}'HR' * ~E0021040010.L~ =?LA+</t>
  </si>
  <si>
    <t xml:space="preserve">302_1_1 = </t>
  </si>
  <si>
    <t>재료비계금액소숫점</t>
  </si>
  <si>
    <t>340</t>
  </si>
  <si>
    <t xml:space="preserve">   CM = {T2} + {K} =?'HR'</t>
  </si>
  <si>
    <t xml:space="preserve">1263_1_1+ = </t>
  </si>
  <si>
    <t xml:space="preserve">  - 년간표준공용일수:150일</t>
  </si>
  <si>
    <t xml:space="preserve">390_1_3+ = </t>
  </si>
  <si>
    <t xml:space="preserve">362_1_3 = </t>
  </si>
  <si>
    <t xml:space="preserve">27_1_1 = </t>
  </si>
  <si>
    <t>E0072040160</t>
  </si>
  <si>
    <t xml:space="preserve">    1) 아스콘포장</t>
  </si>
  <si>
    <t>.EQ=((LA(70)+MA(70))*qty()/100)*1.2</t>
  </si>
  <si>
    <t xml:space="preserve">404_1_1 = </t>
  </si>
  <si>
    <t>5. 잡재료 및 소모재료 (주재료의 1%)</t>
  </si>
  <si>
    <t>QDECPEQ</t>
  </si>
  <si>
    <t>'   - T0=B.H작업 소요시간'</t>
  </si>
  <si>
    <t xml:space="preserve">1222_1_1 = </t>
  </si>
  <si>
    <t xml:space="preserve">1330_1_1 = </t>
  </si>
  <si>
    <t xml:space="preserve">1391_1_1 = </t>
  </si>
  <si>
    <t xml:space="preserve">     RSC-3</t>
  </si>
  <si>
    <t>575</t>
  </si>
  <si>
    <t xml:space="preserve">   라인마커(핸드가이드식) 15㎝, 45㎝의 경비는 작업용트럭에 포함.</t>
  </si>
  <si>
    <t>SA07600</t>
  </si>
  <si>
    <t>SA01200</t>
  </si>
  <si>
    <t>일반기계운전사</t>
  </si>
  <si>
    <t>L042</t>
  </si>
  <si>
    <t>#.40</t>
  </si>
  <si>
    <t xml:space="preserve">1813_1_1+ = </t>
  </si>
  <si>
    <t xml:space="preserve"> 가. 페인트 : 황색</t>
  </si>
  <si>
    <t>#33 중기운반비 | |식</t>
  </si>
  <si>
    <t xml:space="preserve">1016_1_1 = </t>
  </si>
  <si>
    <t xml:space="preserve">1487_1_1+ = </t>
  </si>
  <si>
    <t xml:space="preserve">758_1_1 = </t>
  </si>
  <si>
    <t>1. 운반 (10.5 TON 트럭) : 구역화물차 적용</t>
  </si>
  <si>
    <t>#15 기존맨홀천공및접합</t>
  </si>
  <si>
    <t xml:space="preserve"> &gt;'소   계'</t>
  </si>
  <si>
    <t xml:space="preserve">    B = {A} * 0.50 =?'㎡/일'</t>
  </si>
  <si>
    <t xml:space="preserve">1030_1_1 = </t>
  </si>
  <si>
    <t xml:space="preserve">1091_1_1 = </t>
  </si>
  <si>
    <t xml:space="preserve">1122_1_1 = </t>
  </si>
  <si>
    <t xml:space="preserve">1183_1_1 = </t>
  </si>
  <si>
    <t>#41 교통통제및안전처리</t>
  </si>
  <si>
    <t>.A= 1</t>
  </si>
  <si>
    <t xml:space="preserve">1471_1_1+ = </t>
  </si>
  <si>
    <t xml:space="preserve">1432_1_1 = </t>
  </si>
  <si>
    <t xml:space="preserve">214_1_1 = </t>
  </si>
  <si>
    <t xml:space="preserve">  '노 무 비 :' ~E0072100485.L~ / {Q} * 0.5 =?LA+</t>
  </si>
  <si>
    <t>덤프트럭   4.5 톤</t>
  </si>
  <si>
    <t>G52050035</t>
  </si>
  <si>
    <t>QDECCLA</t>
  </si>
  <si>
    <t xml:space="preserve">     동상방지층(기계시공)</t>
  </si>
  <si>
    <t xml:space="preserve">  '경    비 :' ~E0072040055.E~ / {Q} = ?EQ+</t>
  </si>
  <si>
    <t xml:space="preserve">1471_1_2 = </t>
  </si>
  <si>
    <t>3. 설치 및 해체</t>
  </si>
  <si>
    <t xml:space="preserve">331_1_6+ = </t>
  </si>
  <si>
    <t>커터(콘크리트및아스팔트용)   320-400 MM</t>
  </si>
  <si>
    <t>노임할증계수(일반구간:주간)</t>
  </si>
  <si>
    <t>.EQ=(MA(70)+LA(70,0,80))*qty()/100</t>
  </si>
  <si>
    <t xml:space="preserve">   14. 퇴직공제부금비</t>
  </si>
  <si>
    <t xml:space="preserve">1606_1_1 = </t>
  </si>
  <si>
    <t xml:space="preserve">1140_1_1+ = </t>
  </si>
  <si>
    <t>.D=0.64</t>
  </si>
  <si>
    <t xml:space="preserve">   엑셀 수식이 적용됩니다. (단축키 F9 키) </t>
  </si>
  <si>
    <t>(SANG + JUNG + int(KWAN/3))*10^-4</t>
  </si>
  <si>
    <t xml:space="preserve">1620_1_1 = </t>
  </si>
  <si>
    <t xml:space="preserve">    타이어롤러  8 - 15    1</t>
  </si>
  <si>
    <t xml:space="preserve">   '경    비 :' ~E0014060015.E~ / {Q} =?EQ+</t>
  </si>
  <si>
    <t>#7 구조물터파기(보통토사) | TYPE-2|㎥</t>
  </si>
  <si>
    <t xml:space="preserve">   '노 무 비 : ' ~E0002010100.L~ / {Q1} =?LA+</t>
  </si>
  <si>
    <t xml:space="preserve">1016_1_1+ = </t>
  </si>
  <si>
    <t xml:space="preserve">19_1_1 = </t>
  </si>
  <si>
    <t xml:space="preserve">81_1_2 = </t>
  </si>
  <si>
    <t xml:space="preserve"> 2. 설치비</t>
  </si>
  <si>
    <t xml:space="preserve">382_1_2 = </t>
  </si>
  <si>
    <t xml:space="preserve">   '재 료 비 :' ~E0012060008.M~ / {Q} =?MA+</t>
  </si>
  <si>
    <t xml:space="preserve">   '재 료 비 :' ~E0012060008.M~ / {Q} =?MA+</t>
  </si>
  <si>
    <t xml:space="preserve">  '보통인부 :'(0.13'인'/6.0'm') * ~L085~ =?LA+</t>
  </si>
  <si>
    <t xml:space="preserve">1560_1_1 = </t>
  </si>
  <si>
    <t xml:space="preserve">142,069 천원  </t>
  </si>
  <si>
    <t>W2000xH1500</t>
  </si>
  <si>
    <t xml:space="preserve">    3) 치환토 부설 및 다짐</t>
  </si>
  <si>
    <t xml:space="preserve">1546_1_1 = </t>
  </si>
  <si>
    <t xml:space="preserve">1408_1_1 = </t>
  </si>
  <si>
    <t xml:space="preserve">   '경    비 : ' ~E0073300010.E~ / {Q} =?EQ+</t>
  </si>
  <si>
    <t xml:space="preserve">T4 = </t>
  </si>
  <si>
    <t xml:space="preserve">272_1_1 = </t>
  </si>
  <si>
    <t>일반공사 직종</t>
  </si>
  <si>
    <t>단    가</t>
  </si>
  <si>
    <t>.EQ=LA(70,0,80)*qty()/100</t>
  </si>
  <si>
    <t xml:space="preserve">1326_1_1+ = </t>
  </si>
  <si>
    <t xml:space="preserve">1144_1_1+ = </t>
  </si>
  <si>
    <t xml:space="preserve">569_1_1+ = </t>
  </si>
  <si>
    <t xml:space="preserve">368_1_1+ = </t>
  </si>
  <si>
    <t xml:space="preserve">EQ = </t>
  </si>
  <si>
    <t>탠덤롤러(자주식)   5 - 8 TON</t>
  </si>
  <si>
    <t>A15</t>
  </si>
  <si>
    <t xml:space="preserve">   '노 무 비 : ' ~E0006020045.L~ / {Q} =?LA+</t>
  </si>
  <si>
    <t>D1500</t>
  </si>
  <si>
    <t>SF01400</t>
  </si>
  <si>
    <t xml:space="preserve">1244_1_1+ = </t>
  </si>
  <si>
    <t xml:space="preserve">1026_1_1+ = </t>
  </si>
  <si>
    <t xml:space="preserve">1081_1_1+ = </t>
  </si>
  <si>
    <t xml:space="preserve">1660_1_1 = </t>
  </si>
  <si>
    <t>'- 흙막이 재원:(DS403825)'</t>
  </si>
  <si>
    <t xml:space="preserve">154_1_1 = </t>
  </si>
  <si>
    <t xml:space="preserve">190_1_2 = </t>
  </si>
  <si>
    <t>270</t>
  </si>
  <si>
    <t>M1488003</t>
  </si>
  <si>
    <t xml:space="preserve">  1) 굴삭기(0.7㎥)</t>
  </si>
  <si>
    <t>#.25</t>
  </si>
  <si>
    <t xml:space="preserve">   '재 료 비 :'~MU210000~ * 4'&lt;EA&gt;'* 0.15 =  ?MA+</t>
  </si>
  <si>
    <t>QUS2WON2</t>
  </si>
  <si>
    <t>1. 토       공</t>
  </si>
  <si>
    <t>진동 롤러 (핸드가이드식)   0.7 톤</t>
  </si>
  <si>
    <t xml:space="preserve">1077_1_1+ = </t>
  </si>
  <si>
    <t xml:space="preserve">     3) PE다중벽관</t>
  </si>
  <si>
    <t xml:space="preserve">    소   계</t>
  </si>
  <si>
    <t xml:space="preserve">       T2 = ({L1}/40+{L2}/25)*2 =?'HR'</t>
  </si>
  <si>
    <t>진동 롤러 (핸드가이드식)</t>
  </si>
  <si>
    <t xml:space="preserve">638_1_1+ = </t>
  </si>
  <si>
    <t xml:space="preserve">1370_1_1 = </t>
  </si>
  <si>
    <t>550</t>
  </si>
  <si>
    <t xml:space="preserve">   '보통인부 :' 1.0'인' / {A} * ~L085~ =?LA+ :C</t>
  </si>
  <si>
    <t xml:space="preserve">&gt;&gt;&gt;LA = </t>
  </si>
  <si>
    <t xml:space="preserve">&gt;&gt;&gt;LA = </t>
  </si>
  <si>
    <t xml:space="preserve">    '경    비 : '~E0052050035.E~ * {Q1} =?EQ+</t>
  </si>
  <si>
    <t>#42 물운반 | 물탱크 5500ℓ|ton</t>
  </si>
  <si>
    <t>.A=0.8*0.8*3.14/4*0.2=?</t>
  </si>
  <si>
    <t xml:space="preserve">   '재 료 비 :' ~E0002010100.M~ / {Q} =?MA+</t>
  </si>
  <si>
    <t xml:space="preserve">538_1_1+ = </t>
  </si>
  <si>
    <t xml:space="preserve">1244_1_1 = </t>
  </si>
  <si>
    <t xml:space="preserve">1356_1_1 = </t>
  </si>
  <si>
    <t xml:space="preserve">    다.크레인트럭 (10 TON) - 1대</t>
  </si>
  <si>
    <t xml:space="preserve">         계 :      계</t>
  </si>
  <si>
    <t>2.4Bx3.55H(SS)</t>
  </si>
  <si>
    <t xml:space="preserve">   '재 료 비 :' ~E0072040160.M~ / {Q} * 0.5 =?MA+</t>
  </si>
  <si>
    <t xml:space="preserve">1546_1_1+ = </t>
  </si>
  <si>
    <t xml:space="preserve">    계</t>
  </si>
  <si>
    <t>.LA=LA(70)*qty()/100</t>
  </si>
  <si>
    <t>900-1100미만</t>
  </si>
  <si>
    <t xml:space="preserve">1724_1_1+ = </t>
  </si>
  <si>
    <t xml:space="preserve">1118_1_1 = </t>
  </si>
  <si>
    <t xml:space="preserve">1144_1_1 = </t>
  </si>
  <si>
    <t>M157226Z</t>
  </si>
  <si>
    <t xml:space="preserve">   2) 라바콘</t>
  </si>
  <si>
    <t>230</t>
  </si>
  <si>
    <t>.sang=4000, jung=1333, kwan=1021</t>
  </si>
  <si>
    <t xml:space="preserve">1424_1_1+ = </t>
  </si>
  <si>
    <t>기층,(BB-2)</t>
  </si>
  <si>
    <t>&gt;'소 계'</t>
  </si>
  <si>
    <t>56900017137</t>
  </si>
  <si>
    <t xml:space="preserve">1162_1_1 = </t>
  </si>
  <si>
    <t>구)건설기계운전기사</t>
  </si>
  <si>
    <t xml:space="preserve">   t2 = ({L}/15+ {L}/20) * 60 = ?'min'</t>
  </si>
  <si>
    <t>&gt;&gt;'      계 : '   '계'</t>
  </si>
  <si>
    <t>#27 아스팔트 표층 기계포설(대형장비) | 3.0m≤B|㎡</t>
  </si>
  <si>
    <t>구)운전사(운반차)</t>
  </si>
  <si>
    <t xml:space="preserve">52_1_1+ = </t>
  </si>
  <si>
    <t>SB01157</t>
  </si>
  <si>
    <t xml:space="preserve">   Q = (3600*{q}*{K}*{f}*{Eo}) / {CM} =?'M3/HR'</t>
  </si>
  <si>
    <t xml:space="preserve">433_1_1+ = </t>
  </si>
  <si>
    <t xml:space="preserve">394_1_4 = </t>
  </si>
  <si>
    <t>#11 PE다중벽관접합및부설 | D 1000mm|m</t>
  </si>
  <si>
    <t xml:space="preserve">   '노 무 비 :' ~E0032010003.L~ / {Q} =?LA+</t>
  </si>
  <si>
    <t>E0002010100</t>
  </si>
  <si>
    <t>SS403825</t>
  </si>
  <si>
    <t xml:space="preserve">Q1+ = </t>
  </si>
  <si>
    <t>#37 차선도색(페인트,수동식),유지보수</t>
  </si>
  <si>
    <t xml:space="preserve">    머캐덤롤러 10 - 12    1</t>
  </si>
  <si>
    <t xml:space="preserve">Q1+ = </t>
  </si>
  <si>
    <t xml:space="preserve">27_1_2 = </t>
  </si>
  <si>
    <t xml:space="preserve">253_1_1 = </t>
  </si>
  <si>
    <t xml:space="preserve">   소 계</t>
  </si>
  <si>
    <t xml:space="preserve">      '재 료 비 : '~E0072040055.M~ * {T2}*{D}=?EQ+</t>
  </si>
  <si>
    <t>15</t>
  </si>
  <si>
    <t>#.21</t>
  </si>
  <si>
    <t>3. 공구손료 및 잡재료(노무비의 2%)</t>
  </si>
  <si>
    <t xml:space="preserve">T0+ = </t>
  </si>
  <si>
    <t>포 설 공</t>
  </si>
  <si>
    <t xml:space="preserve">   전체 합계</t>
  </si>
  <si>
    <t xml:space="preserve">    4) 구조물터파기(보통토사)</t>
  </si>
  <si>
    <t xml:space="preserve">    - T0=굴착 소요시간</t>
  </si>
  <si>
    <t xml:space="preserve">1788_1_1 = </t>
  </si>
  <si>
    <t>185</t>
  </si>
  <si>
    <t>160</t>
  </si>
  <si>
    <t>L088</t>
  </si>
  <si>
    <t xml:space="preserve">1753_1_1 = </t>
  </si>
  <si>
    <t xml:space="preserve">   4. 부   대   공</t>
  </si>
  <si>
    <t xml:space="preserve">1089_1_1+ = </t>
  </si>
  <si>
    <t xml:space="preserve">    - T0=B.H작업 소요시간</t>
  </si>
  <si>
    <t xml:space="preserve">62_1_1+ = </t>
  </si>
  <si>
    <t xml:space="preserve">129_1_1 = </t>
  </si>
  <si>
    <t xml:space="preserve">175_1_1 = </t>
  </si>
  <si>
    <t xml:space="preserve">  '배 관 공 :' 0.12'인' * ~L138~ =?LA+</t>
  </si>
  <si>
    <t xml:space="preserve">202_1_1+ = </t>
  </si>
  <si>
    <t>MU220000</t>
  </si>
  <si>
    <t>L086</t>
  </si>
  <si>
    <t xml:space="preserve">F = </t>
  </si>
  <si>
    <t xml:space="preserve">1368_1_2 = </t>
  </si>
  <si>
    <t>물정/159/물자1 P116</t>
  </si>
  <si>
    <t xml:space="preserve">   '보통인부 :' 2.0'인' / {A} * ~L085~ =?LA+</t>
  </si>
  <si>
    <t xml:space="preserve">1370_1_2+ = </t>
  </si>
  <si>
    <t xml:space="preserve">  '재 료 비 :' ~SA00500.M~ * {A}'㎥'  =?MA+</t>
  </si>
  <si>
    <t xml:space="preserve">     차선도색(기계식),유지보수</t>
  </si>
  <si>
    <t xml:space="preserve">697_1_1+ = </t>
  </si>
  <si>
    <t>10km이내</t>
  </si>
  <si>
    <t>.MA=MA(70,0,250)_x000D_
.LA=LA(70,0,250)_x000D_
.EQ=EQ(70,0,250)</t>
  </si>
  <si>
    <t xml:space="preserve">253_1_1+ = </t>
  </si>
  <si>
    <t>노임할증계수(해상장비:주야간)</t>
  </si>
  <si>
    <t xml:space="preserve">   '노 무 비 : '~E0006020240.L~ / {Q} = ?LA+</t>
  </si>
  <si>
    <t>'3. 인  부 :'{A}'인' * ~L085~ =?LA+</t>
  </si>
  <si>
    <t>수량</t>
  </si>
  <si>
    <t xml:space="preserve">   다.치즐</t>
  </si>
  <si>
    <t xml:space="preserve">     2) 아 스 콘</t>
  </si>
  <si>
    <t>'○ 종합 일당시공량 대비 적용시공량 : 50 %'</t>
  </si>
  <si>
    <t>&gt;'소    계'</t>
  </si>
  <si>
    <t>#40 교통안전시설 | 가림막휀스|m</t>
  </si>
  <si>
    <t xml:space="preserve">331_1_1+ = </t>
  </si>
  <si>
    <t xml:space="preserve">396_1_1+ = </t>
  </si>
  <si>
    <t>건강보험료의</t>
  </si>
  <si>
    <t xml:space="preserve">1285_1_2+ = </t>
  </si>
  <si>
    <t xml:space="preserve">1077_1_1 = </t>
  </si>
  <si>
    <t xml:space="preserve">634_1_2 = </t>
  </si>
  <si>
    <t>QEQTY3</t>
  </si>
  <si>
    <t>m</t>
  </si>
  <si>
    <t xml:space="preserve">   N  = {q1} / (0.7 * {K}) = ?</t>
  </si>
  <si>
    <t xml:space="preserve">1340_1_2+ = </t>
  </si>
  <si>
    <t xml:space="preserve"> 가. 머캐덤롤러 (10-12TON)</t>
  </si>
  <si>
    <t xml:space="preserve">   19. 건설하도급대금지급보증서발급수수료</t>
  </si>
  <si>
    <t>'   타이어롤러  8 - 15    1              '</t>
  </si>
  <si>
    <t xml:space="preserve">     t8=0.028/25*2*60=?'분'</t>
  </si>
  <si>
    <t>EQ =(TOT(220,0,250))*0.0054 +1000-141</t>
  </si>
  <si>
    <t>120</t>
  </si>
  <si>
    <t>E00020110701</t>
  </si>
  <si>
    <t xml:space="preserve">   20. 안 전 관 리 비</t>
  </si>
  <si>
    <t>m</t>
  </si>
  <si>
    <t>환율(마르크화)</t>
  </si>
  <si>
    <t>70</t>
  </si>
  <si>
    <t xml:space="preserve">1575_1_2+ = </t>
  </si>
  <si>
    <t xml:space="preserve">N1 = </t>
  </si>
  <si>
    <t xml:space="preserve">CM2+ = </t>
  </si>
  <si>
    <t>300x400x900</t>
  </si>
  <si>
    <t>300x400x900</t>
  </si>
  <si>
    <t xml:space="preserve">634_1_1+ = </t>
  </si>
  <si>
    <t xml:space="preserve">1328_1_2 = </t>
  </si>
  <si>
    <t xml:space="preserve">   ~GTR100000.E~*0.2*1/{B}=?EQ+</t>
  </si>
  <si>
    <t xml:space="preserve">인    </t>
  </si>
  <si>
    <t xml:space="preserve">D/M   </t>
  </si>
  <si>
    <t>4. 물운반비 : 물탱크(5500ℓ)</t>
  </si>
  <si>
    <t xml:space="preserve">   '노 무 비 : ' ~E0002010060.L~ / {Q1} =?LA+</t>
  </si>
  <si>
    <t xml:space="preserve">511_1_1 = </t>
  </si>
  <si>
    <t>(재+직노)의</t>
  </si>
  <si>
    <t xml:space="preserve">335_1_1+ = </t>
  </si>
  <si>
    <t xml:space="preserve">392_1_1+ = </t>
  </si>
  <si>
    <t xml:space="preserve">1279_1_1 = </t>
  </si>
  <si>
    <t xml:space="preserve">1352_1_2 = </t>
  </si>
  <si>
    <t>QEINC3</t>
  </si>
  <si>
    <t xml:space="preserve">S1+ = </t>
  </si>
  <si>
    <t>.sang=1125,jung=500,kwan=944</t>
  </si>
  <si>
    <t xml:space="preserve">1728_1_1+ = </t>
  </si>
  <si>
    <t>' 2). 인건비(작업반 편성)'</t>
  </si>
  <si>
    <t>#28 텍코팅(기계식)</t>
  </si>
  <si>
    <t xml:space="preserve">    4.2'ℓ' * ~MU600000~ / 10 =?MA+ :A1</t>
  </si>
  <si>
    <t xml:space="preserve">766_1_1+ = </t>
  </si>
  <si>
    <t xml:space="preserve">1179_1_1 = </t>
  </si>
  <si>
    <t xml:space="preserve">   다. 잡재료비 (인건비의 1 %)</t>
  </si>
  <si>
    <t xml:space="preserve">      T0={L}*{B}*{H}/Q= ?</t>
  </si>
  <si>
    <t xml:space="preserve"> 1. 가림막 휀스 설치 및 해체</t>
  </si>
  <si>
    <t>&gt;'  소   계'</t>
  </si>
  <si>
    <t xml:space="preserve">1344_1_2+ = </t>
  </si>
  <si>
    <t xml:space="preserve">725_1_1 = </t>
  </si>
  <si>
    <t>RSC-3:75ℓ/a</t>
  </si>
  <si>
    <t xml:space="preserve">     기존맨홀천공및접합</t>
  </si>
  <si>
    <t>RSC-3:75ℓ/a</t>
  </si>
  <si>
    <t xml:space="preserve">466_1_1+ = </t>
  </si>
  <si>
    <t xml:space="preserve">386_1_1 = </t>
  </si>
  <si>
    <t>1. 우수받이</t>
  </si>
  <si>
    <t xml:space="preserve">62_1_3 = </t>
  </si>
  <si>
    <t xml:space="preserve">85_1_1 = </t>
  </si>
  <si>
    <t xml:space="preserve">56_1_1+ = </t>
  </si>
  <si>
    <t xml:space="preserve">294_1_1 = </t>
  </si>
  <si>
    <t xml:space="preserve">  '보통인부 :' 0.15'인' * ~L085~ =?LA+</t>
  </si>
  <si>
    <t>30</t>
  </si>
  <si>
    <t>#43 구조물헐기(무근)</t>
  </si>
  <si>
    <t>56900017118</t>
  </si>
  <si>
    <t>5500 L</t>
  </si>
  <si>
    <t>30</t>
  </si>
  <si>
    <t xml:space="preserve">1469_1_1 = </t>
  </si>
  <si>
    <t xml:space="preserve"> &lt;토목품셈 1-9-2&gt;</t>
  </si>
  <si>
    <t xml:space="preserve">364_1_2 = </t>
  </si>
  <si>
    <t>#32 보차도 및 도로경계블럭 설치</t>
  </si>
  <si>
    <t>물자/1-813/물자1 P269</t>
  </si>
  <si>
    <t>G73300010</t>
  </si>
  <si>
    <t xml:space="preserve">     아스팔트</t>
  </si>
  <si>
    <t>재료비</t>
  </si>
  <si>
    <t>#16 조립식간이흙막이공(TS판넬) | 2.4Bx3.55H(SS)|m</t>
  </si>
  <si>
    <t>개</t>
  </si>
  <si>
    <t xml:space="preserve">1749_1_1+ = </t>
  </si>
  <si>
    <t xml:space="preserve">     우수받이 설치</t>
  </si>
  <si>
    <t>145</t>
  </si>
  <si>
    <t>&gt; '합계'</t>
  </si>
  <si>
    <t xml:space="preserve">1794_1_1 = </t>
  </si>
  <si>
    <t xml:space="preserve">364_1_1+ = </t>
  </si>
  <si>
    <t xml:space="preserve">1686_1_1 = </t>
  </si>
  <si>
    <t>&gt; '소    계 : '</t>
  </si>
  <si>
    <t>&gt;&gt;&gt;'  총 계 : '</t>
  </si>
  <si>
    <t xml:space="preserve">1248_1_1+ = </t>
  </si>
  <si>
    <t xml:space="preserve">1352_1_3+ = </t>
  </si>
  <si>
    <t xml:space="preserve">169_1_1 = </t>
  </si>
  <si>
    <t xml:space="preserve">194_1_1 = </t>
  </si>
  <si>
    <t>&gt; '소    계 : '</t>
  </si>
  <si>
    <t>QUS2WON</t>
  </si>
  <si>
    <t xml:space="preserve">   '재 료 비 : ' ~E0073300010.M~ / {Q} =?MA+</t>
  </si>
  <si>
    <t>&gt;&gt;&gt;'  총 계 : '</t>
  </si>
  <si>
    <t xml:space="preserve">206_1_1+ = </t>
  </si>
  <si>
    <t xml:space="preserve">1755_1_3 = </t>
  </si>
  <si>
    <t>대형30CM미만</t>
  </si>
  <si>
    <t>보차도경계석(직선)</t>
  </si>
  <si>
    <t xml:space="preserve">1759_1_1+ = </t>
  </si>
  <si>
    <t>'○ 1시간 작업량 :' Q = {B} / 8'hr' =?'㎡/hr'</t>
  </si>
  <si>
    <t>&gt;  '소    계'</t>
  </si>
  <si>
    <t xml:space="preserve">   '특별인부 :'0.06'인/EA'* ~L084~ * 50'EA'  =  ?LA+</t>
  </si>
  <si>
    <t>#36 차선도색(페인트,기계식),유지보수</t>
  </si>
  <si>
    <t>#.29</t>
  </si>
  <si>
    <t xml:space="preserve">      T1=(2*L*H*t4)/60= ?</t>
  </si>
  <si>
    <t xml:space="preserve">1786_1_1 = </t>
  </si>
  <si>
    <t xml:space="preserve">358_3_1+ = </t>
  </si>
  <si>
    <t xml:space="preserve">1635_1_1 = </t>
  </si>
  <si>
    <t>개소</t>
  </si>
  <si>
    <t>공급가액의</t>
  </si>
  <si>
    <t>개소</t>
  </si>
  <si>
    <t xml:space="preserve">      ② 철   거</t>
  </si>
  <si>
    <t>#18 스틸그레이팅설치(차도부) | 400x500x50|조</t>
  </si>
  <si>
    <t xml:space="preserve">127_1_1 = </t>
  </si>
  <si>
    <t xml:space="preserve">48,513 천원  </t>
  </si>
  <si>
    <t>'○ 블레이드 : ' 0.27'EA' / 100'M'</t>
  </si>
  <si>
    <t xml:space="preserve">216_1_1+ = </t>
  </si>
  <si>
    <t xml:space="preserve">1747_1_3 = </t>
  </si>
  <si>
    <t xml:space="preserve">1469_1_1+ = </t>
  </si>
  <si>
    <t xml:space="preserve">394_1_1 = </t>
  </si>
  <si>
    <t xml:space="preserve">335_1_1 = </t>
  </si>
  <si>
    <t xml:space="preserve">226_1_1+ = </t>
  </si>
  <si>
    <t xml:space="preserve">F+ = </t>
  </si>
  <si>
    <t xml:space="preserve">97_1_1 = </t>
  </si>
  <si>
    <t>G06020025</t>
  </si>
  <si>
    <t>물정/1-231/물정/1-231</t>
  </si>
  <si>
    <t>MZ157226</t>
  </si>
  <si>
    <t xml:space="preserve">91,593 천원  </t>
  </si>
  <si>
    <t xml:space="preserve">  - 연간표준가동시간:1,200</t>
  </si>
  <si>
    <t xml:space="preserve">362_1_5 = </t>
  </si>
  <si>
    <t>3.0m≤B</t>
  </si>
  <si>
    <t xml:space="preserve">1569_1_1 = </t>
  </si>
  <si>
    <t xml:space="preserve">      고무링(원형3호)</t>
  </si>
  <si>
    <t xml:space="preserve"> &lt;공통품셈 3-2-3 흙깍기&gt;</t>
  </si>
  <si>
    <t>56900017098</t>
  </si>
  <si>
    <t>E0002010040</t>
  </si>
  <si>
    <t>*</t>
  </si>
  <si>
    <t>#28 텍코팅(기계식) | RSC-4:30ℓ/a|㎡</t>
  </si>
  <si>
    <t xml:space="preserve">   '노 무 비 :' ~E0014060015.L~ / {Q} =?LA+</t>
  </si>
  <si>
    <t xml:space="preserve">776_1_1+ = </t>
  </si>
  <si>
    <t xml:space="preserve">   소   계</t>
  </si>
  <si>
    <t xml:space="preserve">177_1_1+ = </t>
  </si>
  <si>
    <t>L025</t>
  </si>
  <si>
    <t xml:space="preserve">1354_1_2+ = </t>
  </si>
  <si>
    <t xml:space="preserve">1003_1_1 = </t>
  </si>
  <si>
    <t xml:space="preserve">17_1_1+ = </t>
  </si>
  <si>
    <t>#44 몰탈</t>
  </si>
  <si>
    <t>E0044300400</t>
  </si>
  <si>
    <t>0.7 M3용</t>
  </si>
  <si>
    <t xml:space="preserve">C = </t>
  </si>
  <si>
    <t>2. 몰탈마감(1:3)</t>
  </si>
  <si>
    <t xml:space="preserve">1106_1_2+ = </t>
  </si>
  <si>
    <t xml:space="preserve">1364_1_2+ = </t>
  </si>
  <si>
    <t>스틸그레이팅(차도용)</t>
  </si>
  <si>
    <t xml:space="preserve">27_1_1+ = </t>
  </si>
  <si>
    <t>'    특별인부:' ~L084~ * QA * 4.0 / 8 / L= ?LA+</t>
  </si>
  <si>
    <t xml:space="preserve">1366_1_2 = </t>
  </si>
  <si>
    <t xml:space="preserve">C = </t>
  </si>
  <si>
    <t xml:space="preserve">1408_1_1+ = </t>
  </si>
  <si>
    <t>MZT02110</t>
  </si>
  <si>
    <t xml:space="preserve">A2 = </t>
  </si>
  <si>
    <t>1. 구멍뚫기(D800mm)</t>
  </si>
  <si>
    <t xml:space="preserve">H = </t>
  </si>
  <si>
    <t>MZT02110</t>
  </si>
  <si>
    <t xml:space="preserve">     Q = {D} '대' * 1 'hr' =?</t>
  </si>
  <si>
    <t>#.27</t>
  </si>
  <si>
    <t>700</t>
  </si>
  <si>
    <t xml:space="preserve">382_1_1+ = </t>
  </si>
  <si>
    <t xml:space="preserve">583_1_1+ = </t>
  </si>
  <si>
    <t xml:space="preserve">1340_1_2 = </t>
  </si>
  <si>
    <t xml:space="preserve">   23. 부 가 가 치 세</t>
  </si>
  <si>
    <t xml:space="preserve">   ({S1} + {S2})* 0.02 =?MA+</t>
  </si>
  <si>
    <t xml:space="preserve">     굴삭기(유압식백호우 0.7M3)</t>
  </si>
  <si>
    <t xml:space="preserve">173_1_1+ = </t>
  </si>
  <si>
    <t>물탱크(살수차)   16000 L</t>
  </si>
  <si>
    <t>3.5 M3/Min</t>
  </si>
  <si>
    <t>노임할증계수(터널구간:주야간)</t>
  </si>
  <si>
    <t>경비단가소숫점</t>
  </si>
  <si>
    <t xml:space="preserve">      직    관</t>
  </si>
  <si>
    <t xml:space="preserve">      T2=(2*l*H*t5)/60= ?</t>
  </si>
  <si>
    <t>환율(사용자 환율2)</t>
  </si>
  <si>
    <t>노임할증계수(장대터널:주간)</t>
  </si>
  <si>
    <t>QDECCEQ</t>
  </si>
  <si>
    <t>QCODE</t>
  </si>
  <si>
    <t>일위대가목록</t>
  </si>
  <si>
    <t xml:space="preserve">1326_1_2 = </t>
  </si>
  <si>
    <t xml:space="preserve">      '경    비 : '~E0072040055.E~ * {T2}*{D}=?EQ+</t>
  </si>
  <si>
    <t xml:space="preserve">      '노 무 비 : '~E0033020038.L~ * {T2}*{D}=?EQ+</t>
  </si>
  <si>
    <t>&gt;&gt;' 합   계'</t>
  </si>
  <si>
    <t>#9 모래부설 | 굴삭기 0.7㎥|㎥</t>
  </si>
  <si>
    <t>E0013060100</t>
  </si>
  <si>
    <t>&gt;'소   계'</t>
  </si>
  <si>
    <t>G02010070</t>
  </si>
  <si>
    <t xml:space="preserve">14,224 천원  </t>
  </si>
  <si>
    <t>'2. 흙막이(TS판넬) 인발'</t>
  </si>
  <si>
    <t xml:space="preserve">    2) 경 계 석</t>
  </si>
  <si>
    <t>매캐덤 롤러(자주식)</t>
  </si>
  <si>
    <t xml:space="preserve">1277_1_1 = </t>
  </si>
  <si>
    <t>SB00900</t>
  </si>
  <si>
    <t xml:space="preserve">   '재 료 비 : ' ~E0006020025.M~ / {Q} =?MA+</t>
  </si>
  <si>
    <t xml:space="preserve">386_1_1+ = </t>
  </si>
  <si>
    <t>3 M</t>
  </si>
  <si>
    <t xml:space="preserve">S1 = </t>
  </si>
  <si>
    <t xml:space="preserve">1629_1_1 = </t>
  </si>
  <si>
    <t xml:space="preserve">1452_1_2+ = </t>
  </si>
  <si>
    <t xml:space="preserve">      '노 무 비 : '~E0021040010.L~ * {T2}*{D}=?EQ+</t>
  </si>
  <si>
    <t xml:space="preserve">571_1_1+ = </t>
  </si>
  <si>
    <t xml:space="preserve">1530_1_2+ = </t>
  </si>
  <si>
    <t>'    작업반장:' ~L081~ * QA * 0.6 / 8 / L= ?LA+</t>
  </si>
  <si>
    <t>D 1000mm</t>
  </si>
  <si>
    <t>F/M1</t>
  </si>
  <si>
    <t>QDECPLA</t>
  </si>
  <si>
    <t>QLINCY</t>
  </si>
  <si>
    <t>0.54 %</t>
  </si>
  <si>
    <t>금액계상</t>
  </si>
  <si>
    <t xml:space="preserve">392_1_3 = </t>
  </si>
  <si>
    <t>SB01032</t>
  </si>
  <si>
    <t>GTR105010</t>
  </si>
  <si>
    <t xml:space="preserve">  ○ 아스팔트 포장깨기 (기계 100%) : 30㎝미만</t>
  </si>
  <si>
    <t>재 료 비</t>
  </si>
  <si>
    <t xml:space="preserve">   9. 석면분담금</t>
  </si>
  <si>
    <t>.EQ=TOT(130)*qty()/100</t>
  </si>
  <si>
    <t xml:space="preserve">1263_1_2+ = </t>
  </si>
  <si>
    <t>#39 교통안전시설</t>
  </si>
  <si>
    <t>#1 구조물헐기(무근) | 대형30CM미만|㎥</t>
  </si>
  <si>
    <t xml:space="preserve">      레 미 콘</t>
  </si>
  <si>
    <t>경비금액소숫점</t>
  </si>
  <si>
    <t xml:space="preserve">1575_1_1 = </t>
  </si>
  <si>
    <t>56900017058</t>
  </si>
  <si>
    <t>103</t>
  </si>
  <si>
    <t>L004</t>
  </si>
  <si>
    <t>시간당노임산출계수(장대터널)</t>
  </si>
  <si>
    <t xml:space="preserve">  '특별인부 :' 0.41 * ~L084~ =?LA+</t>
  </si>
  <si>
    <t xml:space="preserve">715_1_2 = </t>
  </si>
  <si>
    <t xml:space="preserve">770_1_1 = </t>
  </si>
  <si>
    <t xml:space="preserve">   '실 공 기:'  {A} '일'</t>
  </si>
  <si>
    <t xml:space="preserve">  '보통인부 :' 0.12'인' * ~L085~ =?LA+</t>
  </si>
  <si>
    <t xml:space="preserve">   ( {A1} + {A2} ) * 0.01 = ?MA+</t>
  </si>
  <si>
    <t xml:space="preserve">1018_1_1 = </t>
  </si>
  <si>
    <t>D/M</t>
  </si>
  <si>
    <t>M2061111</t>
  </si>
  <si>
    <t xml:space="preserve">1358_1_2+ = </t>
  </si>
  <si>
    <t xml:space="preserve"> &gt; '소  계'</t>
  </si>
  <si>
    <t xml:space="preserve"> &lt;공통품셈 6-3-3&gt;</t>
  </si>
  <si>
    <t xml:space="preserve">94,381 천원  </t>
  </si>
  <si>
    <t xml:space="preserve">1434_1_1+ = </t>
  </si>
  <si>
    <t>D600x90˚</t>
  </si>
  <si>
    <t>D600x90˚</t>
  </si>
  <si>
    <t xml:space="preserve">517_1_2+ = </t>
  </si>
  <si>
    <t xml:space="preserve">1062_1_1 = </t>
  </si>
  <si>
    <t xml:space="preserve">1569_1_2+ = </t>
  </si>
  <si>
    <t>2. 배치인원</t>
  </si>
  <si>
    <t xml:space="preserve">1368_1_2+ = </t>
  </si>
  <si>
    <t xml:space="preserve">1324_1_3 = </t>
  </si>
  <si>
    <t>#34 아스팔트운반비 | RSC-4,RSC-3|D/M</t>
  </si>
  <si>
    <t xml:space="preserve">A+ = </t>
  </si>
  <si>
    <t xml:space="preserve">  가. 콘크리트 커터 (320-400mm)</t>
  </si>
  <si>
    <t xml:space="preserve">Q = </t>
  </si>
  <si>
    <t xml:space="preserve"> 2. PE드럼 설치 및 해체&lt;공통품셈 2-9-4&gt;</t>
  </si>
  <si>
    <t xml:space="preserve">   '특별인부 :' 1.0'인' / {B} * ~L084~ =?LA+ :C</t>
  </si>
  <si>
    <t xml:space="preserve">1344_1_1 = </t>
  </si>
  <si>
    <t xml:space="preserve">   '경    비 :' ~E0032010003.E~ / {Q} =?EQ+</t>
  </si>
  <si>
    <t xml:space="preserve">470_1_1 = </t>
  </si>
  <si>
    <t>24 TON</t>
  </si>
  <si>
    <t xml:space="preserve">1608_1_1 = </t>
  </si>
  <si>
    <t xml:space="preserve">1690_1_2 = </t>
  </si>
  <si>
    <t>G72040160</t>
  </si>
  <si>
    <t xml:space="preserve"> 가. 진동롤러(12TON)</t>
  </si>
  <si>
    <t>#20 PE다중벽관접합및부설</t>
  </si>
  <si>
    <t xml:space="preserve">1154_1_1+ = </t>
  </si>
  <si>
    <t xml:space="preserve">1391_1_1+ = </t>
  </si>
  <si>
    <t xml:space="preserve">1590_1_1+ = </t>
  </si>
  <si>
    <t xml:space="preserve">1782_1_2 = </t>
  </si>
  <si>
    <t>'   머캐덤롤러 10 - 12    1              '</t>
  </si>
  <si>
    <t xml:space="preserve">1755_1_1+ = </t>
  </si>
  <si>
    <t>명    칭</t>
  </si>
  <si>
    <t>물자/1-1414/물자/1-1414</t>
  </si>
  <si>
    <t>1. 레미콘 : 1.0 M3   - 별 산 -</t>
  </si>
  <si>
    <t xml:space="preserve">     중기명 : 규 격 :    트 레 일 러</t>
  </si>
  <si>
    <t xml:space="preserve">1036_1_1+ = </t>
  </si>
  <si>
    <t xml:space="preserve">1091_1_1+ = </t>
  </si>
  <si>
    <t xml:space="preserve">380_2_1 = </t>
  </si>
  <si>
    <t xml:space="preserve">    5) 골 재 대</t>
  </si>
  <si>
    <t>D 300mm</t>
  </si>
  <si>
    <t>'    작업반장:' ~L081~ * TB * 0.50 / 8 / L= ?LA+</t>
  </si>
  <si>
    <t>97</t>
  </si>
  <si>
    <t xml:space="preserve">1690_1_1+ = </t>
  </si>
  <si>
    <t xml:space="preserve"> 다. 탠덤롤러 (5-8TON)</t>
  </si>
  <si>
    <t xml:space="preserve"> 1. 맨홀사다리(∮22X300X220mm)</t>
  </si>
  <si>
    <t xml:space="preserve">924_1_1 = </t>
  </si>
  <si>
    <t xml:space="preserve">390_1_2 = </t>
  </si>
  <si>
    <t xml:space="preserve">331_1_2 = </t>
  </si>
  <si>
    <t xml:space="preserve">308_1_1 = </t>
  </si>
  <si>
    <t>SC00100</t>
  </si>
  <si>
    <t>굴삭기(무한궤도)   0.7 M3</t>
  </si>
  <si>
    <t>MZ206110</t>
  </si>
  <si>
    <t>SF00700</t>
  </si>
  <si>
    <t xml:space="preserve">1164_1_1+ = </t>
  </si>
  <si>
    <t>SF00700</t>
  </si>
  <si>
    <t xml:space="preserve"> &lt;공통품셈 3-4-7 &gt;</t>
  </si>
  <si>
    <t xml:space="preserve">&gt;MA = </t>
  </si>
  <si>
    <t>장비사용, 무근구조물</t>
  </si>
  <si>
    <t>소형브레이카(공압식)   1.3㎥/min</t>
  </si>
  <si>
    <t xml:space="preserve">&gt;MA = </t>
  </si>
  <si>
    <t xml:space="preserve">1590_1_2 = </t>
  </si>
  <si>
    <t xml:space="preserve">1507_1_1+ = </t>
  </si>
  <si>
    <t xml:space="preserve">1446_1_1 = </t>
  </si>
  <si>
    <t>#43 구조물헐기(무근) | 소형-공압식|㎥</t>
  </si>
  <si>
    <t xml:space="preserve">     레디믹스콘크리트타설</t>
  </si>
  <si>
    <t>.A=1.0</t>
  </si>
  <si>
    <t>L084</t>
  </si>
  <si>
    <t xml:space="preserve">    가.디스트리뷰우터 (3800 L) - 1대</t>
  </si>
  <si>
    <t>330</t>
  </si>
  <si>
    <t>MZ93280</t>
  </si>
  <si>
    <t xml:space="preserve">1150_1_1+ = </t>
  </si>
  <si>
    <t xml:space="preserve">매    </t>
  </si>
  <si>
    <t xml:space="preserve">     아스팔트 표층(대형장비)</t>
  </si>
  <si>
    <t>MZ93280</t>
  </si>
  <si>
    <t>#12 PE다중벽관접합및부설 | D 600mm|개소</t>
  </si>
  <si>
    <t xml:space="preserve">1332_1_1+ = </t>
  </si>
  <si>
    <t xml:space="preserve">1751_1_1+ = </t>
  </si>
  <si>
    <t>5 - 8 TON</t>
  </si>
  <si>
    <t>'       ***  중기 운반 목록표  ***       '</t>
  </si>
  <si>
    <t>#22 분기관천공및접합 | D 300mm|개소</t>
  </si>
  <si>
    <t xml:space="preserve">  '배 관 공 :'(0.12'인'/6.0'm') * ~L138~ =?LA+</t>
  </si>
  <si>
    <t xml:space="preserve">D1+ = </t>
  </si>
  <si>
    <t>M1062024</t>
  </si>
  <si>
    <t xml:space="preserve">A                                                                                                   </t>
  </si>
  <si>
    <t>중기주야간경비산출계수</t>
  </si>
  <si>
    <t xml:space="preserve">    가. 도급자관급</t>
  </si>
  <si>
    <t xml:space="preserve">    L :  10 KM 이내</t>
  </si>
  <si>
    <t xml:space="preserve">206_1_1 = </t>
  </si>
  <si>
    <t xml:space="preserve">17_1_1 = </t>
  </si>
  <si>
    <t>㎥</t>
  </si>
  <si>
    <t>QEQTY1</t>
  </si>
  <si>
    <t xml:space="preserve">    B = {A} * 1.00 =?'㎡/일'</t>
  </si>
  <si>
    <t xml:space="preserve">31_1_1 = </t>
  </si>
  <si>
    <t xml:space="preserve">245_1_2 = </t>
  </si>
  <si>
    <t xml:space="preserve">T1 = </t>
  </si>
  <si>
    <t>#26 맨홀뚜껑설치(차도부) | φ648|조</t>
  </si>
  <si>
    <t>도로용페인트(수용성,백색)</t>
  </si>
  <si>
    <t xml:space="preserve">1548_1_1 = </t>
  </si>
  <si>
    <t xml:space="preserve">1406_1_1 = </t>
  </si>
  <si>
    <t>MZ978410</t>
  </si>
  <si>
    <t>레미콘-VIB.제외</t>
  </si>
  <si>
    <t xml:space="preserve">T10 = </t>
  </si>
  <si>
    <t>SB01155</t>
  </si>
  <si>
    <t>화폐변환</t>
  </si>
  <si>
    <t>4. 공구손료 및 잡재료(노무비의 2%)</t>
  </si>
  <si>
    <t>370</t>
  </si>
  <si>
    <t xml:space="preserve">380_2_1+ = </t>
  </si>
  <si>
    <t xml:space="preserve">1058_1_1 = </t>
  </si>
  <si>
    <t>370</t>
  </si>
  <si>
    <t>G21040010</t>
  </si>
  <si>
    <t>PE분기관</t>
  </si>
  <si>
    <t xml:space="preserve">1497_1_1+ = </t>
  </si>
  <si>
    <t xml:space="preserve">   살수대기 : 5 분    살수 : 20 분</t>
  </si>
  <si>
    <t xml:space="preserve">1130_1_1 = </t>
  </si>
  <si>
    <t xml:space="preserve">   '경    비 : ' ~E0006020025.E~ / {Q} =?EQ+</t>
  </si>
  <si>
    <t>3. 트럭탑제형 크레인 (10TON)</t>
  </si>
  <si>
    <t>'○ 1시간 작업량 :' Q = {A} / 8'hr' =?'㎥/hr'</t>
  </si>
  <si>
    <t>'○ 1시간 작업량 :' Q = {A} / 8'hr' =?'㎥/hr'</t>
  </si>
  <si>
    <t xml:space="preserve">1191_1_1 = </t>
  </si>
  <si>
    <t>#5 흙깍기(보통토사)소규모 1만㎥미만 | 굴삭기 1.0㎥|㎥</t>
  </si>
  <si>
    <t xml:space="preserve">조    </t>
  </si>
  <si>
    <t xml:space="preserve">   '재 료 비 : '{D}'HR'* ~E0021050010.M~ =?MA+</t>
  </si>
  <si>
    <t>12 TON</t>
  </si>
  <si>
    <t>㎡</t>
  </si>
  <si>
    <t>QVER</t>
  </si>
  <si>
    <t xml:space="preserve">MA+ = </t>
  </si>
  <si>
    <t xml:space="preserve">146_3_1 = </t>
  </si>
  <si>
    <t>#.23</t>
  </si>
  <si>
    <t>#15 기존맨홀천공및접합 | D800mm|개소</t>
  </si>
  <si>
    <t xml:space="preserve">   '노 무 비:' ~E0002010100.L~ / {Q}  =?LA+</t>
  </si>
  <si>
    <t>'○ 종합 일당시공량 대비 적용시공량 : 100 %'</t>
  </si>
  <si>
    <t>'산식=((상각비율+정비비율/내용년수)+(년간관리비율/표준가동시간) '</t>
  </si>
  <si>
    <t xml:space="preserve">MA+ = </t>
  </si>
  <si>
    <t xml:space="preserve">1364_1_3 = </t>
  </si>
  <si>
    <t xml:space="preserve">1562_1_1+ = </t>
  </si>
  <si>
    <t xml:space="preserve">1358_1_1 = </t>
  </si>
  <si>
    <t xml:space="preserve">  '배 관 공 :' 0.15'인' * ~L138~ =?LA+</t>
  </si>
  <si>
    <t xml:space="preserve">583_1_1 = </t>
  </si>
  <si>
    <t xml:space="preserve">491_1_1 = </t>
  </si>
  <si>
    <t>1. 적 재: 굴착기 0.7 M3</t>
  </si>
  <si>
    <t>200x250x1000</t>
  </si>
  <si>
    <t xml:space="preserve">    '재 료 비 : '~E0052050035.M~ * {Q1} =?MA+</t>
  </si>
  <si>
    <t>전역변수</t>
  </si>
  <si>
    <t xml:space="preserve">1132_1_1 = </t>
  </si>
  <si>
    <t xml:space="preserve">1220_1_1+ = </t>
  </si>
  <si>
    <t xml:space="preserve">   '노 무 비 : ' ~E0013060100.L~ / {Q1} =?LA+</t>
  </si>
  <si>
    <t xml:space="preserve">1193_1_1 = </t>
  </si>
  <si>
    <t>1. 굴착기 0.7 M3</t>
  </si>
  <si>
    <t>중기주간경비산출계수</t>
  </si>
  <si>
    <t xml:space="preserve">1081_1_1 = </t>
  </si>
  <si>
    <t>SE05200</t>
  </si>
  <si>
    <t>노임할증계수(장대터널:야간)</t>
  </si>
  <si>
    <t>굴삭기(무한궤도)   1.0 M3</t>
  </si>
  <si>
    <t xml:space="preserve">   '재 료 비 :' ~E0002010040.M~ / {Q} =?MA+</t>
  </si>
  <si>
    <t xml:space="preserve">    5) 되메우기및다짐</t>
  </si>
  <si>
    <t>횡단보도,주차장</t>
  </si>
  <si>
    <t>.E=0.5</t>
  </si>
  <si>
    <t>'   - T2=준비및 기타시간:'</t>
  </si>
  <si>
    <t>580</t>
  </si>
  <si>
    <t xml:space="preserve">1786_1_1+ = </t>
  </si>
  <si>
    <t xml:space="preserve">1342_1_1+ = </t>
  </si>
  <si>
    <t xml:space="preserve">1120_1_1+ = </t>
  </si>
  <si>
    <t>수도</t>
  </si>
  <si>
    <t>시간당노임산출계수(해상장비:GRAB준설선)</t>
  </si>
  <si>
    <t>#16 조립식간이흙막이공(TS판넬)</t>
  </si>
  <si>
    <t xml:space="preserve">1340_1_3 = </t>
  </si>
  <si>
    <t xml:space="preserve">1110_1_1+ = </t>
  </si>
  <si>
    <t xml:space="preserve">31_1_2+ = </t>
  </si>
  <si>
    <t xml:space="preserve">581_1_1 = </t>
  </si>
  <si>
    <t xml:space="preserve">   '보통인부 :' 1.0'인' / {B} * ~L085~ =?LA+ :D</t>
  </si>
  <si>
    <t xml:space="preserve"> '패널(600*1200) :' 0.095'매' * ~M1062024~=?ma+ :A</t>
  </si>
  <si>
    <t xml:space="preserve">1214_1_1 = </t>
  </si>
  <si>
    <t xml:space="preserve">D+ = </t>
  </si>
  <si>
    <t xml:space="preserve">1248_1_1 = </t>
  </si>
  <si>
    <t xml:space="preserve">D+ = </t>
  </si>
  <si>
    <t xml:space="preserve">B = </t>
  </si>
  <si>
    <t xml:space="preserve">  '경    비 :' ~SA00500.M~ * {A}'㎥'  =?EQ+</t>
  </si>
  <si>
    <t>덤프트럭   2.5 톤</t>
  </si>
  <si>
    <t xml:space="preserve">750_1_2+ = </t>
  </si>
  <si>
    <t xml:space="preserve">1232_1_1 = </t>
  </si>
  <si>
    <t xml:space="preserve">B = </t>
  </si>
  <si>
    <t xml:space="preserve">   '노 무 비 : '{D}'HR'* ~E0021050010.L~ =?LA+</t>
  </si>
  <si>
    <t>굴삭기 0.7㎥</t>
  </si>
  <si>
    <t>205</t>
  </si>
  <si>
    <t>54400157021</t>
  </si>
  <si>
    <t xml:space="preserve">333_1_2+ = </t>
  </si>
  <si>
    <t xml:space="preserve">394_1_2+ = </t>
  </si>
  <si>
    <t>'   - T1=판넬 압입시간'</t>
  </si>
  <si>
    <t xml:space="preserve">    1) 우 수 관</t>
  </si>
  <si>
    <t xml:space="preserve">1747_1_2 = </t>
  </si>
  <si>
    <t xml:space="preserve">1622_1_1+ = </t>
  </si>
  <si>
    <t xml:space="preserve">362_1_2+ = </t>
  </si>
  <si>
    <t xml:space="preserve">    합   계</t>
  </si>
  <si>
    <t xml:space="preserve">   '경    비 : ' ~E0002010100.E~ / {Q} =?EQ+</t>
  </si>
  <si>
    <t>#18 스틸그레이팅설치(차도부)</t>
  </si>
  <si>
    <t>형    식</t>
  </si>
  <si>
    <t xml:space="preserve">     프라임코팅(기계식)</t>
  </si>
  <si>
    <t xml:space="preserve">   '노 무 비 :' ~E0013060120.L~ / {Q} =?LA+</t>
  </si>
  <si>
    <t xml:space="preserve">   '경    비 :' ~E00020110701.E~ / {Q} = ?EQ+</t>
  </si>
  <si>
    <t>D 600mm</t>
  </si>
  <si>
    <t xml:space="preserve">1,896 천원  </t>
  </si>
  <si>
    <t>명        칭</t>
  </si>
  <si>
    <t>G06020240</t>
  </si>
  <si>
    <t>QDECCMA</t>
  </si>
  <si>
    <t xml:space="preserve">362_1_4 = </t>
  </si>
  <si>
    <t xml:space="preserve">  '노 무 비 :' {B}'TON' * ~SA07600.L~ = ?LA+</t>
  </si>
  <si>
    <t xml:space="preserve">27_1_3+ = </t>
  </si>
  <si>
    <t>E0021050010</t>
  </si>
  <si>
    <t>우수받이</t>
  </si>
  <si>
    <t>QLINC1</t>
  </si>
  <si>
    <t>'○ 1시간 작업량 :' Q = {A} / 8'hr' =?'㎡/hr'</t>
  </si>
  <si>
    <t xml:space="preserve">  LA() * 0.02 =?EQ+</t>
  </si>
  <si>
    <t xml:space="preserve">15_1_1 = </t>
  </si>
  <si>
    <t xml:space="preserve">204_1_1 = </t>
  </si>
  <si>
    <t>#.10</t>
  </si>
  <si>
    <t xml:space="preserve">    '노 무 비:'~E0002010070.L~ / {Q} '&lt;HR&gt;' = ?LA+</t>
  </si>
  <si>
    <t xml:space="preserve">1530_1_1 = </t>
  </si>
  <si>
    <t>6. 안전관리비</t>
  </si>
  <si>
    <t xml:space="preserve">  '형틀목공 :' 4 '인' / {A} '㎡' * ~L004~ =?LA+</t>
  </si>
  <si>
    <t xml:space="preserve">  LA() * 0.02 =?EQ+</t>
  </si>
  <si>
    <t xml:space="preserve">382_1_3+ = </t>
  </si>
  <si>
    <t xml:space="preserve">499_1_1+ = </t>
  </si>
  <si>
    <t>SF05070</t>
  </si>
  <si>
    <t xml:space="preserve">1444_1_1+ = </t>
  </si>
  <si>
    <t xml:space="preserve">1328_1_2+ = </t>
  </si>
  <si>
    <t>#29 아스팔트 기층 기계포설(대형장비) | 3.0m≤B, T=8~10cm|㎡</t>
  </si>
  <si>
    <t xml:space="preserve">  '보통인부 :' 0.38 * ~L085~ =?LA+</t>
  </si>
  <si>
    <t xml:space="preserve">366_1_2+ = </t>
  </si>
  <si>
    <t>잡품</t>
  </si>
  <si>
    <t xml:space="preserve">1629_1_2+ = </t>
  </si>
  <si>
    <t xml:space="preserve">   - 별  산 -</t>
  </si>
  <si>
    <t xml:space="preserve">TB = </t>
  </si>
  <si>
    <t xml:space="preserve">568_1_1+ = </t>
  </si>
  <si>
    <t>.B=0.1</t>
  </si>
  <si>
    <t>#31 보조기층(기계시공)</t>
  </si>
  <si>
    <t>중기사용료목록</t>
  </si>
  <si>
    <t xml:space="preserve">1774_1_1+ = </t>
  </si>
  <si>
    <t>맨홀사다리</t>
  </si>
  <si>
    <t>D1500x1500</t>
  </si>
  <si>
    <t>#37 차선도색(페인트,수동식),유지보수 | 문자,기호|㎡</t>
  </si>
  <si>
    <t xml:space="preserve">   마. 공기압축기 (3.5 M3 / MIN 1대)</t>
  </si>
  <si>
    <t xml:space="preserve">R                                                                                                   </t>
  </si>
  <si>
    <t>#.35</t>
  </si>
  <si>
    <t xml:space="preserve">1444_1_1 = </t>
  </si>
  <si>
    <t>260</t>
  </si>
  <si>
    <t xml:space="preserve">333_1_2 = </t>
  </si>
  <si>
    <t xml:space="preserve">1515_1_2 = </t>
  </si>
  <si>
    <t xml:space="preserve">386_1_3+ = </t>
  </si>
  <si>
    <t xml:space="preserve">Q1 = </t>
  </si>
  <si>
    <t xml:space="preserve">218_1_1 = </t>
  </si>
  <si>
    <t xml:space="preserve"> &lt;토목품셈 1-2-2&gt;</t>
  </si>
  <si>
    <t xml:space="preserve">392_1_2 = </t>
  </si>
  <si>
    <t xml:space="preserve">   T2 = ( {L} / {V1} ) * 2 * 60 = ?</t>
  </si>
  <si>
    <t>SE02400</t>
  </si>
  <si>
    <t>26.07.14</t>
  </si>
  <si>
    <t xml:space="preserve">   '노 무 비 :' ~E0033020038.L~ / {Q} =?LA+</t>
  </si>
  <si>
    <t xml:space="preserve">Q1 = </t>
  </si>
  <si>
    <t xml:space="preserve">1275_1_1+ = </t>
  </si>
  <si>
    <t xml:space="preserve">98,388 천원  </t>
  </si>
  <si>
    <t>#26 맨홀뚜껑설치(차도부)</t>
  </si>
  <si>
    <t>E0006100240</t>
  </si>
  <si>
    <t>.EQ=TOT(300)*qty()/100</t>
  </si>
  <si>
    <t xml:space="preserve">1224_1_1+ = </t>
  </si>
  <si>
    <t xml:space="preserve">1060_1_1 = </t>
  </si>
  <si>
    <t xml:space="preserve">1046_1_1+ = </t>
  </si>
  <si>
    <t>1. 구조물헐기</t>
  </si>
  <si>
    <t>D250mm</t>
  </si>
  <si>
    <t>ton당,입고료</t>
  </si>
  <si>
    <t>QMINC2</t>
  </si>
  <si>
    <t>MZ230000</t>
  </si>
  <si>
    <t xml:space="preserve">   '재 료 비 :'~MZ230000~ * 0.5'EA' * 0.15 =  ?MA+</t>
  </si>
  <si>
    <t>#.4</t>
  </si>
  <si>
    <t xml:space="preserve">1046_1_1 = </t>
  </si>
  <si>
    <t xml:space="preserve">1154_1_1 = </t>
  </si>
  <si>
    <t xml:space="preserve">1782_1_1+ = </t>
  </si>
  <si>
    <t xml:space="preserve"> 1. 굴착기 1.0 M3</t>
  </si>
  <si>
    <t>중기사용료</t>
  </si>
  <si>
    <t>'    경  비:'~E0002010070.E~ * QA / L= ?EQ+</t>
  </si>
  <si>
    <t xml:space="preserve">1183_1_1+ = </t>
  </si>
  <si>
    <t xml:space="preserve">1346_1_1+ = </t>
  </si>
  <si>
    <t>540</t>
  </si>
  <si>
    <t>표층,(WC-2)</t>
  </si>
  <si>
    <t>도로용페인트(수용성,황색)</t>
  </si>
  <si>
    <t xml:space="preserve">146_3_1+ = </t>
  </si>
  <si>
    <t xml:space="preserve">308_1_1+ = </t>
  </si>
  <si>
    <t xml:space="preserve">509_1_1+ = </t>
  </si>
  <si>
    <t xml:space="preserve">     동상방지층</t>
  </si>
  <si>
    <t>L039</t>
  </si>
  <si>
    <t>#6 동상방지층(기계시공) | 길어깨포장|㎥</t>
  </si>
  <si>
    <t>굴삭기(무한궤도)+브레이카   0.7M3(리핑암)</t>
  </si>
  <si>
    <t xml:space="preserve">EA    </t>
  </si>
  <si>
    <t xml:space="preserve">      연직구체(원형3호)</t>
  </si>
  <si>
    <t xml:space="preserve">주야간작업할증                          </t>
  </si>
  <si>
    <t>220</t>
  </si>
  <si>
    <t xml:space="preserve">1208_1_1 = </t>
  </si>
  <si>
    <t xml:space="preserve">1346_1_1 = </t>
  </si>
  <si>
    <t>식</t>
  </si>
  <si>
    <t>식</t>
  </si>
  <si>
    <t>G72040055</t>
  </si>
  <si>
    <t xml:space="preserve">CM+ = </t>
  </si>
  <si>
    <t xml:space="preserve">1214_1_1+ = </t>
  </si>
  <si>
    <t xml:space="preserve">546_1_1 = </t>
  </si>
  <si>
    <t xml:space="preserve">    1) 운 반 비</t>
  </si>
  <si>
    <t xml:space="preserve">337_1_2+ = </t>
  </si>
  <si>
    <t xml:space="preserve">390_1_2+ = </t>
  </si>
  <si>
    <t xml:space="preserve">1326_1_3 = </t>
  </si>
  <si>
    <t xml:space="preserve">  '재 료 비 :' {B}'TON' * ~SA07600.M~ = ?MA+</t>
  </si>
  <si>
    <t>G12060008</t>
  </si>
  <si>
    <t xml:space="preserve"> ' 형틀목공 :' ~L004~ * 0.016 =?LA+</t>
  </si>
  <si>
    <t>'2. 모  래 :' 1.10 'M3'  * ~MZ900115~ =?MA+</t>
  </si>
  <si>
    <t>SF04120</t>
  </si>
  <si>
    <t xml:space="preserve">    1) 기존구조물철거</t>
  </si>
  <si>
    <t xml:space="preserve">     조립식PC맨홀(연직구체)</t>
  </si>
  <si>
    <t xml:space="preserve">953_1_1+ = </t>
  </si>
  <si>
    <t xml:space="preserve">L1                                                                                                  </t>
  </si>
  <si>
    <t xml:space="preserve">    1) 유제아스팔트</t>
  </si>
  <si>
    <t>G02300007</t>
  </si>
  <si>
    <t>'-----------------------------------'</t>
  </si>
  <si>
    <t>2. 포 설 (굴삭기, 1.0㎥)</t>
  </si>
  <si>
    <t>중기야간할증계수</t>
  </si>
  <si>
    <t>트럭 트랙터 및 평판트레일러</t>
  </si>
  <si>
    <t xml:space="preserve">   10. 임금채권부담금</t>
  </si>
  <si>
    <t xml:space="preserve"> &lt;2016년 품셈 10-1-2&gt;</t>
  </si>
  <si>
    <t xml:space="preserve">25,662 천원  </t>
  </si>
  <si>
    <t>E0033020038</t>
  </si>
  <si>
    <t xml:space="preserve">   '재 료 비 : ' ~E0002010100.M~ / {Q} =?MA+</t>
  </si>
  <si>
    <t>170</t>
  </si>
  <si>
    <t>2. 굴삭기 (0.6 M3)</t>
  </si>
  <si>
    <t xml:space="preserve">C+ = </t>
  </si>
  <si>
    <t>환율(엔화)</t>
  </si>
  <si>
    <t xml:space="preserve">52_1_1 = </t>
  </si>
  <si>
    <t xml:space="preserve">368_1_2 = </t>
  </si>
  <si>
    <t>'    보통인부:' ~L085~ * QA * 2.0 / 8 / L= ?LA+</t>
  </si>
  <si>
    <t xml:space="preserve">194_1_1+ = </t>
  </si>
  <si>
    <t>#.31</t>
  </si>
  <si>
    <t xml:space="preserve">  '배 관 공 :'(0.19'인'/6.0'm') * ~L138~ =?LA+</t>
  </si>
  <si>
    <t>3. 기계경비</t>
  </si>
  <si>
    <t xml:space="preserve">331_1_3 = </t>
  </si>
  <si>
    <t xml:space="preserve">384_1_4 = </t>
  </si>
  <si>
    <t xml:space="preserve">390_1_3 = </t>
  </si>
  <si>
    <t xml:space="preserve">   '재 료 비 : '~E0006020240.M~ / {Q} * (({cm}-{t1})/{cm}) = ?MA+</t>
  </si>
  <si>
    <t xml:space="preserve">294_1_1+ = </t>
  </si>
  <si>
    <t>A01</t>
  </si>
  <si>
    <t xml:space="preserve">L1+ = </t>
  </si>
  <si>
    <t xml:space="preserve">729_1_1 = </t>
  </si>
  <si>
    <t>#14 유로폼 조립.해체(벽체) | 간단,6회-수직고7.0m 이하|㎡</t>
  </si>
  <si>
    <t>SB13550</t>
  </si>
  <si>
    <t xml:space="preserve">    합  계</t>
  </si>
  <si>
    <t xml:space="preserve">MA = </t>
  </si>
  <si>
    <t>경 비</t>
  </si>
  <si>
    <t>MZ93277</t>
  </si>
  <si>
    <t>MZ93277</t>
  </si>
  <si>
    <t xml:space="preserve">    합  계</t>
  </si>
  <si>
    <t>(직노+간노)의</t>
  </si>
  <si>
    <t xml:space="preserve">1,976 천원  </t>
  </si>
  <si>
    <t xml:space="preserve">1755_1_3+ = </t>
  </si>
  <si>
    <t xml:space="preserve">MA = </t>
  </si>
  <si>
    <t xml:space="preserve">362_1_5+ = </t>
  </si>
  <si>
    <t xml:space="preserve">    2) 차선도색</t>
  </si>
  <si>
    <t xml:space="preserve">   -   춘천 ---&gt; 현장</t>
  </si>
  <si>
    <t xml:space="preserve">501_1_1+ = </t>
  </si>
  <si>
    <t>#13 레디믹스콘크리트타설 | 장비사용, 무근구조물|㎥</t>
  </si>
  <si>
    <t xml:space="preserve">300_1_1+ = </t>
  </si>
  <si>
    <t xml:space="preserve">&gt;&gt;LA = </t>
  </si>
  <si>
    <t>130</t>
  </si>
  <si>
    <t xml:space="preserve">1275_1_1 = </t>
  </si>
  <si>
    <t>&gt;' 소  계'</t>
  </si>
  <si>
    <t xml:space="preserve">152_1_1+ = </t>
  </si>
  <si>
    <t>#3 아스팔트포장절단</t>
  </si>
  <si>
    <t>도착도</t>
  </si>
  <si>
    <t>착 암 공</t>
  </si>
  <si>
    <t>QLINCC</t>
  </si>
  <si>
    <t xml:space="preserve">95_1_1+ = </t>
  </si>
  <si>
    <t>물정/1-319/물자1 P181</t>
  </si>
  <si>
    <t xml:space="preserve">D2 = </t>
  </si>
  <si>
    <t>200×250×1000</t>
  </si>
  <si>
    <t>56900017123</t>
  </si>
  <si>
    <t xml:space="preserve">1324_1_2 = </t>
  </si>
  <si>
    <t>F</t>
  </si>
  <si>
    <t>동력분무기</t>
  </si>
  <si>
    <t>F</t>
  </si>
  <si>
    <t xml:space="preserve">  '블레이드 :'(0.27/100)'개'* ~M8922017~=?MA+</t>
  </si>
  <si>
    <t xml:space="preserve">1332_1_3+ = </t>
  </si>
  <si>
    <t xml:space="preserve">1751_1_3+ = </t>
  </si>
  <si>
    <t>'--------------------------------------- '</t>
  </si>
  <si>
    <t xml:space="preserve">750_1_2 = </t>
  </si>
  <si>
    <t>재료비단가소숫점</t>
  </si>
  <si>
    <t>85</t>
  </si>
  <si>
    <t xml:space="preserve">     스틸그레이팅설치(차도부)</t>
  </si>
  <si>
    <t xml:space="preserve">169_1_2+ = </t>
  </si>
  <si>
    <t xml:space="preserve">266_1_1+ = </t>
  </si>
  <si>
    <t xml:space="preserve">      총 계 :</t>
  </si>
  <si>
    <t>60</t>
  </si>
  <si>
    <t xml:space="preserve">      총 계 :</t>
  </si>
  <si>
    <t>#22 분기관천공및접합</t>
  </si>
  <si>
    <t>노무비</t>
  </si>
  <si>
    <t>환율(장비가격10만불이상)</t>
  </si>
  <si>
    <t xml:space="preserve">   T2 = ({L1}/40+{L2}/20)*2 =?'HR'</t>
  </si>
  <si>
    <t xml:space="preserve">  소    계</t>
  </si>
  <si>
    <t>타이어롤러(자주식)</t>
  </si>
  <si>
    <t>직접공사비의</t>
  </si>
  <si>
    <t xml:space="preserve">776_1_2 = </t>
  </si>
  <si>
    <t>E0011060012</t>
  </si>
  <si>
    <t>60</t>
  </si>
  <si>
    <t xml:space="preserve">CM2 = </t>
  </si>
  <si>
    <t>3. 살수차(16,000ℓ) - 0.5대</t>
  </si>
  <si>
    <t xml:space="preserve">1342_1_2 = </t>
  </si>
  <si>
    <t xml:space="preserve">1118_1_1+ = </t>
  </si>
  <si>
    <t xml:space="preserve">84,000 천원  </t>
  </si>
  <si>
    <t xml:space="preserve">A2+ = </t>
  </si>
  <si>
    <t xml:space="preserve">501_1_1 = </t>
  </si>
  <si>
    <t xml:space="preserve">628_2_1 = </t>
  </si>
  <si>
    <t>M9360003</t>
  </si>
  <si>
    <t xml:space="preserve">1269_1_1 = </t>
  </si>
  <si>
    <t xml:space="preserve">156_1_1+ = </t>
  </si>
  <si>
    <t>소   계</t>
  </si>
  <si>
    <t xml:space="preserve">1364_1_2 = </t>
  </si>
  <si>
    <t xml:space="preserve">   '노 무 비 :' ~E0011060012.L~ / {Q} =?LA+</t>
  </si>
  <si>
    <t>덤프트럭   24 TON</t>
  </si>
  <si>
    <t>115</t>
  </si>
  <si>
    <t>진동롤러(자주식)   12 TON</t>
  </si>
  <si>
    <t xml:space="preserve"> '○ 1시간 작업량 :' Q = {A} / 8'hr' =?'본/hr'</t>
  </si>
  <si>
    <t xml:space="preserve">435_1_1 = </t>
  </si>
  <si>
    <t xml:space="preserve">V1 = </t>
  </si>
  <si>
    <t xml:space="preserve">    '보통인부 :' 1 '인' / {A} '㎡'* ~L085~ =?LA+ :S2</t>
  </si>
  <si>
    <t>'    재료비:'~E0002010070.M~ * TB / L= ?MA+</t>
  </si>
  <si>
    <t>' - 자재를 뽑은후 이동(L=28m)'</t>
  </si>
  <si>
    <t xml:space="preserve"> &lt;유지관리 건축품셈 3-1-1 콘크리트 구조물 헐기(소형장비)&gt;</t>
  </si>
  <si>
    <t xml:space="preserve">692_1_1+ = </t>
  </si>
  <si>
    <t>맨홀뚜껑(주철)</t>
  </si>
  <si>
    <t xml:space="preserve">1324_1_2+ = </t>
  </si>
  <si>
    <t xml:space="preserve">1747_1_2+ = </t>
  </si>
  <si>
    <t xml:space="preserve">    '특별인부 :'0.01'인/m'* ~L084~ * 100'm'  =  ?LA+</t>
  </si>
  <si>
    <t xml:space="preserve">   가. 착암공</t>
  </si>
  <si>
    <t>TON</t>
  </si>
  <si>
    <t>길어깨포장</t>
  </si>
  <si>
    <t xml:space="preserve">   흡입준비 : 5 분    흡입 : 10 분</t>
  </si>
  <si>
    <t xml:space="preserve">   ( {C} + {D} ) * 0.03 = ?MA+</t>
  </si>
  <si>
    <t xml:space="preserve">                                                                                                    </t>
  </si>
  <si>
    <t>0.4 M3</t>
  </si>
  <si>
    <t xml:space="preserve">107_1_1+ = </t>
  </si>
  <si>
    <t xml:space="preserve">68_1_2+ = </t>
  </si>
  <si>
    <t>20</t>
  </si>
  <si>
    <t>E0014060015</t>
  </si>
  <si>
    <t>10 TON</t>
  </si>
  <si>
    <t>56900017108</t>
  </si>
  <si>
    <t>GTR100000</t>
  </si>
  <si>
    <t>#19 PE이중벽관접합및부설</t>
  </si>
  <si>
    <t xml:space="preserve">1179_1_1+ = </t>
  </si>
  <si>
    <t xml:space="preserve">266_1_2 = </t>
  </si>
  <si>
    <t xml:space="preserve">1778_1_1+ = </t>
  </si>
  <si>
    <t xml:space="preserve">T0 = </t>
  </si>
  <si>
    <t>#.14</t>
  </si>
  <si>
    <t>320-400 MM</t>
  </si>
  <si>
    <t xml:space="preserve">190_1_1+ = </t>
  </si>
  <si>
    <t xml:space="preserve">   가.기계사용료 (대형브레이카 + 굴착기 0.7M3)</t>
  </si>
  <si>
    <t>0</t>
  </si>
  <si>
    <t xml:space="preserve">     1) 공사중 교통안전시설</t>
  </si>
  <si>
    <t>'======================================= '</t>
  </si>
  <si>
    <t xml:space="preserve">396_1_1 = </t>
  </si>
  <si>
    <t xml:space="preserve">1279_1_1+ = </t>
  </si>
  <si>
    <t>#20 PE다중벽관접합및부설 | D 300mm|m</t>
  </si>
  <si>
    <t xml:space="preserve">491_1_1+ = </t>
  </si>
  <si>
    <t xml:space="preserve">68_1_1 = </t>
  </si>
  <si>
    <t xml:space="preserve">95_1_1 = </t>
  </si>
  <si>
    <t xml:space="preserve">284_1_1 = </t>
  </si>
  <si>
    <t xml:space="preserve">337_1_1 = </t>
  </si>
  <si>
    <t>재료비금액소숫점</t>
  </si>
  <si>
    <t>155</t>
  </si>
  <si>
    <t xml:space="preserve">1515_1_2+ = </t>
  </si>
  <si>
    <t xml:space="preserve">병렬터널 할증                           </t>
  </si>
  <si>
    <t xml:space="preserve">290_1_1+ = </t>
  </si>
  <si>
    <t xml:space="preserve">390_1_5+ = </t>
  </si>
  <si>
    <t xml:space="preserve">1452_1_2 = </t>
  </si>
  <si>
    <t xml:space="preserve">    굴 삭 기   0.7M3      1</t>
  </si>
  <si>
    <t xml:space="preserve"> &lt;토목품셈 1-5-7&gt;</t>
  </si>
  <si>
    <t>2.설치비(재료비의 5%)</t>
  </si>
  <si>
    <t xml:space="preserve">366_1_2 = </t>
  </si>
  <si>
    <t xml:space="preserve">127_1_1+ = </t>
  </si>
  <si>
    <t>#29 아스팔트 기층 기계포설(대형장비)</t>
  </si>
  <si>
    <t>재료비할증계수(야간)</t>
  </si>
  <si>
    <t>#19 PE이중벽관접합및부설 | D 250mm|m</t>
  </si>
  <si>
    <t>#.6</t>
  </si>
  <si>
    <t xml:space="preserve"> ○ 종합 일당시공량 대비 적용시공량 : 100 %</t>
  </si>
  <si>
    <t xml:space="preserve">1269_1_1+ = </t>
  </si>
  <si>
    <t xml:space="preserve">331_1_6 = </t>
  </si>
  <si>
    <t xml:space="preserve">384_1_1 = </t>
  </si>
  <si>
    <t xml:space="preserve">390_1_6 = </t>
  </si>
  <si>
    <t>#.39</t>
  </si>
  <si>
    <t xml:space="preserve">   '경    비 ' ~E0002010070.E~ / {Q} = ?EQ</t>
  </si>
  <si>
    <t xml:space="preserve">280_1_1+ = </t>
  </si>
  <si>
    <t>TYPE-2</t>
  </si>
  <si>
    <t>QLINCE</t>
  </si>
  <si>
    <t>MU600000</t>
  </si>
  <si>
    <t>SA05460</t>
  </si>
  <si>
    <t xml:space="preserve">   합계</t>
  </si>
  <si>
    <t xml:space="preserve">     차선도색(수동식),유지보수</t>
  </si>
  <si>
    <t>SA05460</t>
  </si>
  <si>
    <t xml:space="preserve">196_1_1 = </t>
  </si>
  <si>
    <t>중 기 명</t>
  </si>
  <si>
    <t>'  계    :'  D=D1+D2= ?</t>
  </si>
  <si>
    <t xml:space="preserve">   -춘 천 --&gt; 현 장</t>
  </si>
  <si>
    <t xml:space="preserve">   '재 료 비 :' ~E00020110701.M~ / {Q} = ?MA+</t>
  </si>
  <si>
    <t>환율(IMF특별인출권)</t>
  </si>
  <si>
    <t>400x500x50</t>
  </si>
  <si>
    <t>G13060120</t>
  </si>
  <si>
    <t xml:space="preserve"> '4. 소운반(TS판넬)'</t>
  </si>
  <si>
    <t>보조기층</t>
  </si>
  <si>
    <t xml:space="preserve">    '경    비 : '~E0052100013.E~ * {Q} =?EQ+</t>
  </si>
  <si>
    <t xml:space="preserve">1635_1_2+ = </t>
  </si>
  <si>
    <t>'    재료비:'~E0002010070.M~ * QA / L= ?MA+</t>
  </si>
  <si>
    <t xml:space="preserve">   소  계</t>
  </si>
  <si>
    <t>400x500x50</t>
  </si>
  <si>
    <t xml:space="preserve">     교통통제및안전처리</t>
  </si>
  <si>
    <t xml:space="preserve">  - 년간관리비율: 10%, - 상각비율: 90%, - 정비비율: 40%</t>
  </si>
  <si>
    <t xml:space="preserve">1796_1_1 = </t>
  </si>
  <si>
    <t>.sang=833, jung=556, kwan=556</t>
  </si>
  <si>
    <t xml:space="preserve">117_1_1+ = </t>
  </si>
  <si>
    <t xml:space="preserve">   '노 무 비 : '{D}'HR'/6.0'm'* ~E0021050010.L~ =?LA+</t>
  </si>
  <si>
    <t>G27020020</t>
  </si>
  <si>
    <t>MZ900125</t>
  </si>
  <si>
    <t>/물자1 P175</t>
  </si>
  <si>
    <t>MZ900125</t>
  </si>
  <si>
    <t xml:space="preserve">1406_1_2+ = </t>
  </si>
  <si>
    <t>#2 아스콘포장깨기 | 굴삭기 0.7㎥|㎥</t>
  </si>
  <si>
    <t>트럭 트랙터 및 평판트레일러   20 TON</t>
  </si>
  <si>
    <t>굴삭기 1.0㎥</t>
  </si>
  <si>
    <t xml:space="preserve">    '콘크리트공 :' 3 '인' / {A} '㎡' * ~L025~ =?LA+ :S1</t>
  </si>
  <si>
    <t>화 강 석</t>
  </si>
  <si>
    <t xml:space="preserve">   6. 간 접 노 무 비</t>
  </si>
  <si>
    <t xml:space="preserve">1208_1_1+ = </t>
  </si>
  <si>
    <t xml:space="preserve">640_2_1 = </t>
  </si>
  <si>
    <t xml:space="preserve">569_1_1 = </t>
  </si>
  <si>
    <t xml:space="preserve">331_1_4+ = </t>
  </si>
  <si>
    <t xml:space="preserve">   '재 료 비 ' ~E0002010070.M~ / {Q} = ?MA</t>
  </si>
  <si>
    <t xml:space="preserve">81_1_1+ = </t>
  </si>
  <si>
    <t xml:space="preserve">   CM = 5.0 + 10 + 5 + 20 + {T2} = ?</t>
  </si>
  <si>
    <t>G52100013</t>
  </si>
  <si>
    <t xml:space="preserve">   '특별인부 :'0.04'인/EA'* ~L084~ * 0.5'EA'  =  ?LA+</t>
  </si>
  <si>
    <t>A07</t>
  </si>
  <si>
    <t>진동롤러(자주식)   10 TON</t>
  </si>
  <si>
    <t>#.8</t>
  </si>
  <si>
    <t xml:space="preserve">   '경    비 :' ~E0013060120.E~ / {Q} =?EQ+</t>
  </si>
  <si>
    <t>#.37</t>
  </si>
  <si>
    <t>중기전역변수</t>
  </si>
  <si>
    <t xml:space="preserve">   '자동덮개 :' ~E0006100240.E~ / {q} =?eq+</t>
  </si>
  <si>
    <t>4.85Kw</t>
  </si>
  <si>
    <t>※콘크리트두께 T=200mm</t>
  </si>
  <si>
    <t>SB13410</t>
  </si>
  <si>
    <t>QH2</t>
  </si>
  <si>
    <t xml:space="preserve">1267_1_1 = </t>
  </si>
  <si>
    <t xml:space="preserve">   '경    비 :' ~E0033020038.E~ / {Q} =?EQ+</t>
  </si>
  <si>
    <t>3. 크레인(타이어) (10TON)</t>
  </si>
  <si>
    <t xml:space="preserve">   'PE분기관 :'  1.0'EA' * ~MZ978410~ =?MA+</t>
  </si>
  <si>
    <t xml:space="preserve">634_1_4+ = </t>
  </si>
  <si>
    <t xml:space="preserve"> ---------------------------------------</t>
  </si>
  <si>
    <t xml:space="preserve">85_1_1+ = </t>
  </si>
  <si>
    <t>일</t>
  </si>
  <si>
    <t>2. 설 치 비</t>
  </si>
  <si>
    <t>#25 사다리설치 | PE코팅 Ø22|개소</t>
  </si>
  <si>
    <t xml:space="preserve">&gt;EQ = </t>
  </si>
  <si>
    <t xml:space="preserve">   '포 설 공 :' 2.0'인' / {A} * ~L042~ =?LA+</t>
  </si>
  <si>
    <t xml:space="preserve">1285_1_2 = </t>
  </si>
  <si>
    <t xml:space="preserve">&gt;EQ = </t>
  </si>
  <si>
    <t xml:space="preserve">392_1_4+ = </t>
  </si>
  <si>
    <t xml:space="preserve">ZT605010                                                                                            </t>
  </si>
  <si>
    <t>G02010060</t>
  </si>
  <si>
    <t>치즐</t>
  </si>
  <si>
    <t>#24 조립식PC맨홀(연직구체) | Ø 1500 MM|개</t>
  </si>
  <si>
    <t>3. 포  장  공</t>
  </si>
  <si>
    <t xml:space="preserve">1326_1_3+ = </t>
  </si>
  <si>
    <t>.MA = MA(320,0,340)_x000D_
.LA = LA(320,0,340)_x000D_
.EQ = EQ(320,0,340)</t>
  </si>
  <si>
    <t xml:space="preserve">272_1_1+ = </t>
  </si>
  <si>
    <t xml:space="preserve">922_1_1+ = </t>
  </si>
  <si>
    <t xml:space="preserve">    2) 가시설공</t>
  </si>
  <si>
    <t>QLINC3</t>
  </si>
  <si>
    <t>작업반장</t>
  </si>
  <si>
    <t>노임</t>
  </si>
  <si>
    <t>#.12</t>
  </si>
  <si>
    <t xml:space="preserve">   '경    비 : '~E0006020240.E~ / {Q} = ?EQ+</t>
  </si>
  <si>
    <t>2. 설치비(재료비의 5%)</t>
  </si>
  <si>
    <t xml:space="preserve">개    </t>
  </si>
  <si>
    <t>#35 차선도색(페인트,기계식),유지보수 | 황색-실선|㎡</t>
  </si>
  <si>
    <t xml:space="preserve">    '재 료 비:' 2.5'm' * 3500 =?MA+</t>
  </si>
  <si>
    <t xml:space="preserve">310_1_1+ = </t>
  </si>
  <si>
    <t xml:space="preserve">511_1_1+ = </t>
  </si>
  <si>
    <t>#23 조립식PC맨홀(하부구체+상판) | Ø 1500 MM|개</t>
  </si>
  <si>
    <t>'    경  비:'~E0002010100.E~*Cm2/60*(Wt/1.5)/28'm'= ?EQ+</t>
  </si>
  <si>
    <t xml:space="preserve">T5 = </t>
  </si>
  <si>
    <t xml:space="preserve">343_1_1 = </t>
  </si>
  <si>
    <t xml:space="preserve">251_1_1 = </t>
  </si>
  <si>
    <t>QDECPMA</t>
  </si>
  <si>
    <t>노임할증계수(일반구간:야간)</t>
  </si>
  <si>
    <t>QH32</t>
  </si>
  <si>
    <t>M1152003</t>
  </si>
  <si>
    <t>시간당노임산출계수(일반구간)</t>
  </si>
  <si>
    <t xml:space="preserve">949_1_1 = </t>
  </si>
  <si>
    <t xml:space="preserve">640_1_1+ = </t>
  </si>
  <si>
    <t xml:space="preserve">TA+ = </t>
  </si>
  <si>
    <t xml:space="preserve">382_1_3 = </t>
  </si>
  <si>
    <t xml:space="preserve">398_1_1 = </t>
  </si>
  <si>
    <t>'○ 1시간 작업량 :' Q1 = {B} / 8'hr' =?'m3/hr'</t>
  </si>
  <si>
    <t>2. 내부패널/부자재/소모자재(웨지핀,플랫타이,강관파이프,후크 - 주재료의 29%)</t>
  </si>
  <si>
    <t>굴삭기(0.7㎥용)</t>
  </si>
  <si>
    <t xml:space="preserve">284_1_1+ = </t>
  </si>
  <si>
    <t>진동롤러(자주식)</t>
  </si>
  <si>
    <t xml:space="preserve">   '경    비 :' ~E0072040160.E~ / {Q} *0.5 =?EQ+</t>
  </si>
  <si>
    <t xml:space="preserve">1751_1_1 = </t>
  </si>
  <si>
    <t xml:space="preserve">   ({B} + {C}) * 0.02 =?MA+</t>
  </si>
  <si>
    <t>단 위</t>
  </si>
  <si>
    <t xml:space="preserve">177_1_1 = </t>
  </si>
  <si>
    <t xml:space="preserve">1330_1_2+ = </t>
  </si>
  <si>
    <t>단 위</t>
  </si>
  <si>
    <t xml:space="preserve">   t1 = ({CM} * {N}) / (60 * {Eo}) = ?'MIN'</t>
  </si>
  <si>
    <t>RSC-3,4</t>
  </si>
  <si>
    <t>113</t>
  </si>
  <si>
    <t xml:space="preserve"> 가. 페인트 (상온형) : 백색</t>
  </si>
  <si>
    <t>56100717001</t>
  </si>
  <si>
    <t>E0013050007</t>
  </si>
  <si>
    <t xml:space="preserve">       T2 = ({L1}/30+{L2}/15)*2 =?'HR'</t>
  </si>
  <si>
    <t xml:space="preserve">   Q = (3.3 + 5.9) / 2 = ?'M3/HR'</t>
  </si>
  <si>
    <t>E0006020045</t>
  </si>
  <si>
    <t xml:space="preserve">L = </t>
  </si>
  <si>
    <t xml:space="preserve">1366_1_1+ = </t>
  </si>
  <si>
    <t xml:space="preserve">       계</t>
  </si>
  <si>
    <t>&lt;공통품셈 3-2-4 터파기&gt;</t>
  </si>
  <si>
    <t xml:space="preserve">517_1_2 = </t>
  </si>
  <si>
    <t xml:space="preserve">1354_1_1 = </t>
  </si>
  <si>
    <t xml:space="preserve">  ({A} '인' * ~L085~) / ({Q} * {B} 'HR')= ?LA+</t>
  </si>
  <si>
    <t>#21 분기관천공및접합 | D 250mm|개소</t>
  </si>
  <si>
    <t xml:space="preserve">     4) 조립식맨홀블럭</t>
  </si>
  <si>
    <t xml:space="preserve">1246_1_1 = </t>
  </si>
  <si>
    <t xml:space="preserve">L = </t>
  </si>
  <si>
    <t xml:space="preserve">245_1_2+ = </t>
  </si>
  <si>
    <t xml:space="preserve">   나.보통 인부</t>
  </si>
  <si>
    <t>E0072100485</t>
  </si>
  <si>
    <t xml:space="preserve">     교통안전시설</t>
  </si>
  <si>
    <t>&gt; '소 계'</t>
  </si>
  <si>
    <t xml:space="preserve">  '보통인부 :'(0.23'인'/6.0'm') * ~L085~ =?LA+</t>
  </si>
  <si>
    <t xml:space="preserve">   '노 무 비 : ' ~E0072040055.L~ / {Q1} * 0.5 =?LA+</t>
  </si>
  <si>
    <t>#10 사토(토사)</t>
  </si>
  <si>
    <t>.sang=1125 ,jung=1000 ,kwan=674</t>
  </si>
  <si>
    <t xml:space="preserve">250,388 천원  </t>
  </si>
  <si>
    <t>100000000001</t>
  </si>
  <si>
    <t>#.16</t>
  </si>
  <si>
    <t xml:space="preserve">1234_1_1+ = </t>
  </si>
  <si>
    <t xml:space="preserve">T2+ = </t>
  </si>
  <si>
    <t xml:space="preserve">358_3_1 = </t>
  </si>
  <si>
    <t xml:space="preserve">   Q = (3600*{q}*{K}*{E}*{f}) / {CM} =?'M3/HR'</t>
  </si>
  <si>
    <t>SE00200</t>
  </si>
  <si>
    <t xml:space="preserve">1134_1_1+ = </t>
  </si>
  <si>
    <t>'   - 흙막이 압입및인발:'D1=(TA+TB)/8= ?</t>
  </si>
  <si>
    <t xml:space="preserve">1792_1_1+ = </t>
  </si>
  <si>
    <t xml:space="preserve">1008_1_1 = </t>
  </si>
  <si>
    <t xml:space="preserve">62_1_3+ = </t>
  </si>
  <si>
    <t xml:space="preserve">634_1_3 = </t>
  </si>
  <si>
    <t xml:space="preserve">760_1_1 = </t>
  </si>
  <si>
    <t xml:space="preserve">   '포 장 공 :' 4.0'인' / {A} * ~L041~ =?LA+</t>
  </si>
  <si>
    <t xml:space="preserve">   '포 장 공 :' 4.0'인' / {A} * ~L041~ =?LA+</t>
  </si>
  <si>
    <t xml:space="preserve">    '노 무 비 : '~E0002010070.L~ / {Q} * {A} =?LA+</t>
  </si>
  <si>
    <t>'    보통인부:' ~L085~ * TB * 2.00 / 8 / L= ?LA+</t>
  </si>
  <si>
    <t xml:space="preserve">1193_1_1+ = </t>
  </si>
  <si>
    <t>&gt;&gt;'계'</t>
  </si>
  <si>
    <t xml:space="preserve">1356_1_1+ = </t>
  </si>
  <si>
    <t xml:space="preserve">         계 :</t>
  </si>
  <si>
    <t xml:space="preserve">27_1_3 = </t>
  </si>
  <si>
    <t xml:space="preserve">362_1_1 = </t>
  </si>
  <si>
    <t xml:space="preserve">548_1_1+ = </t>
  </si>
  <si>
    <t>노임할증계수(일반구간:주야간)</t>
  </si>
  <si>
    <t>4. 살수차(16,000ℓ) - 0.5대</t>
  </si>
  <si>
    <t xml:space="preserve">     PE다중벽관접합및부설</t>
  </si>
  <si>
    <t xml:space="preserve">     구조물의 평균두께 30CM 미만 (기계 100%)</t>
  </si>
  <si>
    <t xml:space="preserve">         계 :</t>
  </si>
  <si>
    <t>56900017002</t>
  </si>
  <si>
    <t xml:space="preserve">   la() * 0.03 =?MA+</t>
  </si>
  <si>
    <t>라인 마커</t>
  </si>
  <si>
    <t>3. 라인마커 (10KM/HR)</t>
  </si>
  <si>
    <t>'    경  비:'~E0002010070.E~ * TB / L= ?EQ+</t>
  </si>
  <si>
    <t xml:space="preserve">1007_1_1+ = </t>
  </si>
  <si>
    <t xml:space="preserve">1606_1_1+ = </t>
  </si>
  <si>
    <t>SE55250</t>
  </si>
  <si>
    <t>아스팔트 디스트리뷰우터</t>
  </si>
  <si>
    <t xml:space="preserve">331_1_3+ = </t>
  </si>
  <si>
    <t xml:space="preserve">1562_1_1 = </t>
  </si>
  <si>
    <t>#.18</t>
  </si>
  <si>
    <t xml:space="preserve">1749_1_2 = </t>
  </si>
  <si>
    <t>.D = 1</t>
  </si>
  <si>
    <t xml:space="preserve">715_1_2+ = </t>
  </si>
  <si>
    <t>3. 진동롤러 (10 TON)</t>
  </si>
  <si>
    <t xml:space="preserve">156_1_1 = </t>
  </si>
  <si>
    <t>'○ 물운반 :' B=2000'ℓ'/ 100'M'/ 1000 = ?'ton'</t>
  </si>
  <si>
    <t>SB01026</t>
  </si>
  <si>
    <t xml:space="preserve">1792_1_2 = </t>
  </si>
  <si>
    <t xml:space="preserve">1618_1_1 = </t>
  </si>
  <si>
    <t xml:space="preserve">  4. 소운반(TS판넬)</t>
  </si>
  <si>
    <t xml:space="preserve"> -----------------------------------</t>
  </si>
  <si>
    <t>크레인(타이어)   10 TON</t>
  </si>
  <si>
    <t xml:space="preserve">㎥    </t>
  </si>
  <si>
    <t>합    계</t>
  </si>
  <si>
    <t xml:space="preserve">L1 = </t>
  </si>
  <si>
    <t>물자/149/물자1 P62</t>
  </si>
  <si>
    <t xml:space="preserve">21_1_1 = </t>
  </si>
  <si>
    <t xml:space="preserve">230_1_1 = </t>
  </si>
  <si>
    <t>'   굴 삭 기   0.7M3      1              '</t>
  </si>
  <si>
    <t>#.2</t>
  </si>
  <si>
    <t>MZ93275</t>
  </si>
  <si>
    <t>MZ93275</t>
  </si>
  <si>
    <t xml:space="preserve">634_1_3+ = </t>
  </si>
  <si>
    <t>2. 설치비</t>
  </si>
  <si>
    <t xml:space="preserve">   '경    비 :' ~E0011060012.E~ / {Q} =?EQ+</t>
  </si>
  <si>
    <t xml:space="preserve">L1 = </t>
  </si>
  <si>
    <t xml:space="preserve">1558_1_1 = </t>
  </si>
  <si>
    <t>SE01000</t>
  </si>
  <si>
    <t>320</t>
  </si>
  <si>
    <t xml:space="preserve">1003_1_1+ = </t>
  </si>
  <si>
    <t xml:space="preserve">62_1_2 = </t>
  </si>
  <si>
    <t>900*1800cm</t>
  </si>
  <si>
    <t xml:space="preserve">216_1_1 = </t>
  </si>
  <si>
    <t xml:space="preserve"> &gt; '합  계'</t>
  </si>
  <si>
    <t>SE01000</t>
  </si>
  <si>
    <t xml:space="preserve">     1) 레 미 콘</t>
  </si>
  <si>
    <t>#6 동상방지층(기계시공)</t>
  </si>
  <si>
    <t>7. 관급자재대</t>
  </si>
  <si>
    <t xml:space="preserve"> 3. 기타 안전 시설</t>
  </si>
  <si>
    <t xml:space="preserve">392_1_3+ = </t>
  </si>
  <si>
    <t xml:space="preserve">1755_1_2 = </t>
  </si>
  <si>
    <t xml:space="preserve">1622_1_1 = </t>
  </si>
  <si>
    <t xml:space="preserve">    3.1'kg' * ~M1488003~ / 10 =?MA+ :A2</t>
  </si>
  <si>
    <t xml:space="preserve"> ( {L1} + {L2} ) * 0.08 = ?MA+</t>
  </si>
  <si>
    <t>' - 내용년수:5년     -내용시간:6,000'</t>
  </si>
  <si>
    <t xml:space="preserve">   '재 료 비 :' ~E0044300400.M~ / {Q} =?MA+</t>
  </si>
  <si>
    <t xml:space="preserve">   '노 무 비 : '~E00020110701.L~ / {Q} =?LA+</t>
  </si>
  <si>
    <t>SB50550</t>
  </si>
  <si>
    <t xml:space="preserve">    '재 료 비 :' ~MU220000~ * {100}'m'* 0.15 = ?MA+</t>
  </si>
  <si>
    <t xml:space="preserve">    MA()* 0.05 =?LA+</t>
  </si>
  <si>
    <t xml:space="preserve">  나. 기계경비</t>
  </si>
  <si>
    <t>.sang=1286,jung=357, kwan=955</t>
  </si>
  <si>
    <t xml:space="preserve">L     </t>
  </si>
  <si>
    <t>QLINCA</t>
  </si>
  <si>
    <t>숫자</t>
  </si>
  <si>
    <t>직노의</t>
  </si>
  <si>
    <t xml:space="preserve">1352_1_3 = </t>
  </si>
  <si>
    <t xml:space="preserve">1263_1_2 = </t>
  </si>
  <si>
    <t>#31 보조기층(기계시공) | 길어깨포장|㎥</t>
  </si>
  <si>
    <t>5. 살수차 (5500L)</t>
  </si>
  <si>
    <t>#12 PE다중벽관접합및부설</t>
  </si>
  <si>
    <t>MZ978400</t>
  </si>
  <si>
    <t xml:space="preserve">1328_1_3 = </t>
  </si>
  <si>
    <t xml:space="preserve">1062_1_1+ = </t>
  </si>
  <si>
    <t>콘크리트공</t>
  </si>
  <si>
    <t xml:space="preserve">  - 자재를 뽑은후 이동(L=28m)</t>
  </si>
  <si>
    <t xml:space="preserve">548_1_1 = </t>
  </si>
  <si>
    <t>2.4Bx3.80H(SS)</t>
  </si>
  <si>
    <t>360</t>
  </si>
  <si>
    <t>'   휘 니 샤     3.0      1              '</t>
  </si>
  <si>
    <t xml:space="preserve">     콘크리트타설(장비사용,무근)</t>
  </si>
  <si>
    <t xml:space="preserve">384_1_2+ = </t>
  </si>
  <si>
    <t xml:space="preserve">1220_1_1 = </t>
  </si>
  <si>
    <t xml:space="preserve">1332_1_1 = </t>
  </si>
  <si>
    <t>EQ=MA(120,0,180)*0.0054 + 1000-472</t>
  </si>
  <si>
    <t xml:space="preserve">   순  공  사  비</t>
  </si>
  <si>
    <t>.B=1.1</t>
  </si>
  <si>
    <t xml:space="preserve">1120_1_1 = </t>
  </si>
  <si>
    <t xml:space="preserve">  '보통인부 :' 1 '인' / {A} '㎡'* ~L085~ =?LA+</t>
  </si>
  <si>
    <t>매캐덤 롤러(자주식)   10-12 TON</t>
  </si>
  <si>
    <t>E0032010003</t>
  </si>
  <si>
    <t xml:space="preserve">원    </t>
  </si>
  <si>
    <t xml:space="preserve">     {A} '인' * ~L039~ =?LA+</t>
  </si>
  <si>
    <t>2. 굴삭기 (0.4㎥)</t>
  </si>
  <si>
    <t>#.33</t>
  </si>
  <si>
    <t xml:space="preserve">1130_1_1+ = </t>
  </si>
  <si>
    <t xml:space="preserve">1352_1_1+ = </t>
  </si>
  <si>
    <t xml:space="preserve">1796_1_1+ = </t>
  </si>
  <si>
    <t xml:space="preserve">632_1_1 = </t>
  </si>
  <si>
    <t xml:space="preserve">1014_1_1 = </t>
  </si>
  <si>
    <t xml:space="preserve">1048_1_1 = </t>
  </si>
  <si>
    <t xml:space="preserve">1106_1_1 = </t>
  </si>
  <si>
    <t/>
  </si>
  <si>
    <t>1</t>
    <phoneticPr fontId="5" type="noConversion"/>
  </si>
  <si>
    <t>2026년 호반체육관 우수관로 복구 공사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</si>
</sst>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9" formatCode="General;\-General\,&quot;&quot;;@"/>
    <numFmt numFmtId="180" formatCode="#,##0.00####;\-#,##0.00####;@"/>
    <numFmt numFmtId="181" formatCode="#,###.000;\-#,###.000;&quot;&quot;;@"/>
    <numFmt numFmtId="182" formatCode="#,###;\-#,###;&quot;&quot;;@"/>
    <numFmt numFmtId="183" formatCode="#,###.00;\-#,###.00;&quot;&quot;;@"/>
  </numFmts>
  <fonts count="6" x14ac:knownFonts="1">
    <font>
      <sz val="8"/>
      <color indexed="8"/>
      <name val="굴림"/>
      <family val="3"/>
      <charset val="129"/>
    </font>
    <font>
      <u/>
      <sz val="8"/>
      <color indexed="12"/>
      <name val="굴림"/>
      <family val="3"/>
      <charset val="129"/>
    </font>
    <font>
      <sz val="8"/>
      <color indexed="30"/>
      <name val="굴림"/>
      <family val="3"/>
      <charset val="129"/>
    </font>
    <font>
      <sz val="8"/>
      <color indexed="22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27"/>
        <bgColor indexed="9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179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vertical="center"/>
    </xf>
    <xf numFmtId="179" fontId="0" fillId="0" borderId="2" xfId="0" applyNumberFormat="1" applyBorder="1" applyAlignment="1">
      <alignment vertical="center"/>
    </xf>
    <xf numFmtId="179" fontId="0" fillId="0" borderId="3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80" fontId="0" fillId="2" borderId="1" xfId="0" applyNumberForma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179" fontId="0" fillId="0" borderId="4" xfId="0" applyNumberFormat="1" applyBorder="1" applyAlignment="1">
      <alignment vertical="center"/>
    </xf>
    <xf numFmtId="179" fontId="0" fillId="0" borderId="5" xfId="0" applyNumberFormat="1" applyBorder="1" applyAlignment="1">
      <alignment vertical="center"/>
    </xf>
    <xf numFmtId="179" fontId="0" fillId="0" borderId="6" xfId="0" applyNumberFormat="1" applyBorder="1" applyAlignment="1">
      <alignment vertical="center"/>
    </xf>
    <xf numFmtId="179" fontId="0" fillId="0" borderId="7" xfId="0" applyNumberFormat="1" applyBorder="1" applyAlignment="1">
      <alignment vertical="center"/>
    </xf>
    <xf numFmtId="179" fontId="0" fillId="0" borderId="8" xfId="0" applyNumberFormat="1" applyBorder="1" applyAlignment="1">
      <alignment vertical="center"/>
    </xf>
    <xf numFmtId="179" fontId="0" fillId="5" borderId="9" xfId="0" applyNumberFormat="1" applyFill="1" applyBorder="1" applyAlignment="1">
      <alignment horizontal="center" vertical="center"/>
    </xf>
    <xf numFmtId="179" fontId="0" fillId="5" borderId="10" xfId="0" applyNumberFormat="1" applyFill="1" applyBorder="1" applyAlignment="1">
      <alignment horizontal="center" vertical="center"/>
    </xf>
    <xf numFmtId="179" fontId="0" fillId="5" borderId="11" xfId="0" applyNumberFormat="1" applyFill="1" applyBorder="1" applyAlignment="1">
      <alignment horizontal="center" vertical="center"/>
    </xf>
    <xf numFmtId="179" fontId="0" fillId="5" borderId="11" xfId="0" applyNumberFormat="1" applyFill="1" applyBorder="1" applyAlignment="1">
      <alignment horizontal="center" vertical="center" wrapText="1"/>
    </xf>
    <xf numFmtId="179" fontId="0" fillId="0" borderId="5" xfId="0" applyNumberFormat="1" applyBorder="1" applyAlignment="1">
      <alignment vertical="center" wrapText="1"/>
    </xf>
    <xf numFmtId="179" fontId="0" fillId="0" borderId="8" xfId="0" applyNumberFormat="1" applyBorder="1" applyAlignment="1">
      <alignment vertical="center" wrapText="1"/>
    </xf>
    <xf numFmtId="179" fontId="0" fillId="5" borderId="10" xfId="0" applyNumberFormat="1" applyFill="1" applyBorder="1" applyAlignment="1">
      <alignment horizontal="center" vertical="center" wrapText="1"/>
    </xf>
    <xf numFmtId="179" fontId="0" fillId="0" borderId="1" xfId="0" applyNumberFormat="1" applyBorder="1" applyAlignment="1">
      <alignment vertical="center" wrapText="1"/>
    </xf>
    <xf numFmtId="179" fontId="0" fillId="0" borderId="7" xfId="0" applyNumberFormat="1" applyBorder="1" applyAlignment="1">
      <alignment vertical="center" wrapText="1"/>
    </xf>
    <xf numFmtId="181" fontId="0" fillId="0" borderId="1" xfId="0" applyNumberFormat="1" applyBorder="1" applyAlignment="1">
      <alignment vertical="center"/>
    </xf>
    <xf numFmtId="181" fontId="0" fillId="0" borderId="7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2" fontId="0" fillId="0" borderId="7" xfId="0" applyNumberFormat="1" applyBorder="1" applyAlignment="1">
      <alignment vertical="center"/>
    </xf>
    <xf numFmtId="179" fontId="0" fillId="5" borderId="12" xfId="0" applyNumberFormat="1" applyFill="1" applyBorder="1" applyAlignment="1">
      <alignment horizontal="center" vertical="center"/>
    </xf>
    <xf numFmtId="182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182" fontId="0" fillId="0" borderId="2" xfId="0" applyNumberFormat="1" applyBorder="1" applyAlignment="1">
      <alignment vertical="center"/>
    </xf>
    <xf numFmtId="182" fontId="0" fillId="0" borderId="13" xfId="0" applyNumberFormat="1" applyBorder="1" applyAlignment="1">
      <alignment vertical="center"/>
    </xf>
    <xf numFmtId="182" fontId="0" fillId="0" borderId="14" xfId="0" applyNumberFormat="1" applyBorder="1" applyAlignment="1">
      <alignment vertical="center"/>
    </xf>
    <xf numFmtId="182" fontId="0" fillId="0" borderId="15" xfId="0" applyNumberForma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0" fontId="0" fillId="0" borderId="17" xfId="0" applyBorder="1"/>
    <xf numFmtId="0" fontId="0" fillId="0" borderId="16" xfId="0" applyBorder="1" applyAlignment="1">
      <alignment vertical="center"/>
    </xf>
    <xf numFmtId="179" fontId="0" fillId="0" borderId="18" xfId="0" applyNumberFormat="1" applyBorder="1" applyAlignment="1">
      <alignment vertical="center"/>
    </xf>
    <xf numFmtId="179" fontId="0" fillId="0" borderId="19" xfId="0" applyNumberFormat="1" applyBorder="1" applyAlignment="1">
      <alignment vertical="center" wrapText="1"/>
    </xf>
    <xf numFmtId="182" fontId="0" fillId="0" borderId="19" xfId="0" applyNumberFormat="1" applyBorder="1" applyAlignment="1">
      <alignment vertical="center" wrapText="1"/>
    </xf>
    <xf numFmtId="182" fontId="0" fillId="0" borderId="20" xfId="0" applyNumberFormat="1" applyBorder="1" applyAlignment="1">
      <alignment vertical="center" wrapText="1"/>
    </xf>
    <xf numFmtId="182" fontId="0" fillId="0" borderId="21" xfId="0" applyNumberFormat="1" applyBorder="1" applyAlignment="1">
      <alignment vertical="center" wrapText="1"/>
    </xf>
    <xf numFmtId="182" fontId="0" fillId="0" borderId="22" xfId="0" applyNumberFormat="1" applyBorder="1" applyAlignment="1">
      <alignment vertical="center" wrapText="1"/>
    </xf>
    <xf numFmtId="179" fontId="0" fillId="0" borderId="22" xfId="0" applyNumberFormat="1" applyBorder="1" applyAlignment="1">
      <alignment vertical="center" wrapText="1"/>
    </xf>
    <xf numFmtId="179" fontId="0" fillId="5" borderId="7" xfId="0" applyNumberForma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83" fontId="0" fillId="0" borderId="1" xfId="0" applyNumberFormat="1" applyBorder="1" applyAlignment="1">
      <alignment vertical="center"/>
    </xf>
    <xf numFmtId="179" fontId="0" fillId="0" borderId="6" xfId="0" applyNumberFormat="1" applyBorder="1" applyAlignment="1">
      <alignment horizontal="center" vertical="center"/>
    </xf>
    <xf numFmtId="179" fontId="0" fillId="0" borderId="7" xfId="0" applyNumberFormat="1" applyBorder="1" applyAlignment="1">
      <alignment horizontal="center" vertical="center"/>
    </xf>
    <xf numFmtId="179" fontId="0" fillId="0" borderId="8" xfId="0" applyNumberFormat="1" applyBorder="1" applyAlignment="1">
      <alignment horizontal="center" vertical="center" wrapText="1"/>
    </xf>
    <xf numFmtId="179" fontId="0" fillId="5" borderId="23" xfId="0" applyNumberFormat="1" applyFill="1" applyBorder="1" applyAlignment="1">
      <alignment horizontal="center" vertical="center"/>
    </xf>
    <xf numFmtId="179" fontId="0" fillId="5" borderId="24" xfId="0" applyNumberFormat="1" applyFill="1" applyBorder="1" applyAlignment="1">
      <alignment horizontal="center" vertical="center" wrapText="1"/>
    </xf>
    <xf numFmtId="179" fontId="0" fillId="5" borderId="8" xfId="0" applyNumberFormat="1" applyFill="1" applyBorder="1" applyAlignment="1">
      <alignment horizontal="center" vertical="center" wrapText="1"/>
    </xf>
    <xf numFmtId="179" fontId="0" fillId="5" borderId="25" xfId="0" applyNumberFormat="1" applyFill="1" applyBorder="1" applyAlignment="1">
      <alignment horizontal="center" vertical="center"/>
    </xf>
    <xf numFmtId="179" fontId="0" fillId="5" borderId="6" xfId="0" applyNumberFormat="1" applyFill="1" applyBorder="1" applyAlignment="1">
      <alignment horizontal="center" vertical="center"/>
    </xf>
    <xf numFmtId="179" fontId="0" fillId="5" borderId="7" xfId="0" applyNumberFormat="1" applyFill="1" applyBorder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45"/>
  <sheetViews>
    <sheetView tabSelected="1" view="pageBreakPreview" zoomScale="98" zoomScaleNormal="100" zoomScaleSheetLayoutView="98" workbookViewId="0">
      <selection activeCell="A4" sqref="A4"/>
    </sheetView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  <col min="14" max="59" width="0" hidden="1" customWidth="1"/>
  </cols>
  <sheetData>
    <row r="1" spans="1:61" ht="18.399999999999999" customHeight="1" x14ac:dyDescent="0.15">
      <c r="A1" t="s">
        <v>280</v>
      </c>
    </row>
    <row r="2" spans="1:61" ht="18.399999999999999" customHeight="1" x14ac:dyDescent="0.15">
      <c r="A2" s="57" t="s">
        <v>397</v>
      </c>
      <c r="B2" s="54" t="s">
        <v>1098</v>
      </c>
      <c r="C2" s="54" t="s">
        <v>1420</v>
      </c>
      <c r="D2" s="54" t="s">
        <v>924</v>
      </c>
      <c r="E2" s="54" t="s">
        <v>2371</v>
      </c>
      <c r="F2" s="54" t="s">
        <v>2450</v>
      </c>
      <c r="G2" s="54" t="s">
        <v>1648</v>
      </c>
      <c r="H2" s="54" t="s">
        <v>2450</v>
      </c>
      <c r="I2" s="54" t="s">
        <v>1007</v>
      </c>
      <c r="J2" s="54" t="s">
        <v>2450</v>
      </c>
      <c r="K2" s="54" t="s">
        <v>156</v>
      </c>
      <c r="L2" s="54" t="s">
        <v>2450</v>
      </c>
      <c r="M2" s="55" t="s">
        <v>651</v>
      </c>
    </row>
    <row r="3" spans="1:61" ht="18.399999999999999" customHeight="1" x14ac:dyDescent="0.15">
      <c r="A3" s="58" t="s">
        <v>2450</v>
      </c>
      <c r="B3" s="59" t="s">
        <v>2450</v>
      </c>
      <c r="C3" s="59" t="s">
        <v>2450</v>
      </c>
      <c r="D3" s="59" t="s">
        <v>2450</v>
      </c>
      <c r="E3" s="48" t="s">
        <v>575</v>
      </c>
      <c r="F3" s="48" t="s">
        <v>318</v>
      </c>
      <c r="G3" s="48" t="s">
        <v>575</v>
      </c>
      <c r="H3" s="48" t="s">
        <v>318</v>
      </c>
      <c r="I3" s="48" t="s">
        <v>575</v>
      </c>
      <c r="J3" s="48" t="s">
        <v>318</v>
      </c>
      <c r="K3" s="48" t="s">
        <v>575</v>
      </c>
      <c r="L3" s="48" t="s">
        <v>318</v>
      </c>
      <c r="M3" s="56" t="s">
        <v>2450</v>
      </c>
      <c r="S3" s="1" t="s">
        <v>822</v>
      </c>
      <c r="T3" s="1" t="s">
        <v>1776</v>
      </c>
      <c r="U3" s="1" t="s">
        <v>862</v>
      </c>
      <c r="V3" s="1" t="s">
        <v>338</v>
      </c>
      <c r="W3" s="1" t="s">
        <v>146</v>
      </c>
      <c r="X3" s="1" t="s">
        <v>788</v>
      </c>
      <c r="Y3" s="1" t="s">
        <v>1643</v>
      </c>
    </row>
    <row r="4" spans="1:61" ht="18.399999999999999" customHeight="1" x14ac:dyDescent="0.15">
      <c r="A4" s="11" t="s">
        <v>2452</v>
      </c>
      <c r="B4" s="2"/>
      <c r="C4" s="2">
        <v>0</v>
      </c>
      <c r="D4" s="2" t="s">
        <v>2450</v>
      </c>
      <c r="F4" s="27">
        <f t="shared" ref="F4:F35" si="0">H4+J4+L4</f>
        <v>336694000</v>
      </c>
      <c r="H4" s="27">
        <f>TRUNC(H5+H6+H7+H8+H9+H11+H12+H13+H14+H15+H16+H17+H18+H19+H20+H21+H22+H23+H24+H25+H27+H28+H30+H32+H33,0)</f>
        <v>142542927</v>
      </c>
      <c r="J4" s="27">
        <f>TRUNC(J5+J6+J7+J8+J9+J11+J12+J13+J14+J15+J16+J17+J18+J19+J20+J21+J22+J23+J24+J25+J27+J28+J30+J32+J33,0)</f>
        <v>90478417</v>
      </c>
      <c r="L4" s="27">
        <f>TRUNC(L5+L6+L7+L8+L9+L11+L12+L13+L14+L15+L16+L17+L18+L19+L20+L21+L22+L23+L24+L25+L27+L28+L30+L32+L33,0)</f>
        <v>103672656</v>
      </c>
      <c r="M4" s="20" t="s">
        <v>2450</v>
      </c>
      <c r="N4" t="s">
        <v>2450</v>
      </c>
      <c r="O4" t="s">
        <v>1119</v>
      </c>
    </row>
    <row r="5" spans="1:61" ht="18.399999999999999" customHeight="1" x14ac:dyDescent="0.15">
      <c r="A5" s="11" t="s">
        <v>164</v>
      </c>
      <c r="B5" s="2" t="s">
        <v>2450</v>
      </c>
      <c r="C5" s="2">
        <v>1</v>
      </c>
      <c r="D5" s="2" t="s">
        <v>1970</v>
      </c>
      <c r="E5" s="27">
        <f t="shared" ref="E5:E35" si="1">G5+I5+K5</f>
        <v>16069066</v>
      </c>
      <c r="F5" s="27">
        <f t="shared" si="0"/>
        <v>16069066</v>
      </c>
      <c r="G5" s="27">
        <f>H36</f>
        <v>3592214</v>
      </c>
      <c r="H5" s="27">
        <f>TRUNC(G5*C5,0)</f>
        <v>3592214</v>
      </c>
      <c r="I5" s="27">
        <f>J36</f>
        <v>9178031</v>
      </c>
      <c r="J5" s="27">
        <f>TRUNC(I5*C5,0)</f>
        <v>9178031</v>
      </c>
      <c r="K5" s="27">
        <f>L36</f>
        <v>3298821</v>
      </c>
      <c r="L5" s="27">
        <f>TRUNC(K5*C5,0)</f>
        <v>3298821</v>
      </c>
      <c r="M5" s="20" t="s">
        <v>2450</v>
      </c>
      <c r="N5" t="s">
        <v>2450</v>
      </c>
      <c r="P5" t="s">
        <v>286</v>
      </c>
      <c r="Q5" t="s">
        <v>2450</v>
      </c>
      <c r="R5" t="s">
        <v>2015</v>
      </c>
      <c r="BI5" s="49" t="str">
        <f>HYPERLINK("#내역서!A36","A01 →")</f>
        <v>A01 →</v>
      </c>
    </row>
    <row r="6" spans="1:61" ht="18.399999999999999" customHeight="1" x14ac:dyDescent="0.15">
      <c r="A6" s="11" t="s">
        <v>74</v>
      </c>
      <c r="B6" s="2" t="s">
        <v>2450</v>
      </c>
      <c r="C6" s="2">
        <v>1</v>
      </c>
      <c r="D6" s="2" t="s">
        <v>1970</v>
      </c>
      <c r="E6" s="27">
        <f t="shared" si="1"/>
        <v>87553687</v>
      </c>
      <c r="F6" s="27">
        <f t="shared" si="0"/>
        <v>87553687</v>
      </c>
      <c r="G6" s="27">
        <f>H49</f>
        <v>22586272</v>
      </c>
      <c r="H6" s="27">
        <f>TRUNC(G6*C6,0)</f>
        <v>22586272</v>
      </c>
      <c r="I6" s="27">
        <f>J49</f>
        <v>59377271</v>
      </c>
      <c r="J6" s="27">
        <f>TRUNC(I6*C6,0)</f>
        <v>59377271</v>
      </c>
      <c r="K6" s="27">
        <f>L49</f>
        <v>5590144</v>
      </c>
      <c r="L6" s="27">
        <f>TRUNC(K6*C6,0)</f>
        <v>5590144</v>
      </c>
      <c r="M6" s="20" t="s">
        <v>2450</v>
      </c>
      <c r="N6" t="s">
        <v>2450</v>
      </c>
      <c r="P6" t="s">
        <v>2115</v>
      </c>
      <c r="Q6" t="s">
        <v>2450</v>
      </c>
      <c r="R6" t="s">
        <v>1031</v>
      </c>
      <c r="BI6" s="49" t="str">
        <f>HYPERLINK("#내역서!A49","A02 →")</f>
        <v>A02 →</v>
      </c>
    </row>
    <row r="7" spans="1:61" ht="18.399999999999999" customHeight="1" x14ac:dyDescent="0.15">
      <c r="A7" s="11" t="s">
        <v>1036</v>
      </c>
      <c r="B7" s="2" t="s">
        <v>2450</v>
      </c>
      <c r="C7" s="2">
        <v>1</v>
      </c>
      <c r="D7" s="2" t="s">
        <v>1970</v>
      </c>
      <c r="E7" s="27">
        <f t="shared" si="1"/>
        <v>6445487</v>
      </c>
      <c r="F7" s="27">
        <f t="shared" si="0"/>
        <v>6445487</v>
      </c>
      <c r="G7" s="27">
        <f>H71</f>
        <v>1231818</v>
      </c>
      <c r="H7" s="27">
        <f>TRUNC(G7*C7,0)</f>
        <v>1231818</v>
      </c>
      <c r="I7" s="27">
        <f>J71</f>
        <v>4134367</v>
      </c>
      <c r="J7" s="27">
        <f>TRUNC(I7*C7,0)</f>
        <v>4134367</v>
      </c>
      <c r="K7" s="27">
        <f>L71</f>
        <v>1079302</v>
      </c>
      <c r="L7" s="27">
        <f>TRUNC(K7*C7,0)</f>
        <v>1079302</v>
      </c>
      <c r="M7" s="20" t="s">
        <v>2450</v>
      </c>
      <c r="N7" t="s">
        <v>2450</v>
      </c>
      <c r="P7" t="s">
        <v>907</v>
      </c>
      <c r="Q7" t="s">
        <v>2450</v>
      </c>
      <c r="R7" t="s">
        <v>1080</v>
      </c>
      <c r="BI7" s="49" t="str">
        <f>HYPERLINK("#내역서!A71","A06 →")</f>
        <v>A06 →</v>
      </c>
    </row>
    <row r="8" spans="1:61" ht="18.399999999999999" customHeight="1" x14ac:dyDescent="0.15">
      <c r="A8" s="11" t="s">
        <v>1396</v>
      </c>
      <c r="B8" s="2" t="s">
        <v>2450</v>
      </c>
      <c r="C8" s="2">
        <v>1</v>
      </c>
      <c r="D8" s="2" t="s">
        <v>1970</v>
      </c>
      <c r="E8" s="27">
        <f t="shared" si="1"/>
        <v>1944080</v>
      </c>
      <c r="F8" s="27">
        <f t="shared" si="0"/>
        <v>1944080</v>
      </c>
      <c r="G8" s="27">
        <f>H84</f>
        <v>346763</v>
      </c>
      <c r="H8" s="27">
        <f>TRUNC(G8*C8,0)</f>
        <v>346763</v>
      </c>
      <c r="I8" s="27">
        <f>J84</f>
        <v>266135</v>
      </c>
      <c r="J8" s="27">
        <f>TRUNC(I8*C8,0)</f>
        <v>266135</v>
      </c>
      <c r="K8" s="27">
        <f>L84</f>
        <v>1331182</v>
      </c>
      <c r="L8" s="27">
        <f>TRUNC(K8*C8,0)</f>
        <v>1331182</v>
      </c>
      <c r="M8" s="20" t="s">
        <v>2450</v>
      </c>
      <c r="N8" t="s">
        <v>2450</v>
      </c>
      <c r="P8" t="s">
        <v>248</v>
      </c>
      <c r="Q8" t="s">
        <v>2450</v>
      </c>
      <c r="R8" t="s">
        <v>2212</v>
      </c>
      <c r="BI8" s="49" t="str">
        <f>HYPERLINK("#내역서!A84","A07 →")</f>
        <v>A07 →</v>
      </c>
    </row>
    <row r="9" spans="1:61" ht="18.399999999999999" customHeight="1" x14ac:dyDescent="0.15">
      <c r="A9" s="11" t="s">
        <v>1089</v>
      </c>
      <c r="B9" s="2" t="s">
        <v>2450</v>
      </c>
      <c r="C9" s="2">
        <v>1</v>
      </c>
      <c r="D9" s="2" t="s">
        <v>1970</v>
      </c>
      <c r="E9" s="27">
        <f t="shared" si="1"/>
        <v>19599380</v>
      </c>
      <c r="F9" s="27">
        <f t="shared" si="0"/>
        <v>19599380</v>
      </c>
      <c r="G9" s="27">
        <f>H94</f>
        <v>19599380</v>
      </c>
      <c r="H9" s="27">
        <f>TRUNC(G9*C9,0)</f>
        <v>19599380</v>
      </c>
      <c r="I9" s="27">
        <f>J94</f>
        <v>0</v>
      </c>
      <c r="J9" s="27">
        <f>TRUNC(I9*C9,0)</f>
        <v>0</v>
      </c>
      <c r="K9" s="27">
        <f>L94</f>
        <v>0</v>
      </c>
      <c r="L9" s="27">
        <f>TRUNC(K9*C9,0)</f>
        <v>0</v>
      </c>
      <c r="M9" s="20" t="s">
        <v>2450</v>
      </c>
      <c r="N9" t="s">
        <v>2450</v>
      </c>
      <c r="P9" t="s">
        <v>2065</v>
      </c>
      <c r="Q9" t="s">
        <v>2450</v>
      </c>
      <c r="R9" t="s">
        <v>44</v>
      </c>
      <c r="AA9" s="37" t="s">
        <v>1798</v>
      </c>
      <c r="AB9" s="8">
        <f>(내역서!H5+내역서!H6+내역서!H7+내역서!H8+내역서!H9)</f>
        <v>47356447</v>
      </c>
      <c r="AC9" s="37" t="s">
        <v>2021</v>
      </c>
      <c r="AD9" s="7">
        <f t="shared" ref="AD9:AD23" si="2">$AB9</f>
        <v>47356447</v>
      </c>
      <c r="BI9" s="49" t="str">
        <f>HYPERLINK("#내역서!A94","A10 →")</f>
        <v>A10 →</v>
      </c>
    </row>
    <row r="10" spans="1:61" ht="18.399999999999999" customHeight="1" x14ac:dyDescent="0.15">
      <c r="A10" s="11" t="s">
        <v>299</v>
      </c>
      <c r="B10" s="2" t="s">
        <v>2450</v>
      </c>
      <c r="C10" s="2"/>
      <c r="D10" s="2" t="s">
        <v>2450</v>
      </c>
      <c r="E10" s="27">
        <f t="shared" si="1"/>
        <v>0</v>
      </c>
      <c r="F10" s="27">
        <f t="shared" si="0"/>
        <v>131611700</v>
      </c>
      <c r="G10" s="1"/>
      <c r="H10" s="27">
        <f>TRUNC((H5+H6+H7+H8+H9),0)</f>
        <v>47356447</v>
      </c>
      <c r="I10" s="1"/>
      <c r="J10" s="27">
        <f>TRUNC((J5+J6+J7+J8+J9),0)</f>
        <v>72955804</v>
      </c>
      <c r="K10" s="1"/>
      <c r="L10" s="27">
        <f>TRUNC((L5+L6+L7+L8+L9),0)</f>
        <v>11299449</v>
      </c>
      <c r="M10" s="20" t="s">
        <v>2450</v>
      </c>
      <c r="N10" t="s">
        <v>2450</v>
      </c>
      <c r="P10" t="s">
        <v>1446</v>
      </c>
      <c r="Q10" t="s">
        <v>1565</v>
      </c>
      <c r="R10" t="s">
        <v>2053</v>
      </c>
      <c r="X10" t="s">
        <v>539</v>
      </c>
      <c r="AA10" s="37" t="s">
        <v>266</v>
      </c>
      <c r="AB10" s="8">
        <f>내역서!J10*(내역서!C11*전역변수!C7)/100</f>
        <v>13934558.564000001</v>
      </c>
      <c r="AC10" s="37" t="s">
        <v>972</v>
      </c>
      <c r="AD10" s="7">
        <f t="shared" si="2"/>
        <v>13934558.564000001</v>
      </c>
    </row>
    <row r="11" spans="1:61" ht="18.399999999999999" customHeight="1" x14ac:dyDescent="0.15">
      <c r="A11" s="11" t="s">
        <v>2202</v>
      </c>
      <c r="B11" s="2" t="s">
        <v>2413</v>
      </c>
      <c r="C11" s="2">
        <v>19.100000000000001</v>
      </c>
      <c r="D11" s="2" t="s">
        <v>520</v>
      </c>
      <c r="E11" s="27">
        <f t="shared" si="1"/>
        <v>0</v>
      </c>
      <c r="F11" s="27">
        <f t="shared" si="0"/>
        <v>13934558</v>
      </c>
      <c r="G11" s="1"/>
      <c r="H11" s="27">
        <v>0</v>
      </c>
      <c r="I11" s="1"/>
      <c r="J11" s="27">
        <f>TRUNC((J10*(C11*전역변수!C7)/100),0)</f>
        <v>13934558</v>
      </c>
      <c r="K11" s="1"/>
      <c r="L11" s="27">
        <v>0</v>
      </c>
      <c r="M11" s="20" t="s">
        <v>2450</v>
      </c>
      <c r="N11" t="s">
        <v>2450</v>
      </c>
      <c r="P11" t="s">
        <v>864</v>
      </c>
      <c r="Q11" t="s">
        <v>2450</v>
      </c>
      <c r="R11" t="s">
        <v>2053</v>
      </c>
      <c r="X11" t="s">
        <v>1347</v>
      </c>
      <c r="AA11" s="37" t="s">
        <v>815</v>
      </c>
      <c r="AB11" s="8">
        <f>(내역서!J10+(내역서!J11*전역변수!C7))*(내역서!C12*전역변수!C7)/100</f>
        <v>3093296.8872000002</v>
      </c>
      <c r="AC11" s="37" t="s">
        <v>1302</v>
      </c>
      <c r="AD11" s="7">
        <f t="shared" si="2"/>
        <v>3093296.8872000002</v>
      </c>
    </row>
    <row r="12" spans="1:61" ht="18.399999999999999" customHeight="1" x14ac:dyDescent="0.15">
      <c r="A12" s="11" t="s">
        <v>1091</v>
      </c>
      <c r="B12" s="2" t="s">
        <v>2026</v>
      </c>
      <c r="C12" s="2">
        <v>3.56</v>
      </c>
      <c r="D12" s="2" t="s">
        <v>520</v>
      </c>
      <c r="E12" s="27">
        <f t="shared" si="1"/>
        <v>0</v>
      </c>
      <c r="F12" s="27">
        <f t="shared" si="0"/>
        <v>3093296</v>
      </c>
      <c r="G12" s="1"/>
      <c r="H12" s="27">
        <v>0</v>
      </c>
      <c r="I12" s="1"/>
      <c r="J12" s="27">
        <v>0</v>
      </c>
      <c r="K12" s="1"/>
      <c r="L12" s="27">
        <f>TRUNC(((J10+(J11*전역변수!C7))*(C12*전역변수!C7)/100),0)</f>
        <v>3093296</v>
      </c>
      <c r="M12" s="20" t="s">
        <v>2450</v>
      </c>
      <c r="N12" t="s">
        <v>2450</v>
      </c>
      <c r="P12" t="s">
        <v>209</v>
      </c>
      <c r="Q12" t="s">
        <v>2450</v>
      </c>
      <c r="R12" t="s">
        <v>2053</v>
      </c>
      <c r="X12" t="s">
        <v>1297</v>
      </c>
      <c r="AA12" s="37" t="s">
        <v>815</v>
      </c>
      <c r="AB12" s="8">
        <f>(내역서!J10+(내역서!J11*전역변수!C7))*(내역서!C13*전역변수!C7)/100</f>
        <v>877592.65620000008</v>
      </c>
      <c r="AC12" s="37" t="s">
        <v>1302</v>
      </c>
      <c r="AD12" s="7">
        <f t="shared" si="2"/>
        <v>877592.65620000008</v>
      </c>
    </row>
    <row r="13" spans="1:61" ht="18.399999999999999" customHeight="1" x14ac:dyDescent="0.15">
      <c r="A13" s="11" t="s">
        <v>1157</v>
      </c>
      <c r="B13" s="2" t="s">
        <v>2026</v>
      </c>
      <c r="C13" s="2">
        <v>1.01</v>
      </c>
      <c r="D13" s="2" t="s">
        <v>520</v>
      </c>
      <c r="E13" s="27">
        <f t="shared" si="1"/>
        <v>0</v>
      </c>
      <c r="F13" s="27">
        <f t="shared" si="0"/>
        <v>877592</v>
      </c>
      <c r="G13" s="1"/>
      <c r="H13" s="27">
        <v>0</v>
      </c>
      <c r="I13" s="1"/>
      <c r="J13" s="27">
        <v>0</v>
      </c>
      <c r="K13" s="1"/>
      <c r="L13" s="27">
        <f>TRUNC(((J10+(J11*전역변수!C7))*(C13*전역변수!C7)/100),0)</f>
        <v>877592</v>
      </c>
      <c r="M13" s="20" t="s">
        <v>2450</v>
      </c>
      <c r="N13" t="s">
        <v>2450</v>
      </c>
      <c r="P13" t="s">
        <v>202</v>
      </c>
      <c r="Q13" t="s">
        <v>2450</v>
      </c>
      <c r="R13" t="s">
        <v>2053</v>
      </c>
      <c r="X13" t="s">
        <v>1297</v>
      </c>
      <c r="AA13" s="37" t="s">
        <v>815</v>
      </c>
      <c r="AB13" s="8">
        <f>(내역서!J10+(내역서!J11*전역변수!C7))*(내역서!C14*전역변수!C7)/100</f>
        <v>5213.4217200000003</v>
      </c>
      <c r="AC13" s="37" t="s">
        <v>1302</v>
      </c>
      <c r="AD13" s="7">
        <f t="shared" si="2"/>
        <v>5213.4217200000003</v>
      </c>
    </row>
    <row r="14" spans="1:61" ht="18.399999999999999" customHeight="1" x14ac:dyDescent="0.15">
      <c r="A14" s="11" t="s">
        <v>1649</v>
      </c>
      <c r="B14" s="2" t="s">
        <v>2026</v>
      </c>
      <c r="C14" s="2">
        <v>6.0000000000000001E-3</v>
      </c>
      <c r="D14" s="2" t="s">
        <v>520</v>
      </c>
      <c r="E14" s="27">
        <f t="shared" si="1"/>
        <v>0</v>
      </c>
      <c r="F14" s="27">
        <f t="shared" si="0"/>
        <v>5213</v>
      </c>
      <c r="G14" s="1"/>
      <c r="H14" s="27">
        <v>0</v>
      </c>
      <c r="I14" s="1"/>
      <c r="J14" s="27">
        <v>0</v>
      </c>
      <c r="K14" s="1"/>
      <c r="L14" s="27">
        <f>TRUNC(((J10+(J11*전역변수!C7))*(C14*전역변수!C7)/100),0)</f>
        <v>5213</v>
      </c>
      <c r="M14" s="20" t="s">
        <v>2450</v>
      </c>
      <c r="N14" t="s">
        <v>2450</v>
      </c>
      <c r="P14" t="s">
        <v>837</v>
      </c>
      <c r="Q14" t="s">
        <v>2450</v>
      </c>
      <c r="R14" t="s">
        <v>2053</v>
      </c>
      <c r="X14" t="s">
        <v>1297</v>
      </c>
      <c r="AA14" s="37" t="s">
        <v>815</v>
      </c>
      <c r="AB14" s="8">
        <f>(내역서!J10+(내역서!J11*전역변수!C7))*(내역서!C15*전역변수!C7)/100</f>
        <v>78201.325800000006</v>
      </c>
      <c r="AC14" s="37" t="s">
        <v>1302</v>
      </c>
      <c r="AD14" s="7">
        <f t="shared" si="2"/>
        <v>78201.325800000006</v>
      </c>
    </row>
    <row r="15" spans="1:61" ht="18.399999999999999" customHeight="1" x14ac:dyDescent="0.15">
      <c r="A15" s="11" t="s">
        <v>1994</v>
      </c>
      <c r="B15" s="2" t="s">
        <v>2026</v>
      </c>
      <c r="C15" s="2">
        <v>0.09</v>
      </c>
      <c r="D15" s="2" t="s">
        <v>520</v>
      </c>
      <c r="E15" s="27">
        <f t="shared" si="1"/>
        <v>0</v>
      </c>
      <c r="F15" s="27">
        <f t="shared" si="0"/>
        <v>78201</v>
      </c>
      <c r="G15" s="1"/>
      <c r="H15" s="27">
        <v>0</v>
      </c>
      <c r="I15" s="1"/>
      <c r="J15" s="27">
        <v>0</v>
      </c>
      <c r="K15" s="1"/>
      <c r="L15" s="27">
        <f>TRUNC(((J10+(J11*전역변수!C7))*(C15*전역변수!C7)/100),0)</f>
        <v>78201</v>
      </c>
      <c r="M15" s="20" t="s">
        <v>2450</v>
      </c>
      <c r="N15" t="s">
        <v>2450</v>
      </c>
      <c r="P15" t="s">
        <v>1441</v>
      </c>
      <c r="Q15" t="s">
        <v>2450</v>
      </c>
      <c r="R15" t="s">
        <v>2053</v>
      </c>
      <c r="X15" t="s">
        <v>1297</v>
      </c>
      <c r="AA15" s="37" t="s">
        <v>815</v>
      </c>
      <c r="AB15" s="8">
        <f>내역서!J10*(내역서!C16*전역변수!C7)/100</f>
        <v>2622761.1538000004</v>
      </c>
      <c r="AC15" s="37" t="s">
        <v>1302</v>
      </c>
      <c r="AD15" s="7">
        <f t="shared" si="2"/>
        <v>2622761.1538000004</v>
      </c>
    </row>
    <row r="16" spans="1:61" ht="18.399999999999999" customHeight="1" x14ac:dyDescent="0.15">
      <c r="A16" s="11" t="s">
        <v>863</v>
      </c>
      <c r="B16" s="2" t="s">
        <v>2413</v>
      </c>
      <c r="C16" s="2">
        <v>3.5950000000000002</v>
      </c>
      <c r="D16" s="2" t="s">
        <v>520</v>
      </c>
      <c r="E16" s="27">
        <f t="shared" si="1"/>
        <v>0</v>
      </c>
      <c r="F16" s="27">
        <f t="shared" si="0"/>
        <v>2622761</v>
      </c>
      <c r="G16" s="1"/>
      <c r="H16" s="27">
        <v>0</v>
      </c>
      <c r="I16" s="1"/>
      <c r="J16" s="27">
        <v>0</v>
      </c>
      <c r="K16" s="1"/>
      <c r="L16" s="27">
        <f>TRUNC((J10*(C16*전역변수!C7)/100),0)</f>
        <v>2622761</v>
      </c>
      <c r="M16" s="20" t="s">
        <v>2450</v>
      </c>
      <c r="N16" t="s">
        <v>2450</v>
      </c>
      <c r="P16" t="s">
        <v>2037</v>
      </c>
      <c r="Q16" t="s">
        <v>2450</v>
      </c>
      <c r="R16" t="s">
        <v>2053</v>
      </c>
      <c r="X16" t="s">
        <v>753</v>
      </c>
      <c r="AA16" s="37" t="s">
        <v>815</v>
      </c>
      <c r="AB16" s="8">
        <f>내역서!J10*(내역서!C17*전역변수!C7)/100</f>
        <v>3465400.69</v>
      </c>
      <c r="AC16" s="37" t="s">
        <v>1302</v>
      </c>
      <c r="AD16" s="7">
        <f t="shared" si="2"/>
        <v>3465400.69</v>
      </c>
    </row>
    <row r="17" spans="1:61" ht="18.399999999999999" customHeight="1" x14ac:dyDescent="0.15">
      <c r="A17" s="11" t="s">
        <v>868</v>
      </c>
      <c r="B17" s="2" t="s">
        <v>2413</v>
      </c>
      <c r="C17" s="2">
        <v>4.75</v>
      </c>
      <c r="D17" s="2" t="s">
        <v>520</v>
      </c>
      <c r="E17" s="27">
        <f t="shared" si="1"/>
        <v>0</v>
      </c>
      <c r="F17" s="27">
        <f t="shared" si="0"/>
        <v>3465400</v>
      </c>
      <c r="G17" s="1"/>
      <c r="H17" s="27">
        <v>0</v>
      </c>
      <c r="I17" s="1"/>
      <c r="J17" s="27">
        <v>0</v>
      </c>
      <c r="K17" s="1"/>
      <c r="L17" s="27">
        <f>TRUNC((J10*(C17*전역변수!C7)/100),0)</f>
        <v>3465400</v>
      </c>
      <c r="M17" s="20" t="s">
        <v>2450</v>
      </c>
      <c r="N17" t="s">
        <v>2450</v>
      </c>
      <c r="P17" t="s">
        <v>161</v>
      </c>
      <c r="Q17" t="s">
        <v>2450</v>
      </c>
      <c r="R17" t="s">
        <v>2053</v>
      </c>
      <c r="X17" t="s">
        <v>753</v>
      </c>
      <c r="AA17" s="37" t="s">
        <v>815</v>
      </c>
      <c r="AB17" s="8">
        <f>((내역서!H16+내역서!J16+내역서!L16)*전역변수!C7)*(내역서!C18*전역변수!C7)/100</f>
        <v>344630.7954</v>
      </c>
      <c r="AC17" s="37" t="s">
        <v>1302</v>
      </c>
      <c r="AD17" s="7">
        <f t="shared" si="2"/>
        <v>344630.7954</v>
      </c>
    </row>
    <row r="18" spans="1:61" ht="18.399999999999999" customHeight="1" x14ac:dyDescent="0.15">
      <c r="A18" s="11" t="s">
        <v>296</v>
      </c>
      <c r="B18" s="2" t="s">
        <v>1428</v>
      </c>
      <c r="C18" s="2">
        <v>13.14</v>
      </c>
      <c r="D18" s="2" t="s">
        <v>520</v>
      </c>
      <c r="E18" s="27">
        <f t="shared" si="1"/>
        <v>0</v>
      </c>
      <c r="F18" s="27">
        <f t="shared" si="0"/>
        <v>344630</v>
      </c>
      <c r="G18" s="1"/>
      <c r="H18" s="27">
        <v>0</v>
      </c>
      <c r="I18" s="1"/>
      <c r="J18" s="27">
        <v>0</v>
      </c>
      <c r="K18" s="1"/>
      <c r="L18" s="27">
        <f>TRUNC((((H16+J16+L16)*전역변수!C7)*(C18*전역변수!C7)/100),0)</f>
        <v>344630</v>
      </c>
      <c r="M18" s="20" t="s">
        <v>2450</v>
      </c>
      <c r="N18" t="s">
        <v>2450</v>
      </c>
      <c r="P18" t="s">
        <v>806</v>
      </c>
      <c r="Q18" t="s">
        <v>2450</v>
      </c>
      <c r="R18" t="s">
        <v>2053</v>
      </c>
      <c r="X18" t="s">
        <v>1650</v>
      </c>
      <c r="AA18" s="37" t="s">
        <v>815</v>
      </c>
      <c r="AB18" s="8">
        <f>내역서!J10*(내역서!C19*전역변수!C7)/100</f>
        <v>1677983.4919999999</v>
      </c>
      <c r="AC18" s="37" t="s">
        <v>1302</v>
      </c>
      <c r="AD18" s="7">
        <f t="shared" si="2"/>
        <v>1677983.4919999999</v>
      </c>
    </row>
    <row r="19" spans="1:61" ht="18.399999999999999" customHeight="1" x14ac:dyDescent="0.15">
      <c r="A19" s="11" t="s">
        <v>1267</v>
      </c>
      <c r="B19" s="2" t="s">
        <v>2413</v>
      </c>
      <c r="C19" s="2">
        <v>2.2999999999999998</v>
      </c>
      <c r="D19" s="2" t="s">
        <v>520</v>
      </c>
      <c r="E19" s="27">
        <f t="shared" si="1"/>
        <v>0</v>
      </c>
      <c r="F19" s="27">
        <f t="shared" si="0"/>
        <v>1677983</v>
      </c>
      <c r="G19" s="1"/>
      <c r="H19" s="27">
        <v>0</v>
      </c>
      <c r="I19" s="1"/>
      <c r="J19" s="27">
        <v>0</v>
      </c>
      <c r="K19" s="1"/>
      <c r="L19" s="27">
        <f>TRUNC((J10*(C19*전역변수!C7)/100),0)</f>
        <v>1677983</v>
      </c>
      <c r="M19" s="20" t="s">
        <v>2450</v>
      </c>
      <c r="N19" t="s">
        <v>2450</v>
      </c>
      <c r="P19" t="s">
        <v>1393</v>
      </c>
      <c r="Q19" t="s">
        <v>2450</v>
      </c>
      <c r="R19" t="s">
        <v>2053</v>
      </c>
      <c r="X19" t="s">
        <v>753</v>
      </c>
      <c r="AA19" s="37" t="s">
        <v>815</v>
      </c>
      <c r="AB19" s="8">
        <f>(내역서!H10+내역서!J10+내역서!L10)*(내역서!C20*전역변수!C7)/100</f>
        <v>671219.67</v>
      </c>
      <c r="AC19" s="37" t="s">
        <v>1302</v>
      </c>
      <c r="AD19" s="7">
        <f t="shared" si="2"/>
        <v>671219.67</v>
      </c>
    </row>
    <row r="20" spans="1:61" ht="18.399999999999999" customHeight="1" x14ac:dyDescent="0.15">
      <c r="A20" s="11" t="s">
        <v>456</v>
      </c>
      <c r="B20" s="2" t="s">
        <v>2073</v>
      </c>
      <c r="C20" s="2">
        <v>0.51</v>
      </c>
      <c r="D20" s="2" t="s">
        <v>520</v>
      </c>
      <c r="E20" s="27">
        <f t="shared" si="1"/>
        <v>0</v>
      </c>
      <c r="F20" s="27">
        <f t="shared" si="0"/>
        <v>671219</v>
      </c>
      <c r="G20" s="1"/>
      <c r="H20" s="27">
        <v>0</v>
      </c>
      <c r="I20" s="1"/>
      <c r="J20" s="27">
        <v>0</v>
      </c>
      <c r="K20" s="1"/>
      <c r="L20" s="27">
        <f>TRUNC(((H10+J10+L10)*(C20*전역변수!C7)/100),0)</f>
        <v>671219</v>
      </c>
      <c r="M20" s="20" t="s">
        <v>2450</v>
      </c>
      <c r="N20" t="s">
        <v>2450</v>
      </c>
      <c r="P20" t="s">
        <v>275</v>
      </c>
      <c r="Q20" t="s">
        <v>2450</v>
      </c>
      <c r="R20" t="s">
        <v>2053</v>
      </c>
      <c r="X20" t="s">
        <v>157</v>
      </c>
      <c r="AA20" s="37" t="s">
        <v>815</v>
      </c>
      <c r="AB20" s="8">
        <f>((내역서!J10+내역서!H10)*(내역서!C21*전역변수!C7)/100)*1.2</f>
        <v>4547803.0877999989</v>
      </c>
      <c r="AC20" s="37" t="s">
        <v>1302</v>
      </c>
      <c r="AD20" s="7">
        <f t="shared" si="2"/>
        <v>4547803.0877999989</v>
      </c>
    </row>
    <row r="21" spans="1:61" ht="18.399999999999999" customHeight="1" x14ac:dyDescent="0.15">
      <c r="A21" s="11" t="s">
        <v>1103</v>
      </c>
      <c r="B21" s="2" t="s">
        <v>1460</v>
      </c>
      <c r="C21" s="2">
        <v>3.15</v>
      </c>
      <c r="D21" s="2" t="s">
        <v>520</v>
      </c>
      <c r="E21" s="27">
        <f t="shared" si="1"/>
        <v>0</v>
      </c>
      <c r="F21" s="27">
        <f t="shared" si="0"/>
        <v>4547803</v>
      </c>
      <c r="G21" s="1"/>
      <c r="H21" s="27">
        <v>0</v>
      </c>
      <c r="I21" s="1"/>
      <c r="J21" s="27">
        <v>0</v>
      </c>
      <c r="K21" s="1"/>
      <c r="L21" s="27">
        <f>TRUNC((((J10+H10)*(C21*전역변수!C7)/100)*1.2),0)</f>
        <v>4547803</v>
      </c>
      <c r="M21" s="20" t="s">
        <v>2450</v>
      </c>
      <c r="N21" t="s">
        <v>2450</v>
      </c>
      <c r="P21" t="s">
        <v>909</v>
      </c>
      <c r="Q21" t="s">
        <v>2450</v>
      </c>
      <c r="R21" t="s">
        <v>2053</v>
      </c>
      <c r="X21" t="s">
        <v>1220</v>
      </c>
      <c r="AA21" s="37" t="s">
        <v>815</v>
      </c>
      <c r="AB21" s="8">
        <f>(내역서!H10+내역서!J10+내역서!L10)*(내역서!C22*전역변수!C7)/100</f>
        <v>658058.5</v>
      </c>
      <c r="AC21" s="37" t="s">
        <v>1302</v>
      </c>
      <c r="AD21" s="7">
        <f t="shared" si="2"/>
        <v>658058.5</v>
      </c>
    </row>
    <row r="22" spans="1:61" ht="18.399999999999999" customHeight="1" x14ac:dyDescent="0.15">
      <c r="A22" s="11" t="s">
        <v>90</v>
      </c>
      <c r="B22" s="2" t="s">
        <v>2073</v>
      </c>
      <c r="C22" s="2">
        <v>0.5</v>
      </c>
      <c r="D22" s="2" t="s">
        <v>520</v>
      </c>
      <c r="E22" s="27">
        <f t="shared" si="1"/>
        <v>0</v>
      </c>
      <c r="F22" s="27">
        <f t="shared" si="0"/>
        <v>658058</v>
      </c>
      <c r="G22" s="1"/>
      <c r="H22" s="27">
        <v>0</v>
      </c>
      <c r="I22" s="1"/>
      <c r="J22" s="27">
        <v>0</v>
      </c>
      <c r="K22" s="1"/>
      <c r="L22" s="27">
        <f>TRUNC(((H10+J10+L10)*(C22*전역변수!C7)/100),0)</f>
        <v>658058</v>
      </c>
      <c r="M22" s="20" t="s">
        <v>2450</v>
      </c>
      <c r="N22" t="s">
        <v>2450</v>
      </c>
      <c r="P22" t="s">
        <v>759</v>
      </c>
      <c r="Q22" t="s">
        <v>2450</v>
      </c>
      <c r="R22" t="s">
        <v>2053</v>
      </c>
      <c r="X22" t="s">
        <v>217</v>
      </c>
      <c r="AA22" s="37" t="s">
        <v>815</v>
      </c>
      <c r="AB22" s="8">
        <f>(내역서!H10+(내역서!J10+(내역서!J11*전역변수!C7)))*(내역서!C23*전역변수!C7)/100</f>
        <v>7383574.4950000001</v>
      </c>
      <c r="AC22" s="37" t="s">
        <v>1302</v>
      </c>
      <c r="AD22" s="7">
        <f t="shared" si="2"/>
        <v>7383574.4950000001</v>
      </c>
    </row>
    <row r="23" spans="1:61" ht="18.399999999999999" customHeight="1" x14ac:dyDescent="0.15">
      <c r="A23" s="11" t="s">
        <v>73</v>
      </c>
      <c r="B23" s="2" t="s">
        <v>19</v>
      </c>
      <c r="C23" s="2">
        <v>5.5</v>
      </c>
      <c r="D23" s="2" t="s">
        <v>520</v>
      </c>
      <c r="E23" s="27">
        <f t="shared" si="1"/>
        <v>0</v>
      </c>
      <c r="F23" s="27">
        <f t="shared" si="0"/>
        <v>7383574</v>
      </c>
      <c r="G23" s="1"/>
      <c r="H23" s="27">
        <v>0</v>
      </c>
      <c r="I23" s="1"/>
      <c r="J23" s="27">
        <v>0</v>
      </c>
      <c r="K23" s="1"/>
      <c r="L23" s="27">
        <f>TRUNC(((H10+(J10+(J11*전역변수!C7)))*(C23*전역변수!C7)/100),0)</f>
        <v>7383574</v>
      </c>
      <c r="M23" s="20" t="s">
        <v>2450</v>
      </c>
      <c r="N23" t="s">
        <v>2450</v>
      </c>
      <c r="P23" t="s">
        <v>116</v>
      </c>
      <c r="Q23" t="s">
        <v>2450</v>
      </c>
      <c r="R23" t="s">
        <v>2053</v>
      </c>
      <c r="X23" t="s">
        <v>1266</v>
      </c>
      <c r="AA23" s="37" t="s">
        <v>815</v>
      </c>
      <c r="AB23" s="8">
        <f>(내역서!H10+내역서!J10+내역서!L10)*(내역서!C24*전역변수!C7)/100</f>
        <v>0</v>
      </c>
      <c r="AC23" s="37" t="s">
        <v>1302</v>
      </c>
      <c r="AD23" s="7">
        <f t="shared" si="2"/>
        <v>0</v>
      </c>
    </row>
    <row r="24" spans="1:61" ht="18.399999999999999" customHeight="1" x14ac:dyDescent="0.15">
      <c r="A24" s="11" t="s">
        <v>1437</v>
      </c>
      <c r="B24" s="2" t="s">
        <v>2073</v>
      </c>
      <c r="C24" s="2"/>
      <c r="D24" s="2" t="s">
        <v>520</v>
      </c>
      <c r="E24" s="27">
        <f t="shared" si="1"/>
        <v>0</v>
      </c>
      <c r="F24" s="27">
        <f t="shared" si="0"/>
        <v>0</v>
      </c>
      <c r="G24" s="1"/>
      <c r="H24" s="27">
        <v>0</v>
      </c>
      <c r="I24" s="1"/>
      <c r="J24" s="27">
        <v>0</v>
      </c>
      <c r="K24" s="1"/>
      <c r="L24" s="27">
        <f>TRUNC(((H10+J10+L10)*(C24*전역변수!C7)/100),0)</f>
        <v>0</v>
      </c>
      <c r="M24" s="20" t="s">
        <v>2450</v>
      </c>
      <c r="N24" t="s">
        <v>2450</v>
      </c>
      <c r="P24" t="s">
        <v>1966</v>
      </c>
      <c r="Q24" t="s">
        <v>2450</v>
      </c>
      <c r="R24" t="s">
        <v>2053</v>
      </c>
      <c r="X24" t="s">
        <v>157</v>
      </c>
    </row>
    <row r="25" spans="1:61" ht="18.399999999999999" customHeight="1" x14ac:dyDescent="0.15">
      <c r="A25" s="11" t="s">
        <v>1443</v>
      </c>
      <c r="B25" s="2" t="s">
        <v>2450</v>
      </c>
      <c r="C25" s="2">
        <v>1</v>
      </c>
      <c r="D25" s="2" t="s">
        <v>1969</v>
      </c>
      <c r="E25" s="27">
        <f t="shared" si="1"/>
        <v>5622055</v>
      </c>
      <c r="F25" s="27">
        <f t="shared" si="0"/>
        <v>5622055</v>
      </c>
      <c r="G25" s="27">
        <f>H111</f>
        <v>2034000</v>
      </c>
      <c r="H25" s="27">
        <f>TRUNC(G25*C25,0)</f>
        <v>2034000</v>
      </c>
      <c r="I25" s="27">
        <f>J111</f>
        <v>3588055</v>
      </c>
      <c r="J25" s="27">
        <f>TRUNC(I25*C25,0)</f>
        <v>3588055</v>
      </c>
      <c r="K25" s="27">
        <f>L111</f>
        <v>0</v>
      </c>
      <c r="L25" s="27">
        <f>TRUNC(K25*C25,0)</f>
        <v>0</v>
      </c>
      <c r="M25" s="20" t="s">
        <v>2450</v>
      </c>
      <c r="N25" t="s">
        <v>2450</v>
      </c>
      <c r="P25" t="s">
        <v>84</v>
      </c>
      <c r="Q25" t="s">
        <v>2450</v>
      </c>
      <c r="R25" t="s">
        <v>390</v>
      </c>
      <c r="AA25" s="37" t="s">
        <v>1798</v>
      </c>
      <c r="AB25" s="8">
        <f>(내역서!H10+(내역서!H11*전역변수!C7)+(내역서!H12*전역변수!C7)+(내역서!H13*전역변수!C7)+(내역서!H14*전역변수!C7)+(내역서!H15*전역변수!C7)+(내역서!H16*전역변수!C7)+(내역서!H17*전역변수!C7)+(내역서!H18*전역변수!C7)+(내역서!H19*전역변수!C7)+(내역서!H20*전역변수!C7)+(내역서!H21*전역변수!C7)+(내역서!H22*전역변수!C7)+(내역서!H23*전역변수!C7)+(내역서!H24*전역변수!C7)+내역서!H25)</f>
        <v>49390447</v>
      </c>
      <c r="AC25" s="37" t="s">
        <v>2021</v>
      </c>
      <c r="AD25" s="7">
        <f t="shared" ref="AD25:AD35" si="3">$AB25</f>
        <v>49390447</v>
      </c>
      <c r="BI25" s="49" t="str">
        <f>HYPERLINK("#내역서!A111","A12 →")</f>
        <v>A12 →</v>
      </c>
    </row>
    <row r="26" spans="1:61" ht="18.399999999999999" customHeight="1" x14ac:dyDescent="0.15">
      <c r="A26" s="11" t="s">
        <v>2433</v>
      </c>
      <c r="B26" s="2" t="s">
        <v>2450</v>
      </c>
      <c r="C26" s="2"/>
      <c r="D26" s="2" t="s">
        <v>2450</v>
      </c>
      <c r="E26" s="27">
        <f t="shared" si="1"/>
        <v>0</v>
      </c>
      <c r="F26" s="27">
        <f t="shared" si="0"/>
        <v>176594043</v>
      </c>
      <c r="G26" s="1"/>
      <c r="H26" s="27">
        <f>TRUNC((H10+(H11*전역변수!C7)+(H12*전역변수!C7)+(H13*전역변수!C7)+(H14*전역변수!C7)+(H15*전역변수!C7)+(H16*전역변수!C7)+(H17*전역변수!C7)+(H18*전역변수!C7)+(H19*전역변수!C7)+(H20*전역변수!C7)+(H21*전역변수!C7)+(H22*전역변수!C7)+(H23*전역변수!C7)+(H24*전역변수!C7)+H25),0)</f>
        <v>49390447</v>
      </c>
      <c r="I26" s="1"/>
      <c r="J26" s="27">
        <f>TRUNC((J10+(J11*전역변수!C7)+(J12*전역변수!C7)+(J13*전역변수!C7)+(J14*전역변수!C7)+(J15*전역변수!C7)+(J16*전역변수!C7)+(J17*전역변수!C7)+(J18*전역변수!C7)+(J19*전역변수!C7)+(J20*전역변수!C7)+(J21*전역변수!C7)+(J22*전역변수!C7)+(J23*전역변수!C7)+(J24*전역변수!C7)+J25),0)</f>
        <v>90478417</v>
      </c>
      <c r="K26" s="1"/>
      <c r="L26" s="27">
        <f>TRUNC((L10+(L11*전역변수!C7)+(L12*전역변수!C7)+(L13*전역변수!C7)+(L14*전역변수!C7)+(L15*전역변수!C7)+(L16*전역변수!C7)+(L17*전역변수!C7)+(L18*전역변수!C7)+(L19*전역변수!C7)+(L20*전역변수!C7)+(L21*전역변수!C7)+(L22*전역변수!C7)+(L23*전역변수!C7)+(L24*전역변수!C7)+L25),0)</f>
        <v>36725179</v>
      </c>
      <c r="M26" s="20" t="s">
        <v>2450</v>
      </c>
      <c r="N26" t="s">
        <v>2450</v>
      </c>
      <c r="P26" t="s">
        <v>1917</v>
      </c>
      <c r="Q26" t="s">
        <v>1565</v>
      </c>
      <c r="R26" t="s">
        <v>2053</v>
      </c>
      <c r="X26" t="s">
        <v>1415</v>
      </c>
      <c r="AA26" s="37" t="s">
        <v>815</v>
      </c>
      <c r="AB26" s="8">
        <f>(내역서!H26+내역서!J26+내역서!L26)*(내역서!C27*전역변수!C7)/100</f>
        <v>14127523.439999999</v>
      </c>
      <c r="AC26" s="37" t="s">
        <v>1302</v>
      </c>
      <c r="AD26" s="7">
        <f t="shared" si="3"/>
        <v>14127523.439999999</v>
      </c>
    </row>
    <row r="27" spans="1:61" ht="18.399999999999999" customHeight="1" x14ac:dyDescent="0.15">
      <c r="A27" s="11" t="s">
        <v>89</v>
      </c>
      <c r="B27" s="2" t="s">
        <v>980</v>
      </c>
      <c r="C27" s="2">
        <v>8</v>
      </c>
      <c r="D27" s="2" t="s">
        <v>520</v>
      </c>
      <c r="E27" s="27">
        <f t="shared" si="1"/>
        <v>0</v>
      </c>
      <c r="F27" s="27">
        <f t="shared" si="0"/>
        <v>14127523</v>
      </c>
      <c r="G27" s="1"/>
      <c r="H27" s="27">
        <v>0</v>
      </c>
      <c r="I27" s="1"/>
      <c r="J27" s="27">
        <v>0</v>
      </c>
      <c r="K27" s="1"/>
      <c r="L27" s="27">
        <f>TRUNC(((H26+J26+L26)*(C27*전역변수!C7)/100),0)</f>
        <v>14127523</v>
      </c>
      <c r="M27" s="20" t="s">
        <v>2450</v>
      </c>
      <c r="N27" t="s">
        <v>2450</v>
      </c>
      <c r="P27" t="s">
        <v>1315</v>
      </c>
      <c r="Q27" t="s">
        <v>2450</v>
      </c>
      <c r="R27" t="s">
        <v>2053</v>
      </c>
      <c r="X27" t="s">
        <v>1014</v>
      </c>
      <c r="AA27" s="37" t="s">
        <v>815</v>
      </c>
      <c r="AB27" s="8">
        <f>(((내역서!H26+내역서!J26+내역서!L26)+((내역서!H27+내역서!J27+내역서!L27)*전역변수!C7))-내역서!H10)*(내역서!C28*전역변수!C7)/100-12966/1.1</f>
        <v>21492980.577272728</v>
      </c>
      <c r="AC27" s="37" t="s">
        <v>1302</v>
      </c>
      <c r="AD27" s="7">
        <f t="shared" si="3"/>
        <v>21492980.577272728</v>
      </c>
    </row>
    <row r="28" spans="1:61" ht="18.399999999999999" customHeight="1" x14ac:dyDescent="0.15">
      <c r="A28" s="11" t="s">
        <v>406</v>
      </c>
      <c r="B28" s="2" t="s">
        <v>141</v>
      </c>
      <c r="C28" s="2">
        <v>15</v>
      </c>
      <c r="D28" s="2" t="s">
        <v>520</v>
      </c>
      <c r="E28" s="27">
        <f t="shared" si="1"/>
        <v>0</v>
      </c>
      <c r="F28" s="27">
        <f t="shared" si="0"/>
        <v>21492980</v>
      </c>
      <c r="G28" s="1"/>
      <c r="H28" s="27">
        <v>0</v>
      </c>
      <c r="I28" s="1"/>
      <c r="J28" s="27">
        <v>0</v>
      </c>
      <c r="K28" s="1"/>
      <c r="L28" s="27">
        <f>TRUNC(((((H26+J26+L26)+((H27+J27+L27)*전역변수!C7))-H10)*(C28*전역변수!C7)/100-12966/1.1),0)</f>
        <v>21492980</v>
      </c>
      <c r="M28" s="20" t="s">
        <v>2450</v>
      </c>
      <c r="N28" t="s">
        <v>2450</v>
      </c>
      <c r="P28" t="s">
        <v>671</v>
      </c>
      <c r="Q28" t="s">
        <v>2450</v>
      </c>
      <c r="R28" t="s">
        <v>2053</v>
      </c>
      <c r="X28" t="s">
        <v>1054</v>
      </c>
      <c r="AA28" s="37" t="s">
        <v>1798</v>
      </c>
      <c r="AB28" s="8">
        <f>(내역서!H26+(내역서!H27*전역변수!C7)+(내역서!H28*전역변수!C7))</f>
        <v>49390447</v>
      </c>
      <c r="AC28" s="37" t="s">
        <v>2021</v>
      </c>
      <c r="AD28" s="7">
        <f t="shared" si="3"/>
        <v>49390447</v>
      </c>
    </row>
    <row r="29" spans="1:61" ht="18.399999999999999" customHeight="1" x14ac:dyDescent="0.15">
      <c r="A29" s="11" t="s">
        <v>816</v>
      </c>
      <c r="B29" s="2" t="s">
        <v>2450</v>
      </c>
      <c r="C29" s="2"/>
      <c r="D29" s="2" t="s">
        <v>2450</v>
      </c>
      <c r="E29" s="27">
        <f t="shared" si="1"/>
        <v>0</v>
      </c>
      <c r="F29" s="27">
        <f t="shared" si="0"/>
        <v>212214546</v>
      </c>
      <c r="G29" s="1"/>
      <c r="H29" s="27">
        <f>TRUNC((H26+(H27*전역변수!C7)+(H28*전역변수!C7)),0)</f>
        <v>49390447</v>
      </c>
      <c r="I29" s="1"/>
      <c r="J29" s="27">
        <f>TRUNC((J26+(J27*전역변수!C7)+(J28*전역변수!C7)),0)</f>
        <v>90478417</v>
      </c>
      <c r="K29" s="1"/>
      <c r="L29" s="27">
        <f>TRUNC((L26+(L27*전역변수!C7)+(L28*전역변수!C7)),0)</f>
        <v>72345682</v>
      </c>
      <c r="M29" s="20" t="s">
        <v>2450</v>
      </c>
      <c r="N29" t="s">
        <v>2450</v>
      </c>
      <c r="P29" t="s">
        <v>1188</v>
      </c>
      <c r="Q29" t="s">
        <v>1565</v>
      </c>
      <c r="R29" t="s">
        <v>2053</v>
      </c>
      <c r="X29" t="s">
        <v>463</v>
      </c>
      <c r="AA29" s="37" t="s">
        <v>815</v>
      </c>
      <c r="AB29" s="8">
        <f>(내역서!H29+내역서!J29+내역서!L29)*(내역서!C30*전역변수!C7)/100</f>
        <v>21221454.600000001</v>
      </c>
      <c r="AC29" s="37" t="s">
        <v>1302</v>
      </c>
      <c r="AD29" s="7">
        <f t="shared" si="3"/>
        <v>21221454.600000001</v>
      </c>
    </row>
    <row r="30" spans="1:61" ht="18.399999999999999" customHeight="1" x14ac:dyDescent="0.15">
      <c r="A30" s="11" t="s">
        <v>1599</v>
      </c>
      <c r="B30" s="2" t="s">
        <v>1538</v>
      </c>
      <c r="C30" s="2">
        <v>10</v>
      </c>
      <c r="D30" s="2" t="s">
        <v>520</v>
      </c>
      <c r="E30" s="27">
        <f t="shared" si="1"/>
        <v>0</v>
      </c>
      <c r="F30" s="27">
        <f t="shared" si="0"/>
        <v>21221454</v>
      </c>
      <c r="G30" s="1"/>
      <c r="H30" s="27">
        <v>0</v>
      </c>
      <c r="I30" s="1"/>
      <c r="J30" s="27">
        <v>0</v>
      </c>
      <c r="K30" s="1"/>
      <c r="L30" s="27">
        <f>TRUNC(((H29+J29+L29)*(C30*전역변수!C7)/100),0)</f>
        <v>21221454</v>
      </c>
      <c r="M30" s="20" t="s">
        <v>2450</v>
      </c>
      <c r="N30" t="s">
        <v>2450</v>
      </c>
      <c r="P30" t="s">
        <v>577</v>
      </c>
      <c r="Q30" t="s">
        <v>2450</v>
      </c>
      <c r="R30" t="s">
        <v>2053</v>
      </c>
      <c r="X30" t="s">
        <v>1934</v>
      </c>
      <c r="AA30" s="37" t="s">
        <v>1798</v>
      </c>
      <c r="AB30" s="8">
        <f>(내역서!H29+(내역서!H30*전역변수!C7))</f>
        <v>49390447</v>
      </c>
      <c r="AC30" s="37" t="s">
        <v>2021</v>
      </c>
      <c r="AD30" s="7">
        <f t="shared" si="3"/>
        <v>49390447</v>
      </c>
    </row>
    <row r="31" spans="1:61" ht="18.399999999999999" customHeight="1" x14ac:dyDescent="0.15">
      <c r="A31" s="11" t="s">
        <v>670</v>
      </c>
      <c r="B31" s="2" t="s">
        <v>2450</v>
      </c>
      <c r="C31" s="2"/>
      <c r="D31" s="2" t="s">
        <v>2450</v>
      </c>
      <c r="E31" s="27">
        <f t="shared" si="1"/>
        <v>0</v>
      </c>
      <c r="F31" s="27">
        <f t="shared" si="0"/>
        <v>233436000</v>
      </c>
      <c r="G31" s="1"/>
      <c r="H31" s="27">
        <f>TRUNC((H29+(H30*전역변수!C7)),0)</f>
        <v>49390447</v>
      </c>
      <c r="I31" s="1"/>
      <c r="J31" s="27">
        <f>TRUNC((J29+(J30*전역변수!C7)),0)</f>
        <v>90478417</v>
      </c>
      <c r="K31" s="1"/>
      <c r="L31" s="27">
        <f>TRUNC((L29+(L30*전역변수!C7)),0)</f>
        <v>93567136</v>
      </c>
      <c r="M31" s="20" t="s">
        <v>2450</v>
      </c>
      <c r="N31" t="s">
        <v>2450</v>
      </c>
      <c r="P31" t="s">
        <v>2386</v>
      </c>
      <c r="Q31" t="s">
        <v>1565</v>
      </c>
      <c r="R31" t="s">
        <v>2053</v>
      </c>
      <c r="X31" t="s">
        <v>542</v>
      </c>
      <c r="AA31" s="37" t="s">
        <v>266</v>
      </c>
      <c r="AB31" s="8">
        <f>(내역서!J29+(내역서!J30*전역변수!C7))</f>
        <v>90478417</v>
      </c>
      <c r="AC31" s="37" t="s">
        <v>979</v>
      </c>
      <c r="AD31" s="7">
        <f t="shared" si="3"/>
        <v>90478417</v>
      </c>
    </row>
    <row r="32" spans="1:61" ht="18.399999999999999" customHeight="1" x14ac:dyDescent="0.15">
      <c r="A32" s="11" t="s">
        <v>432</v>
      </c>
      <c r="B32" s="2" t="s">
        <v>2450</v>
      </c>
      <c r="C32" s="2">
        <v>1</v>
      </c>
      <c r="D32" s="2" t="s">
        <v>1969</v>
      </c>
      <c r="E32" s="27">
        <f t="shared" si="1"/>
        <v>93658000</v>
      </c>
      <c r="F32" s="27">
        <f t="shared" si="0"/>
        <v>93658000</v>
      </c>
      <c r="G32" s="27">
        <f>H117</f>
        <v>93152480</v>
      </c>
      <c r="H32" s="27">
        <f>TRUNC(G32*C32,0)</f>
        <v>93152480</v>
      </c>
      <c r="I32" s="27">
        <f>J117</f>
        <v>0</v>
      </c>
      <c r="J32" s="27">
        <f>TRUNC(I32*C32,0)</f>
        <v>0</v>
      </c>
      <c r="K32" s="27">
        <f>L117</f>
        <v>505520</v>
      </c>
      <c r="L32" s="27">
        <f>TRUNC(K32*C32,0)</f>
        <v>505520</v>
      </c>
      <c r="M32" s="20" t="s">
        <v>2450</v>
      </c>
      <c r="N32" t="s">
        <v>2450</v>
      </c>
      <c r="P32" t="s">
        <v>1741</v>
      </c>
      <c r="Q32" t="s">
        <v>2450</v>
      </c>
      <c r="R32" t="s">
        <v>1304</v>
      </c>
      <c r="AA32" s="37" t="s">
        <v>815</v>
      </c>
      <c r="AB32" s="8">
        <f>(내역서!L29+(내역서!L30*전역변수!C7))</f>
        <v>93567136</v>
      </c>
      <c r="AC32" s="37" t="s">
        <v>1302</v>
      </c>
      <c r="AD32" s="7">
        <f t="shared" si="3"/>
        <v>93567136</v>
      </c>
      <c r="BI32" s="49" t="str">
        <f>HYPERLINK("#내역서!A117","A15 →")</f>
        <v>A15 →</v>
      </c>
    </row>
    <row r="33" spans="1:61" ht="18.399999999999999" customHeight="1" x14ac:dyDescent="0.15">
      <c r="A33" s="11" t="s">
        <v>429</v>
      </c>
      <c r="B33" s="2" t="s">
        <v>2450</v>
      </c>
      <c r="C33" s="2">
        <v>1</v>
      </c>
      <c r="D33" s="2" t="s">
        <v>1969</v>
      </c>
      <c r="E33" s="27">
        <f t="shared" si="1"/>
        <v>9600000</v>
      </c>
      <c r="F33" s="27">
        <f t="shared" si="0"/>
        <v>9600000</v>
      </c>
      <c r="G33" s="50">
        <f>TRUNC(X33,2)</f>
        <v>0</v>
      </c>
      <c r="H33" s="27">
        <f>TRUNC(G33*C33,0)</f>
        <v>0</v>
      </c>
      <c r="I33" s="50">
        <f>TRUNC(W33,2)</f>
        <v>0</v>
      </c>
      <c r="J33" s="27">
        <f>TRUNC(I33*C33,0)</f>
        <v>0</v>
      </c>
      <c r="K33" s="50">
        <f>TRUNC(V33,2)</f>
        <v>9600000</v>
      </c>
      <c r="L33" s="27">
        <f>TRUNC(K33*C33,0)</f>
        <v>9600000</v>
      </c>
      <c r="M33" s="20" t="s">
        <v>2450</v>
      </c>
      <c r="N33" t="s">
        <v>2450</v>
      </c>
      <c r="P33" t="s">
        <v>1211</v>
      </c>
      <c r="Q33" t="s">
        <v>2450</v>
      </c>
      <c r="R33" t="s">
        <v>644</v>
      </c>
      <c r="V33">
        <v>9600000</v>
      </c>
      <c r="W33">
        <v>0</v>
      </c>
      <c r="X33">
        <v>0</v>
      </c>
      <c r="AA33" s="37" t="s">
        <v>1798</v>
      </c>
      <c r="AB33" s="8">
        <f>(내역서!H31+내역서!H32+내역서!H33)</f>
        <v>142542927</v>
      </c>
      <c r="AC33" s="37" t="s">
        <v>2021</v>
      </c>
      <c r="AD33" s="7">
        <f t="shared" si="3"/>
        <v>142542927</v>
      </c>
    </row>
    <row r="34" spans="1:61" ht="18.399999999999999" customHeight="1" x14ac:dyDescent="0.15">
      <c r="A34" s="11" t="s">
        <v>1147</v>
      </c>
      <c r="B34" s="2" t="s">
        <v>2450</v>
      </c>
      <c r="C34" s="2"/>
      <c r="D34" s="2" t="s">
        <v>2450</v>
      </c>
      <c r="E34" s="27">
        <f t="shared" si="1"/>
        <v>0</v>
      </c>
      <c r="F34" s="27">
        <f t="shared" si="0"/>
        <v>336694000</v>
      </c>
      <c r="G34" s="1"/>
      <c r="H34" s="27">
        <f>TRUNC((H31+H32+H33),0)</f>
        <v>142542927</v>
      </c>
      <c r="I34" s="1"/>
      <c r="J34" s="27">
        <f>TRUNC((J31+J32+J33),0)</f>
        <v>90478417</v>
      </c>
      <c r="K34" s="1"/>
      <c r="L34" s="27">
        <f>TRUNC((L31+L32+L33),0)</f>
        <v>103672656</v>
      </c>
      <c r="M34" s="20" t="s">
        <v>2450</v>
      </c>
      <c r="N34" t="s">
        <v>2450</v>
      </c>
      <c r="P34" t="s">
        <v>2426</v>
      </c>
      <c r="Q34" t="s">
        <v>1565</v>
      </c>
      <c r="R34" t="s">
        <v>2053</v>
      </c>
      <c r="X34" t="s">
        <v>2244</v>
      </c>
      <c r="AA34" s="37" t="s">
        <v>266</v>
      </c>
      <c r="AB34" s="8">
        <f>(내역서!J31+내역서!J32+내역서!J33)</f>
        <v>90478417</v>
      </c>
      <c r="AC34" s="37" t="s">
        <v>979</v>
      </c>
      <c r="AD34" s="7">
        <f t="shared" si="3"/>
        <v>90478417</v>
      </c>
    </row>
    <row r="35" spans="1:61" ht="18.399999999999999" customHeight="1" x14ac:dyDescent="0.15">
      <c r="A35" s="11" t="s">
        <v>1011</v>
      </c>
      <c r="B35" s="2" t="s">
        <v>2450</v>
      </c>
      <c r="C35" s="2"/>
      <c r="D35" s="2" t="s">
        <v>2450</v>
      </c>
      <c r="E35" s="27">
        <f t="shared" si="1"/>
        <v>0</v>
      </c>
      <c r="F35" s="27">
        <f t="shared" si="0"/>
        <v>0</v>
      </c>
      <c r="G35" s="1"/>
      <c r="H35" s="27">
        <v>0</v>
      </c>
      <c r="I35" s="1"/>
      <c r="J35" s="27">
        <v>0</v>
      </c>
      <c r="K35" s="1"/>
      <c r="L35" s="27">
        <v>0</v>
      </c>
      <c r="M35" s="20" t="s">
        <v>2450</v>
      </c>
      <c r="N35" t="s">
        <v>2450</v>
      </c>
      <c r="P35" t="s">
        <v>1781</v>
      </c>
      <c r="Q35" t="s">
        <v>593</v>
      </c>
      <c r="R35" t="s">
        <v>2450</v>
      </c>
      <c r="AA35" s="37" t="s">
        <v>815</v>
      </c>
      <c r="AB35" s="8">
        <f>(내역서!L31+내역서!L32+내역서!L33)</f>
        <v>103672656</v>
      </c>
      <c r="AC35" s="37" t="s">
        <v>1302</v>
      </c>
      <c r="AD35" s="7">
        <f t="shared" si="3"/>
        <v>103672656</v>
      </c>
    </row>
    <row r="36" spans="1:61" ht="18.399999999999999" customHeight="1" x14ac:dyDescent="0.15">
      <c r="A36" s="11" t="s">
        <v>1321</v>
      </c>
      <c r="B36" s="2" t="s">
        <v>2450</v>
      </c>
      <c r="C36" s="2">
        <v>1</v>
      </c>
      <c r="D36" s="2" t="s">
        <v>1969</v>
      </c>
      <c r="E36" s="1"/>
      <c r="F36" s="27">
        <f t="shared" ref="F36:F67" si="4">H36+J36+L36</f>
        <v>16069066</v>
      </c>
      <c r="G36" s="1"/>
      <c r="H36" s="27">
        <f>TRUNC(H38+H39+H40+H41+H42+H43+H44+H45+H46+H47,0)</f>
        <v>3592214</v>
      </c>
      <c r="I36" s="1"/>
      <c r="J36" s="27">
        <f>TRUNC(J38+J39+J40+J41+J42+J43+J44+J45+J46+J47,0)</f>
        <v>9178031</v>
      </c>
      <c r="K36" s="1"/>
      <c r="L36" s="27">
        <f>TRUNC(L38+L39+L40+L41+L42+L43+L44+L45+L46+L47,0)</f>
        <v>3298821</v>
      </c>
      <c r="M36" s="20" t="s">
        <v>2450</v>
      </c>
      <c r="N36" t="s">
        <v>2450</v>
      </c>
      <c r="O36" t="s">
        <v>2015</v>
      </c>
    </row>
    <row r="37" spans="1:61" ht="18.399999999999999" customHeight="1" x14ac:dyDescent="0.15">
      <c r="A37" s="11" t="s">
        <v>1984</v>
      </c>
      <c r="B37" s="2" t="s">
        <v>2450</v>
      </c>
      <c r="C37" s="2"/>
      <c r="D37" s="2" t="s">
        <v>2450</v>
      </c>
      <c r="E37" s="27">
        <f t="shared" ref="E37:E48" si="5">G37+I37+K37</f>
        <v>0</v>
      </c>
      <c r="F37" s="27">
        <f t="shared" si="4"/>
        <v>2090153</v>
      </c>
      <c r="G37" s="1"/>
      <c r="H37" s="27">
        <f>TRUNC(H38+H39+H40+H41,0)</f>
        <v>453560</v>
      </c>
      <c r="I37" s="1"/>
      <c r="J37" s="27">
        <f>TRUNC(J38+J39+J40+J41,0)</f>
        <v>1263608</v>
      </c>
      <c r="K37" s="1"/>
      <c r="L37" s="27">
        <f>TRUNC(L38+L39+L40+L41,0)</f>
        <v>372985</v>
      </c>
      <c r="M37" s="20" t="s">
        <v>2450</v>
      </c>
      <c r="N37" t="s">
        <v>2450</v>
      </c>
      <c r="P37" t="s">
        <v>286</v>
      </c>
      <c r="Q37" t="s">
        <v>2450</v>
      </c>
      <c r="R37" t="s">
        <v>2450</v>
      </c>
    </row>
    <row r="38" spans="1:61" ht="18.399999999999999" customHeight="1" x14ac:dyDescent="0.15">
      <c r="A38" s="11" t="s">
        <v>1194</v>
      </c>
      <c r="B38" s="2" t="s">
        <v>1525</v>
      </c>
      <c r="C38" s="2">
        <v>3</v>
      </c>
      <c r="D38" s="2" t="s">
        <v>1762</v>
      </c>
      <c r="E38" s="27">
        <f t="shared" si="5"/>
        <v>30884</v>
      </c>
      <c r="F38" s="27">
        <f t="shared" si="4"/>
        <v>92652</v>
      </c>
      <c r="G38" s="27">
        <f>일위대가목록!F3</f>
        <v>4651</v>
      </c>
      <c r="H38" s="27">
        <f t="shared" ref="H38:H47" si="6">TRUNC(G38*C38,0)</f>
        <v>13953</v>
      </c>
      <c r="I38" s="27">
        <f>일위대가목록!G3</f>
        <v>17505</v>
      </c>
      <c r="J38" s="27">
        <f t="shared" ref="J38:J47" si="7">TRUNC(I38*C38,0)</f>
        <v>52515</v>
      </c>
      <c r="K38" s="27">
        <f>일위대가목록!H3</f>
        <v>8728</v>
      </c>
      <c r="L38" s="27">
        <f t="shared" ref="L38:L47" si="8">TRUNC(K38*C38,0)</f>
        <v>26184</v>
      </c>
      <c r="M38" s="20" t="s">
        <v>660</v>
      </c>
      <c r="N38" t="s">
        <v>2450</v>
      </c>
      <c r="P38" t="s">
        <v>1491</v>
      </c>
      <c r="Q38" t="s">
        <v>2450</v>
      </c>
      <c r="R38" t="s">
        <v>188</v>
      </c>
      <c r="T38" t="s">
        <v>2051</v>
      </c>
      <c r="BI38" s="49" t="str">
        <f>HYPERLINK("#일위대가목록!A3","SA00450 →")</f>
        <v>SA00450 →</v>
      </c>
    </row>
    <row r="39" spans="1:61" ht="18.399999999999999" customHeight="1" x14ac:dyDescent="0.15">
      <c r="A39" s="11" t="s">
        <v>1049</v>
      </c>
      <c r="B39" s="2" t="s">
        <v>1855</v>
      </c>
      <c r="C39" s="2">
        <v>90</v>
      </c>
      <c r="D39" s="2" t="s">
        <v>1762</v>
      </c>
      <c r="E39" s="27">
        <f t="shared" si="5"/>
        <v>8877</v>
      </c>
      <c r="F39" s="27">
        <f t="shared" si="4"/>
        <v>798930</v>
      </c>
      <c r="G39" s="27">
        <f>일위대가목록!F4</f>
        <v>1337</v>
      </c>
      <c r="H39" s="27">
        <f t="shared" si="6"/>
        <v>120330</v>
      </c>
      <c r="I39" s="27">
        <f>일위대가목록!G4</f>
        <v>5032</v>
      </c>
      <c r="J39" s="27">
        <f t="shared" si="7"/>
        <v>452880</v>
      </c>
      <c r="K39" s="27">
        <f>일위대가목록!H4</f>
        <v>2508</v>
      </c>
      <c r="L39" s="27">
        <f t="shared" si="8"/>
        <v>225720</v>
      </c>
      <c r="M39" s="20" t="s">
        <v>2377</v>
      </c>
      <c r="N39" t="s">
        <v>2450</v>
      </c>
      <c r="P39" t="s">
        <v>907</v>
      </c>
      <c r="Q39" t="s">
        <v>2450</v>
      </c>
      <c r="R39" t="s">
        <v>1232</v>
      </c>
      <c r="T39" t="s">
        <v>2051</v>
      </c>
      <c r="BI39" s="49" t="str">
        <f>HYPERLINK("#일위대가목록!A4","SA01200 →")</f>
        <v>SA01200 →</v>
      </c>
    </row>
    <row r="40" spans="1:61" ht="18.399999999999999" customHeight="1" x14ac:dyDescent="0.15">
      <c r="A40" s="11" t="s">
        <v>942</v>
      </c>
      <c r="B40" s="2" t="s">
        <v>2450</v>
      </c>
      <c r="C40" s="2">
        <v>340</v>
      </c>
      <c r="D40" s="2" t="s">
        <v>1433</v>
      </c>
      <c r="E40" s="27">
        <f t="shared" si="5"/>
        <v>2276</v>
      </c>
      <c r="F40" s="27">
        <f t="shared" si="4"/>
        <v>773840</v>
      </c>
      <c r="G40" s="27">
        <f>일위대가목록!F5</f>
        <v>674</v>
      </c>
      <c r="H40" s="27">
        <f t="shared" si="6"/>
        <v>229160</v>
      </c>
      <c r="I40" s="27">
        <f>일위대가목록!G5</f>
        <v>1535</v>
      </c>
      <c r="J40" s="27">
        <f t="shared" si="7"/>
        <v>521900</v>
      </c>
      <c r="K40" s="27">
        <f>일위대가목록!H5</f>
        <v>67</v>
      </c>
      <c r="L40" s="27">
        <f t="shared" si="8"/>
        <v>22780</v>
      </c>
      <c r="M40" s="20" t="s">
        <v>1062</v>
      </c>
      <c r="N40" t="s">
        <v>2450</v>
      </c>
      <c r="P40" t="s">
        <v>248</v>
      </c>
      <c r="Q40" t="s">
        <v>2450</v>
      </c>
      <c r="R40" t="s">
        <v>33</v>
      </c>
      <c r="T40" t="s">
        <v>2051</v>
      </c>
      <c r="BI40" s="49" t="str">
        <f>HYPERLINK("#일위대가목록!A5","SA01500 →")</f>
        <v>SA01500 →</v>
      </c>
    </row>
    <row r="41" spans="1:61" ht="18.399999999999999" customHeight="1" x14ac:dyDescent="0.15">
      <c r="A41" s="11" t="s">
        <v>445</v>
      </c>
      <c r="B41" s="2" t="s">
        <v>880</v>
      </c>
      <c r="C41" s="2">
        <v>93</v>
      </c>
      <c r="D41" s="2" t="s">
        <v>1762</v>
      </c>
      <c r="E41" s="27">
        <f t="shared" si="5"/>
        <v>4567</v>
      </c>
      <c r="F41" s="27">
        <f t="shared" si="4"/>
        <v>424731</v>
      </c>
      <c r="G41" s="27">
        <f>일위대가목록!F6</f>
        <v>969</v>
      </c>
      <c r="H41" s="27">
        <f t="shared" si="6"/>
        <v>90117</v>
      </c>
      <c r="I41" s="27">
        <f>일위대가목록!G6</f>
        <v>2541</v>
      </c>
      <c r="J41" s="27">
        <f t="shared" si="7"/>
        <v>236313</v>
      </c>
      <c r="K41" s="27">
        <f>일위대가목록!H6</f>
        <v>1057</v>
      </c>
      <c r="L41" s="27">
        <f t="shared" si="8"/>
        <v>98301</v>
      </c>
      <c r="M41" s="20" t="s">
        <v>1944</v>
      </c>
      <c r="N41" t="s">
        <v>2450</v>
      </c>
      <c r="P41" t="s">
        <v>2037</v>
      </c>
      <c r="Q41" t="s">
        <v>2450</v>
      </c>
      <c r="R41" t="s">
        <v>523</v>
      </c>
      <c r="T41" t="s">
        <v>2051</v>
      </c>
      <c r="BI41" s="49" t="str">
        <f>HYPERLINK("#일위대가목록!A6","SA02100 →")</f>
        <v>SA02100 →</v>
      </c>
    </row>
    <row r="42" spans="1:61" ht="18.399999999999999" customHeight="1" x14ac:dyDescent="0.15">
      <c r="A42" s="11" t="s">
        <v>1189</v>
      </c>
      <c r="B42" s="2" t="s">
        <v>2199</v>
      </c>
      <c r="C42" s="2">
        <v>204</v>
      </c>
      <c r="D42" s="2" t="s">
        <v>1762</v>
      </c>
      <c r="E42" s="27">
        <f t="shared" si="5"/>
        <v>3263</v>
      </c>
      <c r="F42" s="27">
        <f t="shared" si="4"/>
        <v>665652</v>
      </c>
      <c r="G42" s="27">
        <f>일위대가목록!F7</f>
        <v>976</v>
      </c>
      <c r="H42" s="27">
        <f t="shared" si="6"/>
        <v>199104</v>
      </c>
      <c r="I42" s="27">
        <f>일위대가목록!G7</f>
        <v>1523</v>
      </c>
      <c r="J42" s="27">
        <f t="shared" si="7"/>
        <v>310692</v>
      </c>
      <c r="K42" s="27">
        <f>일위대가목록!H7</f>
        <v>764</v>
      </c>
      <c r="L42" s="27">
        <f t="shared" si="8"/>
        <v>155856</v>
      </c>
      <c r="M42" s="20" t="s">
        <v>902</v>
      </c>
      <c r="N42" t="s">
        <v>2450</v>
      </c>
      <c r="P42" t="s">
        <v>1393</v>
      </c>
      <c r="Q42" t="s">
        <v>2450</v>
      </c>
      <c r="R42" t="s">
        <v>939</v>
      </c>
      <c r="T42" t="s">
        <v>2051</v>
      </c>
      <c r="BI42" s="49" t="str">
        <f>HYPERLINK("#일위대가목록!A7","SA02420 →")</f>
        <v>SA02420 →</v>
      </c>
    </row>
    <row r="43" spans="1:61" ht="18.399999999999999" customHeight="1" x14ac:dyDescent="0.15">
      <c r="A43" s="11" t="s">
        <v>1289</v>
      </c>
      <c r="B43" s="2" t="s">
        <v>2450</v>
      </c>
      <c r="C43" s="2">
        <v>87</v>
      </c>
      <c r="D43" s="2" t="s">
        <v>1762</v>
      </c>
      <c r="E43" s="27">
        <f t="shared" si="5"/>
        <v>12584</v>
      </c>
      <c r="F43" s="27">
        <f t="shared" si="4"/>
        <v>1094808</v>
      </c>
      <c r="G43" s="27">
        <f>일위대가목록!F8</f>
        <v>2681</v>
      </c>
      <c r="H43" s="27">
        <f t="shared" si="6"/>
        <v>233247</v>
      </c>
      <c r="I43" s="27">
        <f>일위대가목록!G8</f>
        <v>7716</v>
      </c>
      <c r="J43" s="27">
        <f t="shared" si="7"/>
        <v>671292</v>
      </c>
      <c r="K43" s="27">
        <f>일위대가목록!H8</f>
        <v>2187</v>
      </c>
      <c r="L43" s="27">
        <f t="shared" si="8"/>
        <v>190269</v>
      </c>
      <c r="M43" s="20" t="s">
        <v>2155</v>
      </c>
      <c r="N43" t="s">
        <v>2450</v>
      </c>
      <c r="P43" t="s">
        <v>275</v>
      </c>
      <c r="Q43" t="s">
        <v>2450</v>
      </c>
      <c r="R43" t="s">
        <v>2322</v>
      </c>
      <c r="T43" t="s">
        <v>2051</v>
      </c>
      <c r="BI43" s="49" t="str">
        <f>HYPERLINK("#일위대가목록!A8","SE00200 →")</f>
        <v>SE00200 →</v>
      </c>
    </row>
    <row r="44" spans="1:61" ht="18.399999999999999" customHeight="1" x14ac:dyDescent="0.15">
      <c r="A44" s="11" t="s">
        <v>1389</v>
      </c>
      <c r="B44" s="2" t="s">
        <v>2164</v>
      </c>
      <c r="C44" s="2">
        <v>1317</v>
      </c>
      <c r="D44" s="2" t="s">
        <v>1762</v>
      </c>
      <c r="E44" s="27">
        <f t="shared" si="5"/>
        <v>2408</v>
      </c>
      <c r="F44" s="27">
        <f t="shared" si="4"/>
        <v>3171336</v>
      </c>
      <c r="G44" s="27">
        <f>일위대가목록!F9</f>
        <v>720</v>
      </c>
      <c r="H44" s="27">
        <f t="shared" si="6"/>
        <v>948240</v>
      </c>
      <c r="I44" s="27">
        <f>일위대가목록!G9</f>
        <v>1124</v>
      </c>
      <c r="J44" s="27">
        <f t="shared" si="7"/>
        <v>1480308</v>
      </c>
      <c r="K44" s="27">
        <f>일위대가목록!H9</f>
        <v>564</v>
      </c>
      <c r="L44" s="27">
        <f t="shared" si="8"/>
        <v>742788</v>
      </c>
      <c r="M44" s="20" t="s">
        <v>1161</v>
      </c>
      <c r="N44" t="s">
        <v>2450</v>
      </c>
      <c r="P44" t="s">
        <v>909</v>
      </c>
      <c r="Q44" t="s">
        <v>2450</v>
      </c>
      <c r="R44" t="s">
        <v>1722</v>
      </c>
      <c r="T44" t="s">
        <v>2051</v>
      </c>
      <c r="BI44" s="49" t="str">
        <f>HYPERLINK("#일위대가목록!A9","SC00100 →")</f>
        <v>SC00100 →</v>
      </c>
    </row>
    <row r="45" spans="1:61" ht="18.399999999999999" customHeight="1" x14ac:dyDescent="0.15">
      <c r="A45" s="11" t="s">
        <v>1827</v>
      </c>
      <c r="B45" s="2" t="s">
        <v>22</v>
      </c>
      <c r="C45" s="2">
        <v>826</v>
      </c>
      <c r="D45" s="2" t="s">
        <v>1762</v>
      </c>
      <c r="E45" s="27">
        <f t="shared" si="5"/>
        <v>8626</v>
      </c>
      <c r="F45" s="27">
        <f t="shared" si="4"/>
        <v>7125076</v>
      </c>
      <c r="G45" s="27">
        <f>일위대가목록!F10</f>
        <v>1740</v>
      </c>
      <c r="H45" s="27">
        <f t="shared" si="6"/>
        <v>1437240</v>
      </c>
      <c r="I45" s="27">
        <f>일위대가목록!G10</f>
        <v>5314</v>
      </c>
      <c r="J45" s="27">
        <f t="shared" si="7"/>
        <v>4389364</v>
      </c>
      <c r="K45" s="27">
        <f>일위대가목록!H10</f>
        <v>1572</v>
      </c>
      <c r="L45" s="27">
        <f t="shared" si="8"/>
        <v>1298472</v>
      </c>
      <c r="M45" s="20" t="s">
        <v>2214</v>
      </c>
      <c r="N45" t="s">
        <v>2450</v>
      </c>
      <c r="P45" t="s">
        <v>759</v>
      </c>
      <c r="Q45" t="s">
        <v>2450</v>
      </c>
      <c r="R45" t="s">
        <v>2170</v>
      </c>
      <c r="T45" t="s">
        <v>2051</v>
      </c>
      <c r="BI45" s="49" t="str">
        <f>HYPERLINK("#일위대가목록!A10","SA05460 →")</f>
        <v>SA05460 →</v>
      </c>
    </row>
    <row r="46" spans="1:61" ht="18.399999999999999" customHeight="1" x14ac:dyDescent="0.15">
      <c r="A46" s="11" t="s">
        <v>346</v>
      </c>
      <c r="B46" s="2" t="s">
        <v>1855</v>
      </c>
      <c r="C46" s="2">
        <v>3</v>
      </c>
      <c r="D46" s="2" t="s">
        <v>1762</v>
      </c>
      <c r="E46" s="27">
        <f t="shared" si="5"/>
        <v>1771</v>
      </c>
      <c r="F46" s="27">
        <f t="shared" si="4"/>
        <v>5313</v>
      </c>
      <c r="G46" s="27">
        <f>일위대가목록!F11</f>
        <v>175</v>
      </c>
      <c r="H46" s="27">
        <f t="shared" si="6"/>
        <v>525</v>
      </c>
      <c r="I46" s="27">
        <f>일위대가목록!G11</f>
        <v>1405</v>
      </c>
      <c r="J46" s="27">
        <f t="shared" si="7"/>
        <v>4215</v>
      </c>
      <c r="K46" s="27">
        <f>일위대가목록!H11</f>
        <v>191</v>
      </c>
      <c r="L46" s="27">
        <f t="shared" si="8"/>
        <v>573</v>
      </c>
      <c r="M46" s="20" t="s">
        <v>1079</v>
      </c>
      <c r="N46" t="s">
        <v>2450</v>
      </c>
      <c r="P46" t="s">
        <v>1856</v>
      </c>
      <c r="Q46" t="s">
        <v>2450</v>
      </c>
      <c r="R46" t="s">
        <v>552</v>
      </c>
      <c r="T46" t="s">
        <v>2051</v>
      </c>
      <c r="BI46" s="49" t="str">
        <f>HYPERLINK("#일위대가목록!A11","SB01110 →")</f>
        <v>SB01110 →</v>
      </c>
    </row>
    <row r="47" spans="1:61" ht="18.399999999999999" customHeight="1" x14ac:dyDescent="0.15">
      <c r="A47" s="11" t="s">
        <v>728</v>
      </c>
      <c r="B47" s="2" t="s">
        <v>821</v>
      </c>
      <c r="C47" s="2">
        <v>506</v>
      </c>
      <c r="D47" s="2" t="s">
        <v>1762</v>
      </c>
      <c r="E47" s="27">
        <f t="shared" si="5"/>
        <v>3788</v>
      </c>
      <c r="F47" s="27">
        <f t="shared" si="4"/>
        <v>1916728</v>
      </c>
      <c r="G47" s="27">
        <f>일위대가목록!F12</f>
        <v>633</v>
      </c>
      <c r="H47" s="27">
        <f t="shared" si="6"/>
        <v>320298</v>
      </c>
      <c r="I47" s="27">
        <f>일위대가목록!G12</f>
        <v>2092</v>
      </c>
      <c r="J47" s="27">
        <f t="shared" si="7"/>
        <v>1058552</v>
      </c>
      <c r="K47" s="27">
        <f>일위대가목록!H12</f>
        <v>1063</v>
      </c>
      <c r="L47" s="27">
        <f t="shared" si="8"/>
        <v>537878</v>
      </c>
      <c r="M47" s="20" t="s">
        <v>1887</v>
      </c>
      <c r="N47" t="s">
        <v>2450</v>
      </c>
      <c r="P47" t="s">
        <v>116</v>
      </c>
      <c r="Q47" t="s">
        <v>2450</v>
      </c>
      <c r="R47" t="s">
        <v>312</v>
      </c>
      <c r="T47" t="s">
        <v>2051</v>
      </c>
      <c r="BI47" s="49" t="str">
        <f>HYPERLINK("#일위대가목록!A12","SA04850 →")</f>
        <v>SA04850 →</v>
      </c>
    </row>
    <row r="48" spans="1:61" ht="18.399999999999999" customHeight="1" x14ac:dyDescent="0.15">
      <c r="A48" s="11" t="s">
        <v>1011</v>
      </c>
      <c r="B48" s="2" t="s">
        <v>2450</v>
      </c>
      <c r="C48" s="2"/>
      <c r="D48" s="2" t="s">
        <v>2450</v>
      </c>
      <c r="E48" s="27">
        <f t="shared" si="5"/>
        <v>0</v>
      </c>
      <c r="F48" s="27">
        <f t="shared" si="4"/>
        <v>0</v>
      </c>
      <c r="G48" s="1"/>
      <c r="H48" s="27">
        <v>0</v>
      </c>
      <c r="I48" s="1"/>
      <c r="J48" s="27">
        <v>0</v>
      </c>
      <c r="K48" s="1"/>
      <c r="L48" s="27">
        <v>0</v>
      </c>
      <c r="M48" s="20" t="s">
        <v>2450</v>
      </c>
      <c r="N48" t="s">
        <v>2450</v>
      </c>
      <c r="P48" t="s">
        <v>84</v>
      </c>
      <c r="Q48" t="s">
        <v>2450</v>
      </c>
      <c r="R48" t="s">
        <v>2450</v>
      </c>
    </row>
    <row r="49" spans="1:61" ht="18.399999999999999" customHeight="1" x14ac:dyDescent="0.15">
      <c r="A49" s="11" t="s">
        <v>42</v>
      </c>
      <c r="B49" s="2" t="s">
        <v>2450</v>
      </c>
      <c r="C49" s="2">
        <v>1</v>
      </c>
      <c r="D49" s="2" t="s">
        <v>1969</v>
      </c>
      <c r="E49" s="1"/>
      <c r="F49" s="27">
        <f t="shared" si="4"/>
        <v>87553687</v>
      </c>
      <c r="G49" s="1"/>
      <c r="H49" s="27">
        <f>TRUNC(H51+H52+H53+H54+H55+H57+H59+H60+H61+H62+H63+H64+H66+H67+H68+H69,0)</f>
        <v>22586272</v>
      </c>
      <c r="I49" s="1"/>
      <c r="J49" s="27">
        <f>TRUNC(J51+J52+J53+J54+J55+J57+J59+J60+J61+J62+J63+J64+J66+J67+J68+J69,0)</f>
        <v>59377271</v>
      </c>
      <c r="K49" s="1"/>
      <c r="L49" s="27">
        <f>TRUNC(L51+L52+L53+L54+L55+L57+L59+L60+L61+L62+L63+L64+L66+L67+L68+L69,0)</f>
        <v>5590144</v>
      </c>
      <c r="M49" s="20" t="s">
        <v>2450</v>
      </c>
      <c r="N49" t="s">
        <v>2450</v>
      </c>
      <c r="O49" t="s">
        <v>1031</v>
      </c>
    </row>
    <row r="50" spans="1:61" ht="18.399999999999999" customHeight="1" x14ac:dyDescent="0.15">
      <c r="A50" s="11" t="s">
        <v>1861</v>
      </c>
      <c r="B50" s="2" t="s">
        <v>2450</v>
      </c>
      <c r="C50" s="2"/>
      <c r="D50" s="2" t="s">
        <v>2450</v>
      </c>
      <c r="E50" s="27">
        <f t="shared" ref="E50:E70" si="9">G50+I50+K50</f>
        <v>0</v>
      </c>
      <c r="F50" s="27">
        <f t="shared" si="4"/>
        <v>19643440</v>
      </c>
      <c r="G50" s="1"/>
      <c r="H50" s="27">
        <f>TRUNC(H51+H52+H53+H54+H55,0)</f>
        <v>2235276</v>
      </c>
      <c r="I50" s="1"/>
      <c r="J50" s="27">
        <f>TRUNC(J51+J52+J53+J54+J55,0)</f>
        <v>16645402</v>
      </c>
      <c r="K50" s="1"/>
      <c r="L50" s="27">
        <f>TRUNC(L51+L52+L53+L54+L55,0)</f>
        <v>762762</v>
      </c>
      <c r="M50" s="20" t="s">
        <v>2450</v>
      </c>
      <c r="N50" t="s">
        <v>2450</v>
      </c>
      <c r="P50" t="s">
        <v>1491</v>
      </c>
      <c r="Q50" t="s">
        <v>2450</v>
      </c>
      <c r="R50" t="s">
        <v>2450</v>
      </c>
    </row>
    <row r="51" spans="1:61" ht="18.399999999999999" customHeight="1" x14ac:dyDescent="0.15">
      <c r="A51" s="11" t="s">
        <v>2343</v>
      </c>
      <c r="B51" s="2" t="s">
        <v>1638</v>
      </c>
      <c r="C51" s="2">
        <v>108</v>
      </c>
      <c r="D51" s="2" t="s">
        <v>1433</v>
      </c>
      <c r="E51" s="27">
        <f t="shared" si="9"/>
        <v>24000</v>
      </c>
      <c r="F51" s="27">
        <f t="shared" si="4"/>
        <v>2592000</v>
      </c>
      <c r="G51" s="27">
        <f>일위대가목록!F13</f>
        <v>1834</v>
      </c>
      <c r="H51" s="27">
        <f>TRUNC(G51*C51,0)</f>
        <v>198072</v>
      </c>
      <c r="I51" s="27">
        <f>일위대가목록!G13</f>
        <v>19555</v>
      </c>
      <c r="J51" s="27">
        <f>TRUNC(I51*C51,0)</f>
        <v>2111940</v>
      </c>
      <c r="K51" s="27">
        <f>일위대가목록!H13</f>
        <v>2611</v>
      </c>
      <c r="L51" s="27">
        <f>TRUNC(K51*C51,0)</f>
        <v>281988</v>
      </c>
      <c r="M51" s="20" t="s">
        <v>811</v>
      </c>
      <c r="N51" t="s">
        <v>2450</v>
      </c>
      <c r="P51" t="s">
        <v>2065</v>
      </c>
      <c r="Q51" t="s">
        <v>2450</v>
      </c>
      <c r="R51" t="s">
        <v>115</v>
      </c>
      <c r="T51" t="s">
        <v>2051</v>
      </c>
      <c r="BI51" s="49" t="str">
        <f>HYPERLINK("#일위대가목록!A13","SB01035 →")</f>
        <v>SB01035 →</v>
      </c>
    </row>
    <row r="52" spans="1:61" ht="18.399999999999999" customHeight="1" x14ac:dyDescent="0.15">
      <c r="A52" s="11" t="s">
        <v>2343</v>
      </c>
      <c r="B52" s="2" t="s">
        <v>1872</v>
      </c>
      <c r="C52" s="2">
        <v>4</v>
      </c>
      <c r="D52" s="2" t="s">
        <v>1539</v>
      </c>
      <c r="E52" s="27">
        <f t="shared" si="9"/>
        <v>88596</v>
      </c>
      <c r="F52" s="27">
        <f t="shared" si="4"/>
        <v>354384</v>
      </c>
      <c r="G52" s="27">
        <f>일위대가목록!F14</f>
        <v>6092</v>
      </c>
      <c r="H52" s="27">
        <f>TRUNC(G52*C52,0)</f>
        <v>24368</v>
      </c>
      <c r="I52" s="27">
        <f>일위대가목록!G14</f>
        <v>73655</v>
      </c>
      <c r="J52" s="27">
        <f>TRUNC(I52*C52,0)</f>
        <v>294620</v>
      </c>
      <c r="K52" s="27">
        <f>일위대가목록!H14</f>
        <v>8849</v>
      </c>
      <c r="L52" s="27">
        <f>TRUNC(K52*C52,0)</f>
        <v>35396</v>
      </c>
      <c r="M52" s="20" t="s">
        <v>2251</v>
      </c>
      <c r="N52" t="s">
        <v>2450</v>
      </c>
      <c r="P52" t="s">
        <v>2060</v>
      </c>
      <c r="Q52" t="s">
        <v>2450</v>
      </c>
      <c r="R52" t="s">
        <v>1645</v>
      </c>
      <c r="T52" t="s">
        <v>2051</v>
      </c>
      <c r="BI52" s="49" t="str">
        <f>HYPERLINK("#일위대가목록!A14","SB01032 →")</f>
        <v>SB01032 →</v>
      </c>
    </row>
    <row r="53" spans="1:61" ht="18.399999999999999" customHeight="1" x14ac:dyDescent="0.15">
      <c r="A53" s="11" t="s">
        <v>1737</v>
      </c>
      <c r="B53" s="2" t="s">
        <v>1730</v>
      </c>
      <c r="C53" s="2">
        <v>142</v>
      </c>
      <c r="D53" s="2" t="s">
        <v>1762</v>
      </c>
      <c r="E53" s="27">
        <f t="shared" si="9"/>
        <v>29530</v>
      </c>
      <c r="F53" s="27">
        <f t="shared" si="4"/>
        <v>4193260</v>
      </c>
      <c r="G53" s="27">
        <f>일위대가목록!F15</f>
        <v>3170</v>
      </c>
      <c r="H53" s="27">
        <f>TRUNC(G53*C53,0)</f>
        <v>450140</v>
      </c>
      <c r="I53" s="27">
        <f>일위대가목록!G15</f>
        <v>23245</v>
      </c>
      <c r="J53" s="27">
        <f>TRUNC(I53*C53,0)</f>
        <v>3300790</v>
      </c>
      <c r="K53" s="27">
        <f>일위대가목록!H15</f>
        <v>3115</v>
      </c>
      <c r="L53" s="27">
        <f>TRUNC(K53*C53,0)</f>
        <v>442330</v>
      </c>
      <c r="M53" s="20" t="s">
        <v>1198</v>
      </c>
      <c r="N53" t="s">
        <v>2450</v>
      </c>
      <c r="P53" t="s">
        <v>1714</v>
      </c>
      <c r="Q53" t="s">
        <v>2450</v>
      </c>
      <c r="R53" t="s">
        <v>1149</v>
      </c>
      <c r="T53" t="s">
        <v>2051</v>
      </c>
      <c r="BI53" s="49" t="str">
        <f>HYPERLINK("#일위대가목록!A15","SB01100 →")</f>
        <v>SB01100 →</v>
      </c>
    </row>
    <row r="54" spans="1:61" ht="18.399999999999999" customHeight="1" x14ac:dyDescent="0.15">
      <c r="A54" s="11" t="s">
        <v>1193</v>
      </c>
      <c r="B54" s="2" t="s">
        <v>295</v>
      </c>
      <c r="C54" s="2">
        <v>340</v>
      </c>
      <c r="D54" s="2" t="s">
        <v>1796</v>
      </c>
      <c r="E54" s="27">
        <f t="shared" si="9"/>
        <v>36328</v>
      </c>
      <c r="F54" s="27">
        <f t="shared" si="4"/>
        <v>12351520</v>
      </c>
      <c r="G54" s="27">
        <f>일위대가목록!F16</f>
        <v>4448</v>
      </c>
      <c r="H54" s="27">
        <f>TRUNC(G54*C54,0)</f>
        <v>1512320</v>
      </c>
      <c r="I54" s="27">
        <f>일위대가목록!G16</f>
        <v>31880</v>
      </c>
      <c r="J54" s="27">
        <f>TRUNC(I54*C54,0)</f>
        <v>10839200</v>
      </c>
      <c r="K54" s="27">
        <f>일위대가목록!H16</f>
        <v>0</v>
      </c>
      <c r="L54" s="27">
        <f>TRUNC(K54*C54,0)</f>
        <v>0</v>
      </c>
      <c r="M54" s="20" t="s">
        <v>2125</v>
      </c>
      <c r="N54" t="s">
        <v>2450</v>
      </c>
      <c r="P54" t="s">
        <v>1658</v>
      </c>
      <c r="Q54" t="s">
        <v>2450</v>
      </c>
      <c r="R54" t="s">
        <v>8</v>
      </c>
      <c r="T54" t="s">
        <v>2051</v>
      </c>
      <c r="BI54" s="49" t="str">
        <f>HYPERLINK("#일위대가목록!A16","SB03950 →")</f>
        <v>SB03950 →</v>
      </c>
    </row>
    <row r="55" spans="1:61" ht="18.399999999999999" customHeight="1" x14ac:dyDescent="0.15">
      <c r="A55" s="11" t="s">
        <v>1481</v>
      </c>
      <c r="B55" s="2" t="s">
        <v>938</v>
      </c>
      <c r="C55" s="2">
        <v>4</v>
      </c>
      <c r="D55" s="2" t="s">
        <v>1539</v>
      </c>
      <c r="E55" s="27">
        <f t="shared" si="9"/>
        <v>38069</v>
      </c>
      <c r="F55" s="27">
        <f t="shared" si="4"/>
        <v>152276</v>
      </c>
      <c r="G55" s="27">
        <f>일위대가목록!F17</f>
        <v>12594</v>
      </c>
      <c r="H55" s="27">
        <f>TRUNC(G55*C55,0)</f>
        <v>50376</v>
      </c>
      <c r="I55" s="27">
        <f>일위대가목록!G17</f>
        <v>24713</v>
      </c>
      <c r="J55" s="27">
        <f>TRUNC(I55*C55,0)</f>
        <v>98852</v>
      </c>
      <c r="K55" s="27">
        <f>일위대가목록!H17</f>
        <v>762</v>
      </c>
      <c r="L55" s="27">
        <f>TRUNC(K55*C55,0)</f>
        <v>3048</v>
      </c>
      <c r="M55" s="20" t="s">
        <v>716</v>
      </c>
      <c r="N55" t="s">
        <v>2450</v>
      </c>
      <c r="P55" t="s">
        <v>376</v>
      </c>
      <c r="Q55" t="s">
        <v>2450</v>
      </c>
      <c r="R55" t="s">
        <v>2353</v>
      </c>
      <c r="T55" t="s">
        <v>2051</v>
      </c>
      <c r="BI55" s="49" t="str">
        <f>HYPERLINK("#일위대가목록!A17","SE55250 →")</f>
        <v>SE55250 →</v>
      </c>
    </row>
    <row r="56" spans="1:61" ht="18.399999999999999" customHeight="1" x14ac:dyDescent="0.15">
      <c r="A56" s="11" t="s">
        <v>2247</v>
      </c>
      <c r="B56" s="2" t="s">
        <v>2450</v>
      </c>
      <c r="C56" s="2"/>
      <c r="D56" s="2" t="s">
        <v>2450</v>
      </c>
      <c r="E56" s="27">
        <f t="shared" si="9"/>
        <v>0</v>
      </c>
      <c r="F56" s="27">
        <f t="shared" si="4"/>
        <v>63085346</v>
      </c>
      <c r="G56" s="1"/>
      <c r="H56" s="27">
        <f>TRUNC(H57,0)</f>
        <v>17892520</v>
      </c>
      <c r="I56" s="1"/>
      <c r="J56" s="27">
        <f>TRUNC(J57,0)</f>
        <v>40552312</v>
      </c>
      <c r="K56" s="1"/>
      <c r="L56" s="27">
        <f>TRUNC(L57,0)</f>
        <v>4640514</v>
      </c>
      <c r="M56" s="20" t="s">
        <v>2450</v>
      </c>
      <c r="N56" t="s">
        <v>2450</v>
      </c>
      <c r="P56" t="s">
        <v>2288</v>
      </c>
      <c r="Q56" t="s">
        <v>2450</v>
      </c>
      <c r="R56" t="s">
        <v>2450</v>
      </c>
    </row>
    <row r="57" spans="1:61" ht="18.399999999999999" customHeight="1" x14ac:dyDescent="0.15">
      <c r="A57" s="11" t="s">
        <v>1013</v>
      </c>
      <c r="B57" s="2" t="s">
        <v>2425</v>
      </c>
      <c r="C57" s="2">
        <v>122</v>
      </c>
      <c r="D57" s="2" t="s">
        <v>1433</v>
      </c>
      <c r="E57" s="27">
        <f t="shared" si="9"/>
        <v>517093</v>
      </c>
      <c r="F57" s="27">
        <f t="shared" si="4"/>
        <v>63085346</v>
      </c>
      <c r="G57" s="27">
        <f>일위대가목록!F18</f>
        <v>146660</v>
      </c>
      <c r="H57" s="27">
        <f>TRUNC(G57*C57,0)</f>
        <v>17892520</v>
      </c>
      <c r="I57" s="27">
        <f>일위대가목록!G18</f>
        <v>332396</v>
      </c>
      <c r="J57" s="27">
        <f>TRUNC(I57*C57,0)</f>
        <v>40552312</v>
      </c>
      <c r="K57" s="27">
        <f>일위대가목록!H18</f>
        <v>38037</v>
      </c>
      <c r="L57" s="27">
        <f>TRUNC(K57*C57,0)</f>
        <v>4640514</v>
      </c>
      <c r="M57" s="20" t="s">
        <v>2317</v>
      </c>
      <c r="N57" t="s">
        <v>2450</v>
      </c>
      <c r="P57" t="s">
        <v>434</v>
      </c>
      <c r="Q57" t="s">
        <v>2450</v>
      </c>
      <c r="R57" t="s">
        <v>2405</v>
      </c>
      <c r="T57" t="s">
        <v>2051</v>
      </c>
      <c r="BI57" s="49" t="str">
        <f>HYPERLINK("#일위대가목록!A18","SB50550 →")</f>
        <v>SB50550 →</v>
      </c>
    </row>
    <row r="58" spans="1:61" ht="18.399999999999999" customHeight="1" x14ac:dyDescent="0.15">
      <c r="A58" s="11" t="s">
        <v>270</v>
      </c>
      <c r="B58" s="2" t="s">
        <v>2450</v>
      </c>
      <c r="C58" s="2"/>
      <c r="D58" s="2" t="s">
        <v>2450</v>
      </c>
      <c r="E58" s="27">
        <f t="shared" si="9"/>
        <v>0</v>
      </c>
      <c r="F58" s="27">
        <f t="shared" si="4"/>
        <v>3442390</v>
      </c>
      <c r="G58" s="1"/>
      <c r="H58" s="27">
        <f>TRUNC(H59+H60+H61+H62+H63+H64,0)</f>
        <v>1849231</v>
      </c>
      <c r="I58" s="1"/>
      <c r="J58" s="27">
        <f>TRUNC(J59+J60+J61+J62+J63+J64,0)</f>
        <v>1485591</v>
      </c>
      <c r="K58" s="1"/>
      <c r="L58" s="27">
        <f>TRUNC(L59+L60+L61+L62+L63+L64,0)</f>
        <v>107568</v>
      </c>
      <c r="M58" s="20" t="s">
        <v>2450</v>
      </c>
      <c r="N58" t="s">
        <v>2450</v>
      </c>
      <c r="P58" t="s">
        <v>161</v>
      </c>
      <c r="Q58" t="s">
        <v>2450</v>
      </c>
      <c r="R58" t="s">
        <v>2450</v>
      </c>
    </row>
    <row r="59" spans="1:61" ht="18.399999999999999" customHeight="1" x14ac:dyDescent="0.15">
      <c r="A59" s="11" t="s">
        <v>1507</v>
      </c>
      <c r="B59" s="2" t="s">
        <v>1450</v>
      </c>
      <c r="C59" s="2">
        <v>9</v>
      </c>
      <c r="D59" s="2" t="s">
        <v>1505</v>
      </c>
      <c r="E59" s="27">
        <f t="shared" si="9"/>
        <v>54342</v>
      </c>
      <c r="F59" s="27">
        <f t="shared" si="4"/>
        <v>489078</v>
      </c>
      <c r="G59" s="27">
        <f>일위대가목록!F19</f>
        <v>11359</v>
      </c>
      <c r="H59" s="27">
        <f t="shared" ref="H59:H64" si="10">TRUNC(G59*C59,0)</f>
        <v>102231</v>
      </c>
      <c r="I59" s="27">
        <f>일위대가목록!G19</f>
        <v>35349</v>
      </c>
      <c r="J59" s="27">
        <f t="shared" ref="J59:J64" si="11">TRUNC(I59*C59,0)</f>
        <v>318141</v>
      </c>
      <c r="K59" s="27">
        <f>일위대가목록!H19</f>
        <v>7634</v>
      </c>
      <c r="L59" s="27">
        <f t="shared" ref="L59:L64" si="12">TRUNC(K59*C59,0)</f>
        <v>68706</v>
      </c>
      <c r="M59" s="20" t="s">
        <v>981</v>
      </c>
      <c r="N59" t="s">
        <v>2450</v>
      </c>
      <c r="P59" t="s">
        <v>806</v>
      </c>
      <c r="Q59" t="s">
        <v>2450</v>
      </c>
      <c r="R59" t="s">
        <v>1003</v>
      </c>
      <c r="T59" t="s">
        <v>2051</v>
      </c>
      <c r="BI59" s="49" t="str">
        <f>HYPERLINK("#일위대가목록!A19","SB11315 →")</f>
        <v>SB11315 →</v>
      </c>
    </row>
    <row r="60" spans="1:61" ht="18.399999999999999" customHeight="1" x14ac:dyDescent="0.15">
      <c r="A60" s="11" t="s">
        <v>2061</v>
      </c>
      <c r="B60" s="2" t="s">
        <v>2185</v>
      </c>
      <c r="C60" s="2">
        <v>9</v>
      </c>
      <c r="D60" s="2" t="s">
        <v>1124</v>
      </c>
      <c r="E60" s="27">
        <f t="shared" si="9"/>
        <v>53550</v>
      </c>
      <c r="F60" s="27">
        <f t="shared" si="4"/>
        <v>481950</v>
      </c>
      <c r="G60" s="27">
        <f>일위대가목록!F20</f>
        <v>51000</v>
      </c>
      <c r="H60" s="27">
        <f t="shared" si="10"/>
        <v>459000</v>
      </c>
      <c r="I60" s="27">
        <f>일위대가목록!G20</f>
        <v>2550</v>
      </c>
      <c r="J60" s="27">
        <f t="shared" si="11"/>
        <v>22950</v>
      </c>
      <c r="K60" s="27">
        <f>일위대가목록!H20</f>
        <v>0</v>
      </c>
      <c r="L60" s="27">
        <f t="shared" si="12"/>
        <v>0</v>
      </c>
      <c r="M60" s="20" t="s">
        <v>2357</v>
      </c>
      <c r="N60" t="s">
        <v>2450</v>
      </c>
      <c r="P60" t="s">
        <v>1393</v>
      </c>
      <c r="Q60" t="s">
        <v>2450</v>
      </c>
      <c r="R60" t="s">
        <v>884</v>
      </c>
      <c r="T60" t="s">
        <v>2051</v>
      </c>
      <c r="BI60" s="49" t="str">
        <f>HYPERLINK("#일위대가목록!A20","SB40908 →")</f>
        <v>SB40908 →</v>
      </c>
    </row>
    <row r="61" spans="1:61" ht="18.399999999999999" customHeight="1" x14ac:dyDescent="0.15">
      <c r="A61" s="11" t="s">
        <v>2343</v>
      </c>
      <c r="B61" s="2" t="s">
        <v>545</v>
      </c>
      <c r="C61" s="2">
        <v>68</v>
      </c>
      <c r="D61" s="2" t="s">
        <v>1433</v>
      </c>
      <c r="E61" s="27">
        <f t="shared" si="9"/>
        <v>8865</v>
      </c>
      <c r="F61" s="27">
        <f t="shared" si="4"/>
        <v>602820</v>
      </c>
      <c r="G61" s="27">
        <f>일위대가목록!F21</f>
        <v>0</v>
      </c>
      <c r="H61" s="27">
        <f t="shared" si="10"/>
        <v>0</v>
      </c>
      <c r="I61" s="27">
        <f>일위대가목록!G21</f>
        <v>8692</v>
      </c>
      <c r="J61" s="27">
        <f t="shared" si="11"/>
        <v>591056</v>
      </c>
      <c r="K61" s="27">
        <f>일위대가목록!H21</f>
        <v>173</v>
      </c>
      <c r="L61" s="27">
        <f t="shared" si="12"/>
        <v>11764</v>
      </c>
      <c r="M61" s="20" t="s">
        <v>968</v>
      </c>
      <c r="N61" t="s">
        <v>2450</v>
      </c>
      <c r="P61" t="s">
        <v>1999</v>
      </c>
      <c r="Q61" t="s">
        <v>2450</v>
      </c>
      <c r="R61" t="s">
        <v>762</v>
      </c>
      <c r="T61" t="s">
        <v>2051</v>
      </c>
      <c r="BI61" s="49" t="str">
        <f>HYPERLINK("#일위대가목록!A21","SB01025 →")</f>
        <v>SB01025 →</v>
      </c>
    </row>
    <row r="62" spans="1:61" ht="18.399999999999999" customHeight="1" x14ac:dyDescent="0.15">
      <c r="A62" s="11" t="s">
        <v>2343</v>
      </c>
      <c r="B62" s="2" t="s">
        <v>1712</v>
      </c>
      <c r="C62" s="2">
        <v>2</v>
      </c>
      <c r="D62" s="2" t="s">
        <v>1433</v>
      </c>
      <c r="E62" s="27">
        <f t="shared" si="9"/>
        <v>9605</v>
      </c>
      <c r="F62" s="27">
        <f t="shared" si="4"/>
        <v>19210</v>
      </c>
      <c r="G62" s="27">
        <f>일위대가목록!F22</f>
        <v>0</v>
      </c>
      <c r="H62" s="27">
        <f t="shared" si="10"/>
        <v>0</v>
      </c>
      <c r="I62" s="27">
        <f>일위대가목록!G22</f>
        <v>9417</v>
      </c>
      <c r="J62" s="27">
        <f t="shared" si="11"/>
        <v>18834</v>
      </c>
      <c r="K62" s="27">
        <f>일위대가목록!H22</f>
        <v>188</v>
      </c>
      <c r="L62" s="27">
        <f t="shared" si="12"/>
        <v>376</v>
      </c>
      <c r="M62" s="20" t="s">
        <v>35</v>
      </c>
      <c r="N62" t="s">
        <v>2450</v>
      </c>
      <c r="P62" t="s">
        <v>1917</v>
      </c>
      <c r="Q62" t="s">
        <v>2450</v>
      </c>
      <c r="R62" t="s">
        <v>2364</v>
      </c>
      <c r="T62" t="s">
        <v>2051</v>
      </c>
      <c r="BI62" s="49" t="str">
        <f>HYPERLINK("#일위대가목록!A22","SB01026 →")</f>
        <v>SB01026 →</v>
      </c>
    </row>
    <row r="63" spans="1:61" ht="18.399999999999999" customHeight="1" x14ac:dyDescent="0.15">
      <c r="A63" s="11" t="s">
        <v>576</v>
      </c>
      <c r="B63" s="2" t="s">
        <v>545</v>
      </c>
      <c r="C63" s="2">
        <v>9</v>
      </c>
      <c r="D63" s="2" t="s">
        <v>1539</v>
      </c>
      <c r="E63" s="27">
        <f t="shared" si="9"/>
        <v>181764</v>
      </c>
      <c r="F63" s="27">
        <f t="shared" si="4"/>
        <v>1635876</v>
      </c>
      <c r="G63" s="27">
        <f>일위대가목록!F23</f>
        <v>127000</v>
      </c>
      <c r="H63" s="27">
        <f t="shared" si="10"/>
        <v>1143000</v>
      </c>
      <c r="I63" s="27">
        <f>일위대가목록!G23</f>
        <v>52157</v>
      </c>
      <c r="J63" s="27">
        <f t="shared" si="11"/>
        <v>469413</v>
      </c>
      <c r="K63" s="27">
        <f>일위대가목록!H23</f>
        <v>2607</v>
      </c>
      <c r="L63" s="27">
        <f t="shared" si="12"/>
        <v>23463</v>
      </c>
      <c r="M63" s="20" t="s">
        <v>1384</v>
      </c>
      <c r="N63" t="s">
        <v>2450</v>
      </c>
      <c r="P63" t="s">
        <v>617</v>
      </c>
      <c r="Q63" t="s">
        <v>2450</v>
      </c>
      <c r="R63" t="s">
        <v>1775</v>
      </c>
      <c r="T63" t="s">
        <v>2051</v>
      </c>
      <c r="BI63" s="49" t="str">
        <f>HYPERLINK("#일위대가목록!A23","SB01155 →")</f>
        <v>SB01155 →</v>
      </c>
    </row>
    <row r="64" spans="1:61" ht="18.399999999999999" customHeight="1" x14ac:dyDescent="0.15">
      <c r="A64" s="11" t="s">
        <v>576</v>
      </c>
      <c r="B64" s="2" t="s">
        <v>1712</v>
      </c>
      <c r="C64" s="2">
        <v>1</v>
      </c>
      <c r="D64" s="2" t="s">
        <v>1539</v>
      </c>
      <c r="E64" s="27">
        <f t="shared" si="9"/>
        <v>213456</v>
      </c>
      <c r="F64" s="27">
        <f t="shared" si="4"/>
        <v>213456</v>
      </c>
      <c r="G64" s="27">
        <f>일위대가목록!F24</f>
        <v>145000</v>
      </c>
      <c r="H64" s="27">
        <f t="shared" si="10"/>
        <v>145000</v>
      </c>
      <c r="I64" s="27">
        <f>일위대가목록!G24</f>
        <v>65197</v>
      </c>
      <c r="J64" s="27">
        <f t="shared" si="11"/>
        <v>65197</v>
      </c>
      <c r="K64" s="27">
        <f>일위대가목록!H24</f>
        <v>3259</v>
      </c>
      <c r="L64" s="27">
        <f t="shared" si="12"/>
        <v>3259</v>
      </c>
      <c r="M64" s="20" t="s">
        <v>386</v>
      </c>
      <c r="N64" t="s">
        <v>2450</v>
      </c>
      <c r="P64" t="s">
        <v>2426</v>
      </c>
      <c r="Q64" t="s">
        <v>2450</v>
      </c>
      <c r="R64" t="s">
        <v>1367</v>
      </c>
      <c r="T64" t="s">
        <v>2051</v>
      </c>
      <c r="BI64" s="49" t="str">
        <f>HYPERLINK("#일위대가목록!A24","SB01157 →")</f>
        <v>SB01157 →</v>
      </c>
    </row>
    <row r="65" spans="1:61" ht="18.399999999999999" customHeight="1" x14ac:dyDescent="0.15">
      <c r="A65" s="11" t="s">
        <v>118</v>
      </c>
      <c r="B65" s="2" t="s">
        <v>2450</v>
      </c>
      <c r="C65" s="2"/>
      <c r="D65" s="2" t="s">
        <v>2450</v>
      </c>
      <c r="E65" s="27">
        <f t="shared" si="9"/>
        <v>0</v>
      </c>
      <c r="F65" s="27">
        <f t="shared" si="4"/>
        <v>1382511</v>
      </c>
      <c r="G65" s="1"/>
      <c r="H65" s="27">
        <f>TRUNC(H66+H67+H68+H69,0)</f>
        <v>609245</v>
      </c>
      <c r="I65" s="1"/>
      <c r="J65" s="27">
        <f>TRUNC(J66+J67+J68+J69,0)</f>
        <v>693966</v>
      </c>
      <c r="K65" s="1"/>
      <c r="L65" s="27">
        <f>TRUNC(L66+L67+L68+L69,0)</f>
        <v>79300</v>
      </c>
      <c r="M65" s="20" t="s">
        <v>2450</v>
      </c>
      <c r="N65" t="s">
        <v>2450</v>
      </c>
      <c r="P65" t="s">
        <v>1953</v>
      </c>
      <c r="Q65" t="s">
        <v>2450</v>
      </c>
      <c r="R65" t="s">
        <v>2450</v>
      </c>
    </row>
    <row r="66" spans="1:61" ht="18.399999999999999" customHeight="1" x14ac:dyDescent="0.15">
      <c r="A66" s="11" t="s">
        <v>269</v>
      </c>
      <c r="B66" s="2" t="s">
        <v>549</v>
      </c>
      <c r="C66" s="2">
        <v>1</v>
      </c>
      <c r="D66" s="2" t="s">
        <v>1505</v>
      </c>
      <c r="E66" s="27">
        <f t="shared" si="9"/>
        <v>358181</v>
      </c>
      <c r="F66" s="27">
        <f t="shared" si="4"/>
        <v>358181</v>
      </c>
      <c r="G66" s="27">
        <f>일위대가목록!F25</f>
        <v>10497</v>
      </c>
      <c r="H66" s="27">
        <f>TRUNC(G66*C66,0)</f>
        <v>10497</v>
      </c>
      <c r="I66" s="27">
        <f>일위대가목록!G25</f>
        <v>308504</v>
      </c>
      <c r="J66" s="27">
        <f>TRUNC(I66*C66,0)</f>
        <v>308504</v>
      </c>
      <c r="K66" s="27">
        <f>일위대가목록!H25</f>
        <v>39180</v>
      </c>
      <c r="L66" s="27">
        <f>TRUNC(K66*C66,0)</f>
        <v>39180</v>
      </c>
      <c r="M66" s="20" t="s">
        <v>1800</v>
      </c>
      <c r="N66" t="s">
        <v>2450</v>
      </c>
      <c r="P66" t="s">
        <v>1330</v>
      </c>
      <c r="Q66" t="s">
        <v>2450</v>
      </c>
      <c r="R66" t="s">
        <v>2221</v>
      </c>
      <c r="T66" t="s">
        <v>2051</v>
      </c>
      <c r="BI66" s="49" t="str">
        <f>HYPERLINK("#일위대가목록!A25","SB13410 →")</f>
        <v>SB13410 →</v>
      </c>
    </row>
    <row r="67" spans="1:61" ht="18.399999999999999" customHeight="1" x14ac:dyDescent="0.15">
      <c r="A67" s="11" t="s">
        <v>1985</v>
      </c>
      <c r="B67" s="2" t="s">
        <v>549</v>
      </c>
      <c r="C67" s="2">
        <v>2</v>
      </c>
      <c r="D67" s="2" t="s">
        <v>1505</v>
      </c>
      <c r="E67" s="27">
        <f t="shared" si="9"/>
        <v>182693</v>
      </c>
      <c r="F67" s="27">
        <f t="shared" si="4"/>
        <v>365386</v>
      </c>
      <c r="G67" s="27">
        <f>일위대가목록!F26</f>
        <v>5374</v>
      </c>
      <c r="H67" s="27">
        <f>TRUNC(G67*C67,0)</f>
        <v>10748</v>
      </c>
      <c r="I67" s="27">
        <f>일위대가목록!G26</f>
        <v>157259</v>
      </c>
      <c r="J67" s="27">
        <f>TRUNC(I67*C67,0)</f>
        <v>314518</v>
      </c>
      <c r="K67" s="27">
        <f>일위대가목록!H26</f>
        <v>20060</v>
      </c>
      <c r="L67" s="27">
        <f>TRUNC(K67*C67,0)</f>
        <v>40120</v>
      </c>
      <c r="M67" s="20" t="s">
        <v>274</v>
      </c>
      <c r="N67" t="s">
        <v>2450</v>
      </c>
      <c r="P67" t="s">
        <v>801</v>
      </c>
      <c r="Q67" t="s">
        <v>2450</v>
      </c>
      <c r="R67" t="s">
        <v>2019</v>
      </c>
      <c r="T67" t="s">
        <v>2051</v>
      </c>
      <c r="BI67" s="49" t="str">
        <f>HYPERLINK("#일위대가목록!A26","SB13550 →")</f>
        <v>SB13550 →</v>
      </c>
    </row>
    <row r="68" spans="1:61" ht="18.399999999999999" customHeight="1" x14ac:dyDescent="0.15">
      <c r="A68" s="11" t="s">
        <v>196</v>
      </c>
      <c r="B68" s="2" t="s">
        <v>947</v>
      </c>
      <c r="C68" s="2">
        <v>12</v>
      </c>
      <c r="D68" s="2" t="s">
        <v>1539</v>
      </c>
      <c r="E68" s="27">
        <f t="shared" si="9"/>
        <v>23412</v>
      </c>
      <c r="F68" s="27">
        <f t="shared" ref="F68:F99" si="13">H68+J68+L68</f>
        <v>280944</v>
      </c>
      <c r="G68" s="27">
        <f>일위대가목록!F27</f>
        <v>19000</v>
      </c>
      <c r="H68" s="27">
        <f>TRUNC(G68*C68,0)</f>
        <v>228000</v>
      </c>
      <c r="I68" s="27">
        <f>일위대가목록!G27</f>
        <v>4412</v>
      </c>
      <c r="J68" s="27">
        <f>TRUNC(I68*C68,0)</f>
        <v>52944</v>
      </c>
      <c r="K68" s="27">
        <f>일위대가목록!H27</f>
        <v>0</v>
      </c>
      <c r="L68" s="27">
        <f>TRUNC(K68*C68,0)</f>
        <v>0</v>
      </c>
      <c r="M68" s="20" t="s">
        <v>1318</v>
      </c>
      <c r="N68" t="s">
        <v>2450</v>
      </c>
      <c r="P68" t="s">
        <v>1229</v>
      </c>
      <c r="Q68" t="s">
        <v>2450</v>
      </c>
      <c r="R68" t="s">
        <v>1076</v>
      </c>
      <c r="T68" t="s">
        <v>2051</v>
      </c>
      <c r="BI68" s="49" t="str">
        <f>HYPERLINK("#일위대가목록!A27","SZ260203 →")</f>
        <v>SZ260203 →</v>
      </c>
    </row>
    <row r="69" spans="1:61" ht="18.399999999999999" customHeight="1" x14ac:dyDescent="0.15">
      <c r="A69" s="11" t="s">
        <v>573</v>
      </c>
      <c r="B69" s="2" t="s">
        <v>57</v>
      </c>
      <c r="C69" s="2">
        <v>1</v>
      </c>
      <c r="D69" s="2" t="s">
        <v>1124</v>
      </c>
      <c r="E69" s="27">
        <f t="shared" si="9"/>
        <v>378000</v>
      </c>
      <c r="F69" s="27">
        <f t="shared" si="13"/>
        <v>378000</v>
      </c>
      <c r="G69" s="27">
        <f>일위대가목록!F28</f>
        <v>360000</v>
      </c>
      <c r="H69" s="27">
        <f>TRUNC(G69*C69,0)</f>
        <v>360000</v>
      </c>
      <c r="I69" s="27">
        <f>일위대가목록!G28</f>
        <v>18000</v>
      </c>
      <c r="J69" s="27">
        <f>TRUNC(I69*C69,0)</f>
        <v>18000</v>
      </c>
      <c r="K69" s="27">
        <f>일위대가목록!H28</f>
        <v>0</v>
      </c>
      <c r="L69" s="27">
        <f>TRUNC(K69*C69,0)</f>
        <v>0</v>
      </c>
      <c r="M69" s="20" t="s">
        <v>481</v>
      </c>
      <c r="N69" t="s">
        <v>2450</v>
      </c>
      <c r="P69" t="s">
        <v>1831</v>
      </c>
      <c r="Q69" t="s">
        <v>2450</v>
      </c>
      <c r="R69" t="s">
        <v>966</v>
      </c>
      <c r="T69" t="s">
        <v>2051</v>
      </c>
      <c r="BI69" s="49" t="str">
        <f>HYPERLINK("#일위대가목록!A28","SB40980 →")</f>
        <v>SB40980 →</v>
      </c>
    </row>
    <row r="70" spans="1:61" ht="18.399999999999999" customHeight="1" x14ac:dyDescent="0.15">
      <c r="A70" s="11" t="s">
        <v>1011</v>
      </c>
      <c r="B70" s="2" t="s">
        <v>2450</v>
      </c>
      <c r="C70" s="2"/>
      <c r="D70" s="2" t="s">
        <v>2450</v>
      </c>
      <c r="E70" s="27">
        <f t="shared" si="9"/>
        <v>0</v>
      </c>
      <c r="F70" s="27">
        <f t="shared" si="13"/>
        <v>0</v>
      </c>
      <c r="G70" s="1"/>
      <c r="H70" s="27">
        <v>0</v>
      </c>
      <c r="I70" s="1"/>
      <c r="J70" s="27">
        <v>0</v>
      </c>
      <c r="K70" s="1"/>
      <c r="L70" s="27">
        <v>0</v>
      </c>
      <c r="M70" s="20" t="s">
        <v>2450</v>
      </c>
      <c r="N70" t="s">
        <v>2450</v>
      </c>
      <c r="P70" t="s">
        <v>1595</v>
      </c>
      <c r="Q70" t="s">
        <v>2450</v>
      </c>
      <c r="R70" t="s">
        <v>2450</v>
      </c>
    </row>
    <row r="71" spans="1:61" ht="18.399999999999999" customHeight="1" x14ac:dyDescent="0.15">
      <c r="A71" s="11" t="s">
        <v>2242</v>
      </c>
      <c r="B71" s="2" t="s">
        <v>2450</v>
      </c>
      <c r="C71" s="2">
        <v>1</v>
      </c>
      <c r="D71" s="2" t="s">
        <v>1969</v>
      </c>
      <c r="E71" s="1"/>
      <c r="F71" s="27">
        <f t="shared" si="13"/>
        <v>6445487</v>
      </c>
      <c r="G71" s="1"/>
      <c r="H71" s="27">
        <f>TRUNC(H73+H74+H75+H76+H77+H78+H80+H81+H82,0)</f>
        <v>1231818</v>
      </c>
      <c r="I71" s="1"/>
      <c r="J71" s="27">
        <f>TRUNC(J73+J74+J75+J76+J77+J78+J80+J81+J82,0)</f>
        <v>4134367</v>
      </c>
      <c r="K71" s="1"/>
      <c r="L71" s="27">
        <f>TRUNC(L73+L74+L75+L76+L77+L78+L80+L81+L82,0)</f>
        <v>1079302</v>
      </c>
      <c r="M71" s="20" t="s">
        <v>2450</v>
      </c>
      <c r="N71" t="s">
        <v>2450</v>
      </c>
      <c r="O71" t="s">
        <v>1080</v>
      </c>
    </row>
    <row r="72" spans="1:61" ht="18.399999999999999" customHeight="1" x14ac:dyDescent="0.15">
      <c r="A72" s="11" t="s">
        <v>1219</v>
      </c>
      <c r="B72" s="2" t="s">
        <v>2450</v>
      </c>
      <c r="C72" s="2"/>
      <c r="D72" s="2" t="s">
        <v>2450</v>
      </c>
      <c r="E72" s="27">
        <f t="shared" ref="E72:E83" si="14">G72+I72+K72</f>
        <v>0</v>
      </c>
      <c r="F72" s="27">
        <f t="shared" si="13"/>
        <v>5841849</v>
      </c>
      <c r="G72" s="1"/>
      <c r="H72" s="27">
        <f>TRUNC(H73+H74+H75+H76+H77+H78,0)</f>
        <v>1164680</v>
      </c>
      <c r="I72" s="1"/>
      <c r="J72" s="27">
        <f>TRUNC(J73+J74+J75+J76+J77+J78,0)</f>
        <v>3632105</v>
      </c>
      <c r="K72" s="1"/>
      <c r="L72" s="27">
        <f>TRUNC(L73+L74+L75+L76+L77+L78,0)</f>
        <v>1045064</v>
      </c>
      <c r="M72" s="20" t="s">
        <v>2450</v>
      </c>
      <c r="N72" t="s">
        <v>2450</v>
      </c>
      <c r="P72" t="s">
        <v>286</v>
      </c>
      <c r="Q72" t="s">
        <v>2450</v>
      </c>
      <c r="R72" t="s">
        <v>2450</v>
      </c>
    </row>
    <row r="73" spans="1:61" ht="18.399999999999999" customHeight="1" x14ac:dyDescent="0.15">
      <c r="A73" s="11" t="s">
        <v>1745</v>
      </c>
      <c r="B73" s="2" t="s">
        <v>1559</v>
      </c>
      <c r="C73" s="2">
        <v>601</v>
      </c>
      <c r="D73" s="2" t="s">
        <v>1796</v>
      </c>
      <c r="E73" s="27">
        <f t="shared" si="14"/>
        <v>1003</v>
      </c>
      <c r="F73" s="27">
        <f t="shared" si="13"/>
        <v>602803</v>
      </c>
      <c r="G73" s="27">
        <f>일위대가목록!F29</f>
        <v>128</v>
      </c>
      <c r="H73" s="27">
        <f t="shared" ref="H73:H78" si="15">TRUNC(G73*C73,0)</f>
        <v>76928</v>
      </c>
      <c r="I73" s="27">
        <f>일위대가목록!G29</f>
        <v>695</v>
      </c>
      <c r="J73" s="27">
        <f t="shared" ref="J73:J78" si="16">TRUNC(I73*C73,0)</f>
        <v>417695</v>
      </c>
      <c r="K73" s="27">
        <f>일위대가목록!H29</f>
        <v>180</v>
      </c>
      <c r="L73" s="27">
        <f t="shared" ref="L73:L78" si="17">TRUNC(K73*C73,0)</f>
        <v>108180</v>
      </c>
      <c r="M73" s="20" t="s">
        <v>1594</v>
      </c>
      <c r="N73" t="s">
        <v>2450</v>
      </c>
      <c r="P73" t="s">
        <v>2115</v>
      </c>
      <c r="Q73" t="s">
        <v>2450</v>
      </c>
      <c r="R73" t="s">
        <v>1926</v>
      </c>
      <c r="T73" t="s">
        <v>2051</v>
      </c>
      <c r="BI73" s="49" t="str">
        <f>HYPERLINK("#일위대가목록!A29","SE02400 →")</f>
        <v>SE02400 →</v>
      </c>
    </row>
    <row r="74" spans="1:61" ht="18.399999999999999" customHeight="1" x14ac:dyDescent="0.15">
      <c r="A74" s="11" t="s">
        <v>712</v>
      </c>
      <c r="B74" s="2" t="s">
        <v>688</v>
      </c>
      <c r="C74" s="2">
        <v>601</v>
      </c>
      <c r="D74" s="2" t="s">
        <v>1796</v>
      </c>
      <c r="E74" s="27">
        <f t="shared" si="14"/>
        <v>45</v>
      </c>
      <c r="F74" s="27">
        <f t="shared" si="13"/>
        <v>27045</v>
      </c>
      <c r="G74" s="27">
        <f>일위대가목록!F30</f>
        <v>8</v>
      </c>
      <c r="H74" s="27">
        <f t="shared" si="15"/>
        <v>4808</v>
      </c>
      <c r="I74" s="27">
        <f>일위대가목록!G30</f>
        <v>31</v>
      </c>
      <c r="J74" s="27">
        <f t="shared" si="16"/>
        <v>18631</v>
      </c>
      <c r="K74" s="27">
        <f>일위대가목록!H30</f>
        <v>6</v>
      </c>
      <c r="L74" s="27">
        <f t="shared" si="17"/>
        <v>3606</v>
      </c>
      <c r="M74" s="20" t="s">
        <v>534</v>
      </c>
      <c r="N74" t="s">
        <v>2450</v>
      </c>
      <c r="P74" t="s">
        <v>1491</v>
      </c>
      <c r="Q74" t="s">
        <v>2450</v>
      </c>
      <c r="R74" t="s">
        <v>546</v>
      </c>
      <c r="T74" t="s">
        <v>2051</v>
      </c>
      <c r="BI74" s="49" t="str">
        <f>HYPERLINK("#일위대가목록!A30","SE01910 →")</f>
        <v>SE01910 →</v>
      </c>
    </row>
    <row r="75" spans="1:61" ht="18.399999999999999" customHeight="1" x14ac:dyDescent="0.15">
      <c r="A75" s="11" t="s">
        <v>225</v>
      </c>
      <c r="B75" s="2" t="s">
        <v>213</v>
      </c>
      <c r="C75" s="2">
        <v>601</v>
      </c>
      <c r="D75" s="2" t="s">
        <v>1796</v>
      </c>
      <c r="E75" s="27">
        <f t="shared" si="14"/>
        <v>1070</v>
      </c>
      <c r="F75" s="27">
        <f t="shared" si="13"/>
        <v>643070</v>
      </c>
      <c r="G75" s="27">
        <f>일위대가목록!F31</f>
        <v>136</v>
      </c>
      <c r="H75" s="27">
        <f t="shared" si="15"/>
        <v>81736</v>
      </c>
      <c r="I75" s="27">
        <f>일위대가목록!G31</f>
        <v>740</v>
      </c>
      <c r="J75" s="27">
        <f t="shared" si="16"/>
        <v>444740</v>
      </c>
      <c r="K75" s="27">
        <f>일위대가목록!H31</f>
        <v>194</v>
      </c>
      <c r="L75" s="27">
        <f t="shared" si="17"/>
        <v>116594</v>
      </c>
      <c r="M75" s="20" t="s">
        <v>1532</v>
      </c>
      <c r="N75" t="s">
        <v>2450</v>
      </c>
      <c r="P75" t="s">
        <v>907</v>
      </c>
      <c r="Q75" t="s">
        <v>2450</v>
      </c>
      <c r="R75" t="s">
        <v>307</v>
      </c>
      <c r="T75" t="s">
        <v>2051</v>
      </c>
      <c r="BI75" s="49" t="str">
        <f>HYPERLINK("#일위대가목록!A31","SE02100 →")</f>
        <v>SE02100 →</v>
      </c>
    </row>
    <row r="76" spans="1:61" ht="18.399999999999999" customHeight="1" x14ac:dyDescent="0.15">
      <c r="A76" s="11" t="s">
        <v>1869</v>
      </c>
      <c r="B76" s="2" t="s">
        <v>1482</v>
      </c>
      <c r="C76" s="2">
        <v>601</v>
      </c>
      <c r="D76" s="2" t="s">
        <v>1796</v>
      </c>
      <c r="E76" s="27">
        <f t="shared" si="14"/>
        <v>45</v>
      </c>
      <c r="F76" s="27">
        <f t="shared" si="13"/>
        <v>27045</v>
      </c>
      <c r="G76" s="27">
        <f>일위대가목록!F32</f>
        <v>8</v>
      </c>
      <c r="H76" s="27">
        <f t="shared" si="15"/>
        <v>4808</v>
      </c>
      <c r="I76" s="27">
        <f>일위대가목록!G32</f>
        <v>31</v>
      </c>
      <c r="J76" s="27">
        <f t="shared" si="16"/>
        <v>18631</v>
      </c>
      <c r="K76" s="27">
        <f>일위대가목록!H32</f>
        <v>6</v>
      </c>
      <c r="L76" s="27">
        <f t="shared" si="17"/>
        <v>3606</v>
      </c>
      <c r="M76" s="20" t="s">
        <v>679</v>
      </c>
      <c r="N76" t="s">
        <v>2450</v>
      </c>
      <c r="P76" t="s">
        <v>248</v>
      </c>
      <c r="Q76" t="s">
        <v>2450</v>
      </c>
      <c r="R76" t="s">
        <v>11</v>
      </c>
      <c r="T76" t="s">
        <v>2051</v>
      </c>
      <c r="BI76" s="49" t="str">
        <f>HYPERLINK("#일위대가목록!A32","SE01810 →")</f>
        <v>SE01810 →</v>
      </c>
    </row>
    <row r="77" spans="1:61" ht="18.399999999999999" customHeight="1" x14ac:dyDescent="0.15">
      <c r="A77" s="11" t="s">
        <v>422</v>
      </c>
      <c r="B77" s="2" t="s">
        <v>2108</v>
      </c>
      <c r="C77" s="2">
        <v>178</v>
      </c>
      <c r="D77" s="2" t="s">
        <v>1762</v>
      </c>
      <c r="E77" s="27">
        <f t="shared" si="14"/>
        <v>13215</v>
      </c>
      <c r="F77" s="27">
        <f t="shared" si="13"/>
        <v>2352270</v>
      </c>
      <c r="G77" s="27">
        <f>일위대가목록!F33</f>
        <v>2977</v>
      </c>
      <c r="H77" s="27">
        <f t="shared" si="15"/>
        <v>529906</v>
      </c>
      <c r="I77" s="27">
        <f>일위대가목록!G33</f>
        <v>7808</v>
      </c>
      <c r="J77" s="27">
        <f t="shared" si="16"/>
        <v>1389824</v>
      </c>
      <c r="K77" s="27">
        <f>일위대가목록!H33</f>
        <v>2430</v>
      </c>
      <c r="L77" s="27">
        <f t="shared" si="17"/>
        <v>432540</v>
      </c>
      <c r="M77" s="20" t="s">
        <v>2007</v>
      </c>
      <c r="N77" t="s">
        <v>2450</v>
      </c>
      <c r="P77" t="s">
        <v>2065</v>
      </c>
      <c r="Q77" t="s">
        <v>2450</v>
      </c>
      <c r="R77" t="s">
        <v>2392</v>
      </c>
      <c r="T77" t="s">
        <v>2051</v>
      </c>
      <c r="BI77" s="49" t="str">
        <f>HYPERLINK("#일위대가목록!A33","SE01000 →")</f>
        <v>SE01000 →</v>
      </c>
    </row>
    <row r="78" spans="1:61" ht="18.399999999999999" customHeight="1" x14ac:dyDescent="0.15">
      <c r="A78" s="11" t="s">
        <v>1259</v>
      </c>
      <c r="B78" s="2" t="s">
        <v>2108</v>
      </c>
      <c r="C78" s="2">
        <v>174</v>
      </c>
      <c r="D78" s="2" t="s">
        <v>1762</v>
      </c>
      <c r="E78" s="27">
        <f t="shared" si="14"/>
        <v>12584</v>
      </c>
      <c r="F78" s="27">
        <f t="shared" si="13"/>
        <v>2189616</v>
      </c>
      <c r="G78" s="27">
        <f>일위대가목록!F8</f>
        <v>2681</v>
      </c>
      <c r="H78" s="27">
        <f t="shared" si="15"/>
        <v>466494</v>
      </c>
      <c r="I78" s="27">
        <f>일위대가목록!G8</f>
        <v>7716</v>
      </c>
      <c r="J78" s="27">
        <f t="shared" si="16"/>
        <v>1342584</v>
      </c>
      <c r="K78" s="27">
        <f>일위대가목록!H8</f>
        <v>2187</v>
      </c>
      <c r="L78" s="27">
        <f t="shared" si="17"/>
        <v>380538</v>
      </c>
      <c r="M78" s="20" t="s">
        <v>2155</v>
      </c>
      <c r="N78" t="s">
        <v>2450</v>
      </c>
      <c r="P78" t="s">
        <v>1446</v>
      </c>
      <c r="Q78" t="s">
        <v>2450</v>
      </c>
      <c r="R78" t="s">
        <v>2322</v>
      </c>
      <c r="T78" t="s">
        <v>2051</v>
      </c>
      <c r="BI78" s="49" t="str">
        <f>HYPERLINK("#일위대가목록!A8","SE00200 →")</f>
        <v>SE00200 →</v>
      </c>
    </row>
    <row r="79" spans="1:61" ht="18.399999999999999" customHeight="1" x14ac:dyDescent="0.15">
      <c r="A79" s="11" t="s">
        <v>1624</v>
      </c>
      <c r="B79" s="2" t="s">
        <v>2450</v>
      </c>
      <c r="C79" s="2"/>
      <c r="D79" s="2" t="s">
        <v>2450</v>
      </c>
      <c r="E79" s="27">
        <f t="shared" si="14"/>
        <v>0</v>
      </c>
      <c r="F79" s="27">
        <f t="shared" si="13"/>
        <v>603638</v>
      </c>
      <c r="G79" s="1"/>
      <c r="H79" s="27">
        <f>TRUNC(H80+H81+H82,0)</f>
        <v>67138</v>
      </c>
      <c r="I79" s="1"/>
      <c r="J79" s="27">
        <f>TRUNC(J80+J81+J82,0)</f>
        <v>502262</v>
      </c>
      <c r="K79" s="1"/>
      <c r="L79" s="27">
        <f>TRUNC(L80+L81+L82,0)</f>
        <v>34238</v>
      </c>
      <c r="M79" s="20" t="s">
        <v>2450</v>
      </c>
      <c r="N79" t="s">
        <v>2450</v>
      </c>
      <c r="P79" t="s">
        <v>837</v>
      </c>
      <c r="Q79" t="s">
        <v>2450</v>
      </c>
      <c r="R79" t="s">
        <v>2450</v>
      </c>
    </row>
    <row r="80" spans="1:61" ht="18.399999999999999" customHeight="1" x14ac:dyDescent="0.15">
      <c r="A80" s="11" t="s">
        <v>504</v>
      </c>
      <c r="B80" s="2" t="s">
        <v>2048</v>
      </c>
      <c r="C80" s="2">
        <v>18</v>
      </c>
      <c r="D80" s="2" t="s">
        <v>1433</v>
      </c>
      <c r="E80" s="27">
        <f t="shared" si="14"/>
        <v>18145</v>
      </c>
      <c r="F80" s="27">
        <f t="shared" si="13"/>
        <v>326610</v>
      </c>
      <c r="G80" s="27">
        <f>일위대가목록!F34</f>
        <v>1895</v>
      </c>
      <c r="H80" s="27">
        <f>TRUNC(G80*C80,0)</f>
        <v>34110</v>
      </c>
      <c r="I80" s="27">
        <f>일위대가목록!G34</f>
        <v>14694</v>
      </c>
      <c r="J80" s="27">
        <f>TRUNC(I80*C80,0)</f>
        <v>264492</v>
      </c>
      <c r="K80" s="27">
        <f>일위대가목록!H34</f>
        <v>1556</v>
      </c>
      <c r="L80" s="27">
        <f>TRUNC(K80*C80,0)</f>
        <v>28008</v>
      </c>
      <c r="M80" s="20" t="s">
        <v>1027</v>
      </c>
      <c r="N80" t="s">
        <v>2450</v>
      </c>
      <c r="P80" t="s">
        <v>1441</v>
      </c>
      <c r="Q80" t="s">
        <v>2450</v>
      </c>
      <c r="R80" t="s">
        <v>1823</v>
      </c>
      <c r="T80" t="s">
        <v>2051</v>
      </c>
      <c r="BI80" s="49" t="str">
        <f>HYPERLINK("#일위대가목록!A34","SE05200 →")</f>
        <v>SE05200 →</v>
      </c>
    </row>
    <row r="81" spans="1:61" ht="18.399999999999999" customHeight="1" x14ac:dyDescent="0.15">
      <c r="A81" s="11" t="s">
        <v>2428</v>
      </c>
      <c r="B81" s="2" t="s">
        <v>1773</v>
      </c>
      <c r="C81" s="2">
        <v>2</v>
      </c>
      <c r="D81" s="2" t="s">
        <v>1762</v>
      </c>
      <c r="E81" s="27">
        <f t="shared" si="14"/>
        <v>29530</v>
      </c>
      <c r="F81" s="27">
        <f t="shared" si="13"/>
        <v>59060</v>
      </c>
      <c r="G81" s="27">
        <f>일위대가목록!F15</f>
        <v>3170</v>
      </c>
      <c r="H81" s="27">
        <f>TRUNC(G81*C81,0)</f>
        <v>6340</v>
      </c>
      <c r="I81" s="27">
        <f>일위대가목록!G15</f>
        <v>23245</v>
      </c>
      <c r="J81" s="27">
        <f>TRUNC(I81*C81,0)</f>
        <v>46490</v>
      </c>
      <c r="K81" s="27">
        <f>일위대가목록!H15</f>
        <v>3115</v>
      </c>
      <c r="L81" s="27">
        <f>TRUNC(K81*C81,0)</f>
        <v>6230</v>
      </c>
      <c r="M81" s="20" t="s">
        <v>1198</v>
      </c>
      <c r="N81" t="s">
        <v>2450</v>
      </c>
      <c r="P81" t="s">
        <v>1393</v>
      </c>
      <c r="Q81" t="s">
        <v>2450</v>
      </c>
      <c r="R81" t="s">
        <v>1149</v>
      </c>
      <c r="T81" t="s">
        <v>2051</v>
      </c>
      <c r="BI81" s="49" t="str">
        <f>HYPERLINK("#일위대가목록!A15","SB01100 →")</f>
        <v>SB01100 →</v>
      </c>
    </row>
    <row r="82" spans="1:61" ht="18.399999999999999" customHeight="1" x14ac:dyDescent="0.15">
      <c r="A82" s="11" t="s">
        <v>1193</v>
      </c>
      <c r="B82" s="2" t="s">
        <v>295</v>
      </c>
      <c r="C82" s="2">
        <v>6</v>
      </c>
      <c r="D82" s="2" t="s">
        <v>1796</v>
      </c>
      <c r="E82" s="27">
        <f t="shared" si="14"/>
        <v>36328</v>
      </c>
      <c r="F82" s="27">
        <f t="shared" si="13"/>
        <v>217968</v>
      </c>
      <c r="G82" s="27">
        <f>일위대가목록!F16</f>
        <v>4448</v>
      </c>
      <c r="H82" s="27">
        <f>TRUNC(G82*C82,0)</f>
        <v>26688</v>
      </c>
      <c r="I82" s="27">
        <f>일위대가목록!G16</f>
        <v>31880</v>
      </c>
      <c r="J82" s="27">
        <f>TRUNC(I82*C82,0)</f>
        <v>191280</v>
      </c>
      <c r="K82" s="27">
        <f>일위대가목록!H16</f>
        <v>0</v>
      </c>
      <c r="L82" s="27">
        <f>TRUNC(K82*C82,0)</f>
        <v>0</v>
      </c>
      <c r="M82" s="20" t="s">
        <v>2125</v>
      </c>
      <c r="N82" t="s">
        <v>2450</v>
      </c>
      <c r="P82" t="s">
        <v>1999</v>
      </c>
      <c r="Q82" t="s">
        <v>2450</v>
      </c>
      <c r="R82" t="s">
        <v>8</v>
      </c>
      <c r="T82" t="s">
        <v>2051</v>
      </c>
      <c r="BI82" s="49" t="str">
        <f>HYPERLINK("#일위대가목록!A16","SB03950 →")</f>
        <v>SB03950 →</v>
      </c>
    </row>
    <row r="83" spans="1:61" ht="18.399999999999999" customHeight="1" x14ac:dyDescent="0.15">
      <c r="A83" s="11" t="s">
        <v>1011</v>
      </c>
      <c r="B83" s="2" t="s">
        <v>2450</v>
      </c>
      <c r="C83" s="2"/>
      <c r="D83" s="2" t="s">
        <v>2450</v>
      </c>
      <c r="E83" s="27">
        <f t="shared" si="14"/>
        <v>0</v>
      </c>
      <c r="F83" s="27">
        <f t="shared" si="13"/>
        <v>0</v>
      </c>
      <c r="G83" s="1"/>
      <c r="H83" s="27">
        <v>0</v>
      </c>
      <c r="I83" s="1"/>
      <c r="J83" s="27">
        <v>0</v>
      </c>
      <c r="K83" s="1"/>
      <c r="L83" s="27">
        <v>0</v>
      </c>
      <c r="M83" s="20" t="s">
        <v>2450</v>
      </c>
      <c r="N83" t="s">
        <v>2450</v>
      </c>
      <c r="P83" t="s">
        <v>275</v>
      </c>
      <c r="Q83" t="s">
        <v>2450</v>
      </c>
      <c r="R83" t="s">
        <v>2450</v>
      </c>
    </row>
    <row r="84" spans="1:61" ht="18.399999999999999" customHeight="1" x14ac:dyDescent="0.15">
      <c r="A84" s="11" t="s">
        <v>663</v>
      </c>
      <c r="B84" s="2" t="s">
        <v>2450</v>
      </c>
      <c r="C84" s="2">
        <v>1</v>
      </c>
      <c r="D84" s="2" t="s">
        <v>1969</v>
      </c>
      <c r="E84" s="1"/>
      <c r="F84" s="27">
        <f t="shared" si="13"/>
        <v>1944080</v>
      </c>
      <c r="G84" s="1"/>
      <c r="H84" s="27">
        <f>TRUNC(H86+H87+H89+H90+H91+H92,0)</f>
        <v>346763</v>
      </c>
      <c r="I84" s="1"/>
      <c r="J84" s="27">
        <f>TRUNC(J86+J87+J89+J90+J91+J92,0)</f>
        <v>266135</v>
      </c>
      <c r="K84" s="1"/>
      <c r="L84" s="27">
        <f>TRUNC(L86+L87+L89+L90+L91+L92,0)</f>
        <v>1331182</v>
      </c>
      <c r="M84" s="20" t="s">
        <v>2450</v>
      </c>
      <c r="N84" t="s">
        <v>2450</v>
      </c>
      <c r="O84" t="s">
        <v>2212</v>
      </c>
    </row>
    <row r="85" spans="1:61" ht="18.399999999999999" customHeight="1" x14ac:dyDescent="0.15">
      <c r="A85" s="11" t="s">
        <v>1975</v>
      </c>
      <c r="B85" s="2" t="s">
        <v>2450</v>
      </c>
      <c r="C85" s="2"/>
      <c r="D85" s="2" t="s">
        <v>2450</v>
      </c>
      <c r="E85" s="27">
        <f t="shared" ref="E85:E93" si="18">G85+I85+K85</f>
        <v>0</v>
      </c>
      <c r="F85" s="27">
        <f t="shared" si="13"/>
        <v>1316529</v>
      </c>
      <c r="G85" s="1"/>
      <c r="H85" s="27">
        <f>TRUNC(H86+H87,0)</f>
        <v>0</v>
      </c>
      <c r="I85" s="1"/>
      <c r="J85" s="27">
        <f>TRUNC(J86+J87,0)</f>
        <v>0</v>
      </c>
      <c r="K85" s="1"/>
      <c r="L85" s="27">
        <f>TRUNC(L86+L87,0)</f>
        <v>1316529</v>
      </c>
      <c r="M85" s="20" t="s">
        <v>2450</v>
      </c>
      <c r="N85" t="s">
        <v>2450</v>
      </c>
      <c r="P85" t="s">
        <v>286</v>
      </c>
      <c r="Q85" t="s">
        <v>2450</v>
      </c>
      <c r="R85" t="s">
        <v>2450</v>
      </c>
    </row>
    <row r="86" spans="1:61" ht="18.399999999999999" customHeight="1" x14ac:dyDescent="0.15">
      <c r="A86" s="11" t="s">
        <v>31</v>
      </c>
      <c r="B86" s="2" t="s">
        <v>2450</v>
      </c>
      <c r="C86" s="2">
        <v>1</v>
      </c>
      <c r="D86" s="2" t="s">
        <v>1969</v>
      </c>
      <c r="E86" s="27">
        <f t="shared" si="18"/>
        <v>1308813</v>
      </c>
      <c r="F86" s="27">
        <f t="shared" si="13"/>
        <v>1308813</v>
      </c>
      <c r="G86" s="27">
        <f>일위대가목록!F35</f>
        <v>0</v>
      </c>
      <c r="H86" s="27">
        <f>TRUNC(G86*C86,0)</f>
        <v>0</v>
      </c>
      <c r="I86" s="27">
        <f>일위대가목록!G35</f>
        <v>0</v>
      </c>
      <c r="J86" s="27">
        <f>TRUNC(I86*C86,0)</f>
        <v>0</v>
      </c>
      <c r="K86" s="27">
        <f>일위대가목록!H35</f>
        <v>1308813</v>
      </c>
      <c r="L86" s="27">
        <f>TRUNC(K86*C86,0)</f>
        <v>1308813</v>
      </c>
      <c r="M86" s="20" t="s">
        <v>2442</v>
      </c>
      <c r="N86" t="s">
        <v>2450</v>
      </c>
      <c r="P86" t="s">
        <v>2115</v>
      </c>
      <c r="Q86" t="s">
        <v>2450</v>
      </c>
      <c r="R86" t="s">
        <v>1307</v>
      </c>
      <c r="T86" t="s">
        <v>2051</v>
      </c>
      <c r="BI86" s="49" t="str">
        <f>HYPERLINK("#일위대가목록!A35","SF01400 →")</f>
        <v>SF01400 →</v>
      </c>
    </row>
    <row r="87" spans="1:61" ht="18.399999999999999" customHeight="1" x14ac:dyDescent="0.15">
      <c r="A87" s="11" t="s">
        <v>1502</v>
      </c>
      <c r="B87" s="2" t="s">
        <v>1112</v>
      </c>
      <c r="C87" s="2">
        <v>4</v>
      </c>
      <c r="D87" s="2" t="s">
        <v>1668</v>
      </c>
      <c r="E87" s="27">
        <f t="shared" si="18"/>
        <v>1929</v>
      </c>
      <c r="F87" s="27">
        <f t="shared" si="13"/>
        <v>7716</v>
      </c>
      <c r="G87" s="27">
        <f>일위대가목록!F36</f>
        <v>0</v>
      </c>
      <c r="H87" s="27">
        <f>TRUNC(G87*C87,0)</f>
        <v>0</v>
      </c>
      <c r="I87" s="27">
        <f>일위대가목록!G36</f>
        <v>0</v>
      </c>
      <c r="J87" s="27">
        <f>TRUNC(I87*C87,0)</f>
        <v>0</v>
      </c>
      <c r="K87" s="27">
        <f>일위대가목록!H36</f>
        <v>1929</v>
      </c>
      <c r="L87" s="27">
        <f>TRUNC(K87*C87,0)</f>
        <v>7716</v>
      </c>
      <c r="M87" s="20" t="s">
        <v>908</v>
      </c>
      <c r="N87" t="s">
        <v>2450</v>
      </c>
      <c r="P87" t="s">
        <v>907</v>
      </c>
      <c r="Q87" t="s">
        <v>2450</v>
      </c>
      <c r="R87" t="s">
        <v>1727</v>
      </c>
      <c r="T87" t="s">
        <v>2051</v>
      </c>
      <c r="BI87" s="49" t="str">
        <f>HYPERLINK("#일위대가목록!A36","SF00700 →")</f>
        <v>SF00700 →</v>
      </c>
    </row>
    <row r="88" spans="1:61" ht="18.399999999999999" customHeight="1" x14ac:dyDescent="0.15">
      <c r="A88" s="11" t="s">
        <v>2031</v>
      </c>
      <c r="B88" s="2" t="s">
        <v>2450</v>
      </c>
      <c r="C88" s="2"/>
      <c r="D88" s="2" t="s">
        <v>2450</v>
      </c>
      <c r="E88" s="27">
        <f t="shared" si="18"/>
        <v>0</v>
      </c>
      <c r="F88" s="27">
        <f t="shared" si="13"/>
        <v>627551</v>
      </c>
      <c r="G88" s="1"/>
      <c r="H88" s="27">
        <f>TRUNC(H89+H90+H91+H92,0)</f>
        <v>346763</v>
      </c>
      <c r="I88" s="1"/>
      <c r="J88" s="27">
        <f>TRUNC(J89+J90+J91+J92,0)</f>
        <v>266135</v>
      </c>
      <c r="K88" s="1"/>
      <c r="L88" s="27">
        <f>TRUNC(L89+L90+L91+L92,0)</f>
        <v>14653</v>
      </c>
      <c r="M88" s="20" t="s">
        <v>2450</v>
      </c>
      <c r="N88" t="s">
        <v>2450</v>
      </c>
      <c r="P88" t="s">
        <v>864</v>
      </c>
      <c r="Q88" t="s">
        <v>2450</v>
      </c>
      <c r="R88" t="s">
        <v>2450</v>
      </c>
    </row>
    <row r="89" spans="1:61" ht="18.399999999999999" customHeight="1" x14ac:dyDescent="0.15">
      <c r="A89" s="11" t="s">
        <v>1412</v>
      </c>
      <c r="B89" s="2" t="s">
        <v>574</v>
      </c>
      <c r="C89" s="2">
        <v>31</v>
      </c>
      <c r="D89" s="2" t="s">
        <v>1796</v>
      </c>
      <c r="E89" s="27">
        <f t="shared" si="18"/>
        <v>5209</v>
      </c>
      <c r="F89" s="27">
        <f t="shared" si="13"/>
        <v>161479</v>
      </c>
      <c r="G89" s="27">
        <f>일위대가목록!F37</f>
        <v>4894</v>
      </c>
      <c r="H89" s="27">
        <f>TRUNC(G89*C89,0)</f>
        <v>151714</v>
      </c>
      <c r="I89" s="27">
        <f>일위대가목록!G37</f>
        <v>270</v>
      </c>
      <c r="J89" s="27">
        <f>TRUNC(I89*C89,0)</f>
        <v>8370</v>
      </c>
      <c r="K89" s="27">
        <f>일위대가목록!H37</f>
        <v>45</v>
      </c>
      <c r="L89" s="27">
        <f>TRUNC(K89*C89,0)</f>
        <v>1395</v>
      </c>
      <c r="M89" s="20" t="s">
        <v>1915</v>
      </c>
      <c r="N89" t="s">
        <v>2450</v>
      </c>
      <c r="P89" t="s">
        <v>202</v>
      </c>
      <c r="Q89" t="s">
        <v>2450</v>
      </c>
      <c r="R89" t="s">
        <v>1983</v>
      </c>
      <c r="T89" t="s">
        <v>2051</v>
      </c>
      <c r="BI89" s="49" t="str">
        <f>HYPERLINK("#일위대가목록!A37","SF04120 →")</f>
        <v>SF04120 →</v>
      </c>
    </row>
    <row r="90" spans="1:61" ht="18.399999999999999" customHeight="1" x14ac:dyDescent="0.15">
      <c r="A90" s="11" t="s">
        <v>1412</v>
      </c>
      <c r="B90" s="2" t="s">
        <v>426</v>
      </c>
      <c r="C90" s="2">
        <v>1</v>
      </c>
      <c r="D90" s="2" t="s">
        <v>1796</v>
      </c>
      <c r="E90" s="27">
        <f t="shared" si="18"/>
        <v>6043</v>
      </c>
      <c r="F90" s="27">
        <f t="shared" si="13"/>
        <v>6043</v>
      </c>
      <c r="G90" s="27">
        <f>일위대가목록!F38</f>
        <v>4777</v>
      </c>
      <c r="H90" s="27">
        <f>TRUNC(G90*C90,0)</f>
        <v>4777</v>
      </c>
      <c r="I90" s="27">
        <f>일위대가목록!G38</f>
        <v>1085</v>
      </c>
      <c r="J90" s="27">
        <f>TRUNC(I90*C90,0)</f>
        <v>1085</v>
      </c>
      <c r="K90" s="27">
        <f>일위대가목록!H38</f>
        <v>181</v>
      </c>
      <c r="L90" s="27">
        <f>TRUNC(K90*C90,0)</f>
        <v>181</v>
      </c>
      <c r="M90" s="20" t="s">
        <v>1083</v>
      </c>
      <c r="N90" t="s">
        <v>2450</v>
      </c>
      <c r="P90" t="s">
        <v>2037</v>
      </c>
      <c r="Q90" t="s">
        <v>2450</v>
      </c>
      <c r="R90" t="s">
        <v>183</v>
      </c>
      <c r="T90" t="s">
        <v>2051</v>
      </c>
      <c r="BI90" s="49" t="str">
        <f>HYPERLINK("#일위대가목록!A38","SF04110 →")</f>
        <v>SF04110 →</v>
      </c>
    </row>
    <row r="91" spans="1:61" ht="18.399999999999999" customHeight="1" x14ac:dyDescent="0.15">
      <c r="A91" s="11" t="s">
        <v>192</v>
      </c>
      <c r="B91" s="2" t="s">
        <v>1060</v>
      </c>
      <c r="C91" s="2">
        <v>9</v>
      </c>
      <c r="D91" s="2" t="s">
        <v>1796</v>
      </c>
      <c r="E91" s="27">
        <f t="shared" si="18"/>
        <v>16921</v>
      </c>
      <c r="F91" s="27">
        <f t="shared" si="13"/>
        <v>152289</v>
      </c>
      <c r="G91" s="27">
        <f>일위대가목록!F39</f>
        <v>5298</v>
      </c>
      <c r="H91" s="27">
        <f>TRUNC(G91*C91,0)</f>
        <v>47682</v>
      </c>
      <c r="I91" s="27">
        <f>일위대가목록!G39</f>
        <v>11060</v>
      </c>
      <c r="J91" s="27">
        <f>TRUNC(I91*C91,0)</f>
        <v>99540</v>
      </c>
      <c r="K91" s="27">
        <f>일위대가목록!H39</f>
        <v>563</v>
      </c>
      <c r="L91" s="27">
        <f>TRUNC(K91*C91,0)</f>
        <v>5067</v>
      </c>
      <c r="M91" s="20" t="s">
        <v>2216</v>
      </c>
      <c r="N91" t="s">
        <v>2450</v>
      </c>
      <c r="P91" t="s">
        <v>161</v>
      </c>
      <c r="Q91" t="s">
        <v>2450</v>
      </c>
      <c r="R91" t="s">
        <v>322</v>
      </c>
      <c r="T91" t="s">
        <v>2051</v>
      </c>
      <c r="BI91" s="49" t="str">
        <f>HYPERLINK("#일위대가목록!A39","SF03850 →")</f>
        <v>SF03850 →</v>
      </c>
    </row>
    <row r="92" spans="1:61" ht="18.399999999999999" customHeight="1" x14ac:dyDescent="0.15">
      <c r="A92" s="11" t="s">
        <v>2169</v>
      </c>
      <c r="B92" s="2" t="s">
        <v>1828</v>
      </c>
      <c r="C92" s="2">
        <v>30</v>
      </c>
      <c r="D92" s="2" t="s">
        <v>1796</v>
      </c>
      <c r="E92" s="27">
        <f t="shared" si="18"/>
        <v>10258</v>
      </c>
      <c r="F92" s="27">
        <f t="shared" si="13"/>
        <v>307740</v>
      </c>
      <c r="G92" s="27">
        <f>일위대가목록!F40</f>
        <v>4753</v>
      </c>
      <c r="H92" s="27">
        <f>TRUNC(G92*C92,0)</f>
        <v>142590</v>
      </c>
      <c r="I92" s="27">
        <f>일위대가목록!G40</f>
        <v>5238</v>
      </c>
      <c r="J92" s="27">
        <f>TRUNC(I92*C92,0)</f>
        <v>157140</v>
      </c>
      <c r="K92" s="27">
        <f>일위대가목록!H40</f>
        <v>267</v>
      </c>
      <c r="L92" s="27">
        <f>TRUNC(K92*C92,0)</f>
        <v>8010</v>
      </c>
      <c r="M92" s="20" t="s">
        <v>1156</v>
      </c>
      <c r="N92" t="s">
        <v>2450</v>
      </c>
      <c r="P92" t="s">
        <v>806</v>
      </c>
      <c r="Q92" t="s">
        <v>2450</v>
      </c>
      <c r="R92" t="s">
        <v>946</v>
      </c>
      <c r="T92" t="s">
        <v>2051</v>
      </c>
      <c r="BI92" s="49" t="str">
        <f>HYPERLINK("#일위대가목록!A40","SF03840 →")</f>
        <v>SF03840 →</v>
      </c>
    </row>
    <row r="93" spans="1:61" ht="18.399999999999999" customHeight="1" x14ac:dyDescent="0.15">
      <c r="A93" s="11" t="s">
        <v>1011</v>
      </c>
      <c r="B93" s="2" t="s">
        <v>2450</v>
      </c>
      <c r="C93" s="2"/>
      <c r="D93" s="2" t="s">
        <v>2450</v>
      </c>
      <c r="E93" s="27">
        <f t="shared" si="18"/>
        <v>0</v>
      </c>
      <c r="F93" s="27">
        <f t="shared" si="13"/>
        <v>0</v>
      </c>
      <c r="G93" s="1"/>
      <c r="H93" s="27">
        <v>0</v>
      </c>
      <c r="I93" s="1"/>
      <c r="J93" s="27">
        <v>0</v>
      </c>
      <c r="K93" s="1"/>
      <c r="L93" s="27">
        <v>0</v>
      </c>
      <c r="M93" s="20" t="s">
        <v>2450</v>
      </c>
      <c r="N93" t="s">
        <v>2450</v>
      </c>
      <c r="P93" t="s">
        <v>568</v>
      </c>
      <c r="Q93" t="s">
        <v>2450</v>
      </c>
      <c r="R93" t="s">
        <v>2450</v>
      </c>
    </row>
    <row r="94" spans="1:61" ht="18.399999999999999" customHeight="1" x14ac:dyDescent="0.15">
      <c r="A94" s="11" t="s">
        <v>530</v>
      </c>
      <c r="B94" s="2" t="s">
        <v>2450</v>
      </c>
      <c r="C94" s="2">
        <v>1</v>
      </c>
      <c r="D94" s="2" t="s">
        <v>1969</v>
      </c>
      <c r="E94" s="1"/>
      <c r="F94" s="27">
        <f t="shared" si="13"/>
        <v>19599380</v>
      </c>
      <c r="G94" s="1"/>
      <c r="H94" s="27">
        <f>TRUNC(H96+H97+H98+H100+H101+H102+H103+H105+H107+H108+H109,0)</f>
        <v>19599380</v>
      </c>
      <c r="I94" s="1"/>
      <c r="J94" s="27">
        <f>TRUNC(J96+J97+J98+J100+J101+J102+J103+J105+J107+J108+J109,0)</f>
        <v>0</v>
      </c>
      <c r="K94" s="1"/>
      <c r="L94" s="27">
        <f>TRUNC(L96+L97+L98+L100+L101+L102+L103+L105+L107+L108+L109,0)</f>
        <v>0</v>
      </c>
      <c r="M94" s="20" t="s">
        <v>2450</v>
      </c>
      <c r="N94" t="s">
        <v>2450</v>
      </c>
      <c r="O94" t="s">
        <v>44</v>
      </c>
    </row>
    <row r="95" spans="1:61" ht="18.399999999999999" customHeight="1" x14ac:dyDescent="0.15">
      <c r="A95" s="11" t="s">
        <v>1988</v>
      </c>
      <c r="B95" s="2" t="s">
        <v>2450</v>
      </c>
      <c r="C95" s="2"/>
      <c r="D95" s="2" t="s">
        <v>2450</v>
      </c>
      <c r="E95" s="27">
        <f t="shared" ref="E95:E110" si="19">G95+I95+K95</f>
        <v>0</v>
      </c>
      <c r="F95" s="27">
        <f t="shared" si="13"/>
        <v>1000000</v>
      </c>
      <c r="G95" s="1"/>
      <c r="H95" s="27">
        <f>TRUNC(H96+H97,0)</f>
        <v>1000000</v>
      </c>
      <c r="I95" s="1"/>
      <c r="J95" s="27">
        <f>TRUNC(J96+J97,0)</f>
        <v>0</v>
      </c>
      <c r="K95" s="1"/>
      <c r="L95" s="27">
        <f>TRUNC(L96+L97,0)</f>
        <v>0</v>
      </c>
      <c r="M95" s="20" t="s">
        <v>2450</v>
      </c>
      <c r="N95" t="s">
        <v>2450</v>
      </c>
      <c r="P95" t="s">
        <v>286</v>
      </c>
      <c r="Q95" t="s">
        <v>2450</v>
      </c>
      <c r="R95" t="s">
        <v>2450</v>
      </c>
    </row>
    <row r="96" spans="1:61" ht="18.399999999999999" customHeight="1" x14ac:dyDescent="0.15">
      <c r="A96" s="11" t="s">
        <v>335</v>
      </c>
      <c r="B96" s="2" t="s">
        <v>2450</v>
      </c>
      <c r="C96" s="2">
        <v>1</v>
      </c>
      <c r="D96" s="2" t="s">
        <v>1668</v>
      </c>
      <c r="E96" s="27">
        <f t="shared" si="19"/>
        <v>250000</v>
      </c>
      <c r="F96" s="27">
        <f t="shared" si="13"/>
        <v>250000</v>
      </c>
      <c r="G96" s="27">
        <f>자재!D20</f>
        <v>250000</v>
      </c>
      <c r="H96" s="27">
        <f>TRUNC(G96*C96,0)</f>
        <v>250000</v>
      </c>
      <c r="I96" s="27">
        <v>0</v>
      </c>
      <c r="J96" s="27"/>
      <c r="K96" s="27">
        <v>0</v>
      </c>
      <c r="L96" s="27"/>
      <c r="M96" s="20" t="s">
        <v>55</v>
      </c>
      <c r="N96" t="s">
        <v>2450</v>
      </c>
      <c r="P96" t="s">
        <v>2115</v>
      </c>
      <c r="Q96" t="s">
        <v>2450</v>
      </c>
      <c r="R96" t="s">
        <v>56</v>
      </c>
      <c r="BI96" s="49" t="str">
        <f>HYPERLINK("#자재!A20","MZ913060 →")</f>
        <v>MZ913060 →</v>
      </c>
    </row>
    <row r="97" spans="1:61" ht="18.399999999999999" customHeight="1" x14ac:dyDescent="0.15">
      <c r="A97" s="11" t="s">
        <v>1228</v>
      </c>
      <c r="B97" s="2" t="s">
        <v>2450</v>
      </c>
      <c r="C97" s="2">
        <v>3</v>
      </c>
      <c r="D97" s="2" t="s">
        <v>1668</v>
      </c>
      <c r="E97" s="27">
        <f t="shared" si="19"/>
        <v>250000</v>
      </c>
      <c r="F97" s="27">
        <f t="shared" si="13"/>
        <v>750000</v>
      </c>
      <c r="G97" s="27">
        <f>자재!D20</f>
        <v>250000</v>
      </c>
      <c r="H97" s="27">
        <f>TRUNC(G97*C97,0)</f>
        <v>750000</v>
      </c>
      <c r="I97" s="27">
        <v>0</v>
      </c>
      <c r="J97" s="27"/>
      <c r="K97" s="27">
        <v>0</v>
      </c>
      <c r="L97" s="27"/>
      <c r="M97" s="20" t="s">
        <v>55</v>
      </c>
      <c r="N97" t="s">
        <v>2450</v>
      </c>
      <c r="P97" t="s">
        <v>1491</v>
      </c>
      <c r="Q97" t="s">
        <v>2450</v>
      </c>
      <c r="R97" t="s">
        <v>56</v>
      </c>
      <c r="BI97" s="49" t="str">
        <f>HYPERLINK("#자재!A20","MZ913060 →")</f>
        <v>MZ913060 →</v>
      </c>
    </row>
    <row r="98" spans="1:61" ht="18.399999999999999" customHeight="1" x14ac:dyDescent="0.15">
      <c r="A98" s="11" t="s">
        <v>1035</v>
      </c>
      <c r="B98" s="2" t="s">
        <v>1450</v>
      </c>
      <c r="C98" s="2">
        <v>9</v>
      </c>
      <c r="D98" s="2" t="s">
        <v>693</v>
      </c>
      <c r="E98" s="27">
        <f t="shared" si="19"/>
        <v>148500</v>
      </c>
      <c r="F98" s="27">
        <f t="shared" si="13"/>
        <v>1336500</v>
      </c>
      <c r="G98" s="27">
        <f>자재!D26</f>
        <v>148500</v>
      </c>
      <c r="H98" s="27">
        <f>TRUNC(G98*C98,0)</f>
        <v>1336500</v>
      </c>
      <c r="I98" s="27">
        <v>0</v>
      </c>
      <c r="J98" s="27"/>
      <c r="K98" s="27">
        <v>0</v>
      </c>
      <c r="L98" s="27"/>
      <c r="M98" s="20" t="s">
        <v>1002</v>
      </c>
      <c r="N98" t="s">
        <v>2450</v>
      </c>
      <c r="P98" t="s">
        <v>2092</v>
      </c>
      <c r="Q98" t="s">
        <v>2450</v>
      </c>
      <c r="R98" t="s">
        <v>1002</v>
      </c>
      <c r="BI98" s="49" t="str">
        <f>HYPERLINK("#자재!A26","MZ951230 →")</f>
        <v>MZ951230 →</v>
      </c>
    </row>
    <row r="99" spans="1:61" ht="18.399999999999999" customHeight="1" x14ac:dyDescent="0.15">
      <c r="A99" s="11" t="s">
        <v>1043</v>
      </c>
      <c r="B99" s="2" t="s">
        <v>2450</v>
      </c>
      <c r="C99" s="2"/>
      <c r="D99" s="2" t="s">
        <v>2450</v>
      </c>
      <c r="E99" s="27">
        <f t="shared" si="19"/>
        <v>0</v>
      </c>
      <c r="F99" s="27">
        <f t="shared" si="13"/>
        <v>5917880</v>
      </c>
      <c r="G99" s="1"/>
      <c r="H99" s="27">
        <f>TRUNC(H100+H101+H102+H103,0)</f>
        <v>5917880</v>
      </c>
      <c r="I99" s="1"/>
      <c r="J99" s="27">
        <f>TRUNC(J100+J101+J102+J103,0)</f>
        <v>0</v>
      </c>
      <c r="K99" s="1"/>
      <c r="L99" s="27">
        <f>TRUNC(L100+L101+L102+L103,0)</f>
        <v>0</v>
      </c>
      <c r="M99" s="20" t="s">
        <v>2450</v>
      </c>
      <c r="N99" t="s">
        <v>2450</v>
      </c>
      <c r="P99" t="s">
        <v>227</v>
      </c>
      <c r="Q99" t="s">
        <v>2450</v>
      </c>
      <c r="R99" t="s">
        <v>2450</v>
      </c>
    </row>
    <row r="100" spans="1:61" ht="18.399999999999999" customHeight="1" x14ac:dyDescent="0.15">
      <c r="A100" s="11" t="s">
        <v>53</v>
      </c>
      <c r="B100" s="2" t="s">
        <v>472</v>
      </c>
      <c r="C100" s="2">
        <v>4</v>
      </c>
      <c r="D100" s="2" t="s">
        <v>693</v>
      </c>
      <c r="E100" s="27">
        <f t="shared" si="19"/>
        <v>696510</v>
      </c>
      <c r="F100" s="27">
        <f t="shared" ref="F100:F131" si="20">H100+J100+L100</f>
        <v>2786040</v>
      </c>
      <c r="G100" s="27">
        <f>자재!D22</f>
        <v>696510</v>
      </c>
      <c r="H100" s="27">
        <f>TRUNC(G100*C100,0)</f>
        <v>2786040</v>
      </c>
      <c r="I100" s="27">
        <v>0</v>
      </c>
      <c r="J100" s="27"/>
      <c r="K100" s="27">
        <v>0</v>
      </c>
      <c r="L100" s="27"/>
      <c r="M100" s="20" t="s">
        <v>38</v>
      </c>
      <c r="N100" t="s">
        <v>2450</v>
      </c>
      <c r="P100" t="s">
        <v>877</v>
      </c>
      <c r="Q100" t="s">
        <v>2450</v>
      </c>
      <c r="R100" t="s">
        <v>38</v>
      </c>
      <c r="BI100" s="49" t="str">
        <f>HYPERLINK("#자재!A22","MZ93268 →")</f>
        <v>MZ93268 →</v>
      </c>
    </row>
    <row r="101" spans="1:61" ht="18.399999999999999" customHeight="1" x14ac:dyDescent="0.15">
      <c r="A101" s="11" t="s">
        <v>1090</v>
      </c>
      <c r="B101" s="2" t="s">
        <v>700</v>
      </c>
      <c r="C101" s="2">
        <v>9</v>
      </c>
      <c r="D101" s="2" t="s">
        <v>693</v>
      </c>
      <c r="E101" s="27">
        <f t="shared" si="19"/>
        <v>45660</v>
      </c>
      <c r="F101" s="27">
        <f t="shared" si="20"/>
        <v>410940</v>
      </c>
      <c r="G101" s="27">
        <f>자재!D23</f>
        <v>45660</v>
      </c>
      <c r="H101" s="27">
        <f>TRUNC(G101*C101,0)</f>
        <v>410940</v>
      </c>
      <c r="I101" s="27">
        <v>0</v>
      </c>
      <c r="J101" s="27"/>
      <c r="K101" s="27">
        <v>0</v>
      </c>
      <c r="L101" s="27"/>
      <c r="M101" s="20" t="s">
        <v>2379</v>
      </c>
      <c r="N101" t="s">
        <v>2450</v>
      </c>
      <c r="P101" t="s">
        <v>1508</v>
      </c>
      <c r="Q101" t="s">
        <v>2450</v>
      </c>
      <c r="R101" t="s">
        <v>2379</v>
      </c>
      <c r="BI101" s="49" t="str">
        <f>HYPERLINK("#자재!A23","MZ93275 →")</f>
        <v>MZ93275 →</v>
      </c>
    </row>
    <row r="102" spans="1:61" ht="18.399999999999999" customHeight="1" x14ac:dyDescent="0.15">
      <c r="A102" s="11" t="s">
        <v>1090</v>
      </c>
      <c r="B102" s="2" t="s">
        <v>462</v>
      </c>
      <c r="C102" s="2">
        <v>1</v>
      </c>
      <c r="D102" s="2" t="s">
        <v>693</v>
      </c>
      <c r="E102" s="27">
        <f t="shared" si="19"/>
        <v>77740</v>
      </c>
      <c r="F102" s="27">
        <f t="shared" si="20"/>
        <v>77740</v>
      </c>
      <c r="G102" s="27">
        <f>자재!D24</f>
        <v>77740</v>
      </c>
      <c r="H102" s="27">
        <f>TRUNC(G102*C102,0)</f>
        <v>77740</v>
      </c>
      <c r="I102" s="27">
        <v>0</v>
      </c>
      <c r="J102" s="27"/>
      <c r="K102" s="27">
        <v>0</v>
      </c>
      <c r="L102" s="27"/>
      <c r="M102" s="20" t="s">
        <v>2023</v>
      </c>
      <c r="N102" t="s">
        <v>2450</v>
      </c>
      <c r="P102" t="s">
        <v>2141</v>
      </c>
      <c r="Q102" t="s">
        <v>2450</v>
      </c>
      <c r="R102" t="s">
        <v>2023</v>
      </c>
      <c r="BI102" s="49" t="str">
        <f>HYPERLINK("#자재!A24","MZ93277 →")</f>
        <v>MZ93277 →</v>
      </c>
    </row>
    <row r="103" spans="1:61" ht="18.399999999999999" customHeight="1" x14ac:dyDescent="0.15">
      <c r="A103" s="11" t="s">
        <v>1090</v>
      </c>
      <c r="B103" s="2" t="s">
        <v>1676</v>
      </c>
      <c r="C103" s="2">
        <v>4</v>
      </c>
      <c r="D103" s="2" t="s">
        <v>693</v>
      </c>
      <c r="E103" s="27">
        <f t="shared" si="19"/>
        <v>660790</v>
      </c>
      <c r="F103" s="27">
        <f t="shared" si="20"/>
        <v>2643160</v>
      </c>
      <c r="G103" s="27">
        <f>자재!D25</f>
        <v>660790</v>
      </c>
      <c r="H103" s="27">
        <f>TRUNC(G103*C103,0)</f>
        <v>2643160</v>
      </c>
      <c r="I103" s="27">
        <v>0</v>
      </c>
      <c r="J103" s="27"/>
      <c r="K103" s="27">
        <v>0</v>
      </c>
      <c r="L103" s="27"/>
      <c r="M103" s="20" t="s">
        <v>1742</v>
      </c>
      <c r="N103" t="s">
        <v>2450</v>
      </c>
      <c r="P103" t="s">
        <v>268</v>
      </c>
      <c r="Q103" t="s">
        <v>2450</v>
      </c>
      <c r="R103" t="s">
        <v>1742</v>
      </c>
      <c r="BI103" s="49" t="str">
        <f>HYPERLINK("#자재!A25","MZ93280 →")</f>
        <v>MZ93280 →</v>
      </c>
    </row>
    <row r="104" spans="1:61" ht="18.399999999999999" customHeight="1" x14ac:dyDescent="0.15">
      <c r="A104" s="11" t="s">
        <v>804</v>
      </c>
      <c r="B104" s="2" t="s">
        <v>2201</v>
      </c>
      <c r="C104" s="2"/>
      <c r="D104" s="2" t="s">
        <v>2450</v>
      </c>
      <c r="E104" s="27">
        <f t="shared" si="19"/>
        <v>0</v>
      </c>
      <c r="F104" s="27">
        <f t="shared" si="20"/>
        <v>810000</v>
      </c>
      <c r="G104" s="1"/>
      <c r="H104" s="27">
        <f>TRUNC(H105,0)</f>
        <v>810000</v>
      </c>
      <c r="I104" s="1"/>
      <c r="J104" s="27">
        <f>TRUNC(J105,0)</f>
        <v>0</v>
      </c>
      <c r="K104" s="1"/>
      <c r="L104" s="27">
        <f>TRUNC(L105,0)</f>
        <v>0</v>
      </c>
      <c r="M104" s="20" t="s">
        <v>2450</v>
      </c>
      <c r="N104" t="s">
        <v>2450</v>
      </c>
      <c r="P104" t="s">
        <v>918</v>
      </c>
      <c r="Q104" t="s">
        <v>2450</v>
      </c>
      <c r="R104" t="s">
        <v>2450</v>
      </c>
    </row>
    <row r="105" spans="1:61" ht="18.399999999999999" customHeight="1" x14ac:dyDescent="0.15">
      <c r="A105" s="11" t="s">
        <v>504</v>
      </c>
      <c r="B105" s="2" t="s">
        <v>1813</v>
      </c>
      <c r="C105" s="2">
        <v>18</v>
      </c>
      <c r="D105" s="2" t="s">
        <v>693</v>
      </c>
      <c r="E105" s="27">
        <f t="shared" si="19"/>
        <v>45000</v>
      </c>
      <c r="F105" s="27">
        <f t="shared" si="20"/>
        <v>810000</v>
      </c>
      <c r="G105" s="27">
        <f>자재!D29</f>
        <v>45000</v>
      </c>
      <c r="H105" s="27">
        <f>TRUNC(G105*C105,0)</f>
        <v>810000</v>
      </c>
      <c r="I105" s="27">
        <v>0</v>
      </c>
      <c r="J105" s="27"/>
      <c r="K105" s="27">
        <v>0</v>
      </c>
      <c r="L105" s="27"/>
      <c r="M105" s="20" t="s">
        <v>1592</v>
      </c>
      <c r="N105" t="s">
        <v>2450</v>
      </c>
      <c r="P105" t="s">
        <v>1392</v>
      </c>
      <c r="Q105" t="s">
        <v>2450</v>
      </c>
      <c r="R105" t="s">
        <v>1592</v>
      </c>
      <c r="BI105" s="49" t="str">
        <f>HYPERLINK("#자재!A29","MZT02110 →")</f>
        <v>MZT02110 →</v>
      </c>
    </row>
    <row r="106" spans="1:61" ht="18.399999999999999" customHeight="1" x14ac:dyDescent="0.15">
      <c r="A106" s="11" t="s">
        <v>1711</v>
      </c>
      <c r="B106" s="2" t="s">
        <v>2450</v>
      </c>
      <c r="C106" s="2"/>
      <c r="D106" s="2" t="s">
        <v>2450</v>
      </c>
      <c r="E106" s="27">
        <f t="shared" si="19"/>
        <v>0</v>
      </c>
      <c r="F106" s="27">
        <f t="shared" si="20"/>
        <v>10535000</v>
      </c>
      <c r="G106" s="1"/>
      <c r="H106" s="27">
        <f>TRUNC(H107+H108+H109,0)</f>
        <v>10535000</v>
      </c>
      <c r="I106" s="1"/>
      <c r="J106" s="27">
        <f>TRUNC(J107+J108+J109,0)</f>
        <v>0</v>
      </c>
      <c r="K106" s="1"/>
      <c r="L106" s="27">
        <f>TRUNC(L107+L108+L109,0)</f>
        <v>0</v>
      </c>
      <c r="M106" s="20" t="s">
        <v>2450</v>
      </c>
      <c r="N106" t="s">
        <v>2450</v>
      </c>
      <c r="P106" t="s">
        <v>2386</v>
      </c>
      <c r="Q106" t="s">
        <v>2450</v>
      </c>
      <c r="R106" t="s">
        <v>2450</v>
      </c>
    </row>
    <row r="107" spans="1:61" ht="18.399999999999999" customHeight="1" x14ac:dyDescent="0.15">
      <c r="A107" s="11" t="s">
        <v>152</v>
      </c>
      <c r="B107" s="2" t="s">
        <v>2450</v>
      </c>
      <c r="C107" s="2">
        <v>4</v>
      </c>
      <c r="D107" s="2" t="s">
        <v>1762</v>
      </c>
      <c r="E107" s="27">
        <f t="shared" si="19"/>
        <v>29000</v>
      </c>
      <c r="F107" s="27">
        <f t="shared" si="20"/>
        <v>116000</v>
      </c>
      <c r="G107" s="27">
        <f>자재!D17</f>
        <v>29000</v>
      </c>
      <c r="H107" s="27">
        <f>TRUNC(G107*C107,0)</f>
        <v>116000</v>
      </c>
      <c r="I107" s="27">
        <v>0</v>
      </c>
      <c r="J107" s="27"/>
      <c r="K107" s="27">
        <v>0</v>
      </c>
      <c r="L107" s="27"/>
      <c r="M107" s="20" t="s">
        <v>382</v>
      </c>
      <c r="N107" t="s">
        <v>2450</v>
      </c>
      <c r="P107" t="s">
        <v>1741</v>
      </c>
      <c r="Q107" t="s">
        <v>2450</v>
      </c>
      <c r="R107" t="s">
        <v>382</v>
      </c>
      <c r="BI107" s="49" t="str">
        <f>HYPERLINK("#자재!A17","MZ900115 →")</f>
        <v>MZ900115 →</v>
      </c>
    </row>
    <row r="108" spans="1:61" ht="18.399999999999999" customHeight="1" x14ac:dyDescent="0.15">
      <c r="A108" s="11" t="s">
        <v>1176</v>
      </c>
      <c r="B108" s="2" t="s">
        <v>683</v>
      </c>
      <c r="C108" s="2">
        <v>229</v>
      </c>
      <c r="D108" s="2" t="s">
        <v>1762</v>
      </c>
      <c r="E108" s="27">
        <f t="shared" si="19"/>
        <v>23000</v>
      </c>
      <c r="F108" s="27">
        <f t="shared" si="20"/>
        <v>5267000</v>
      </c>
      <c r="G108" s="27">
        <f>자재!D18</f>
        <v>23000</v>
      </c>
      <c r="H108" s="27">
        <f>TRUNC(G108*C108,0)</f>
        <v>5267000</v>
      </c>
      <c r="I108" s="27">
        <v>0</v>
      </c>
      <c r="J108" s="27"/>
      <c r="K108" s="27">
        <v>0</v>
      </c>
      <c r="L108" s="27"/>
      <c r="M108" s="20" t="s">
        <v>1047</v>
      </c>
      <c r="N108" t="s">
        <v>2450</v>
      </c>
      <c r="P108" t="s">
        <v>617</v>
      </c>
      <c r="Q108" t="s">
        <v>2450</v>
      </c>
      <c r="R108" t="s">
        <v>1047</v>
      </c>
      <c r="BI108" s="49" t="str">
        <f>HYPERLINK("#자재!A18","MZ900120 →")</f>
        <v>MZ900120 →</v>
      </c>
    </row>
    <row r="109" spans="1:61" ht="18.399999999999999" customHeight="1" x14ac:dyDescent="0.15">
      <c r="A109" s="11" t="s">
        <v>1959</v>
      </c>
      <c r="B109" s="2" t="s">
        <v>683</v>
      </c>
      <c r="C109" s="2">
        <v>224</v>
      </c>
      <c r="D109" s="2" t="s">
        <v>1762</v>
      </c>
      <c r="E109" s="27">
        <f t="shared" si="19"/>
        <v>23000</v>
      </c>
      <c r="F109" s="27">
        <f t="shared" si="20"/>
        <v>5152000</v>
      </c>
      <c r="G109" s="27">
        <f>자재!D19</f>
        <v>23000</v>
      </c>
      <c r="H109" s="27">
        <f>TRUNC(G109*C109,0)</f>
        <v>5152000</v>
      </c>
      <c r="I109" s="27">
        <v>0</v>
      </c>
      <c r="J109" s="27"/>
      <c r="K109" s="27">
        <v>0</v>
      </c>
      <c r="L109" s="27"/>
      <c r="M109" s="20" t="s">
        <v>2195</v>
      </c>
      <c r="N109" t="s">
        <v>2450</v>
      </c>
      <c r="P109" t="s">
        <v>2426</v>
      </c>
      <c r="Q109" t="s">
        <v>2450</v>
      </c>
      <c r="R109" t="s">
        <v>2195</v>
      </c>
      <c r="BI109" s="49" t="str">
        <f>HYPERLINK("#자재!A19","MZ900125 →")</f>
        <v>MZ900125 →</v>
      </c>
    </row>
    <row r="110" spans="1:61" ht="18.399999999999999" customHeight="1" x14ac:dyDescent="0.15">
      <c r="A110" s="11" t="s">
        <v>1011</v>
      </c>
      <c r="B110" s="2" t="s">
        <v>2450</v>
      </c>
      <c r="C110" s="2"/>
      <c r="D110" s="2" t="s">
        <v>2450</v>
      </c>
      <c r="E110" s="27">
        <f t="shared" si="19"/>
        <v>0</v>
      </c>
      <c r="F110" s="27">
        <f t="shared" si="20"/>
        <v>0</v>
      </c>
      <c r="G110" s="1"/>
      <c r="H110" s="27">
        <v>0</v>
      </c>
      <c r="I110" s="1"/>
      <c r="J110" s="27">
        <v>0</v>
      </c>
      <c r="K110" s="1"/>
      <c r="L110" s="27">
        <v>0</v>
      </c>
      <c r="M110" s="20" t="s">
        <v>2450</v>
      </c>
      <c r="N110" t="s">
        <v>2450</v>
      </c>
      <c r="P110" t="s">
        <v>1778</v>
      </c>
      <c r="Q110" t="s">
        <v>2450</v>
      </c>
      <c r="R110" t="s">
        <v>2450</v>
      </c>
    </row>
    <row r="111" spans="1:61" ht="18.399999999999999" customHeight="1" x14ac:dyDescent="0.15">
      <c r="A111" s="11" t="s">
        <v>1890</v>
      </c>
      <c r="B111" s="2" t="s">
        <v>2450</v>
      </c>
      <c r="C111" s="2">
        <v>1</v>
      </c>
      <c r="D111" s="2" t="s">
        <v>1969</v>
      </c>
      <c r="E111" s="1"/>
      <c r="F111" s="27">
        <f t="shared" si="20"/>
        <v>5622055</v>
      </c>
      <c r="G111" s="1"/>
      <c r="H111" s="27">
        <f>TRUNC(H113+H114+H115,0)</f>
        <v>2034000</v>
      </c>
      <c r="I111" s="1"/>
      <c r="J111" s="27">
        <f>TRUNC(J113+J114+J115,0)</f>
        <v>3588055</v>
      </c>
      <c r="K111" s="1"/>
      <c r="L111" s="27">
        <f>TRUNC(L113+L114+L115,0)</f>
        <v>0</v>
      </c>
      <c r="M111" s="20" t="s">
        <v>2450</v>
      </c>
      <c r="N111" t="s">
        <v>2450</v>
      </c>
      <c r="O111" t="s">
        <v>390</v>
      </c>
    </row>
    <row r="112" spans="1:61" ht="18.399999999999999" customHeight="1" x14ac:dyDescent="0.15">
      <c r="A112" s="11" t="s">
        <v>2130</v>
      </c>
      <c r="B112" s="2" t="s">
        <v>2450</v>
      </c>
      <c r="C112" s="2"/>
      <c r="D112" s="2" t="s">
        <v>2450</v>
      </c>
      <c r="E112" s="27">
        <f>G112+I112+K112</f>
        <v>0</v>
      </c>
      <c r="F112" s="27">
        <f t="shared" si="20"/>
        <v>5622055</v>
      </c>
      <c r="G112" s="1"/>
      <c r="H112" s="27">
        <f>TRUNC(H113+H114+H115,0)</f>
        <v>2034000</v>
      </c>
      <c r="I112" s="1"/>
      <c r="J112" s="27">
        <f>TRUNC(J113+J114+J115,0)</f>
        <v>3588055</v>
      </c>
      <c r="K112" s="1"/>
      <c r="L112" s="27">
        <f>TRUNC(L113+L114+L115,0)</f>
        <v>0</v>
      </c>
      <c r="M112" s="20" t="s">
        <v>2450</v>
      </c>
      <c r="N112" t="s">
        <v>2450</v>
      </c>
      <c r="P112" t="s">
        <v>286</v>
      </c>
      <c r="Q112" t="s">
        <v>2450</v>
      </c>
      <c r="R112" t="s">
        <v>2450</v>
      </c>
    </row>
    <row r="113" spans="1:61" ht="18.399999999999999" customHeight="1" x14ac:dyDescent="0.15">
      <c r="A113" s="11" t="s">
        <v>2309</v>
      </c>
      <c r="B113" s="2" t="s">
        <v>1081</v>
      </c>
      <c r="C113" s="2">
        <v>1</v>
      </c>
      <c r="D113" s="2" t="s">
        <v>1969</v>
      </c>
      <c r="E113" s="27">
        <f>G113+I113+K113</f>
        <v>1949175</v>
      </c>
      <c r="F113" s="27">
        <f t="shared" si="20"/>
        <v>1949175</v>
      </c>
      <c r="G113" s="27">
        <f>일위대가목록!F41</f>
        <v>534000</v>
      </c>
      <c r="H113" s="27">
        <f>TRUNC(G113*C113,0)</f>
        <v>534000</v>
      </c>
      <c r="I113" s="27">
        <f>일위대가목록!G41</f>
        <v>1415175</v>
      </c>
      <c r="J113" s="27">
        <f>TRUNC(I113*C113,0)</f>
        <v>1415175</v>
      </c>
      <c r="K113" s="27">
        <f>일위대가목록!H41</f>
        <v>0</v>
      </c>
      <c r="L113" s="27">
        <f>TRUNC(K113*C113,0)</f>
        <v>0</v>
      </c>
      <c r="M113" s="20" t="s">
        <v>2161</v>
      </c>
      <c r="N113" t="s">
        <v>2450</v>
      </c>
      <c r="P113" t="s">
        <v>2115</v>
      </c>
      <c r="Q113" t="s">
        <v>2450</v>
      </c>
      <c r="R113" t="s">
        <v>1895</v>
      </c>
      <c r="T113" t="s">
        <v>2051</v>
      </c>
      <c r="BI113" s="49" t="str">
        <f>HYPERLINK("#일위대가목록!A41","SF05070 →")</f>
        <v>SF05070 →</v>
      </c>
    </row>
    <row r="114" spans="1:61" ht="18.399999999999999" customHeight="1" x14ac:dyDescent="0.15">
      <c r="A114" s="11" t="s">
        <v>2309</v>
      </c>
      <c r="B114" s="2" t="s">
        <v>553</v>
      </c>
      <c r="C114" s="2">
        <v>100</v>
      </c>
      <c r="D114" s="2" t="s">
        <v>1433</v>
      </c>
      <c r="E114" s="27">
        <f>G114+I114+K114</f>
        <v>19522</v>
      </c>
      <c r="F114" s="27">
        <f t="shared" si="20"/>
        <v>1952200</v>
      </c>
      <c r="G114" s="27">
        <f>일위대가목록!F42</f>
        <v>15000</v>
      </c>
      <c r="H114" s="27">
        <f>TRUNC(G114*C114,0)</f>
        <v>1500000</v>
      </c>
      <c r="I114" s="27">
        <f>일위대가목록!G42</f>
        <v>4522</v>
      </c>
      <c r="J114" s="27">
        <f>TRUNC(I114*C114,0)</f>
        <v>452200</v>
      </c>
      <c r="K114" s="27">
        <f>일위대가목록!H42</f>
        <v>0</v>
      </c>
      <c r="L114" s="27">
        <f>TRUNC(K114*C114,0)</f>
        <v>0</v>
      </c>
      <c r="M114" s="20" t="s">
        <v>1235</v>
      </c>
      <c r="N114" t="s">
        <v>2450</v>
      </c>
      <c r="P114" t="s">
        <v>820</v>
      </c>
      <c r="Q114" t="s">
        <v>2450</v>
      </c>
      <c r="R114" t="s">
        <v>713</v>
      </c>
      <c r="T114" t="s">
        <v>2051</v>
      </c>
      <c r="BI114" s="49" t="str">
        <f>HYPERLINK("#일위대가목록!A42","SF05075 →")</f>
        <v>SF05075 →</v>
      </c>
    </row>
    <row r="115" spans="1:61" ht="18.399999999999999" customHeight="1" x14ac:dyDescent="0.15">
      <c r="A115" s="11" t="s">
        <v>2186</v>
      </c>
      <c r="B115" s="2" t="s">
        <v>205</v>
      </c>
      <c r="C115" s="2">
        <v>5</v>
      </c>
      <c r="D115" s="2" t="s">
        <v>2230</v>
      </c>
      <c r="E115" s="27">
        <f>G115+I115+K115</f>
        <v>344136</v>
      </c>
      <c r="F115" s="27">
        <f t="shared" si="20"/>
        <v>1720680</v>
      </c>
      <c r="G115" s="27">
        <f>일위대가목록!F43</f>
        <v>0</v>
      </c>
      <c r="H115" s="27">
        <f>TRUNC(G115*C115,0)</f>
        <v>0</v>
      </c>
      <c r="I115" s="27">
        <f>일위대가목록!G43</f>
        <v>344136</v>
      </c>
      <c r="J115" s="27">
        <f>TRUNC(I115*C115,0)</f>
        <v>1720680</v>
      </c>
      <c r="K115" s="27">
        <f>일위대가목록!H43</f>
        <v>0</v>
      </c>
      <c r="L115" s="27">
        <f>TRUNC(K115*C115,0)</f>
        <v>0</v>
      </c>
      <c r="M115" s="20" t="s">
        <v>199</v>
      </c>
      <c r="N115" t="s">
        <v>2450</v>
      </c>
      <c r="P115" t="s">
        <v>1491</v>
      </c>
      <c r="Q115" t="s">
        <v>2450</v>
      </c>
      <c r="R115" t="s">
        <v>6</v>
      </c>
      <c r="T115" t="s">
        <v>2051</v>
      </c>
      <c r="BI115" s="49" t="str">
        <f>HYPERLINK("#일위대가목록!A43","SF05000 →")</f>
        <v>SF05000 →</v>
      </c>
    </row>
    <row r="116" spans="1:61" ht="18.399999999999999" customHeight="1" x14ac:dyDescent="0.15">
      <c r="A116" s="11" t="s">
        <v>1011</v>
      </c>
      <c r="B116" s="2" t="s">
        <v>2450</v>
      </c>
      <c r="C116" s="2"/>
      <c r="D116" s="2" t="s">
        <v>2450</v>
      </c>
      <c r="E116" s="27">
        <f>G116+I116+K116</f>
        <v>0</v>
      </c>
      <c r="F116" s="27">
        <f t="shared" si="20"/>
        <v>0</v>
      </c>
      <c r="G116" s="1"/>
      <c r="H116" s="27">
        <v>0</v>
      </c>
      <c r="I116" s="1"/>
      <c r="J116" s="27">
        <v>0</v>
      </c>
      <c r="K116" s="1"/>
      <c r="L116" s="27">
        <v>0</v>
      </c>
      <c r="M116" s="20" t="s">
        <v>2450</v>
      </c>
      <c r="N116" t="s">
        <v>2450</v>
      </c>
      <c r="P116" t="s">
        <v>907</v>
      </c>
      <c r="Q116" t="s">
        <v>593</v>
      </c>
      <c r="R116" t="s">
        <v>2450</v>
      </c>
    </row>
    <row r="117" spans="1:61" ht="18.399999999999999" customHeight="1" x14ac:dyDescent="0.15">
      <c r="A117" s="11" t="s">
        <v>2395</v>
      </c>
      <c r="B117" s="2" t="s">
        <v>2450</v>
      </c>
      <c r="C117" s="2">
        <v>1</v>
      </c>
      <c r="D117" s="2" t="s">
        <v>1969</v>
      </c>
      <c r="E117" s="1"/>
      <c r="F117" s="27">
        <f t="shared" si="20"/>
        <v>93658000</v>
      </c>
      <c r="G117" s="1"/>
      <c r="H117" s="27">
        <f>TRUNC(H120+H121+H124+H125+H126+H129+H130+H131+H132+H133+H134+H135+H136+H139+H140+H141+H142+H143,0)</f>
        <v>93152480</v>
      </c>
      <c r="I117" s="1"/>
      <c r="J117" s="27">
        <f>TRUNC(J120+J121+J124+J125+J126+J129+J130+J131+J132+J133+J134+J135+J136+J139+J140+J141+J142+J143,0)</f>
        <v>0</v>
      </c>
      <c r="K117" s="1"/>
      <c r="L117" s="27">
        <f>TRUNC(L120+L121+L124+L125+L126+L129+L130+L131+L132+L133+L134+L135+L136+L139+L140+L141+L142+L143,0)</f>
        <v>505520</v>
      </c>
      <c r="M117" s="20" t="s">
        <v>2450</v>
      </c>
      <c r="N117" t="s">
        <v>2450</v>
      </c>
      <c r="O117" t="s">
        <v>1304</v>
      </c>
    </row>
    <row r="118" spans="1:61" ht="18.399999999999999" customHeight="1" x14ac:dyDescent="0.15">
      <c r="A118" s="11" t="s">
        <v>1758</v>
      </c>
      <c r="B118" s="2" t="s">
        <v>2450</v>
      </c>
      <c r="C118" s="2"/>
      <c r="D118" s="2" t="s">
        <v>2450</v>
      </c>
      <c r="E118" s="27">
        <f t="shared" ref="E118:E144" si="21">G118+I118+K118</f>
        <v>0</v>
      </c>
      <c r="F118" s="27">
        <f t="shared" si="20"/>
        <v>93658000</v>
      </c>
      <c r="G118" s="1"/>
      <c r="H118" s="27">
        <f>TRUNC(H120+H121+H124+H125+H126+H129+H130+H131+H132+H133+H134+H135+H136+H139+H140+H141+H142+H143,0)</f>
        <v>93152480</v>
      </c>
      <c r="I118" s="1"/>
      <c r="J118" s="27">
        <f>TRUNC(J120+J121+J124+J125+J126+J129+J130+J131+J132+J133+J134+J135+J136+J139+J140+J141+J142+J143,0)</f>
        <v>0</v>
      </c>
      <c r="K118" s="1"/>
      <c r="L118" s="27">
        <f>TRUNC(L120+L121+L124+L125+L126+L129+L130+L131+L132+L133+L134+L135+L136+L139+L140+L141+L142+L143,0)</f>
        <v>505520</v>
      </c>
      <c r="M118" s="20" t="s">
        <v>2450</v>
      </c>
      <c r="N118" t="s">
        <v>2450</v>
      </c>
      <c r="P118" t="s">
        <v>286</v>
      </c>
      <c r="Q118" t="s">
        <v>2450</v>
      </c>
      <c r="R118" t="s">
        <v>2450</v>
      </c>
    </row>
    <row r="119" spans="1:61" ht="18.399999999999999" customHeight="1" x14ac:dyDescent="0.15">
      <c r="A119" s="11" t="s">
        <v>2393</v>
      </c>
      <c r="B119" s="2" t="s">
        <v>2450</v>
      </c>
      <c r="C119" s="2"/>
      <c r="D119" s="2" t="s">
        <v>2450</v>
      </c>
      <c r="E119" s="27">
        <f t="shared" si="21"/>
        <v>0</v>
      </c>
      <c r="F119" s="27">
        <f t="shared" si="20"/>
        <v>15754000</v>
      </c>
      <c r="G119" s="1"/>
      <c r="H119" s="27">
        <f>TRUNC(H120+H121,0)</f>
        <v>15668730</v>
      </c>
      <c r="I119" s="1"/>
      <c r="J119" s="27">
        <f>TRUNC(J120+J121,0)</f>
        <v>0</v>
      </c>
      <c r="K119" s="1"/>
      <c r="L119" s="27">
        <f>TRUNC(L120+L121,0)</f>
        <v>85270</v>
      </c>
      <c r="M119" s="20" t="s">
        <v>2450</v>
      </c>
      <c r="N119" t="s">
        <v>2450</v>
      </c>
      <c r="P119" t="s">
        <v>2115</v>
      </c>
      <c r="Q119" t="s">
        <v>2450</v>
      </c>
      <c r="R119" t="s">
        <v>2450</v>
      </c>
    </row>
    <row r="120" spans="1:61" ht="18.399999999999999" customHeight="1" x14ac:dyDescent="0.15">
      <c r="A120" s="11" t="s">
        <v>1654</v>
      </c>
      <c r="B120" s="2" t="s">
        <v>779</v>
      </c>
      <c r="C120" s="2">
        <v>147</v>
      </c>
      <c r="D120" s="2" t="s">
        <v>933</v>
      </c>
      <c r="E120" s="27">
        <f t="shared" si="21"/>
        <v>106590</v>
      </c>
      <c r="F120" s="27">
        <f t="shared" si="20"/>
        <v>15668730</v>
      </c>
      <c r="G120" s="50">
        <f>TRUNC(X120,2)</f>
        <v>106590</v>
      </c>
      <c r="H120" s="27">
        <f>TRUNC(G120*C120,0)</f>
        <v>15668730</v>
      </c>
      <c r="I120" s="50">
        <f>TRUNC(W120,2)</f>
        <v>0</v>
      </c>
      <c r="J120" s="27">
        <f>TRUNC(I120*C120,0)</f>
        <v>0</v>
      </c>
      <c r="K120" s="50">
        <f>TRUNC(V120,2)</f>
        <v>0</v>
      </c>
      <c r="L120" s="27">
        <f>TRUNC(K120*C120,0)</f>
        <v>0</v>
      </c>
      <c r="M120" s="20" t="s">
        <v>2450</v>
      </c>
      <c r="N120" t="s">
        <v>2450</v>
      </c>
      <c r="P120" t="s">
        <v>1491</v>
      </c>
      <c r="Q120" t="s">
        <v>2450</v>
      </c>
      <c r="R120" t="s">
        <v>644</v>
      </c>
      <c r="V120">
        <v>0</v>
      </c>
      <c r="W120">
        <v>0</v>
      </c>
      <c r="X120">
        <v>106590</v>
      </c>
      <c r="AA120" s="37" t="s">
        <v>815</v>
      </c>
      <c r="AB120" s="8">
        <f>내역서!H120*0.0054+1000-341</f>
        <v>85270.142000000007</v>
      </c>
      <c r="AC120" s="37" t="s">
        <v>1302</v>
      </c>
      <c r="AD120" s="7">
        <f>$AB120</f>
        <v>85270.142000000007</v>
      </c>
    </row>
    <row r="121" spans="1:61" ht="18.399999999999999" customHeight="1" x14ac:dyDescent="0.15">
      <c r="A121" s="11" t="s">
        <v>570</v>
      </c>
      <c r="B121" s="2" t="s">
        <v>2450</v>
      </c>
      <c r="C121" s="2">
        <v>0.54</v>
      </c>
      <c r="D121" s="2" t="s">
        <v>520</v>
      </c>
      <c r="E121" s="27">
        <f t="shared" si="21"/>
        <v>0</v>
      </c>
      <c r="F121" s="27">
        <f t="shared" si="20"/>
        <v>85270</v>
      </c>
      <c r="G121" s="1"/>
      <c r="H121" s="27">
        <v>0</v>
      </c>
      <c r="I121" s="1"/>
      <c r="J121" s="27">
        <v>0</v>
      </c>
      <c r="K121" s="1"/>
      <c r="L121" s="27">
        <f>TRUNC((H120*0.0054+1000-341),0)</f>
        <v>85270</v>
      </c>
      <c r="M121" s="20" t="s">
        <v>2450</v>
      </c>
      <c r="N121" t="s">
        <v>2450</v>
      </c>
      <c r="P121" t="s">
        <v>907</v>
      </c>
      <c r="Q121" t="s">
        <v>2450</v>
      </c>
      <c r="R121" t="s">
        <v>2051</v>
      </c>
      <c r="X121" t="s">
        <v>1175</v>
      </c>
    </row>
    <row r="122" spans="1:61" ht="18.399999999999999" customHeight="1" x14ac:dyDescent="0.15">
      <c r="A122" s="11" t="s">
        <v>1011</v>
      </c>
      <c r="B122" s="2" t="s">
        <v>2450</v>
      </c>
      <c r="C122" s="2"/>
      <c r="D122" s="2" t="s">
        <v>2450</v>
      </c>
      <c r="E122" s="27">
        <f t="shared" si="21"/>
        <v>0</v>
      </c>
      <c r="F122" s="27">
        <f t="shared" si="20"/>
        <v>0</v>
      </c>
      <c r="G122" s="1"/>
      <c r="H122" s="27">
        <v>0</v>
      </c>
      <c r="I122" s="1"/>
      <c r="J122" s="27">
        <v>0</v>
      </c>
      <c r="K122" s="1"/>
      <c r="L122" s="27">
        <v>0</v>
      </c>
      <c r="M122" s="20" t="s">
        <v>2450</v>
      </c>
      <c r="N122" t="s">
        <v>2450</v>
      </c>
      <c r="P122" t="s">
        <v>248</v>
      </c>
      <c r="Q122" t="s">
        <v>2450</v>
      </c>
      <c r="R122" t="s">
        <v>2450</v>
      </c>
    </row>
    <row r="123" spans="1:61" ht="18.399999999999999" customHeight="1" x14ac:dyDescent="0.15">
      <c r="A123" s="11" t="s">
        <v>1422</v>
      </c>
      <c r="B123" s="2" t="s">
        <v>2450</v>
      </c>
      <c r="C123" s="2"/>
      <c r="D123" s="2" t="s">
        <v>2450</v>
      </c>
      <c r="E123" s="27">
        <f t="shared" si="21"/>
        <v>0</v>
      </c>
      <c r="F123" s="27">
        <f t="shared" si="20"/>
        <v>26498000</v>
      </c>
      <c r="G123" s="1"/>
      <c r="H123" s="27">
        <f>TRUNC(H124+H125+H126,0)</f>
        <v>26355230</v>
      </c>
      <c r="I123" s="1"/>
      <c r="J123" s="27">
        <f>TRUNC(J124+J125+J126,0)</f>
        <v>0</v>
      </c>
      <c r="K123" s="1"/>
      <c r="L123" s="27">
        <f>TRUNC(L124+L125+L126,0)</f>
        <v>142770</v>
      </c>
      <c r="M123" s="20" t="s">
        <v>2450</v>
      </c>
      <c r="N123" t="s">
        <v>2450</v>
      </c>
      <c r="P123" t="s">
        <v>2065</v>
      </c>
      <c r="Q123" t="s">
        <v>2450</v>
      </c>
      <c r="R123" t="s">
        <v>2450</v>
      </c>
    </row>
    <row r="124" spans="1:61" ht="18.399999999999999" customHeight="1" x14ac:dyDescent="0.15">
      <c r="A124" s="11" t="s">
        <v>470</v>
      </c>
      <c r="B124" s="2" t="s">
        <v>1954</v>
      </c>
      <c r="C124" s="2">
        <v>72</v>
      </c>
      <c r="D124" s="2" t="s">
        <v>2107</v>
      </c>
      <c r="E124" s="27">
        <f t="shared" si="21"/>
        <v>140800</v>
      </c>
      <c r="F124" s="27">
        <f t="shared" si="20"/>
        <v>10137600</v>
      </c>
      <c r="G124" s="50">
        <f>TRUNC(X124,2)</f>
        <v>140800</v>
      </c>
      <c r="H124" s="27">
        <f>TRUNC(G124*C124,0)</f>
        <v>10137600</v>
      </c>
      <c r="I124" s="50">
        <f>TRUNC(W124,2)</f>
        <v>0</v>
      </c>
      <c r="J124" s="27">
        <f>TRUNC(I124*C124,0)</f>
        <v>0</v>
      </c>
      <c r="K124" s="50">
        <f>TRUNC(V124,2)</f>
        <v>0</v>
      </c>
      <c r="L124" s="27">
        <f>TRUNC(K124*C124,0)</f>
        <v>0</v>
      </c>
      <c r="M124" s="20" t="s">
        <v>2450</v>
      </c>
      <c r="N124" t="s">
        <v>2450</v>
      </c>
      <c r="P124" t="s">
        <v>1446</v>
      </c>
      <c r="Q124" t="s">
        <v>2450</v>
      </c>
      <c r="R124" t="s">
        <v>644</v>
      </c>
      <c r="V124">
        <v>0</v>
      </c>
      <c r="W124">
        <v>0</v>
      </c>
      <c r="X124">
        <v>140800</v>
      </c>
    </row>
    <row r="125" spans="1:61" ht="18.399999999999999" customHeight="1" x14ac:dyDescent="0.15">
      <c r="A125" s="11" t="s">
        <v>470</v>
      </c>
      <c r="B125" s="2" t="s">
        <v>1357</v>
      </c>
      <c r="C125" s="2">
        <v>143</v>
      </c>
      <c r="D125" s="2" t="s">
        <v>2107</v>
      </c>
      <c r="E125" s="27">
        <f t="shared" si="21"/>
        <v>113410</v>
      </c>
      <c r="F125" s="27">
        <f t="shared" si="20"/>
        <v>16217630</v>
      </c>
      <c r="G125" s="50">
        <f>TRUNC(X125,2)</f>
        <v>113410</v>
      </c>
      <c r="H125" s="27">
        <f>TRUNC(G125*C125,0)</f>
        <v>16217630</v>
      </c>
      <c r="I125" s="50">
        <f>TRUNC(W125,2)</f>
        <v>0</v>
      </c>
      <c r="J125" s="27">
        <f>TRUNC(I125*C125,0)</f>
        <v>0</v>
      </c>
      <c r="K125" s="50">
        <f>TRUNC(V125,2)</f>
        <v>0</v>
      </c>
      <c r="L125" s="27">
        <f>TRUNC(K125*C125,0)</f>
        <v>0</v>
      </c>
      <c r="M125" s="20" t="s">
        <v>2450</v>
      </c>
      <c r="N125" t="s">
        <v>2450</v>
      </c>
      <c r="P125" t="s">
        <v>864</v>
      </c>
      <c r="Q125" t="s">
        <v>2450</v>
      </c>
      <c r="R125" t="s">
        <v>644</v>
      </c>
      <c r="V125">
        <v>0</v>
      </c>
      <c r="W125">
        <v>0</v>
      </c>
      <c r="X125">
        <v>113410</v>
      </c>
      <c r="AA125" s="37" t="s">
        <v>815</v>
      </c>
      <c r="AB125" s="8">
        <f>(내역서!H124+내역서!H125)*0.0054+1000-548</f>
        <v>142770.242</v>
      </c>
      <c r="AC125" s="37" t="s">
        <v>1302</v>
      </c>
      <c r="AD125" s="7">
        <f>$AB125</f>
        <v>142770.242</v>
      </c>
    </row>
    <row r="126" spans="1:61" ht="18.399999999999999" customHeight="1" x14ac:dyDescent="0.15">
      <c r="A126" s="11" t="s">
        <v>570</v>
      </c>
      <c r="B126" s="2" t="s">
        <v>2450</v>
      </c>
      <c r="C126" s="2">
        <v>0.54</v>
      </c>
      <c r="D126" s="2" t="s">
        <v>520</v>
      </c>
      <c r="E126" s="27">
        <f t="shared" si="21"/>
        <v>0</v>
      </c>
      <c r="F126" s="27">
        <f t="shared" si="20"/>
        <v>142770</v>
      </c>
      <c r="G126" s="1"/>
      <c r="H126" s="27">
        <v>0</v>
      </c>
      <c r="I126" s="1"/>
      <c r="J126" s="27">
        <v>0</v>
      </c>
      <c r="K126" s="1"/>
      <c r="L126" s="27">
        <f>TRUNC(((H124+H125)*0.0054+1000-548),0)</f>
        <v>142770</v>
      </c>
      <c r="M126" s="20" t="s">
        <v>2450</v>
      </c>
      <c r="N126" t="s">
        <v>2450</v>
      </c>
      <c r="P126" t="s">
        <v>209</v>
      </c>
      <c r="Q126" t="s">
        <v>2450</v>
      </c>
      <c r="R126" t="s">
        <v>2051</v>
      </c>
      <c r="X126" t="s">
        <v>375</v>
      </c>
    </row>
    <row r="127" spans="1:61" ht="18.399999999999999" customHeight="1" x14ac:dyDescent="0.15">
      <c r="A127" s="11" t="s">
        <v>1011</v>
      </c>
      <c r="B127" s="2" t="s">
        <v>2450</v>
      </c>
      <c r="C127" s="2"/>
      <c r="D127" s="2" t="s">
        <v>2450</v>
      </c>
      <c r="E127" s="27">
        <f t="shared" si="21"/>
        <v>0</v>
      </c>
      <c r="F127" s="27">
        <f t="shared" si="20"/>
        <v>0</v>
      </c>
      <c r="G127" s="1"/>
      <c r="H127" s="27">
        <v>0</v>
      </c>
      <c r="I127" s="1"/>
      <c r="J127" s="27">
        <v>0</v>
      </c>
      <c r="K127" s="1"/>
      <c r="L127" s="27">
        <v>0</v>
      </c>
      <c r="M127" s="20" t="s">
        <v>2450</v>
      </c>
      <c r="N127" t="s">
        <v>2450</v>
      </c>
      <c r="P127" t="s">
        <v>202</v>
      </c>
      <c r="Q127" t="s">
        <v>2450</v>
      </c>
      <c r="R127" t="s">
        <v>2450</v>
      </c>
    </row>
    <row r="128" spans="1:61" ht="18.399999999999999" customHeight="1" x14ac:dyDescent="0.15">
      <c r="A128" s="11" t="s">
        <v>1324</v>
      </c>
      <c r="B128" s="2" t="s">
        <v>2450</v>
      </c>
      <c r="C128" s="2"/>
      <c r="D128" s="2" t="s">
        <v>2450</v>
      </c>
      <c r="E128" s="27">
        <f t="shared" si="21"/>
        <v>0</v>
      </c>
      <c r="F128" s="27">
        <f t="shared" si="20"/>
        <v>48046000</v>
      </c>
      <c r="G128" s="1"/>
      <c r="H128" s="27">
        <f>TRUNC(H129+H130+H131+H132+H133+H134+H135+H136,0)</f>
        <v>47787420</v>
      </c>
      <c r="I128" s="1"/>
      <c r="J128" s="27">
        <f>TRUNC(J129+J130+J131+J132+J133+J134+J135+J136,0)</f>
        <v>0</v>
      </c>
      <c r="K128" s="1"/>
      <c r="L128" s="27">
        <f>TRUNC(L129+L130+L131+L132+L133+L134+L135+L136,0)</f>
        <v>258580</v>
      </c>
      <c r="M128" s="20" t="s">
        <v>2450</v>
      </c>
      <c r="N128" t="s">
        <v>2450</v>
      </c>
      <c r="P128" t="s">
        <v>837</v>
      </c>
      <c r="Q128" t="s">
        <v>2450</v>
      </c>
      <c r="R128" t="s">
        <v>2450</v>
      </c>
    </row>
    <row r="129" spans="1:30" ht="18.399999999999999" customHeight="1" x14ac:dyDescent="0.15">
      <c r="A129" s="11" t="s">
        <v>1607</v>
      </c>
      <c r="B129" s="2" t="s">
        <v>1939</v>
      </c>
      <c r="C129" s="2">
        <v>71</v>
      </c>
      <c r="D129" s="2" t="s">
        <v>1433</v>
      </c>
      <c r="E129" s="27">
        <f t="shared" si="21"/>
        <v>22890</v>
      </c>
      <c r="F129" s="27">
        <f t="shared" si="20"/>
        <v>1625190</v>
      </c>
      <c r="G129" s="50">
        <f t="shared" ref="G129:G135" si="22">TRUNC(X129,2)</f>
        <v>22890</v>
      </c>
      <c r="H129" s="27">
        <f t="shared" ref="H129:H135" si="23">TRUNC(G129*C129,0)</f>
        <v>1625190</v>
      </c>
      <c r="I129" s="50">
        <f t="shared" ref="I129:I135" si="24">TRUNC(W129,2)</f>
        <v>0</v>
      </c>
      <c r="J129" s="27">
        <f t="shared" ref="J129:J135" si="25">TRUNC(I129*C129,0)</f>
        <v>0</v>
      </c>
      <c r="K129" s="50">
        <f t="shared" ref="K129:K135" si="26">TRUNC(V129,2)</f>
        <v>0</v>
      </c>
      <c r="L129" s="27">
        <f t="shared" ref="L129:L135" si="27">TRUNC(K129*C129,0)</f>
        <v>0</v>
      </c>
      <c r="M129" s="20" t="s">
        <v>2450</v>
      </c>
      <c r="N129" t="s">
        <v>2450</v>
      </c>
      <c r="P129" t="s">
        <v>1441</v>
      </c>
      <c r="Q129" t="s">
        <v>2450</v>
      </c>
      <c r="R129" t="s">
        <v>644</v>
      </c>
      <c r="V129">
        <v>0</v>
      </c>
      <c r="W129">
        <v>0</v>
      </c>
      <c r="X129">
        <v>22890</v>
      </c>
    </row>
    <row r="130" spans="1:30" ht="18.399999999999999" customHeight="1" x14ac:dyDescent="0.15">
      <c r="A130" s="11" t="s">
        <v>1607</v>
      </c>
      <c r="B130" s="2" t="s">
        <v>790</v>
      </c>
      <c r="C130" s="2">
        <v>2</v>
      </c>
      <c r="D130" s="2" t="s">
        <v>1433</v>
      </c>
      <c r="E130" s="27">
        <f t="shared" si="21"/>
        <v>30600</v>
      </c>
      <c r="F130" s="27">
        <f t="shared" si="20"/>
        <v>61200</v>
      </c>
      <c r="G130" s="50">
        <f t="shared" si="22"/>
        <v>30600</v>
      </c>
      <c r="H130" s="27">
        <f t="shared" si="23"/>
        <v>61200</v>
      </c>
      <c r="I130" s="50">
        <f t="shared" si="24"/>
        <v>0</v>
      </c>
      <c r="J130" s="27">
        <f t="shared" si="25"/>
        <v>0</v>
      </c>
      <c r="K130" s="50">
        <f t="shared" si="26"/>
        <v>0</v>
      </c>
      <c r="L130" s="27">
        <f t="shared" si="27"/>
        <v>0</v>
      </c>
      <c r="M130" s="20" t="s">
        <v>2450</v>
      </c>
      <c r="N130" t="s">
        <v>2450</v>
      </c>
      <c r="P130" t="s">
        <v>2037</v>
      </c>
      <c r="Q130" t="s">
        <v>2450</v>
      </c>
      <c r="R130" t="s">
        <v>644</v>
      </c>
      <c r="V130">
        <v>0</v>
      </c>
      <c r="W130">
        <v>0</v>
      </c>
      <c r="X130">
        <v>30600</v>
      </c>
    </row>
    <row r="131" spans="1:30" ht="18.399999999999999" customHeight="1" x14ac:dyDescent="0.15">
      <c r="A131" s="11" t="s">
        <v>1607</v>
      </c>
      <c r="B131" s="2" t="s">
        <v>903</v>
      </c>
      <c r="C131" s="2">
        <v>112</v>
      </c>
      <c r="D131" s="2" t="s">
        <v>1433</v>
      </c>
      <c r="E131" s="27">
        <f t="shared" si="21"/>
        <v>339890</v>
      </c>
      <c r="F131" s="27">
        <f t="shared" si="20"/>
        <v>38067680</v>
      </c>
      <c r="G131" s="50">
        <f t="shared" si="22"/>
        <v>339890</v>
      </c>
      <c r="H131" s="27">
        <f t="shared" si="23"/>
        <v>38067680</v>
      </c>
      <c r="I131" s="50">
        <f t="shared" si="24"/>
        <v>0</v>
      </c>
      <c r="J131" s="27">
        <f t="shared" si="25"/>
        <v>0</v>
      </c>
      <c r="K131" s="50">
        <f t="shared" si="26"/>
        <v>0</v>
      </c>
      <c r="L131" s="27">
        <f t="shared" si="27"/>
        <v>0</v>
      </c>
      <c r="M131" s="20" t="s">
        <v>2450</v>
      </c>
      <c r="N131" t="s">
        <v>2450</v>
      </c>
      <c r="P131" t="s">
        <v>161</v>
      </c>
      <c r="Q131" t="s">
        <v>2450</v>
      </c>
      <c r="R131" t="s">
        <v>644</v>
      </c>
      <c r="V131">
        <v>0</v>
      </c>
      <c r="W131">
        <v>0</v>
      </c>
      <c r="X131">
        <v>339890</v>
      </c>
    </row>
    <row r="132" spans="1:30" ht="18.399999999999999" customHeight="1" x14ac:dyDescent="0.15">
      <c r="A132" s="11" t="s">
        <v>421</v>
      </c>
      <c r="B132" s="2" t="s">
        <v>1939</v>
      </c>
      <c r="C132" s="2">
        <v>27</v>
      </c>
      <c r="D132" s="2" t="s">
        <v>693</v>
      </c>
      <c r="E132" s="27">
        <f t="shared" si="21"/>
        <v>36090</v>
      </c>
      <c r="F132" s="27">
        <f t="shared" ref="F132:F144" si="28">H132+J132+L132</f>
        <v>974430</v>
      </c>
      <c r="G132" s="50">
        <f t="shared" si="22"/>
        <v>36090</v>
      </c>
      <c r="H132" s="27">
        <f t="shared" si="23"/>
        <v>974430</v>
      </c>
      <c r="I132" s="50">
        <f t="shared" si="24"/>
        <v>0</v>
      </c>
      <c r="J132" s="27">
        <f t="shared" si="25"/>
        <v>0</v>
      </c>
      <c r="K132" s="50">
        <f t="shared" si="26"/>
        <v>0</v>
      </c>
      <c r="L132" s="27">
        <f t="shared" si="27"/>
        <v>0</v>
      </c>
      <c r="M132" s="20" t="s">
        <v>2450</v>
      </c>
      <c r="N132" t="s">
        <v>2450</v>
      </c>
      <c r="P132" t="s">
        <v>806</v>
      </c>
      <c r="Q132" t="s">
        <v>2450</v>
      </c>
      <c r="R132" t="s">
        <v>644</v>
      </c>
      <c r="V132">
        <v>0</v>
      </c>
      <c r="W132">
        <v>0</v>
      </c>
      <c r="X132">
        <v>36090</v>
      </c>
    </row>
    <row r="133" spans="1:30" ht="18.399999999999999" customHeight="1" x14ac:dyDescent="0.15">
      <c r="A133" s="11" t="s">
        <v>421</v>
      </c>
      <c r="B133" s="2" t="s">
        <v>790</v>
      </c>
      <c r="C133" s="2">
        <v>3</v>
      </c>
      <c r="D133" s="2" t="s">
        <v>693</v>
      </c>
      <c r="E133" s="27">
        <f t="shared" si="21"/>
        <v>46490</v>
      </c>
      <c r="F133" s="27">
        <f t="shared" si="28"/>
        <v>139470</v>
      </c>
      <c r="G133" s="50">
        <f t="shared" si="22"/>
        <v>46490</v>
      </c>
      <c r="H133" s="27">
        <f t="shared" si="23"/>
        <v>139470</v>
      </c>
      <c r="I133" s="50">
        <f t="shared" si="24"/>
        <v>0</v>
      </c>
      <c r="J133" s="27">
        <f t="shared" si="25"/>
        <v>0</v>
      </c>
      <c r="K133" s="50">
        <f t="shared" si="26"/>
        <v>0</v>
      </c>
      <c r="L133" s="27">
        <f t="shared" si="27"/>
        <v>0</v>
      </c>
      <c r="M133" s="20" t="s">
        <v>2450</v>
      </c>
      <c r="N133" t="s">
        <v>2450</v>
      </c>
      <c r="P133" t="s">
        <v>1393</v>
      </c>
      <c r="Q133" t="s">
        <v>2450</v>
      </c>
      <c r="R133" t="s">
        <v>644</v>
      </c>
      <c r="V133">
        <v>0</v>
      </c>
      <c r="W133">
        <v>0</v>
      </c>
      <c r="X133">
        <v>46490</v>
      </c>
    </row>
    <row r="134" spans="1:30" ht="18.399999999999999" customHeight="1" x14ac:dyDescent="0.15">
      <c r="A134" s="11" t="s">
        <v>421</v>
      </c>
      <c r="B134" s="2" t="s">
        <v>616</v>
      </c>
      <c r="C134" s="2">
        <v>4</v>
      </c>
      <c r="D134" s="2" t="s">
        <v>693</v>
      </c>
      <c r="E134" s="27">
        <f t="shared" si="21"/>
        <v>113050</v>
      </c>
      <c r="F134" s="27">
        <f t="shared" si="28"/>
        <v>452200</v>
      </c>
      <c r="G134" s="50">
        <f t="shared" si="22"/>
        <v>113050</v>
      </c>
      <c r="H134" s="27">
        <f t="shared" si="23"/>
        <v>452200</v>
      </c>
      <c r="I134" s="50">
        <f t="shared" si="24"/>
        <v>0</v>
      </c>
      <c r="J134" s="27">
        <f t="shared" si="25"/>
        <v>0</v>
      </c>
      <c r="K134" s="50">
        <f t="shared" si="26"/>
        <v>0</v>
      </c>
      <c r="L134" s="27">
        <f t="shared" si="27"/>
        <v>0</v>
      </c>
      <c r="M134" s="20" t="s">
        <v>2450</v>
      </c>
      <c r="N134" t="s">
        <v>2450</v>
      </c>
      <c r="P134" t="s">
        <v>1999</v>
      </c>
      <c r="Q134" t="s">
        <v>2450</v>
      </c>
      <c r="R134" t="s">
        <v>644</v>
      </c>
      <c r="V134">
        <v>0</v>
      </c>
      <c r="W134">
        <v>0</v>
      </c>
      <c r="X134">
        <v>113050</v>
      </c>
    </row>
    <row r="135" spans="1:30" ht="18.399999999999999" customHeight="1" x14ac:dyDescent="0.15">
      <c r="A135" s="11" t="s">
        <v>421</v>
      </c>
      <c r="B135" s="2" t="s">
        <v>616</v>
      </c>
      <c r="C135" s="2">
        <v>25</v>
      </c>
      <c r="D135" s="2" t="s">
        <v>693</v>
      </c>
      <c r="E135" s="27">
        <f t="shared" si="21"/>
        <v>258690</v>
      </c>
      <c r="F135" s="27">
        <f t="shared" si="28"/>
        <v>6467250</v>
      </c>
      <c r="G135" s="50">
        <f t="shared" si="22"/>
        <v>258690</v>
      </c>
      <c r="H135" s="27">
        <f t="shared" si="23"/>
        <v>6467250</v>
      </c>
      <c r="I135" s="50">
        <f t="shared" si="24"/>
        <v>0</v>
      </c>
      <c r="J135" s="27">
        <f t="shared" si="25"/>
        <v>0</v>
      </c>
      <c r="K135" s="50">
        <f t="shared" si="26"/>
        <v>0</v>
      </c>
      <c r="L135" s="27">
        <f t="shared" si="27"/>
        <v>0</v>
      </c>
      <c r="M135" s="20" t="s">
        <v>2450</v>
      </c>
      <c r="N135" t="s">
        <v>2450</v>
      </c>
      <c r="P135" t="s">
        <v>275</v>
      </c>
      <c r="Q135" t="s">
        <v>2450</v>
      </c>
      <c r="R135" t="s">
        <v>644</v>
      </c>
      <c r="V135">
        <v>0</v>
      </c>
      <c r="W135">
        <v>0</v>
      </c>
      <c r="X135">
        <v>258690</v>
      </c>
      <c r="AA135" s="37" t="s">
        <v>815</v>
      </c>
      <c r="AB135" s="8">
        <f>(내역서!H129+내역서!H130+내역서!H131+내역서!H132+내역서!H133+내역서!H134+내역서!H135)*0.0054+1000-472</f>
        <v>258580.068</v>
      </c>
      <c r="AC135" s="37" t="s">
        <v>1302</v>
      </c>
      <c r="AD135" s="7">
        <f>$AB135</f>
        <v>258580.068</v>
      </c>
    </row>
    <row r="136" spans="1:30" ht="18.399999999999999" customHeight="1" x14ac:dyDescent="0.15">
      <c r="A136" s="11" t="s">
        <v>570</v>
      </c>
      <c r="B136" s="2" t="s">
        <v>2450</v>
      </c>
      <c r="C136" s="2">
        <v>0.54</v>
      </c>
      <c r="D136" s="2" t="s">
        <v>520</v>
      </c>
      <c r="E136" s="27">
        <f t="shared" si="21"/>
        <v>0</v>
      </c>
      <c r="F136" s="27">
        <f t="shared" si="28"/>
        <v>258580</v>
      </c>
      <c r="G136" s="1"/>
      <c r="H136" s="27">
        <v>0</v>
      </c>
      <c r="I136" s="1"/>
      <c r="J136" s="27">
        <v>0</v>
      </c>
      <c r="K136" s="1"/>
      <c r="L136" s="27">
        <f>TRUNC(((H129+H130+H131+H132+H133+H134+H135)*0.0054+1000-472),0)</f>
        <v>258580</v>
      </c>
      <c r="M136" s="20" t="s">
        <v>2450</v>
      </c>
      <c r="N136" t="s">
        <v>2450</v>
      </c>
      <c r="P136" t="s">
        <v>909</v>
      </c>
      <c r="Q136" t="s">
        <v>2450</v>
      </c>
      <c r="R136" t="s">
        <v>2051</v>
      </c>
      <c r="X136" t="s">
        <v>2432</v>
      </c>
    </row>
    <row r="137" spans="1:30" ht="18.399999999999999" customHeight="1" x14ac:dyDescent="0.15">
      <c r="A137" s="11" t="s">
        <v>1011</v>
      </c>
      <c r="B137" s="2" t="s">
        <v>2450</v>
      </c>
      <c r="C137" s="2"/>
      <c r="D137" s="2" t="s">
        <v>2450</v>
      </c>
      <c r="E137" s="27">
        <f t="shared" si="21"/>
        <v>0</v>
      </c>
      <c r="F137" s="27">
        <f t="shared" si="28"/>
        <v>0</v>
      </c>
      <c r="G137" s="1"/>
      <c r="H137" s="27">
        <v>0</v>
      </c>
      <c r="I137" s="1"/>
      <c r="J137" s="27">
        <v>0</v>
      </c>
      <c r="K137" s="1"/>
      <c r="L137" s="27">
        <v>0</v>
      </c>
      <c r="M137" s="20" t="s">
        <v>2450</v>
      </c>
      <c r="N137" t="s">
        <v>2450</v>
      </c>
      <c r="P137" t="s">
        <v>759</v>
      </c>
      <c r="Q137" t="s">
        <v>2450</v>
      </c>
      <c r="R137" t="s">
        <v>2450</v>
      </c>
    </row>
    <row r="138" spans="1:30" ht="18.399999999999999" customHeight="1" x14ac:dyDescent="0.15">
      <c r="A138" s="11" t="s">
        <v>2303</v>
      </c>
      <c r="B138" s="2" t="s">
        <v>2450</v>
      </c>
      <c r="C138" s="2"/>
      <c r="D138" s="2" t="s">
        <v>2450</v>
      </c>
      <c r="E138" s="27">
        <f t="shared" si="21"/>
        <v>0</v>
      </c>
      <c r="F138" s="27">
        <f t="shared" si="28"/>
        <v>3360000</v>
      </c>
      <c r="G138" s="1"/>
      <c r="H138" s="27">
        <f>TRUNC(H139+H140+H141+H142+H143,0)</f>
        <v>3341100</v>
      </c>
      <c r="I138" s="1"/>
      <c r="J138" s="27">
        <f>TRUNC(J139+J140+J141+J142+J143,0)</f>
        <v>0</v>
      </c>
      <c r="K138" s="1"/>
      <c r="L138" s="27">
        <f>TRUNC(L139+L140+L141+L142+L143,0)</f>
        <v>18900</v>
      </c>
      <c r="M138" s="20" t="s">
        <v>2450</v>
      </c>
      <c r="N138" t="s">
        <v>2450</v>
      </c>
      <c r="P138" t="s">
        <v>116</v>
      </c>
      <c r="Q138" t="s">
        <v>2450</v>
      </c>
      <c r="R138" t="s">
        <v>2450</v>
      </c>
    </row>
    <row r="139" spans="1:30" ht="18.399999999999999" customHeight="1" x14ac:dyDescent="0.15">
      <c r="A139" s="11" t="s">
        <v>1056</v>
      </c>
      <c r="B139" s="2" t="s">
        <v>1911</v>
      </c>
      <c r="C139" s="2">
        <v>1</v>
      </c>
      <c r="D139" s="2" t="s">
        <v>693</v>
      </c>
      <c r="E139" s="27">
        <f t="shared" si="21"/>
        <v>1338400</v>
      </c>
      <c r="F139" s="27">
        <f t="shared" si="28"/>
        <v>1338400</v>
      </c>
      <c r="G139" s="50">
        <f>TRUNC(X139,2)</f>
        <v>1338400</v>
      </c>
      <c r="H139" s="27">
        <f>TRUNC(G139*C139,0)</f>
        <v>1338400</v>
      </c>
      <c r="I139" s="50">
        <f>TRUNC(W139,2)</f>
        <v>0</v>
      </c>
      <c r="J139" s="27">
        <f>TRUNC(I139*C139,0)</f>
        <v>0</v>
      </c>
      <c r="K139" s="50">
        <f>TRUNC(V139,2)</f>
        <v>0</v>
      </c>
      <c r="L139" s="27">
        <f>TRUNC(K139*C139,0)</f>
        <v>0</v>
      </c>
      <c r="M139" s="20" t="s">
        <v>2450</v>
      </c>
      <c r="N139" t="s">
        <v>2450</v>
      </c>
      <c r="P139" t="s">
        <v>1966</v>
      </c>
      <c r="Q139" t="s">
        <v>2450</v>
      </c>
      <c r="R139" t="s">
        <v>644</v>
      </c>
      <c r="V139">
        <v>0</v>
      </c>
      <c r="W139">
        <v>0</v>
      </c>
      <c r="X139">
        <v>1338400</v>
      </c>
    </row>
    <row r="140" spans="1:30" ht="18.399999999999999" customHeight="1" x14ac:dyDescent="0.15">
      <c r="A140" s="11" t="s">
        <v>1964</v>
      </c>
      <c r="B140" s="2" t="s">
        <v>325</v>
      </c>
      <c r="C140" s="2">
        <v>2</v>
      </c>
      <c r="D140" s="2" t="s">
        <v>693</v>
      </c>
      <c r="E140" s="27">
        <f t="shared" si="21"/>
        <v>671500</v>
      </c>
      <c r="F140" s="27">
        <f t="shared" si="28"/>
        <v>1343000</v>
      </c>
      <c r="G140" s="50">
        <f>TRUNC(X140,2)</f>
        <v>671500</v>
      </c>
      <c r="H140" s="27">
        <f>TRUNC(G140*C140,0)</f>
        <v>1343000</v>
      </c>
      <c r="I140" s="50">
        <f>TRUNC(W140,2)</f>
        <v>0</v>
      </c>
      <c r="J140" s="27">
        <f>TRUNC(I140*C140,0)</f>
        <v>0</v>
      </c>
      <c r="K140" s="50">
        <f>TRUNC(V140,2)</f>
        <v>0</v>
      </c>
      <c r="L140" s="27">
        <f>TRUNC(K140*C140,0)</f>
        <v>0</v>
      </c>
      <c r="M140" s="20" t="s">
        <v>2450</v>
      </c>
      <c r="N140" t="s">
        <v>2450</v>
      </c>
      <c r="P140" t="s">
        <v>1354</v>
      </c>
      <c r="Q140" t="s">
        <v>2450</v>
      </c>
      <c r="R140" t="s">
        <v>644</v>
      </c>
      <c r="V140">
        <v>0</v>
      </c>
      <c r="W140">
        <v>0</v>
      </c>
      <c r="X140">
        <v>671500</v>
      </c>
    </row>
    <row r="141" spans="1:30" ht="18.399999999999999" customHeight="1" x14ac:dyDescent="0.15">
      <c r="A141" s="11" t="s">
        <v>319</v>
      </c>
      <c r="B141" s="2" t="s">
        <v>1129</v>
      </c>
      <c r="C141" s="2">
        <v>1</v>
      </c>
      <c r="D141" s="2" t="s">
        <v>693</v>
      </c>
      <c r="E141" s="27">
        <f t="shared" si="21"/>
        <v>595500</v>
      </c>
      <c r="F141" s="27">
        <f t="shared" si="28"/>
        <v>595500</v>
      </c>
      <c r="G141" s="50">
        <f>TRUNC(X141,2)</f>
        <v>595500</v>
      </c>
      <c r="H141" s="27">
        <f>TRUNC(G141*C141,0)</f>
        <v>595500</v>
      </c>
      <c r="I141" s="50">
        <f>TRUNC(W141,2)</f>
        <v>0</v>
      </c>
      <c r="J141" s="27">
        <f>TRUNC(I141*C141,0)</f>
        <v>0</v>
      </c>
      <c r="K141" s="50">
        <f>TRUNC(V141,2)</f>
        <v>0</v>
      </c>
      <c r="L141" s="27">
        <f>TRUNC(K141*C141,0)</f>
        <v>0</v>
      </c>
      <c r="M141" s="20" t="s">
        <v>2450</v>
      </c>
      <c r="N141" t="s">
        <v>2450</v>
      </c>
      <c r="P141" t="s">
        <v>720</v>
      </c>
      <c r="Q141" t="s">
        <v>2450</v>
      </c>
      <c r="R141" t="s">
        <v>644</v>
      </c>
      <c r="V141">
        <v>0</v>
      </c>
      <c r="W141">
        <v>0</v>
      </c>
      <c r="X141">
        <v>595500</v>
      </c>
    </row>
    <row r="142" spans="1:30" ht="18.399999999999999" customHeight="1" x14ac:dyDescent="0.15">
      <c r="A142" s="11" t="s">
        <v>1561</v>
      </c>
      <c r="B142" s="2" t="s">
        <v>1306</v>
      </c>
      <c r="C142" s="2">
        <v>3</v>
      </c>
      <c r="D142" s="2" t="s">
        <v>693</v>
      </c>
      <c r="E142" s="27">
        <f t="shared" si="21"/>
        <v>21400</v>
      </c>
      <c r="F142" s="27">
        <f t="shared" si="28"/>
        <v>64200</v>
      </c>
      <c r="G142" s="50">
        <f>TRUNC(X142,2)</f>
        <v>21400</v>
      </c>
      <c r="H142" s="27">
        <f>TRUNC(G142*C142,0)</f>
        <v>64200</v>
      </c>
      <c r="I142" s="50">
        <f>TRUNC(W142,2)</f>
        <v>0</v>
      </c>
      <c r="J142" s="27">
        <f>TRUNC(I142*C142,0)</f>
        <v>0</v>
      </c>
      <c r="K142" s="50">
        <f>TRUNC(V142,2)</f>
        <v>0</v>
      </c>
      <c r="L142" s="27">
        <f>TRUNC(K142*C142,0)</f>
        <v>0</v>
      </c>
      <c r="M142" s="20" t="s">
        <v>2450</v>
      </c>
      <c r="N142" t="s">
        <v>2450</v>
      </c>
      <c r="P142" t="s">
        <v>84</v>
      </c>
      <c r="Q142" t="s">
        <v>2450</v>
      </c>
      <c r="R142" t="s">
        <v>644</v>
      </c>
      <c r="V142">
        <v>0</v>
      </c>
      <c r="W142">
        <v>0</v>
      </c>
      <c r="X142">
        <v>21400</v>
      </c>
      <c r="AA142" s="37" t="s">
        <v>815</v>
      </c>
      <c r="AB142" s="8">
        <f>(((내역서!H139+내역서!J139+내역서!L139)+(내역서!H140+내역서!J140+내역서!L140)+(내역서!H141+내역서!J141+내역서!L141)+(내역서!H142+내역서!J142+내역서!L142)))*0.0054+1000-141</f>
        <v>18900.940000000002</v>
      </c>
      <c r="AC142" s="37" t="s">
        <v>1302</v>
      </c>
      <c r="AD142" s="7">
        <f>$AB142</f>
        <v>18900.940000000002</v>
      </c>
    </row>
    <row r="143" spans="1:30" ht="18.399999999999999" customHeight="1" x14ac:dyDescent="0.15">
      <c r="A143" s="11" t="s">
        <v>570</v>
      </c>
      <c r="B143" s="2" t="s">
        <v>1642</v>
      </c>
      <c r="C143" s="2"/>
      <c r="D143" s="2" t="s">
        <v>2450</v>
      </c>
      <c r="E143" s="27">
        <f t="shared" si="21"/>
        <v>0</v>
      </c>
      <c r="F143" s="27">
        <f t="shared" si="28"/>
        <v>18900</v>
      </c>
      <c r="G143" s="1"/>
      <c r="H143" s="27">
        <v>0</v>
      </c>
      <c r="I143" s="1"/>
      <c r="J143" s="27">
        <v>0</v>
      </c>
      <c r="K143" s="1"/>
      <c r="L143" s="27">
        <f>TRUNC(((((H139+J139+L139)+(H140+J140+L140)+(H141+J141+L141)+(H142+J142+L142)))*0.0054+1000-141),0)</f>
        <v>18900</v>
      </c>
      <c r="M143" s="20" t="s">
        <v>2450</v>
      </c>
      <c r="N143" t="s">
        <v>2450</v>
      </c>
      <c r="P143" t="s">
        <v>1917</v>
      </c>
      <c r="Q143" t="s">
        <v>2450</v>
      </c>
      <c r="R143" t="s">
        <v>2051</v>
      </c>
      <c r="X143" t="s">
        <v>1440</v>
      </c>
    </row>
    <row r="144" spans="1:30" ht="18.399999999999999" customHeight="1" x14ac:dyDescent="0.15">
      <c r="A144" s="11" t="s">
        <v>1011</v>
      </c>
      <c r="B144" s="2" t="s">
        <v>2450</v>
      </c>
      <c r="C144" s="2"/>
      <c r="D144" s="2" t="s">
        <v>2450</v>
      </c>
      <c r="E144" s="27">
        <f t="shared" si="21"/>
        <v>0</v>
      </c>
      <c r="F144" s="27">
        <f t="shared" si="28"/>
        <v>0</v>
      </c>
      <c r="G144" s="1"/>
      <c r="H144" s="27">
        <v>0</v>
      </c>
      <c r="I144" s="1"/>
      <c r="J144" s="27">
        <v>0</v>
      </c>
      <c r="K144" s="1"/>
      <c r="L144" s="27">
        <v>0</v>
      </c>
      <c r="M144" s="20" t="s">
        <v>2450</v>
      </c>
      <c r="N144" t="s">
        <v>2450</v>
      </c>
      <c r="P144" t="s">
        <v>1315</v>
      </c>
      <c r="Q144" t="s">
        <v>593</v>
      </c>
      <c r="R144" t="s">
        <v>2450</v>
      </c>
    </row>
    <row r="145" spans="1:13" ht="18.399999999999999" customHeight="1" x14ac:dyDescent="0.15">
      <c r="A145" s="51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3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5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workbookViewId="0">
      <selection activeCell="B2" sqref="B2"/>
    </sheetView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8" width="13" customWidth="1"/>
    <col min="9" max="9" width="10" customWidth="1"/>
    <col min="10" max="23" width="0" hidden="1" customWidth="1"/>
  </cols>
  <sheetData>
    <row r="1" spans="1:27" ht="18.399999999999999" customHeight="1" x14ac:dyDescent="0.15">
      <c r="A1" t="s">
        <v>1613</v>
      </c>
    </row>
    <row r="2" spans="1:27" ht="18.399999999999999" customHeight="1" x14ac:dyDescent="0.15">
      <c r="A2" s="16" t="s">
        <v>397</v>
      </c>
      <c r="B2" s="17" t="s">
        <v>940</v>
      </c>
      <c r="C2" s="17" t="s">
        <v>66</v>
      </c>
      <c r="D2" s="17" t="s">
        <v>2285</v>
      </c>
      <c r="E2" s="17" t="s">
        <v>2371</v>
      </c>
      <c r="F2" s="17" t="s">
        <v>1648</v>
      </c>
      <c r="G2" s="17" t="s">
        <v>1007</v>
      </c>
      <c r="H2" s="17" t="s">
        <v>156</v>
      </c>
      <c r="I2" s="19" t="s">
        <v>651</v>
      </c>
      <c r="T2" s="1" t="s">
        <v>1503</v>
      </c>
      <c r="U2" s="1" t="s">
        <v>2068</v>
      </c>
      <c r="V2" s="1" t="s">
        <v>2022</v>
      </c>
      <c r="W2" s="1" t="s">
        <v>810</v>
      </c>
      <c r="Y2" s="1" t="s">
        <v>558</v>
      </c>
    </row>
    <row r="3" spans="1:27" ht="18.399999999999999" customHeight="1" x14ac:dyDescent="0.15">
      <c r="A3" s="11" t="s">
        <v>119</v>
      </c>
      <c r="B3" s="2" t="s">
        <v>1525</v>
      </c>
      <c r="C3" s="2">
        <v>1</v>
      </c>
      <c r="D3" s="2" t="s">
        <v>1762</v>
      </c>
      <c r="E3" s="27">
        <f t="shared" ref="E3:E46" si="0">F3+G3+H3</f>
        <v>30884</v>
      </c>
      <c r="F3" s="27">
        <f>일위대가_산근!C4</f>
        <v>4651</v>
      </c>
      <c r="G3" s="27">
        <f>일위대가_산근!D4</f>
        <v>17505</v>
      </c>
      <c r="H3" s="27">
        <f>일위대가_산근!E4</f>
        <v>8728</v>
      </c>
      <c r="I3" s="20" t="s">
        <v>2450</v>
      </c>
      <c r="J3" t="s">
        <v>2450</v>
      </c>
      <c r="K3" t="s">
        <v>188</v>
      </c>
      <c r="L3" t="s">
        <v>2053</v>
      </c>
      <c r="T3" s="27">
        <v>4651</v>
      </c>
      <c r="U3" s="27">
        <v>17505</v>
      </c>
      <c r="V3" s="27">
        <v>8728</v>
      </c>
      <c r="W3" s="27">
        <v>30884</v>
      </c>
      <c r="Y3" s="7" t="b">
        <f t="shared" ref="Y3:Y46" si="1">EXACT($E3,$W3)</f>
        <v>1</v>
      </c>
      <c r="AA3" s="31" t="str">
        <f>HYPERLINK("#일위대가_산근!A4","SA00450 →")</f>
        <v>SA00450 →</v>
      </c>
    </row>
    <row r="4" spans="1:27" ht="18.399999999999999" customHeight="1" x14ac:dyDescent="0.15">
      <c r="A4" s="11" t="s">
        <v>395</v>
      </c>
      <c r="B4" s="2" t="s">
        <v>1855</v>
      </c>
      <c r="C4" s="2">
        <v>1</v>
      </c>
      <c r="D4" s="2" t="s">
        <v>1762</v>
      </c>
      <c r="E4" s="27">
        <f t="shared" si="0"/>
        <v>8877</v>
      </c>
      <c r="F4" s="27">
        <f>일위대가_산근!C41</f>
        <v>1337</v>
      </c>
      <c r="G4" s="27">
        <f>일위대가_산근!D41</f>
        <v>5032</v>
      </c>
      <c r="H4" s="27">
        <f>일위대가_산근!E41</f>
        <v>2508</v>
      </c>
      <c r="I4" s="20" t="s">
        <v>2450</v>
      </c>
      <c r="J4" t="s">
        <v>2450</v>
      </c>
      <c r="K4" t="s">
        <v>1232</v>
      </c>
      <c r="L4" t="s">
        <v>2053</v>
      </c>
      <c r="T4" s="27">
        <v>1337</v>
      </c>
      <c r="U4" s="27">
        <v>5032</v>
      </c>
      <c r="V4" s="27">
        <v>2508</v>
      </c>
      <c r="W4" s="27">
        <v>8877</v>
      </c>
      <c r="Y4" s="7" t="b">
        <f t="shared" si="1"/>
        <v>1</v>
      </c>
      <c r="AA4" s="31" t="str">
        <f>HYPERLINK("#일위대가_산근!A41","SA01200 →")</f>
        <v>SA01200 →</v>
      </c>
    </row>
    <row r="5" spans="1:27" ht="18.399999999999999" customHeight="1" x14ac:dyDescent="0.15">
      <c r="A5" s="11" t="s">
        <v>2041</v>
      </c>
      <c r="B5" s="2" t="s">
        <v>2450</v>
      </c>
      <c r="C5" s="2">
        <v>1</v>
      </c>
      <c r="D5" s="2" t="s">
        <v>1444</v>
      </c>
      <c r="E5" s="27">
        <f t="shared" si="0"/>
        <v>2276</v>
      </c>
      <c r="F5" s="27">
        <f>일위대가_산근!C74</f>
        <v>674</v>
      </c>
      <c r="G5" s="27">
        <f>일위대가_산근!D74</f>
        <v>1535</v>
      </c>
      <c r="H5" s="27">
        <f>일위대가_산근!E74</f>
        <v>67</v>
      </c>
      <c r="I5" s="20" t="s">
        <v>2450</v>
      </c>
      <c r="J5" t="s">
        <v>2450</v>
      </c>
      <c r="K5" t="s">
        <v>33</v>
      </c>
      <c r="L5" t="s">
        <v>2053</v>
      </c>
      <c r="T5" s="27">
        <v>674</v>
      </c>
      <c r="U5" s="27">
        <v>1535</v>
      </c>
      <c r="V5" s="27">
        <v>67</v>
      </c>
      <c r="W5" s="27">
        <v>2276</v>
      </c>
      <c r="Y5" s="7" t="b">
        <f t="shared" si="1"/>
        <v>1</v>
      </c>
      <c r="AA5" s="31" t="str">
        <f>HYPERLINK("#일위대가_산근!A74","SA01500 →")</f>
        <v>SA01500 →</v>
      </c>
    </row>
    <row r="6" spans="1:27" ht="18.399999999999999" customHeight="1" x14ac:dyDescent="0.15">
      <c r="A6" s="11" t="s">
        <v>717</v>
      </c>
      <c r="B6" s="2" t="s">
        <v>1855</v>
      </c>
      <c r="C6" s="2">
        <v>1</v>
      </c>
      <c r="D6" s="2" t="s">
        <v>1762</v>
      </c>
      <c r="E6" s="27">
        <f t="shared" si="0"/>
        <v>4567</v>
      </c>
      <c r="F6" s="27">
        <f>일위대가_산근!C139</f>
        <v>969</v>
      </c>
      <c r="G6" s="27">
        <f>일위대가_산근!D139</f>
        <v>2541</v>
      </c>
      <c r="H6" s="27">
        <f>일위대가_산근!E139</f>
        <v>1057</v>
      </c>
      <c r="I6" s="20" t="s">
        <v>2450</v>
      </c>
      <c r="J6" t="s">
        <v>2450</v>
      </c>
      <c r="K6" t="s">
        <v>523</v>
      </c>
      <c r="L6" t="s">
        <v>2053</v>
      </c>
      <c r="T6" s="27">
        <v>969</v>
      </c>
      <c r="U6" s="27">
        <v>2541</v>
      </c>
      <c r="V6" s="27">
        <v>1057</v>
      </c>
      <c r="W6" s="27">
        <v>4567</v>
      </c>
      <c r="Y6" s="7" t="b">
        <f t="shared" si="1"/>
        <v>1</v>
      </c>
      <c r="AA6" s="31" t="str">
        <f>HYPERLINK("#일위대가_산근!A139","SA02100 →")</f>
        <v>SA02100 →</v>
      </c>
    </row>
    <row r="7" spans="1:27" ht="18.399999999999999" customHeight="1" x14ac:dyDescent="0.15">
      <c r="A7" s="11" t="s">
        <v>107</v>
      </c>
      <c r="B7" s="2" t="s">
        <v>2199</v>
      </c>
      <c r="C7" s="2">
        <v>1</v>
      </c>
      <c r="D7" s="2" t="s">
        <v>1762</v>
      </c>
      <c r="E7" s="27">
        <f t="shared" si="0"/>
        <v>3263</v>
      </c>
      <c r="F7" s="27">
        <f>일위대가_산근!C162</f>
        <v>976</v>
      </c>
      <c r="G7" s="27">
        <f>일위대가_산근!D162</f>
        <v>1523</v>
      </c>
      <c r="H7" s="27">
        <f>일위대가_산근!E162</f>
        <v>764</v>
      </c>
      <c r="I7" s="20" t="s">
        <v>2450</v>
      </c>
      <c r="J7" t="s">
        <v>2450</v>
      </c>
      <c r="K7" t="s">
        <v>939</v>
      </c>
      <c r="L7" t="s">
        <v>2053</v>
      </c>
      <c r="T7" s="27">
        <v>976</v>
      </c>
      <c r="U7" s="27">
        <v>1523</v>
      </c>
      <c r="V7" s="27">
        <v>764</v>
      </c>
      <c r="W7" s="27">
        <v>3263</v>
      </c>
      <c r="Y7" s="7" t="b">
        <f t="shared" si="1"/>
        <v>1</v>
      </c>
      <c r="AA7" s="31" t="str">
        <f>HYPERLINK("#일위대가_산근!A162","SA02420 →")</f>
        <v>SA02420 →</v>
      </c>
    </row>
    <row r="8" spans="1:27" ht="18.399999999999999" customHeight="1" x14ac:dyDescent="0.15">
      <c r="A8" s="11" t="s">
        <v>2394</v>
      </c>
      <c r="B8" s="2" t="s">
        <v>2108</v>
      </c>
      <c r="C8" s="2">
        <v>1</v>
      </c>
      <c r="D8" s="2" t="s">
        <v>1762</v>
      </c>
      <c r="E8" s="27">
        <f t="shared" si="0"/>
        <v>12584</v>
      </c>
      <c r="F8" s="27">
        <f>일위대가_산근!C183</f>
        <v>2681</v>
      </c>
      <c r="G8" s="27">
        <f>일위대가_산근!D183</f>
        <v>7716</v>
      </c>
      <c r="H8" s="27">
        <f>일위대가_산근!E183</f>
        <v>2187</v>
      </c>
      <c r="I8" s="20" t="s">
        <v>2450</v>
      </c>
      <c r="J8" t="s">
        <v>2450</v>
      </c>
      <c r="K8" t="s">
        <v>2322</v>
      </c>
      <c r="L8" t="s">
        <v>2053</v>
      </c>
      <c r="T8" s="27">
        <v>2681</v>
      </c>
      <c r="U8" s="27">
        <v>7716</v>
      </c>
      <c r="V8" s="27">
        <v>2187</v>
      </c>
      <c r="W8" s="27">
        <v>12584</v>
      </c>
      <c r="Y8" s="7" t="b">
        <f t="shared" si="1"/>
        <v>1</v>
      </c>
      <c r="AA8" s="31" t="str">
        <f>HYPERLINK("#일위대가_산근!A183","SE00200 →")</f>
        <v>SE00200 →</v>
      </c>
    </row>
    <row r="9" spans="1:27" ht="18.399999999999999" customHeight="1" x14ac:dyDescent="0.15">
      <c r="A9" s="11" t="s">
        <v>448</v>
      </c>
      <c r="B9" s="2" t="s">
        <v>2164</v>
      </c>
      <c r="C9" s="2">
        <v>1</v>
      </c>
      <c r="D9" s="2" t="s">
        <v>1762</v>
      </c>
      <c r="E9" s="27">
        <f t="shared" si="0"/>
        <v>2408</v>
      </c>
      <c r="F9" s="27">
        <f>일위대가_산근!C238</f>
        <v>720</v>
      </c>
      <c r="G9" s="27">
        <f>일위대가_산근!D238</f>
        <v>1124</v>
      </c>
      <c r="H9" s="27">
        <f>일위대가_산근!E238</f>
        <v>564</v>
      </c>
      <c r="I9" s="20" t="s">
        <v>2450</v>
      </c>
      <c r="J9" t="s">
        <v>2450</v>
      </c>
      <c r="K9" t="s">
        <v>1722</v>
      </c>
      <c r="L9" t="s">
        <v>2053</v>
      </c>
      <c r="T9" s="27">
        <v>720</v>
      </c>
      <c r="U9" s="27">
        <v>1124</v>
      </c>
      <c r="V9" s="27">
        <v>564</v>
      </c>
      <c r="W9" s="27">
        <v>2408</v>
      </c>
      <c r="Y9" s="7" t="b">
        <f t="shared" si="1"/>
        <v>1</v>
      </c>
      <c r="AA9" s="31" t="str">
        <f>HYPERLINK("#일위대가_산근!A238","SC00100 →")</f>
        <v>SC00100 →</v>
      </c>
    </row>
    <row r="10" spans="1:27" ht="18.399999999999999" customHeight="1" x14ac:dyDescent="0.15">
      <c r="A10" s="11" t="s">
        <v>50</v>
      </c>
      <c r="B10" s="2" t="s">
        <v>22</v>
      </c>
      <c r="C10" s="2">
        <v>1</v>
      </c>
      <c r="D10" s="2" t="s">
        <v>1762</v>
      </c>
      <c r="E10" s="27">
        <f t="shared" si="0"/>
        <v>8626</v>
      </c>
      <c r="F10" s="27">
        <f>일위대가_산근!C259</f>
        <v>1740</v>
      </c>
      <c r="G10" s="27">
        <f>일위대가_산근!D259</f>
        <v>5314</v>
      </c>
      <c r="H10" s="27">
        <f>일위대가_산근!E259</f>
        <v>1572</v>
      </c>
      <c r="I10" s="20" t="s">
        <v>2450</v>
      </c>
      <c r="J10" t="s">
        <v>2450</v>
      </c>
      <c r="K10" t="s">
        <v>2170</v>
      </c>
      <c r="L10" t="s">
        <v>2053</v>
      </c>
      <c r="T10" s="27">
        <v>1740</v>
      </c>
      <c r="U10" s="27">
        <v>5314</v>
      </c>
      <c r="V10" s="27">
        <v>1572</v>
      </c>
      <c r="W10" s="27">
        <v>8626</v>
      </c>
      <c r="Y10" s="7" t="b">
        <f t="shared" si="1"/>
        <v>1</v>
      </c>
      <c r="AA10" s="31" t="str">
        <f>HYPERLINK("#일위대가_산근!A259","SA05460 →")</f>
        <v>SA05460 →</v>
      </c>
    </row>
    <row r="11" spans="1:27" ht="18.399999999999999" customHeight="1" x14ac:dyDescent="0.15">
      <c r="A11" s="11" t="s">
        <v>1191</v>
      </c>
      <c r="B11" s="2" t="s">
        <v>1855</v>
      </c>
      <c r="C11" s="2">
        <v>1</v>
      </c>
      <c r="D11" s="2" t="s">
        <v>1762</v>
      </c>
      <c r="E11" s="27">
        <f t="shared" si="0"/>
        <v>1771</v>
      </c>
      <c r="F11" s="27">
        <f>일위대가_산근!C320</f>
        <v>175</v>
      </c>
      <c r="G11" s="27">
        <f>일위대가_산근!D320</f>
        <v>1405</v>
      </c>
      <c r="H11" s="27">
        <f>일위대가_산근!E320</f>
        <v>191</v>
      </c>
      <c r="I11" s="20" t="s">
        <v>2450</v>
      </c>
      <c r="J11" t="s">
        <v>2450</v>
      </c>
      <c r="K11" t="s">
        <v>552</v>
      </c>
      <c r="L11" t="s">
        <v>2053</v>
      </c>
      <c r="T11" s="27">
        <v>175</v>
      </c>
      <c r="U11" s="27">
        <v>1405</v>
      </c>
      <c r="V11" s="27">
        <v>191</v>
      </c>
      <c r="W11" s="27">
        <v>1771</v>
      </c>
      <c r="Y11" s="7" t="b">
        <f t="shared" si="1"/>
        <v>1</v>
      </c>
      <c r="AA11" s="31" t="str">
        <f>HYPERLINK("#일위대가_산근!A320","SB01110 →")</f>
        <v>SB01110 →</v>
      </c>
    </row>
    <row r="12" spans="1:27" ht="18.399999999999999" customHeight="1" x14ac:dyDescent="0.15">
      <c r="A12" s="11" t="s">
        <v>2313</v>
      </c>
      <c r="B12" s="2" t="s">
        <v>1855</v>
      </c>
      <c r="C12" s="2">
        <v>1</v>
      </c>
      <c r="D12" s="2" t="s">
        <v>1762</v>
      </c>
      <c r="E12" s="27">
        <f t="shared" si="0"/>
        <v>3788</v>
      </c>
      <c r="F12" s="27">
        <f>일위대가_산근!C351</f>
        <v>633</v>
      </c>
      <c r="G12" s="27">
        <f>일위대가_산근!D351</f>
        <v>2092</v>
      </c>
      <c r="H12" s="27">
        <f>일위대가_산근!E351</f>
        <v>1063</v>
      </c>
      <c r="I12" s="20" t="s">
        <v>2450</v>
      </c>
      <c r="J12" t="s">
        <v>2450</v>
      </c>
      <c r="K12" t="s">
        <v>312</v>
      </c>
      <c r="L12" t="s">
        <v>2053</v>
      </c>
      <c r="T12" s="27">
        <v>633</v>
      </c>
      <c r="U12" s="27">
        <v>2092</v>
      </c>
      <c r="V12" s="27">
        <v>1063</v>
      </c>
      <c r="W12" s="27">
        <v>3788</v>
      </c>
      <c r="Y12" s="7" t="b">
        <f t="shared" si="1"/>
        <v>1</v>
      </c>
      <c r="AA12" s="31" t="str">
        <f>HYPERLINK("#일위대가_산근!A351","SA04850 →")</f>
        <v>SA04850 →</v>
      </c>
    </row>
    <row r="13" spans="1:27" ht="18.399999999999999" customHeight="1" x14ac:dyDescent="0.15">
      <c r="A13" s="11" t="s">
        <v>39</v>
      </c>
      <c r="B13" s="2" t="s">
        <v>1638</v>
      </c>
      <c r="C13" s="2">
        <v>1</v>
      </c>
      <c r="D13" s="2" t="s">
        <v>1444</v>
      </c>
      <c r="E13" s="27">
        <f t="shared" si="0"/>
        <v>24000</v>
      </c>
      <c r="F13" s="27">
        <f>일위대가_산근!C414</f>
        <v>1834</v>
      </c>
      <c r="G13" s="27">
        <f>일위대가_산근!D414</f>
        <v>19555</v>
      </c>
      <c r="H13" s="27">
        <f>일위대가_산근!E414</f>
        <v>2611</v>
      </c>
      <c r="I13" s="20" t="s">
        <v>2450</v>
      </c>
      <c r="J13" t="s">
        <v>2450</v>
      </c>
      <c r="K13" t="s">
        <v>115</v>
      </c>
      <c r="L13" t="s">
        <v>2053</v>
      </c>
      <c r="T13" s="27">
        <v>1834</v>
      </c>
      <c r="U13" s="27">
        <v>19555</v>
      </c>
      <c r="V13" s="27">
        <v>2611</v>
      </c>
      <c r="W13" s="27">
        <v>24000</v>
      </c>
      <c r="Y13" s="7" t="b">
        <f t="shared" si="1"/>
        <v>1</v>
      </c>
      <c r="AA13" s="31" t="str">
        <f>HYPERLINK("#일위대가_산근!A414","SB01035 →")</f>
        <v>SB01035 →</v>
      </c>
    </row>
    <row r="14" spans="1:27" ht="18.399999999999999" customHeight="1" x14ac:dyDescent="0.15">
      <c r="A14" s="11" t="s">
        <v>2418</v>
      </c>
      <c r="B14" s="2" t="s">
        <v>1872</v>
      </c>
      <c r="C14" s="2">
        <v>1</v>
      </c>
      <c r="D14" s="2" t="s">
        <v>1537</v>
      </c>
      <c r="E14" s="27">
        <f t="shared" si="0"/>
        <v>88596</v>
      </c>
      <c r="F14" s="27">
        <f>일위대가_산근!C449</f>
        <v>6092</v>
      </c>
      <c r="G14" s="27">
        <f>일위대가_산근!D449</f>
        <v>73655</v>
      </c>
      <c r="H14" s="27">
        <f>일위대가_산근!E449</f>
        <v>8849</v>
      </c>
      <c r="I14" s="20" t="s">
        <v>2450</v>
      </c>
      <c r="J14" t="s">
        <v>2450</v>
      </c>
      <c r="K14" t="s">
        <v>1645</v>
      </c>
      <c r="L14" t="s">
        <v>2053</v>
      </c>
      <c r="T14" s="27">
        <v>6092</v>
      </c>
      <c r="U14" s="27">
        <v>73655</v>
      </c>
      <c r="V14" s="27">
        <v>8849</v>
      </c>
      <c r="W14" s="27">
        <v>88596</v>
      </c>
      <c r="Y14" s="7" t="b">
        <f t="shared" si="1"/>
        <v>1</v>
      </c>
      <c r="AA14" s="31" t="str">
        <f>HYPERLINK("#일위대가_산근!A449","SB01032 →")</f>
        <v>SB01032 →</v>
      </c>
    </row>
    <row r="15" spans="1:27" ht="18.399999999999999" customHeight="1" x14ac:dyDescent="0.15">
      <c r="A15" s="11" t="s">
        <v>493</v>
      </c>
      <c r="B15" s="2" t="s">
        <v>1730</v>
      </c>
      <c r="C15" s="2">
        <v>1</v>
      </c>
      <c r="D15" s="2" t="s">
        <v>1762</v>
      </c>
      <c r="E15" s="27">
        <f t="shared" si="0"/>
        <v>29530</v>
      </c>
      <c r="F15" s="27">
        <f>일위대가_산근!C484</f>
        <v>3170</v>
      </c>
      <c r="G15" s="27">
        <f>일위대가_산근!D484</f>
        <v>23245</v>
      </c>
      <c r="H15" s="27">
        <f>일위대가_산근!E484</f>
        <v>3115</v>
      </c>
      <c r="I15" s="20" t="s">
        <v>2450</v>
      </c>
      <c r="J15" t="s">
        <v>2450</v>
      </c>
      <c r="K15" t="s">
        <v>1149</v>
      </c>
      <c r="L15" t="s">
        <v>2053</v>
      </c>
      <c r="T15" s="27">
        <v>3170</v>
      </c>
      <c r="U15" s="27">
        <v>23245</v>
      </c>
      <c r="V15" s="27">
        <v>3115</v>
      </c>
      <c r="W15" s="27">
        <v>29530</v>
      </c>
      <c r="Y15" s="7" t="b">
        <f t="shared" si="1"/>
        <v>1</v>
      </c>
      <c r="AA15" s="31" t="str">
        <f>HYPERLINK("#일위대가_산근!A484","SB01100 →")</f>
        <v>SB01100 →</v>
      </c>
    </row>
    <row r="16" spans="1:27" ht="18.399999999999999" customHeight="1" x14ac:dyDescent="0.15">
      <c r="A16" s="11" t="s">
        <v>645</v>
      </c>
      <c r="B16" s="2" t="s">
        <v>295</v>
      </c>
      <c r="C16" s="2">
        <v>1</v>
      </c>
      <c r="D16" s="2" t="s">
        <v>1796</v>
      </c>
      <c r="E16" s="27">
        <f t="shared" si="0"/>
        <v>36328</v>
      </c>
      <c r="F16" s="27">
        <f>일위대가_산근!C525</f>
        <v>4448</v>
      </c>
      <c r="G16" s="27">
        <f>일위대가_산근!D525</f>
        <v>31880</v>
      </c>
      <c r="H16" s="27">
        <f>일위대가_산근!E525</f>
        <v>0</v>
      </c>
      <c r="I16" s="20" t="s">
        <v>2450</v>
      </c>
      <c r="J16" t="s">
        <v>2450</v>
      </c>
      <c r="K16" t="s">
        <v>8</v>
      </c>
      <c r="L16" t="s">
        <v>2053</v>
      </c>
      <c r="T16" s="27">
        <v>4448</v>
      </c>
      <c r="U16" s="27">
        <v>31880</v>
      </c>
      <c r="V16" s="27">
        <v>0</v>
      </c>
      <c r="W16" s="27">
        <v>36328</v>
      </c>
      <c r="Y16" s="7" t="b">
        <f t="shared" si="1"/>
        <v>1</v>
      </c>
      <c r="AA16" s="31" t="str">
        <f>HYPERLINK("#일위대가_산근!A525","SB03950 →")</f>
        <v>SB03950 →</v>
      </c>
    </row>
    <row r="17" spans="1:27" ht="18.399999999999999" customHeight="1" x14ac:dyDescent="0.15">
      <c r="A17" s="11" t="s">
        <v>1243</v>
      </c>
      <c r="B17" s="2" t="s">
        <v>938</v>
      </c>
      <c r="C17" s="2">
        <v>1</v>
      </c>
      <c r="D17" s="2" t="s">
        <v>1537</v>
      </c>
      <c r="E17" s="27">
        <f t="shared" si="0"/>
        <v>38069</v>
      </c>
      <c r="F17" s="27">
        <f>일위대가_산근!C562</f>
        <v>12594</v>
      </c>
      <c r="G17" s="27">
        <f>일위대가_산근!D562</f>
        <v>24713</v>
      </c>
      <c r="H17" s="27">
        <f>일위대가_산근!E562</f>
        <v>762</v>
      </c>
      <c r="I17" s="20" t="s">
        <v>2450</v>
      </c>
      <c r="J17" t="s">
        <v>2450</v>
      </c>
      <c r="K17" t="s">
        <v>2353</v>
      </c>
      <c r="L17" t="s">
        <v>2053</v>
      </c>
      <c r="T17" s="27">
        <v>12594</v>
      </c>
      <c r="U17" s="27">
        <v>24713</v>
      </c>
      <c r="V17" s="27">
        <v>762</v>
      </c>
      <c r="W17" s="27">
        <v>38069</v>
      </c>
      <c r="Y17" s="7" t="b">
        <f t="shared" si="1"/>
        <v>1</v>
      </c>
      <c r="AA17" s="31" t="str">
        <f>HYPERLINK("#일위대가_산근!A562","SE55250 →")</f>
        <v>SE55250 →</v>
      </c>
    </row>
    <row r="18" spans="1:27" ht="18.399999999999999" customHeight="1" x14ac:dyDescent="0.15">
      <c r="A18" s="11" t="s">
        <v>1837</v>
      </c>
      <c r="B18" s="2" t="s">
        <v>1343</v>
      </c>
      <c r="C18" s="2">
        <v>1</v>
      </c>
      <c r="D18" s="2" t="s">
        <v>1444</v>
      </c>
      <c r="E18" s="27">
        <f t="shared" si="0"/>
        <v>517093</v>
      </c>
      <c r="F18" s="27">
        <f>일위대가_산근!C597</f>
        <v>146660</v>
      </c>
      <c r="G18" s="27">
        <f>일위대가_산근!D597</f>
        <v>332396</v>
      </c>
      <c r="H18" s="27">
        <f>일위대가_산근!E597</f>
        <v>38037</v>
      </c>
      <c r="I18" s="20" t="s">
        <v>2450</v>
      </c>
      <c r="J18" t="s">
        <v>2450</v>
      </c>
      <c r="K18" t="s">
        <v>2405</v>
      </c>
      <c r="L18" t="s">
        <v>2053</v>
      </c>
      <c r="T18" s="27">
        <v>146660</v>
      </c>
      <c r="U18" s="27">
        <v>332396</v>
      </c>
      <c r="V18" s="27">
        <v>38037</v>
      </c>
      <c r="W18" s="27">
        <v>517093</v>
      </c>
      <c r="Y18" s="7" t="b">
        <f t="shared" si="1"/>
        <v>1</v>
      </c>
      <c r="AA18" s="31" t="str">
        <f>HYPERLINK("#일위대가_산근!A597","SB50550 →")</f>
        <v>SB50550 →</v>
      </c>
    </row>
    <row r="19" spans="1:27" ht="18.399999999999999" customHeight="1" x14ac:dyDescent="0.15">
      <c r="A19" s="11" t="s">
        <v>1183</v>
      </c>
      <c r="B19" s="2" t="s">
        <v>1348</v>
      </c>
      <c r="C19" s="2">
        <v>1</v>
      </c>
      <c r="D19" s="2" t="s">
        <v>1505</v>
      </c>
      <c r="E19" s="27">
        <f t="shared" si="0"/>
        <v>54342</v>
      </c>
      <c r="F19" s="27">
        <f>일위대가_산근!C743</f>
        <v>11359</v>
      </c>
      <c r="G19" s="27">
        <f>일위대가_산근!D743</f>
        <v>35349</v>
      </c>
      <c r="H19" s="27">
        <f>일위대가_산근!E743</f>
        <v>7634</v>
      </c>
      <c r="I19" s="20" t="s">
        <v>2450</v>
      </c>
      <c r="J19" t="s">
        <v>2450</v>
      </c>
      <c r="K19" t="s">
        <v>1003</v>
      </c>
      <c r="L19" t="s">
        <v>2053</v>
      </c>
      <c r="T19" s="27">
        <v>11359</v>
      </c>
      <c r="U19" s="27">
        <v>35349</v>
      </c>
      <c r="V19" s="27">
        <v>7634</v>
      </c>
      <c r="W19" s="27">
        <v>54342</v>
      </c>
      <c r="Y19" s="7" t="b">
        <f t="shared" si="1"/>
        <v>1</v>
      </c>
      <c r="AA19" s="31" t="str">
        <f>HYPERLINK("#일위대가_산근!A743","SB11315 →")</f>
        <v>SB11315 →</v>
      </c>
    </row>
    <row r="20" spans="1:27" ht="18.399999999999999" customHeight="1" x14ac:dyDescent="0.15">
      <c r="A20" s="11" t="s">
        <v>1867</v>
      </c>
      <c r="B20" s="2" t="s">
        <v>2185</v>
      </c>
      <c r="C20" s="2">
        <v>1</v>
      </c>
      <c r="D20" s="2" t="s">
        <v>1124</v>
      </c>
      <c r="E20" s="27">
        <f t="shared" si="0"/>
        <v>53550</v>
      </c>
      <c r="F20" s="27">
        <f>일위대가_산근!C784</f>
        <v>51000</v>
      </c>
      <c r="G20" s="27">
        <f>일위대가_산근!D784</f>
        <v>2550</v>
      </c>
      <c r="H20" s="27">
        <f>일위대가_산근!E784</f>
        <v>0</v>
      </c>
      <c r="I20" s="20" t="s">
        <v>2450</v>
      </c>
      <c r="J20" t="s">
        <v>2450</v>
      </c>
      <c r="K20" t="s">
        <v>884</v>
      </c>
      <c r="L20" t="s">
        <v>2053</v>
      </c>
      <c r="T20" s="27">
        <v>51000</v>
      </c>
      <c r="U20" s="27">
        <v>2550</v>
      </c>
      <c r="V20" s="27">
        <v>0</v>
      </c>
      <c r="W20" s="27">
        <v>53550</v>
      </c>
      <c r="Y20" s="7" t="b">
        <f t="shared" si="1"/>
        <v>1</v>
      </c>
      <c r="AA20" s="31" t="str">
        <f>HYPERLINK("#일위대가_산근!A784","SB40908 →")</f>
        <v>SB40908 →</v>
      </c>
    </row>
    <row r="21" spans="1:27" ht="18.399999999999999" customHeight="1" x14ac:dyDescent="0.15">
      <c r="A21" s="11" t="s">
        <v>2120</v>
      </c>
      <c r="B21" s="2" t="s">
        <v>545</v>
      </c>
      <c r="C21" s="2">
        <v>1</v>
      </c>
      <c r="D21" s="2" t="s">
        <v>1444</v>
      </c>
      <c r="E21" s="27">
        <f t="shared" si="0"/>
        <v>8865</v>
      </c>
      <c r="F21" s="27">
        <f>일위대가_산근!C799</f>
        <v>0</v>
      </c>
      <c r="G21" s="27">
        <f>일위대가_산근!D799</f>
        <v>8692</v>
      </c>
      <c r="H21" s="27">
        <f>일위대가_산근!E799</f>
        <v>173</v>
      </c>
      <c r="I21" s="20" t="s">
        <v>2450</v>
      </c>
      <c r="J21" t="s">
        <v>2450</v>
      </c>
      <c r="K21" t="s">
        <v>762</v>
      </c>
      <c r="L21" t="s">
        <v>2053</v>
      </c>
      <c r="T21" s="27">
        <v>0</v>
      </c>
      <c r="U21" s="27">
        <v>8692</v>
      </c>
      <c r="V21" s="27">
        <v>173</v>
      </c>
      <c r="W21" s="27">
        <v>8865</v>
      </c>
      <c r="Y21" s="7" t="b">
        <f t="shared" si="1"/>
        <v>1</v>
      </c>
      <c r="AA21" s="31" t="str">
        <f>HYPERLINK("#일위대가_산근!A799","SB01025 →")</f>
        <v>SB01025 →</v>
      </c>
    </row>
    <row r="22" spans="1:27" ht="18.399999999999999" customHeight="1" x14ac:dyDescent="0.15">
      <c r="A22" s="11" t="s">
        <v>1697</v>
      </c>
      <c r="B22" s="2" t="s">
        <v>1712</v>
      </c>
      <c r="C22" s="2">
        <v>1</v>
      </c>
      <c r="D22" s="2" t="s">
        <v>1444</v>
      </c>
      <c r="E22" s="27">
        <f t="shared" si="0"/>
        <v>9605</v>
      </c>
      <c r="F22" s="27">
        <f>일위대가_산근!C824</f>
        <v>0</v>
      </c>
      <c r="G22" s="27">
        <f>일위대가_산근!D824</f>
        <v>9417</v>
      </c>
      <c r="H22" s="27">
        <f>일위대가_산근!E824</f>
        <v>188</v>
      </c>
      <c r="I22" s="20" t="s">
        <v>2450</v>
      </c>
      <c r="J22" t="s">
        <v>2450</v>
      </c>
      <c r="K22" t="s">
        <v>2364</v>
      </c>
      <c r="L22" t="s">
        <v>2053</v>
      </c>
      <c r="T22" s="27">
        <v>0</v>
      </c>
      <c r="U22" s="27">
        <v>9417</v>
      </c>
      <c r="V22" s="27">
        <v>188</v>
      </c>
      <c r="W22" s="27">
        <v>9605</v>
      </c>
      <c r="Y22" s="7" t="b">
        <f t="shared" si="1"/>
        <v>1</v>
      </c>
      <c r="AA22" s="31" t="str">
        <f>HYPERLINK("#일위대가_산근!A824","SB01026 →")</f>
        <v>SB01026 →</v>
      </c>
    </row>
    <row r="23" spans="1:27" ht="18.399999999999999" customHeight="1" x14ac:dyDescent="0.15">
      <c r="A23" s="11" t="s">
        <v>178</v>
      </c>
      <c r="B23" s="2" t="s">
        <v>545</v>
      </c>
      <c r="C23" s="2">
        <v>1</v>
      </c>
      <c r="D23" s="2" t="s">
        <v>1537</v>
      </c>
      <c r="E23" s="27">
        <f t="shared" si="0"/>
        <v>181764</v>
      </c>
      <c r="F23" s="27">
        <f>일위대가_산근!C849</f>
        <v>127000</v>
      </c>
      <c r="G23" s="27">
        <f>일위대가_산근!D849</f>
        <v>52157</v>
      </c>
      <c r="H23" s="27">
        <f>일위대가_산근!E849</f>
        <v>2607</v>
      </c>
      <c r="I23" s="20" t="s">
        <v>2450</v>
      </c>
      <c r="J23" t="s">
        <v>2450</v>
      </c>
      <c r="K23" t="s">
        <v>1775</v>
      </c>
      <c r="L23" t="s">
        <v>2053</v>
      </c>
      <c r="T23" s="27">
        <v>127000</v>
      </c>
      <c r="U23" s="27">
        <v>52157</v>
      </c>
      <c r="V23" s="27">
        <v>2607</v>
      </c>
      <c r="W23" s="27">
        <v>181764</v>
      </c>
      <c r="Y23" s="7" t="b">
        <f t="shared" si="1"/>
        <v>1</v>
      </c>
      <c r="AA23" s="31" t="str">
        <f>HYPERLINK("#일위대가_산근!A849","SB01155 →")</f>
        <v>SB01155 →</v>
      </c>
    </row>
    <row r="24" spans="1:27" ht="18.399999999999999" customHeight="1" x14ac:dyDescent="0.15">
      <c r="A24" s="11" t="s">
        <v>2067</v>
      </c>
      <c r="B24" s="2" t="s">
        <v>1712</v>
      </c>
      <c r="C24" s="2">
        <v>1</v>
      </c>
      <c r="D24" s="2" t="s">
        <v>1537</v>
      </c>
      <c r="E24" s="27">
        <f t="shared" si="0"/>
        <v>213456</v>
      </c>
      <c r="F24" s="27">
        <f>일위대가_산근!C876</f>
        <v>145000</v>
      </c>
      <c r="G24" s="27">
        <f>일위대가_산근!D876</f>
        <v>65197</v>
      </c>
      <c r="H24" s="27">
        <f>일위대가_산근!E876</f>
        <v>3259</v>
      </c>
      <c r="I24" s="20" t="s">
        <v>2450</v>
      </c>
      <c r="J24" t="s">
        <v>2450</v>
      </c>
      <c r="K24" t="s">
        <v>1367</v>
      </c>
      <c r="L24" t="s">
        <v>2053</v>
      </c>
      <c r="T24" s="27">
        <v>145000</v>
      </c>
      <c r="U24" s="27">
        <v>65197</v>
      </c>
      <c r="V24" s="27">
        <v>3259</v>
      </c>
      <c r="W24" s="27">
        <v>213456</v>
      </c>
      <c r="Y24" s="7" t="b">
        <f t="shared" si="1"/>
        <v>1</v>
      </c>
      <c r="AA24" s="31" t="str">
        <f>HYPERLINK("#일위대가_산근!A876","SB01157 →")</f>
        <v>SB01157 →</v>
      </c>
    </row>
    <row r="25" spans="1:27" ht="18.399999999999999" customHeight="1" x14ac:dyDescent="0.15">
      <c r="A25" s="11" t="s">
        <v>722</v>
      </c>
      <c r="B25" s="2" t="s">
        <v>549</v>
      </c>
      <c r="C25" s="2">
        <v>1</v>
      </c>
      <c r="D25" s="2" t="s">
        <v>1505</v>
      </c>
      <c r="E25" s="27">
        <f t="shared" si="0"/>
        <v>358181</v>
      </c>
      <c r="F25" s="27">
        <f>일위대가_산근!C903</f>
        <v>10497</v>
      </c>
      <c r="G25" s="27">
        <f>일위대가_산근!D903</f>
        <v>308504</v>
      </c>
      <c r="H25" s="27">
        <f>일위대가_산근!E903</f>
        <v>39180</v>
      </c>
      <c r="I25" s="20" t="s">
        <v>2450</v>
      </c>
      <c r="J25" t="s">
        <v>2450</v>
      </c>
      <c r="K25" t="s">
        <v>2221</v>
      </c>
      <c r="L25" t="s">
        <v>2053</v>
      </c>
      <c r="T25" s="27">
        <v>10497</v>
      </c>
      <c r="U25" s="27">
        <v>308504</v>
      </c>
      <c r="V25" s="27">
        <v>39180</v>
      </c>
      <c r="W25" s="27">
        <v>358181</v>
      </c>
      <c r="Y25" s="7" t="b">
        <f t="shared" si="1"/>
        <v>1</v>
      </c>
      <c r="AA25" s="31" t="str">
        <f>HYPERLINK("#일위대가_산근!A903","SB13410 →")</f>
        <v>SB13410 →</v>
      </c>
    </row>
    <row r="26" spans="1:27" ht="18.399999999999999" customHeight="1" x14ac:dyDescent="0.15">
      <c r="A26" s="11" t="s">
        <v>825</v>
      </c>
      <c r="B26" s="2" t="s">
        <v>549</v>
      </c>
      <c r="C26" s="2">
        <v>1</v>
      </c>
      <c r="D26" s="2" t="s">
        <v>1505</v>
      </c>
      <c r="E26" s="27">
        <f t="shared" si="0"/>
        <v>182693</v>
      </c>
      <c r="F26" s="27">
        <f>일위대가_산근!C932</f>
        <v>5374</v>
      </c>
      <c r="G26" s="27">
        <f>일위대가_산근!D932</f>
        <v>157259</v>
      </c>
      <c r="H26" s="27">
        <f>일위대가_산근!E932</f>
        <v>20060</v>
      </c>
      <c r="I26" s="20" t="s">
        <v>2450</v>
      </c>
      <c r="J26" t="s">
        <v>2450</v>
      </c>
      <c r="K26" t="s">
        <v>2019</v>
      </c>
      <c r="L26" t="s">
        <v>2053</v>
      </c>
      <c r="T26" s="27">
        <v>5374</v>
      </c>
      <c r="U26" s="27">
        <v>157259</v>
      </c>
      <c r="V26" s="27">
        <v>20060</v>
      </c>
      <c r="W26" s="27">
        <v>182693</v>
      </c>
      <c r="Y26" s="7" t="b">
        <f t="shared" si="1"/>
        <v>1</v>
      </c>
      <c r="AA26" s="31" t="str">
        <f>HYPERLINK("#일위대가_산근!A932","SB13550 →")</f>
        <v>SB13550 →</v>
      </c>
    </row>
    <row r="27" spans="1:27" ht="18.399999999999999" customHeight="1" x14ac:dyDescent="0.15">
      <c r="A27" s="11" t="s">
        <v>639</v>
      </c>
      <c r="B27" s="2" t="s">
        <v>947</v>
      </c>
      <c r="C27" s="2">
        <v>1</v>
      </c>
      <c r="D27" s="2" t="s">
        <v>1537</v>
      </c>
      <c r="E27" s="27">
        <f t="shared" si="0"/>
        <v>23412</v>
      </c>
      <c r="F27" s="27">
        <f>일위대가_산근!C961</f>
        <v>19000</v>
      </c>
      <c r="G27" s="27">
        <f>일위대가_산근!D961</f>
        <v>4412</v>
      </c>
      <c r="H27" s="27">
        <f>일위대가_산근!E961</f>
        <v>0</v>
      </c>
      <c r="I27" s="20" t="s">
        <v>2450</v>
      </c>
      <c r="J27" t="s">
        <v>2450</v>
      </c>
      <c r="K27" t="s">
        <v>1084</v>
      </c>
      <c r="L27" t="s">
        <v>2053</v>
      </c>
      <c r="T27" s="27">
        <v>19000</v>
      </c>
      <c r="U27" s="27">
        <v>4412</v>
      </c>
      <c r="V27" s="27">
        <v>0</v>
      </c>
      <c r="W27" s="27">
        <v>23412</v>
      </c>
      <c r="Y27" s="7" t="b">
        <f t="shared" si="1"/>
        <v>1</v>
      </c>
      <c r="AA27" s="31" t="str">
        <f>HYPERLINK("#일위대가_산근!A961","SZ260203 →")</f>
        <v>SZ260203 →</v>
      </c>
    </row>
    <row r="28" spans="1:27" ht="18.399999999999999" customHeight="1" x14ac:dyDescent="0.15">
      <c r="A28" s="11" t="s">
        <v>1932</v>
      </c>
      <c r="B28" s="2" t="s">
        <v>57</v>
      </c>
      <c r="C28" s="2">
        <v>1</v>
      </c>
      <c r="D28" s="2" t="s">
        <v>1124</v>
      </c>
      <c r="E28" s="27">
        <f t="shared" si="0"/>
        <v>378000</v>
      </c>
      <c r="F28" s="27">
        <f>일위대가_산근!C980</f>
        <v>360000</v>
      </c>
      <c r="G28" s="27">
        <f>일위대가_산근!D980</f>
        <v>18000</v>
      </c>
      <c r="H28" s="27">
        <f>일위대가_산근!E980</f>
        <v>0</v>
      </c>
      <c r="I28" s="20" t="s">
        <v>2450</v>
      </c>
      <c r="J28" t="s">
        <v>2450</v>
      </c>
      <c r="K28" t="s">
        <v>966</v>
      </c>
      <c r="L28" t="s">
        <v>2053</v>
      </c>
      <c r="T28" s="27">
        <v>360000</v>
      </c>
      <c r="U28" s="27">
        <v>18000</v>
      </c>
      <c r="V28" s="27">
        <v>0</v>
      </c>
      <c r="W28" s="27">
        <v>378000</v>
      </c>
      <c r="Y28" s="7" t="b">
        <f t="shared" si="1"/>
        <v>1</v>
      </c>
      <c r="AA28" s="31" t="str">
        <f>HYPERLINK("#일위대가_산근!A980","SB40980 →")</f>
        <v>SB40980 →</v>
      </c>
    </row>
    <row r="29" spans="1:27" ht="18.399999999999999" customHeight="1" x14ac:dyDescent="0.15">
      <c r="A29" s="11" t="s">
        <v>932</v>
      </c>
      <c r="B29" s="2" t="s">
        <v>1559</v>
      </c>
      <c r="C29" s="2">
        <v>1</v>
      </c>
      <c r="D29" s="2" t="s">
        <v>1796</v>
      </c>
      <c r="E29" s="27">
        <f t="shared" si="0"/>
        <v>1003</v>
      </c>
      <c r="F29" s="27">
        <f>일위대가_산근!C997</f>
        <v>128</v>
      </c>
      <c r="G29" s="27">
        <f>일위대가_산근!D997</f>
        <v>695</v>
      </c>
      <c r="H29" s="27">
        <f>일위대가_산근!E997</f>
        <v>180</v>
      </c>
      <c r="I29" s="20" t="s">
        <v>2450</v>
      </c>
      <c r="J29" t="s">
        <v>2450</v>
      </c>
      <c r="K29" t="s">
        <v>1926</v>
      </c>
      <c r="L29" t="s">
        <v>2053</v>
      </c>
      <c r="T29" s="27">
        <v>128</v>
      </c>
      <c r="U29" s="27">
        <v>695</v>
      </c>
      <c r="V29" s="27">
        <v>180</v>
      </c>
      <c r="W29" s="27">
        <v>1003</v>
      </c>
      <c r="Y29" s="7" t="b">
        <f t="shared" si="1"/>
        <v>1</v>
      </c>
      <c r="AA29" s="31" t="str">
        <f>HYPERLINK("#일위대가_산근!A997","SE02400 →")</f>
        <v>SE02400 →</v>
      </c>
    </row>
    <row r="30" spans="1:27" ht="18.399999999999999" customHeight="1" x14ac:dyDescent="0.15">
      <c r="A30" s="11" t="s">
        <v>1470</v>
      </c>
      <c r="B30" s="2" t="s">
        <v>688</v>
      </c>
      <c r="C30" s="2">
        <v>1</v>
      </c>
      <c r="D30" s="2" t="s">
        <v>1796</v>
      </c>
      <c r="E30" s="27">
        <f t="shared" si="0"/>
        <v>45</v>
      </c>
      <c r="F30" s="27">
        <f>일위대가_산근!C1070</f>
        <v>8</v>
      </c>
      <c r="G30" s="27">
        <f>일위대가_산근!D1070</f>
        <v>31</v>
      </c>
      <c r="H30" s="27">
        <f>일위대가_산근!E1070</f>
        <v>6</v>
      </c>
      <c r="I30" s="20" t="s">
        <v>2450</v>
      </c>
      <c r="J30" t="s">
        <v>2450</v>
      </c>
      <c r="K30" t="s">
        <v>546</v>
      </c>
      <c r="L30" t="s">
        <v>2053</v>
      </c>
      <c r="T30" s="27">
        <v>8</v>
      </c>
      <c r="U30" s="27">
        <v>31</v>
      </c>
      <c r="V30" s="27">
        <v>6</v>
      </c>
      <c r="W30" s="27">
        <v>45</v>
      </c>
      <c r="Y30" s="7" t="b">
        <f t="shared" si="1"/>
        <v>1</v>
      </c>
      <c r="AA30" s="31" t="str">
        <f>HYPERLINK("#일위대가_산근!A1070","SE01910 →")</f>
        <v>SE01910 →</v>
      </c>
    </row>
    <row r="31" spans="1:27" ht="18.399999999999999" customHeight="1" x14ac:dyDescent="0.15">
      <c r="A31" s="11" t="s">
        <v>2152</v>
      </c>
      <c r="B31" s="2" t="s">
        <v>214</v>
      </c>
      <c r="C31" s="2">
        <v>1</v>
      </c>
      <c r="D31" s="2" t="s">
        <v>1796</v>
      </c>
      <c r="E31" s="27">
        <f t="shared" si="0"/>
        <v>1070</v>
      </c>
      <c r="F31" s="27">
        <f>일위대가_산근!C1099</f>
        <v>136</v>
      </c>
      <c r="G31" s="27">
        <f>일위대가_산근!D1099</f>
        <v>740</v>
      </c>
      <c r="H31" s="27">
        <f>일위대가_산근!E1099</f>
        <v>194</v>
      </c>
      <c r="I31" s="20" t="s">
        <v>2450</v>
      </c>
      <c r="J31" t="s">
        <v>2450</v>
      </c>
      <c r="K31" t="s">
        <v>307</v>
      </c>
      <c r="L31" t="s">
        <v>2053</v>
      </c>
      <c r="T31" s="27">
        <v>136</v>
      </c>
      <c r="U31" s="27">
        <v>740</v>
      </c>
      <c r="V31" s="27">
        <v>194</v>
      </c>
      <c r="W31" s="27">
        <v>1070</v>
      </c>
      <c r="Y31" s="7" t="b">
        <f t="shared" si="1"/>
        <v>1</v>
      </c>
      <c r="AA31" s="31" t="str">
        <f>HYPERLINK("#일위대가_산근!A1099","SE02100 →")</f>
        <v>SE02100 →</v>
      </c>
    </row>
    <row r="32" spans="1:27" ht="18.399999999999999" customHeight="1" x14ac:dyDescent="0.15">
      <c r="A32" s="11" t="s">
        <v>65</v>
      </c>
      <c r="B32" s="2" t="s">
        <v>1480</v>
      </c>
      <c r="C32" s="2">
        <v>1</v>
      </c>
      <c r="D32" s="2" t="s">
        <v>1796</v>
      </c>
      <c r="E32" s="27">
        <f t="shared" si="0"/>
        <v>45</v>
      </c>
      <c r="F32" s="27">
        <f>일위대가_산근!C1172</f>
        <v>8</v>
      </c>
      <c r="G32" s="27">
        <f>일위대가_산근!D1172</f>
        <v>31</v>
      </c>
      <c r="H32" s="27">
        <f>일위대가_산근!E1172</f>
        <v>6</v>
      </c>
      <c r="I32" s="20" t="s">
        <v>2450</v>
      </c>
      <c r="J32" t="s">
        <v>2450</v>
      </c>
      <c r="K32" t="s">
        <v>11</v>
      </c>
      <c r="L32" t="s">
        <v>2053</v>
      </c>
      <c r="T32" s="27">
        <v>8</v>
      </c>
      <c r="U32" s="27">
        <v>31</v>
      </c>
      <c r="V32" s="27">
        <v>6</v>
      </c>
      <c r="W32" s="27">
        <v>45</v>
      </c>
      <c r="Y32" s="7" t="b">
        <f t="shared" si="1"/>
        <v>1</v>
      </c>
      <c r="AA32" s="31" t="str">
        <f>HYPERLINK("#일위대가_산근!A1172","SE01810 →")</f>
        <v>SE01810 →</v>
      </c>
    </row>
    <row r="33" spans="1:27" ht="18.399999999999999" customHeight="1" x14ac:dyDescent="0.15">
      <c r="A33" s="11" t="s">
        <v>1907</v>
      </c>
      <c r="B33" s="2" t="s">
        <v>2108</v>
      </c>
      <c r="C33" s="2">
        <v>1</v>
      </c>
      <c r="D33" s="2" t="s">
        <v>1762</v>
      </c>
      <c r="E33" s="27">
        <f t="shared" si="0"/>
        <v>13215</v>
      </c>
      <c r="F33" s="27">
        <f>일위대가_산근!C1201</f>
        <v>2977</v>
      </c>
      <c r="G33" s="27">
        <f>일위대가_산근!D1201</f>
        <v>7808</v>
      </c>
      <c r="H33" s="27">
        <f>일위대가_산근!E1201</f>
        <v>2430</v>
      </c>
      <c r="I33" s="20" t="s">
        <v>2450</v>
      </c>
      <c r="J33" t="s">
        <v>2450</v>
      </c>
      <c r="K33" t="s">
        <v>2392</v>
      </c>
      <c r="L33" t="s">
        <v>2053</v>
      </c>
      <c r="T33" s="27">
        <v>2977</v>
      </c>
      <c r="U33" s="27">
        <v>7808</v>
      </c>
      <c r="V33" s="27">
        <v>2430</v>
      </c>
      <c r="W33" s="27">
        <v>13215</v>
      </c>
      <c r="Y33" s="7" t="b">
        <f t="shared" si="1"/>
        <v>1</v>
      </c>
      <c r="AA33" s="31" t="str">
        <f>HYPERLINK("#일위대가_산근!A1201","SE01000 →")</f>
        <v>SE01000 →</v>
      </c>
    </row>
    <row r="34" spans="1:27" ht="18.399999999999999" customHeight="1" x14ac:dyDescent="0.15">
      <c r="A34" s="11" t="s">
        <v>1499</v>
      </c>
      <c r="B34" s="2" t="s">
        <v>41</v>
      </c>
      <c r="C34" s="2">
        <v>1</v>
      </c>
      <c r="D34" s="2" t="s">
        <v>1444</v>
      </c>
      <c r="E34" s="27">
        <f t="shared" si="0"/>
        <v>18145</v>
      </c>
      <c r="F34" s="27">
        <f>일위대가_산근!C1256</f>
        <v>1895</v>
      </c>
      <c r="G34" s="27">
        <f>일위대가_산근!D1256</f>
        <v>14694</v>
      </c>
      <c r="H34" s="27">
        <f>일위대가_산근!E1256</f>
        <v>1556</v>
      </c>
      <c r="I34" s="20" t="s">
        <v>2450</v>
      </c>
      <c r="J34" t="s">
        <v>2450</v>
      </c>
      <c r="K34" t="s">
        <v>1823</v>
      </c>
      <c r="L34" t="s">
        <v>2053</v>
      </c>
      <c r="T34" s="27">
        <v>1895</v>
      </c>
      <c r="U34" s="27">
        <v>14694</v>
      </c>
      <c r="V34" s="27">
        <v>1556</v>
      </c>
      <c r="W34" s="27">
        <v>18145</v>
      </c>
      <c r="Y34" s="7" t="b">
        <f t="shared" si="1"/>
        <v>1</v>
      </c>
      <c r="AA34" s="31" t="str">
        <f>HYPERLINK("#일위대가_산근!A1256","SE05200 →")</f>
        <v>SE05200 →</v>
      </c>
    </row>
    <row r="35" spans="1:27" ht="18.399999999999999" customHeight="1" x14ac:dyDescent="0.15">
      <c r="A35" s="11" t="s">
        <v>1190</v>
      </c>
      <c r="B35" s="2" t="s">
        <v>2450</v>
      </c>
      <c r="C35" s="2">
        <v>1</v>
      </c>
      <c r="D35" s="2" t="s">
        <v>1970</v>
      </c>
      <c r="E35" s="27">
        <f t="shared" si="0"/>
        <v>1308813</v>
      </c>
      <c r="F35" s="27">
        <f>일위대가_산근!C1293</f>
        <v>0</v>
      </c>
      <c r="G35" s="27">
        <f>일위대가_산근!D1293</f>
        <v>0</v>
      </c>
      <c r="H35" s="27">
        <f>일위대가_산근!E1293</f>
        <v>1308813</v>
      </c>
      <c r="I35" s="20" t="s">
        <v>2450</v>
      </c>
      <c r="J35" t="s">
        <v>2450</v>
      </c>
      <c r="K35" t="s">
        <v>1307</v>
      </c>
      <c r="L35" t="s">
        <v>2053</v>
      </c>
      <c r="T35" s="27">
        <v>0</v>
      </c>
      <c r="U35" s="27">
        <v>0</v>
      </c>
      <c r="V35" s="27">
        <v>1308813</v>
      </c>
      <c r="W35" s="27">
        <v>1308813</v>
      </c>
      <c r="Y35" s="7" t="b">
        <f t="shared" si="1"/>
        <v>1</v>
      </c>
      <c r="AA35" s="31" t="str">
        <f>HYPERLINK("#일위대가_산근!A1293","SF01400 →")</f>
        <v>SF01400 →</v>
      </c>
    </row>
    <row r="36" spans="1:27" ht="18.399999999999999" customHeight="1" x14ac:dyDescent="0.15">
      <c r="A36" s="11" t="s">
        <v>622</v>
      </c>
      <c r="B36" s="2" t="s">
        <v>1112</v>
      </c>
      <c r="C36" s="2">
        <v>1</v>
      </c>
      <c r="D36" s="2" t="s">
        <v>1668</v>
      </c>
      <c r="E36" s="27">
        <f t="shared" si="0"/>
        <v>1929</v>
      </c>
      <c r="F36" s="27">
        <f>일위대가_산근!C1378</f>
        <v>0</v>
      </c>
      <c r="G36" s="27">
        <f>일위대가_산근!D1378</f>
        <v>0</v>
      </c>
      <c r="H36" s="27">
        <f>일위대가_산근!E1378</f>
        <v>1929</v>
      </c>
      <c r="I36" s="20" t="s">
        <v>2450</v>
      </c>
      <c r="J36" t="s">
        <v>2450</v>
      </c>
      <c r="K36" t="s">
        <v>1727</v>
      </c>
      <c r="L36" t="s">
        <v>2053</v>
      </c>
      <c r="T36" s="27">
        <v>0</v>
      </c>
      <c r="U36" s="27">
        <v>0</v>
      </c>
      <c r="V36" s="27">
        <v>1929</v>
      </c>
      <c r="W36" s="27">
        <v>1929</v>
      </c>
      <c r="Y36" s="7" t="b">
        <f t="shared" si="1"/>
        <v>1</v>
      </c>
      <c r="AA36" s="31" t="str">
        <f>HYPERLINK("#일위대가_산근!A1378","SF00700 →")</f>
        <v>SF00700 →</v>
      </c>
    </row>
    <row r="37" spans="1:27" ht="18.399999999999999" customHeight="1" x14ac:dyDescent="0.15">
      <c r="A37" s="11" t="s">
        <v>387</v>
      </c>
      <c r="B37" s="2" t="s">
        <v>574</v>
      </c>
      <c r="C37" s="2">
        <v>1</v>
      </c>
      <c r="D37" s="2" t="s">
        <v>1796</v>
      </c>
      <c r="E37" s="27">
        <f t="shared" si="0"/>
        <v>5209</v>
      </c>
      <c r="F37" s="27">
        <f>일위대가_산근!C1397</f>
        <v>4894</v>
      </c>
      <c r="G37" s="27">
        <f>일위대가_산근!D1397</f>
        <v>270</v>
      </c>
      <c r="H37" s="27">
        <f>일위대가_산근!E1397</f>
        <v>45</v>
      </c>
      <c r="I37" s="20" t="s">
        <v>2450</v>
      </c>
      <c r="J37" t="s">
        <v>2450</v>
      </c>
      <c r="K37" t="s">
        <v>1983</v>
      </c>
      <c r="L37" t="s">
        <v>2053</v>
      </c>
      <c r="T37" s="27">
        <v>4894</v>
      </c>
      <c r="U37" s="27">
        <v>270</v>
      </c>
      <c r="V37" s="27">
        <v>45</v>
      </c>
      <c r="W37" s="27">
        <v>5209</v>
      </c>
      <c r="Y37" s="7" t="b">
        <f t="shared" si="1"/>
        <v>1</v>
      </c>
      <c r="AA37" s="31" t="str">
        <f>HYPERLINK("#일위대가_산근!A1397","SF04120 →")</f>
        <v>SF04120 →</v>
      </c>
    </row>
    <row r="38" spans="1:27" ht="18.399999999999999" customHeight="1" x14ac:dyDescent="0.15">
      <c r="A38" s="11" t="s">
        <v>1531</v>
      </c>
      <c r="B38" s="2" t="s">
        <v>426</v>
      </c>
      <c r="C38" s="2">
        <v>1</v>
      </c>
      <c r="D38" s="2" t="s">
        <v>1796</v>
      </c>
      <c r="E38" s="27">
        <f t="shared" si="0"/>
        <v>6043</v>
      </c>
      <c r="F38" s="27">
        <f>일위대가_산근!C1460</f>
        <v>4777</v>
      </c>
      <c r="G38" s="27">
        <f>일위대가_산근!D1460</f>
        <v>1085</v>
      </c>
      <c r="H38" s="27">
        <f>일위대가_산근!E1460</f>
        <v>181</v>
      </c>
      <c r="I38" s="20" t="s">
        <v>2450</v>
      </c>
      <c r="J38" t="s">
        <v>2450</v>
      </c>
      <c r="K38" t="s">
        <v>183</v>
      </c>
      <c r="L38" t="s">
        <v>2053</v>
      </c>
      <c r="T38" s="27">
        <v>4777</v>
      </c>
      <c r="U38" s="27">
        <v>1085</v>
      </c>
      <c r="V38" s="27">
        <v>181</v>
      </c>
      <c r="W38" s="27">
        <v>6043</v>
      </c>
      <c r="Y38" s="7" t="b">
        <f t="shared" si="1"/>
        <v>1</v>
      </c>
      <c r="AA38" s="31" t="str">
        <f>HYPERLINK("#일위대가_산근!A1460","SF04110 →")</f>
        <v>SF04110 →</v>
      </c>
    </row>
    <row r="39" spans="1:27" ht="18.399999999999999" customHeight="1" x14ac:dyDescent="0.15">
      <c r="A39" s="11" t="s">
        <v>1376</v>
      </c>
      <c r="B39" s="2" t="s">
        <v>1060</v>
      </c>
      <c r="C39" s="2">
        <v>1</v>
      </c>
      <c r="D39" s="2" t="s">
        <v>1796</v>
      </c>
      <c r="E39" s="27">
        <f t="shared" si="0"/>
        <v>16921</v>
      </c>
      <c r="F39" s="27">
        <f>일위대가_산근!C1523</f>
        <v>5298</v>
      </c>
      <c r="G39" s="27">
        <f>일위대가_산근!D1523</f>
        <v>11060</v>
      </c>
      <c r="H39" s="27">
        <f>일위대가_산근!E1523</f>
        <v>563</v>
      </c>
      <c r="I39" s="20" t="s">
        <v>2450</v>
      </c>
      <c r="J39" t="s">
        <v>2450</v>
      </c>
      <c r="K39" t="s">
        <v>322</v>
      </c>
      <c r="L39" t="s">
        <v>2053</v>
      </c>
      <c r="T39" s="27">
        <v>5298</v>
      </c>
      <c r="U39" s="27">
        <v>11060</v>
      </c>
      <c r="V39" s="27">
        <v>563</v>
      </c>
      <c r="W39" s="27">
        <v>16921</v>
      </c>
      <c r="Y39" s="7" t="b">
        <f t="shared" si="1"/>
        <v>1</v>
      </c>
      <c r="AA39" s="31" t="str">
        <f>HYPERLINK("#일위대가_산근!A1523","SF03850 →")</f>
        <v>SF03850 →</v>
      </c>
    </row>
    <row r="40" spans="1:27" ht="18.399999999999999" customHeight="1" x14ac:dyDescent="0.15">
      <c r="A40" s="11" t="s">
        <v>563</v>
      </c>
      <c r="B40" s="2" t="s">
        <v>1828</v>
      </c>
      <c r="C40" s="2">
        <v>1</v>
      </c>
      <c r="D40" s="2" t="s">
        <v>1796</v>
      </c>
      <c r="E40" s="27">
        <f t="shared" si="0"/>
        <v>10258</v>
      </c>
      <c r="F40" s="27">
        <f>일위대가_산근!C1583</f>
        <v>4753</v>
      </c>
      <c r="G40" s="27">
        <f>일위대가_산근!D1583</f>
        <v>5238</v>
      </c>
      <c r="H40" s="27">
        <f>일위대가_산근!E1583</f>
        <v>267</v>
      </c>
      <c r="I40" s="20" t="s">
        <v>2450</v>
      </c>
      <c r="J40" t="s">
        <v>2450</v>
      </c>
      <c r="K40" t="s">
        <v>946</v>
      </c>
      <c r="L40" t="s">
        <v>2053</v>
      </c>
      <c r="T40" s="27">
        <v>4753</v>
      </c>
      <c r="U40" s="27">
        <v>5238</v>
      </c>
      <c r="V40" s="27">
        <v>267</v>
      </c>
      <c r="W40" s="27">
        <v>10258</v>
      </c>
      <c r="Y40" s="7" t="b">
        <f t="shared" si="1"/>
        <v>1</v>
      </c>
      <c r="AA40" s="31" t="str">
        <f>HYPERLINK("#일위대가_산근!A1583","SF03840 →")</f>
        <v>SF03840 →</v>
      </c>
    </row>
    <row r="41" spans="1:27" ht="18.399999999999999" customHeight="1" x14ac:dyDescent="0.15">
      <c r="A41" s="11" t="s">
        <v>1652</v>
      </c>
      <c r="B41" s="2" t="s">
        <v>2450</v>
      </c>
      <c r="C41" s="2">
        <v>1</v>
      </c>
      <c r="D41" s="2" t="s">
        <v>1970</v>
      </c>
      <c r="E41" s="27">
        <f t="shared" si="0"/>
        <v>1949175</v>
      </c>
      <c r="F41" s="27">
        <f>일위대가_산근!C1643</f>
        <v>534000</v>
      </c>
      <c r="G41" s="27">
        <f>일위대가_산근!D1643</f>
        <v>1415175</v>
      </c>
      <c r="H41" s="27">
        <f>일위대가_산근!E1643</f>
        <v>0</v>
      </c>
      <c r="I41" s="20" t="s">
        <v>2450</v>
      </c>
      <c r="J41" t="s">
        <v>2450</v>
      </c>
      <c r="K41" t="s">
        <v>1895</v>
      </c>
      <c r="L41" t="s">
        <v>2053</v>
      </c>
      <c r="T41" s="27">
        <v>534000</v>
      </c>
      <c r="U41" s="27">
        <v>1415175</v>
      </c>
      <c r="V41" s="27">
        <v>0</v>
      </c>
      <c r="W41" s="27">
        <v>1949175</v>
      </c>
      <c r="Y41" s="7" t="b">
        <f t="shared" si="1"/>
        <v>1</v>
      </c>
      <c r="AA41" s="31" t="str">
        <f>HYPERLINK("#일위대가_산근!A1643","SF05070 →")</f>
        <v>SF05070 →</v>
      </c>
    </row>
    <row r="42" spans="1:27" ht="18.399999999999999" customHeight="1" x14ac:dyDescent="0.15">
      <c r="A42" s="11" t="s">
        <v>206</v>
      </c>
      <c r="B42" s="2" t="s">
        <v>553</v>
      </c>
      <c r="C42" s="2">
        <v>1</v>
      </c>
      <c r="D42" s="2" t="s">
        <v>1444</v>
      </c>
      <c r="E42" s="27">
        <f t="shared" si="0"/>
        <v>19522</v>
      </c>
      <c r="F42" s="27">
        <f>일위대가_산근!C1698</f>
        <v>15000</v>
      </c>
      <c r="G42" s="27">
        <f>일위대가_산근!D1698</f>
        <v>4522</v>
      </c>
      <c r="H42" s="27">
        <f>일위대가_산근!E1698</f>
        <v>0</v>
      </c>
      <c r="I42" s="20" t="s">
        <v>2450</v>
      </c>
      <c r="J42" t="s">
        <v>2450</v>
      </c>
      <c r="K42" t="s">
        <v>713</v>
      </c>
      <c r="L42" t="s">
        <v>2053</v>
      </c>
      <c r="T42" s="27">
        <v>15000</v>
      </c>
      <c r="U42" s="27">
        <v>4522</v>
      </c>
      <c r="V42" s="27">
        <v>0</v>
      </c>
      <c r="W42" s="27">
        <v>19522</v>
      </c>
      <c r="Y42" s="7" t="b">
        <f t="shared" si="1"/>
        <v>1</v>
      </c>
      <c r="AA42" s="31" t="str">
        <f>HYPERLINK("#일위대가_산근!A1698","SF05075 →")</f>
        <v>SF05075 →</v>
      </c>
    </row>
    <row r="43" spans="1:27" ht="18.399999999999999" customHeight="1" x14ac:dyDescent="0.15">
      <c r="A43" s="11" t="s">
        <v>1250</v>
      </c>
      <c r="B43" s="2" t="s">
        <v>205</v>
      </c>
      <c r="C43" s="2">
        <v>1</v>
      </c>
      <c r="D43" s="2" t="s">
        <v>2230</v>
      </c>
      <c r="E43" s="27">
        <f t="shared" si="0"/>
        <v>344136</v>
      </c>
      <c r="F43" s="27">
        <f>일위대가_산근!C1718</f>
        <v>0</v>
      </c>
      <c r="G43" s="27">
        <f>일위대가_산근!D1718</f>
        <v>344136</v>
      </c>
      <c r="H43" s="27">
        <f>일위대가_산근!E1718</f>
        <v>0</v>
      </c>
      <c r="I43" s="20" t="s">
        <v>2450</v>
      </c>
      <c r="J43" t="s">
        <v>2450</v>
      </c>
      <c r="K43" t="s">
        <v>6</v>
      </c>
      <c r="L43" t="s">
        <v>2053</v>
      </c>
      <c r="T43" s="27">
        <v>0</v>
      </c>
      <c r="U43" s="27">
        <v>344136</v>
      </c>
      <c r="V43" s="27">
        <v>0</v>
      </c>
      <c r="W43" s="27">
        <v>344136</v>
      </c>
      <c r="Y43" s="7" t="b">
        <f t="shared" si="1"/>
        <v>1</v>
      </c>
      <c r="AA43" s="31" t="str">
        <f>HYPERLINK("#일위대가_산근!A1718","SF05000 →")</f>
        <v>SF05000 →</v>
      </c>
    </row>
    <row r="44" spans="1:27" ht="18.399999999999999" customHeight="1" x14ac:dyDescent="0.15">
      <c r="A44" s="11" t="s">
        <v>15</v>
      </c>
      <c r="B44" s="2" t="s">
        <v>451</v>
      </c>
      <c r="C44" s="2">
        <v>1</v>
      </c>
      <c r="D44" s="2" t="s">
        <v>858</v>
      </c>
      <c r="E44" s="27">
        <f t="shared" si="0"/>
        <v>12112</v>
      </c>
      <c r="F44" s="27">
        <f>일위대가_산근!C1734</f>
        <v>2458</v>
      </c>
      <c r="G44" s="27">
        <f>일위대가_산근!D1734</f>
        <v>8041</v>
      </c>
      <c r="H44" s="27">
        <f>일위대가_산근!E1734</f>
        <v>1613</v>
      </c>
      <c r="I44" s="20" t="s">
        <v>2450</v>
      </c>
      <c r="J44" t="s">
        <v>2450</v>
      </c>
      <c r="K44" t="s">
        <v>1231</v>
      </c>
      <c r="L44" t="s">
        <v>2053</v>
      </c>
      <c r="T44" s="27">
        <v>2458</v>
      </c>
      <c r="U44" s="27">
        <v>8041</v>
      </c>
      <c r="V44" s="27">
        <v>1613</v>
      </c>
      <c r="W44" s="27">
        <v>12112</v>
      </c>
      <c r="Y44" s="7" t="b">
        <f t="shared" si="1"/>
        <v>1</v>
      </c>
      <c r="AA44" s="31" t="str">
        <f>HYPERLINK("#일위대가_산근!A1734","SA07600 →")</f>
        <v>SA07600 →</v>
      </c>
    </row>
    <row r="45" spans="1:27" ht="18.399999999999999" customHeight="1" x14ac:dyDescent="0.15">
      <c r="A45" s="11" t="s">
        <v>1492</v>
      </c>
      <c r="B45" s="2" t="s">
        <v>162</v>
      </c>
      <c r="C45" s="2">
        <v>1</v>
      </c>
      <c r="D45" s="2" t="s">
        <v>1762</v>
      </c>
      <c r="E45" s="27">
        <f t="shared" si="0"/>
        <v>229225</v>
      </c>
      <c r="F45" s="27">
        <f>일위대가_산근!C1765</f>
        <v>7620</v>
      </c>
      <c r="G45" s="27">
        <f>일위대가_산근!D1765</f>
        <v>219889</v>
      </c>
      <c r="H45" s="27">
        <f>일위대가_산근!E1765</f>
        <v>1716</v>
      </c>
      <c r="I45" s="20" t="s">
        <v>2450</v>
      </c>
      <c r="J45" t="s">
        <v>2450</v>
      </c>
      <c r="K45" t="s">
        <v>955</v>
      </c>
      <c r="L45" t="s">
        <v>2053</v>
      </c>
      <c r="T45" s="27">
        <v>7620</v>
      </c>
      <c r="U45" s="27">
        <v>219889</v>
      </c>
      <c r="V45" s="27">
        <v>1716</v>
      </c>
      <c r="W45" s="27">
        <v>229225</v>
      </c>
      <c r="Y45" s="7" t="b">
        <f t="shared" si="1"/>
        <v>1</v>
      </c>
      <c r="AA45" s="31" t="str">
        <f>HYPERLINK("#일위대가_산근!A1765","SA00500 →")</f>
        <v>SA00500 →</v>
      </c>
    </row>
    <row r="46" spans="1:27" ht="18.399999999999999" customHeight="1" x14ac:dyDescent="0.15">
      <c r="A46" s="13" t="s">
        <v>1575</v>
      </c>
      <c r="B46" s="14" t="s">
        <v>356</v>
      </c>
      <c r="C46" s="14">
        <v>1</v>
      </c>
      <c r="D46" s="14" t="s">
        <v>1762</v>
      </c>
      <c r="E46" s="28">
        <f t="shared" si="0"/>
        <v>241981</v>
      </c>
      <c r="F46" s="28">
        <f>일위대가_산근!C1804</f>
        <v>128417</v>
      </c>
      <c r="G46" s="28">
        <f>일위대가_산근!D1804</f>
        <v>113564</v>
      </c>
      <c r="H46" s="28">
        <f>일위대가_산근!E1804</f>
        <v>0</v>
      </c>
      <c r="I46" s="21" t="s">
        <v>2450</v>
      </c>
      <c r="J46" t="s">
        <v>2450</v>
      </c>
      <c r="K46" t="s">
        <v>1627</v>
      </c>
      <c r="L46" t="s">
        <v>2053</v>
      </c>
      <c r="T46" s="27">
        <v>128417</v>
      </c>
      <c r="U46" s="27">
        <v>113564</v>
      </c>
      <c r="V46" s="27">
        <v>0</v>
      </c>
      <c r="W46" s="27">
        <v>241981</v>
      </c>
      <c r="Y46" s="7" t="b">
        <f t="shared" si="1"/>
        <v>1</v>
      </c>
      <c r="AA46" s="31" t="str">
        <f>HYPERLINK("#일위대가_산근!A1804","SB00900 →")</f>
        <v>SB00900 →</v>
      </c>
    </row>
  </sheetData>
  <phoneticPr fontId="5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"/>
  <sheetViews>
    <sheetView workbookViewId="0">
      <selection activeCell="B2" sqref="B2"/>
    </sheetView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  <col min="14" max="59" width="0" hidden="1" customWidth="1"/>
  </cols>
  <sheetData>
    <row r="1" spans="1:25" ht="18.399999999999999" customHeight="1" x14ac:dyDescent="0.15">
      <c r="A1" t="s">
        <v>18</v>
      </c>
    </row>
    <row r="2" spans="1:25" ht="18.399999999999999" customHeight="1" x14ac:dyDescent="0.15">
      <c r="A2" s="57" t="s">
        <v>397</v>
      </c>
      <c r="B2" s="54" t="s">
        <v>1098</v>
      </c>
      <c r="C2" s="54" t="s">
        <v>1420</v>
      </c>
      <c r="D2" s="54" t="s">
        <v>924</v>
      </c>
      <c r="E2" s="54" t="s">
        <v>2371</v>
      </c>
      <c r="F2" s="54" t="s">
        <v>2450</v>
      </c>
      <c r="G2" s="54" t="s">
        <v>1648</v>
      </c>
      <c r="H2" s="54" t="s">
        <v>2450</v>
      </c>
      <c r="I2" s="54" t="s">
        <v>1007</v>
      </c>
      <c r="J2" s="54" t="s">
        <v>2450</v>
      </c>
      <c r="K2" s="54" t="s">
        <v>156</v>
      </c>
      <c r="L2" s="54" t="s">
        <v>2450</v>
      </c>
      <c r="M2" s="55" t="s">
        <v>651</v>
      </c>
    </row>
    <row r="3" spans="1:25" ht="18.399999999999999" customHeight="1" x14ac:dyDescent="0.15">
      <c r="A3" s="58" t="s">
        <v>2450</v>
      </c>
      <c r="B3" s="59" t="s">
        <v>2450</v>
      </c>
      <c r="C3" s="59" t="s">
        <v>2450</v>
      </c>
      <c r="D3" s="59" t="s">
        <v>2450</v>
      </c>
      <c r="E3" s="48" t="s">
        <v>575</v>
      </c>
      <c r="F3" s="48" t="s">
        <v>318</v>
      </c>
      <c r="G3" s="48" t="s">
        <v>575</v>
      </c>
      <c r="H3" s="48" t="s">
        <v>318</v>
      </c>
      <c r="I3" s="48" t="s">
        <v>575</v>
      </c>
      <c r="J3" s="48" t="s">
        <v>318</v>
      </c>
      <c r="K3" s="48" t="s">
        <v>575</v>
      </c>
      <c r="L3" s="48" t="s">
        <v>318</v>
      </c>
      <c r="M3" s="56" t="s">
        <v>2450</v>
      </c>
      <c r="S3" s="1" t="s">
        <v>822</v>
      </c>
      <c r="T3" s="1" t="s">
        <v>1776</v>
      </c>
      <c r="U3" s="1" t="s">
        <v>862</v>
      </c>
      <c r="V3" s="1" t="s">
        <v>338</v>
      </c>
      <c r="W3" s="1" t="s">
        <v>146</v>
      </c>
      <c r="X3" s="1" t="s">
        <v>788</v>
      </c>
      <c r="Y3" s="1" t="s">
        <v>1643</v>
      </c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5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817"/>
  <sheetViews>
    <sheetView workbookViewId="0">
      <selection activeCell="B2" sqref="B2"/>
    </sheetView>
  </sheetViews>
  <sheetFormatPr defaultRowHeight="18.399999999999999" customHeight="1" x14ac:dyDescent="0.15"/>
  <cols>
    <col min="1" max="1" width="65" customWidth="1"/>
    <col min="2" max="2" width="11" customWidth="1"/>
    <col min="3" max="6" width="10" customWidth="1"/>
    <col min="7" max="23" width="0" hidden="1" customWidth="1"/>
  </cols>
  <sheetData>
    <row r="1" spans="1:34" ht="18.399999999999999" customHeight="1" x14ac:dyDescent="0.15">
      <c r="A1" t="s">
        <v>1001</v>
      </c>
    </row>
    <row r="2" spans="1:34" ht="18.399999999999999" customHeight="1" x14ac:dyDescent="0.15">
      <c r="A2" s="16" t="s">
        <v>743</v>
      </c>
      <c r="B2" s="17" t="s">
        <v>2371</v>
      </c>
      <c r="C2" s="17" t="s">
        <v>1648</v>
      </c>
      <c r="D2" s="17" t="s">
        <v>1006</v>
      </c>
      <c r="E2" s="17" t="s">
        <v>156</v>
      </c>
      <c r="F2" s="19" t="s">
        <v>659</v>
      </c>
    </row>
    <row r="3" spans="1:34" ht="18.399999999999999" customHeight="1" x14ac:dyDescent="0.15">
      <c r="A3" s="38"/>
      <c r="B3" s="3"/>
      <c r="C3" s="3"/>
      <c r="D3" s="3"/>
      <c r="E3" s="3"/>
      <c r="F3" s="42"/>
      <c r="AA3" s="60" t="s">
        <v>609</v>
      </c>
      <c r="AB3" s="60"/>
      <c r="AC3" s="60"/>
      <c r="AD3" s="60"/>
      <c r="AE3" s="60"/>
      <c r="AF3" s="60"/>
      <c r="AG3" s="60"/>
    </row>
    <row r="4" spans="1:34" ht="18.399999999999999" customHeight="1" x14ac:dyDescent="0.15">
      <c r="A4" s="38" t="s">
        <v>1653</v>
      </c>
      <c r="B4" s="32">
        <f>$B39</f>
        <v>30884</v>
      </c>
      <c r="C4" s="32">
        <f>$C39</f>
        <v>4651</v>
      </c>
      <c r="D4" s="32">
        <f>$D39</f>
        <v>17505</v>
      </c>
      <c r="E4" s="32">
        <f>$E39</f>
        <v>8728</v>
      </c>
      <c r="F4" s="42" t="s">
        <v>2450</v>
      </c>
      <c r="G4" t="s">
        <v>2450</v>
      </c>
      <c r="H4" t="s">
        <v>177</v>
      </c>
      <c r="K4">
        <v>1</v>
      </c>
      <c r="Y4" s="7" t="b">
        <f>EXACT($Z4,$B39)</f>
        <v>1</v>
      </c>
      <c r="Z4" s="35">
        <v>30884</v>
      </c>
      <c r="AA4" s="60" t="s">
        <v>1271</v>
      </c>
      <c r="AB4" s="60"/>
      <c r="AC4" s="60"/>
      <c r="AD4" s="60"/>
      <c r="AE4" s="60"/>
      <c r="AF4" s="60"/>
      <c r="AG4" s="60"/>
    </row>
    <row r="5" spans="1:34" ht="18.399999999999999" customHeight="1" x14ac:dyDescent="0.15">
      <c r="A5" s="39"/>
      <c r="B5" s="3"/>
      <c r="C5" s="3"/>
      <c r="D5" s="3"/>
      <c r="E5" s="3"/>
      <c r="F5" s="42"/>
    </row>
    <row r="6" spans="1:34" ht="18.399999999999999" customHeight="1" x14ac:dyDescent="0.15">
      <c r="A6" s="38" t="s">
        <v>2450</v>
      </c>
      <c r="B6" s="3"/>
      <c r="C6" s="3"/>
      <c r="D6" s="3"/>
      <c r="E6" s="3"/>
      <c r="F6" s="42"/>
      <c r="G6" t="s">
        <v>2450</v>
      </c>
      <c r="I6" t="s">
        <v>289</v>
      </c>
      <c r="J6" t="s">
        <v>2450</v>
      </c>
      <c r="K6" t="s">
        <v>2053</v>
      </c>
    </row>
    <row r="7" spans="1:34" ht="18.399999999999999" customHeight="1" x14ac:dyDescent="0.15">
      <c r="A7" s="38" t="s">
        <v>416</v>
      </c>
      <c r="B7" s="32"/>
      <c r="C7" s="32"/>
      <c r="D7" s="32"/>
      <c r="E7" s="32"/>
      <c r="F7" s="43"/>
      <c r="K7" s="3" t="s">
        <v>416</v>
      </c>
    </row>
    <row r="8" spans="1:34" ht="18.399999999999999" customHeight="1" x14ac:dyDescent="0.15">
      <c r="A8" s="38" t="s">
        <v>2450</v>
      </c>
      <c r="B8" s="32"/>
      <c r="C8" s="32"/>
      <c r="D8" s="32"/>
      <c r="E8" s="32"/>
      <c r="F8" s="43"/>
      <c r="K8" s="3" t="s">
        <v>2450</v>
      </c>
    </row>
    <row r="9" spans="1:34" ht="18.399999999999999" customHeight="1" x14ac:dyDescent="0.15">
      <c r="A9" s="38" t="s">
        <v>2344</v>
      </c>
      <c r="B9" s="32"/>
      <c r="C9" s="32"/>
      <c r="D9" s="32"/>
      <c r="E9" s="32"/>
      <c r="F9" s="43"/>
      <c r="K9" s="3" t="s">
        <v>2344</v>
      </c>
    </row>
    <row r="10" spans="1:34" ht="18.399999999999999" customHeight="1" x14ac:dyDescent="0.15">
      <c r="A10" s="38" t="s">
        <v>2450</v>
      </c>
      <c r="B10" s="32"/>
      <c r="C10" s="32"/>
      <c r="D10" s="32"/>
      <c r="E10" s="32"/>
      <c r="F10" s="43"/>
      <c r="K10" s="3" t="s">
        <v>2450</v>
      </c>
    </row>
    <row r="11" spans="1:34" ht="18.399999999999999" customHeight="1" x14ac:dyDescent="0.15">
      <c r="A11" s="38" t="s">
        <v>1938</v>
      </c>
      <c r="B11" s="32"/>
      <c r="C11" s="32"/>
      <c r="D11" s="32"/>
      <c r="E11" s="32"/>
      <c r="F11" s="43"/>
      <c r="K11" s="3" t="s">
        <v>1938</v>
      </c>
    </row>
    <row r="12" spans="1:34" ht="18.399999999999999" customHeight="1" x14ac:dyDescent="0.15">
      <c r="A12" s="38" t="s">
        <v>2450</v>
      </c>
      <c r="B12" s="32"/>
      <c r="C12" s="32"/>
      <c r="D12" s="32"/>
      <c r="E12" s="32"/>
      <c r="F12" s="43"/>
      <c r="K12" s="3" t="s">
        <v>2450</v>
      </c>
    </row>
    <row r="13" spans="1:34" ht="18.399999999999999" customHeight="1" x14ac:dyDescent="0.15">
      <c r="A13" s="38" t="s">
        <v>2128</v>
      </c>
      <c r="B13" s="32"/>
      <c r="C13" s="32"/>
      <c r="D13" s="32"/>
      <c r="E13" s="32"/>
      <c r="F13" s="43"/>
      <c r="K13" s="3" t="s">
        <v>2128</v>
      </c>
    </row>
    <row r="14" spans="1:34" ht="18.399999999999999" customHeight="1" x14ac:dyDescent="0.15">
      <c r="A14" s="38" t="s">
        <v>2450</v>
      </c>
      <c r="B14" s="32"/>
      <c r="C14" s="32"/>
      <c r="D14" s="32"/>
      <c r="E14" s="32"/>
      <c r="F14" s="43"/>
      <c r="K14" s="3" t="s">
        <v>2450</v>
      </c>
    </row>
    <row r="15" spans="1:34" ht="18.399999999999999" customHeight="1" x14ac:dyDescent="0.15">
      <c r="A15" s="40" t="str">
        <f>CONCATENATE("   Q = (3.3 + 5.9) / 2 = ",TEXT($AF15,"#,##0.00")," M3/HR ")</f>
        <v xml:space="preserve">   Q = (3.3 + 5.9) / 2 = 4.60 M3/HR </v>
      </c>
      <c r="B15" s="32">
        <f>SUM($C15,$D15,$E15)</f>
        <v>0</v>
      </c>
      <c r="C15" s="32"/>
      <c r="D15" s="32"/>
      <c r="E15" s="32"/>
      <c r="F15" s="43"/>
      <c r="K15" s="3" t="s">
        <v>2293</v>
      </c>
      <c r="AA15" s="36" t="s">
        <v>461</v>
      </c>
      <c r="AB15" s="8">
        <f>ROUND((3.3+5.9)/2,2)</f>
        <v>4.5999999999999996</v>
      </c>
      <c r="AC15" s="36" t="s">
        <v>1686</v>
      </c>
      <c r="AD15" s="7">
        <f>$AB15</f>
        <v>4.5999999999999996</v>
      </c>
      <c r="AE15" s="36" t="s">
        <v>344</v>
      </c>
      <c r="AF15" s="8">
        <f>ROUND(ROUND((3.3+5.9)/2,2),2)</f>
        <v>4.5999999999999996</v>
      </c>
      <c r="AG15" s="36" t="s">
        <v>1885</v>
      </c>
      <c r="AH15" s="7">
        <f>$AF15</f>
        <v>4.5999999999999996</v>
      </c>
    </row>
    <row r="16" spans="1:34" ht="18.399999999999999" customHeight="1" x14ac:dyDescent="0.15">
      <c r="A16" s="38" t="s">
        <v>2450</v>
      </c>
      <c r="B16" s="32"/>
      <c r="C16" s="32"/>
      <c r="D16" s="32"/>
      <c r="E16" s="32"/>
      <c r="F16" s="43"/>
      <c r="K16" s="3" t="s">
        <v>2450</v>
      </c>
    </row>
    <row r="17" spans="1:42" ht="18.399999999999999" customHeight="1" x14ac:dyDescent="0.15">
      <c r="A17" s="40" t="str">
        <f>CONCATENATE("    재 료 비 :  _x001D_21,395_x001D_ / ",TEXT($AB17,"#,##0.00")," = ",TEXT($AF17,"#,##0.00"))</f>
        <v xml:space="preserve">    재 료 비 :  _x001D_21,395_x001D_ / 4.60 = 4,651.00</v>
      </c>
      <c r="B17" s="32">
        <f>SUM($C17,$D17,$E17)</f>
        <v>4651</v>
      </c>
      <c r="C17" s="32">
        <f>$AF17</f>
        <v>4651</v>
      </c>
      <c r="D17" s="32"/>
      <c r="E17" s="32"/>
      <c r="F17" s="43" t="s">
        <v>2450</v>
      </c>
      <c r="K17" s="3" t="s">
        <v>2175</v>
      </c>
      <c r="AA17" s="36" t="s">
        <v>1574</v>
      </c>
      <c r="AB17" s="8">
        <f>$AD15</f>
        <v>4.5999999999999996</v>
      </c>
      <c r="AC17" s="36" t="s">
        <v>1761</v>
      </c>
      <c r="AD17" s="7">
        <f>$AB17</f>
        <v>4.5999999999999996</v>
      </c>
      <c r="AE17" s="37" t="s">
        <v>1805</v>
      </c>
      <c r="AF17" s="8">
        <f>TRUNC(중기사용료목록!E7/$AD17,0)</f>
        <v>4651</v>
      </c>
      <c r="AG17" s="37" t="s">
        <v>2029</v>
      </c>
      <c r="AH17" s="7">
        <f>$AF17</f>
        <v>4651</v>
      </c>
    </row>
    <row r="18" spans="1:42" ht="18.399999999999999" customHeight="1" x14ac:dyDescent="0.15">
      <c r="A18" s="38" t="s">
        <v>2450</v>
      </c>
      <c r="B18" s="32"/>
      <c r="C18" s="32"/>
      <c r="D18" s="32"/>
      <c r="E18" s="32"/>
      <c r="F18" s="43"/>
      <c r="K18" s="3" t="s">
        <v>2450</v>
      </c>
    </row>
    <row r="19" spans="1:42" ht="18.399999999999999" customHeight="1" x14ac:dyDescent="0.15">
      <c r="A19" s="40" t="str">
        <f>CONCATENATE("    노 무 비 :  _x001D_59,020_x001D_ / ",TEXT($AB19,"#,##0.00")," = ",TEXT($AF19,"#,##0.00"))</f>
        <v xml:space="preserve">    노 무 비 :  _x001D_59,020_x001D_ / 4.60 = 12,830.00</v>
      </c>
      <c r="B19" s="32">
        <f>SUM($C19,$D19,$E19)</f>
        <v>12830</v>
      </c>
      <c r="C19" s="32"/>
      <c r="D19" s="32">
        <f>$AF19</f>
        <v>12830</v>
      </c>
      <c r="E19" s="32"/>
      <c r="F19" s="43" t="s">
        <v>2450</v>
      </c>
      <c r="K19" s="3" t="s">
        <v>21</v>
      </c>
      <c r="AA19" s="36" t="s">
        <v>543</v>
      </c>
      <c r="AB19" s="8">
        <f>$AD15</f>
        <v>4.5999999999999996</v>
      </c>
      <c r="AC19" s="36" t="s">
        <v>1279</v>
      </c>
      <c r="AD19" s="7">
        <f>$AB19</f>
        <v>4.5999999999999996</v>
      </c>
      <c r="AE19" s="37" t="s">
        <v>265</v>
      </c>
      <c r="AF19" s="8">
        <f>TRUNC(중기사용료목록!F7/$AD19,0)</f>
        <v>12830</v>
      </c>
      <c r="AG19" s="37" t="s">
        <v>972</v>
      </c>
      <c r="AH19" s="7">
        <f>$AF19</f>
        <v>12830</v>
      </c>
    </row>
    <row r="20" spans="1:42" ht="18.399999999999999" customHeight="1" x14ac:dyDescent="0.15">
      <c r="A20" s="38" t="s">
        <v>2450</v>
      </c>
      <c r="B20" s="32"/>
      <c r="C20" s="32"/>
      <c r="D20" s="32"/>
      <c r="E20" s="32"/>
      <c r="F20" s="43"/>
      <c r="K20" s="3" t="s">
        <v>2450</v>
      </c>
    </row>
    <row r="21" spans="1:42" ht="18.399999999999999" customHeight="1" x14ac:dyDescent="0.15">
      <c r="A21" s="40" t="str">
        <f>CONCATENATE("    경    비 :  _x001D_37,850_x001D_ / ",TEXT($AB21,"#,##0.00")," = ",TEXT($AF21,"#,##0.00"))</f>
        <v xml:space="preserve">    경    비 :  _x001D_37,850_x001D_ / 4.60 = 8,228.00</v>
      </c>
      <c r="B21" s="32">
        <f>SUM($C21,$D21,$E21)</f>
        <v>8228</v>
      </c>
      <c r="C21" s="32"/>
      <c r="D21" s="32"/>
      <c r="E21" s="32">
        <f>$AF21</f>
        <v>8228</v>
      </c>
      <c r="F21" s="43" t="s">
        <v>2450</v>
      </c>
      <c r="K21" s="3" t="s">
        <v>1871</v>
      </c>
      <c r="AA21" s="36" t="s">
        <v>425</v>
      </c>
      <c r="AB21" s="8">
        <f>$AD15</f>
        <v>4.5999999999999996</v>
      </c>
      <c r="AC21" s="36" t="s">
        <v>2374</v>
      </c>
      <c r="AD21" s="7">
        <f>$AB21</f>
        <v>4.5999999999999996</v>
      </c>
      <c r="AE21" s="37" t="s">
        <v>815</v>
      </c>
      <c r="AF21" s="8">
        <f>TRUNC(중기사용료목록!G7/$AD21,0)</f>
        <v>8228</v>
      </c>
      <c r="AG21" s="37" t="s">
        <v>1302</v>
      </c>
      <c r="AH21" s="7">
        <f>$AF21</f>
        <v>8228</v>
      </c>
    </row>
    <row r="22" spans="1:42" ht="18.399999999999999" customHeight="1" x14ac:dyDescent="0.15">
      <c r="A22" s="38" t="s">
        <v>2450</v>
      </c>
      <c r="B22" s="32"/>
      <c r="C22" s="32"/>
      <c r="D22" s="32"/>
      <c r="E22" s="32"/>
      <c r="F22" s="43"/>
      <c r="K22" s="3" t="s">
        <v>2450</v>
      </c>
    </row>
    <row r="23" spans="1:42" ht="18.399999999999999" customHeight="1" x14ac:dyDescent="0.15">
      <c r="A23" s="38" t="s">
        <v>328</v>
      </c>
      <c r="B23" s="33">
        <f>SUM($C23,$D23,$E23)</f>
        <v>25709</v>
      </c>
      <c r="C23" s="33">
        <f>$AB23</f>
        <v>4651</v>
      </c>
      <c r="D23" s="33">
        <f>$AD23</f>
        <v>12830</v>
      </c>
      <c r="E23" s="33">
        <f>$AF23</f>
        <v>8228</v>
      </c>
      <c r="F23" s="44"/>
      <c r="K23" s="3" t="s">
        <v>1519</v>
      </c>
      <c r="AA23" s="36" t="s">
        <v>1729</v>
      </c>
      <c r="AB23" s="7">
        <f>$AH17</f>
        <v>4651</v>
      </c>
      <c r="AC23" s="36" t="s">
        <v>71</v>
      </c>
      <c r="AD23" s="7">
        <f>$AH19</f>
        <v>12830</v>
      </c>
      <c r="AE23" s="36" t="s">
        <v>2236</v>
      </c>
      <c r="AF23" s="7">
        <f>$AH21</f>
        <v>8228</v>
      </c>
    </row>
    <row r="24" spans="1:42" ht="18.399999999999999" customHeight="1" x14ac:dyDescent="0.15">
      <c r="A24" s="38" t="s">
        <v>2450</v>
      </c>
      <c r="B24" s="32"/>
      <c r="C24" s="32"/>
      <c r="D24" s="32"/>
      <c r="E24" s="32"/>
      <c r="F24" s="43"/>
      <c r="K24" s="3" t="s">
        <v>2450</v>
      </c>
    </row>
    <row r="25" spans="1:42" ht="18.399999999999999" customHeight="1" x14ac:dyDescent="0.15">
      <c r="A25" s="38" t="s">
        <v>2307</v>
      </c>
      <c r="B25" s="32"/>
      <c r="C25" s="32"/>
      <c r="D25" s="32"/>
      <c r="E25" s="32"/>
      <c r="F25" s="43"/>
      <c r="K25" s="3" t="s">
        <v>2307</v>
      </c>
    </row>
    <row r="26" spans="1:42" ht="18.399999999999999" customHeight="1" x14ac:dyDescent="0.15">
      <c r="A26" s="38" t="s">
        <v>2450</v>
      </c>
      <c r="B26" s="32"/>
      <c r="C26" s="32"/>
      <c r="D26" s="32"/>
      <c r="E26" s="32"/>
      <c r="F26" s="43"/>
      <c r="K26" s="10" t="str">
        <f>SUBSTITUTE(SUBSTITUTE(".A=1,B=8","8",TEXT($AF26,"#,##0"),1),"_x001D_","'")</f>
        <v>.A=1,B=8</v>
      </c>
      <c r="AA26" s="36" t="s">
        <v>430</v>
      </c>
      <c r="AB26" s="6">
        <v>1</v>
      </c>
      <c r="AC26" s="36" t="s">
        <v>430</v>
      </c>
      <c r="AD26" s="7">
        <f>$AB26</f>
        <v>1</v>
      </c>
      <c r="AE26" s="36" t="s">
        <v>1848</v>
      </c>
      <c r="AF26" s="6">
        <v>8</v>
      </c>
      <c r="AG26" s="36" t="s">
        <v>1848</v>
      </c>
      <c r="AH26" s="7">
        <f>$AF26</f>
        <v>8</v>
      </c>
    </row>
    <row r="27" spans="1:42" ht="18.399999999999999" customHeight="1" x14ac:dyDescent="0.15">
      <c r="A27" s="40" t="str">
        <f>CONCATENATE("  (",TEXT($AB27,"#,##0.00"),"  인  * _x001D_172,068_x001D_) / (",TEXT($AF27,"#,##0.00")," * ",TEXT($AJ27,"#,##0.00"),"  HR )= ",TEXT($AN27,"#,##0.00"))</f>
        <v xml:space="preserve">  (1.00  인  * _x001D_172,068_x001D_) / (4.60 * 8.00  HR )= 4,675.00</v>
      </c>
      <c r="B27" s="32">
        <f>SUM($C27,$D27,$E27)</f>
        <v>4675</v>
      </c>
      <c r="C27" s="32"/>
      <c r="D27" s="32">
        <f>$AN27</f>
        <v>4675</v>
      </c>
      <c r="E27" s="32"/>
      <c r="F27" s="43" t="s">
        <v>2450</v>
      </c>
      <c r="K27" s="3" t="s">
        <v>2301</v>
      </c>
      <c r="AA27" s="36" t="s">
        <v>1583</v>
      </c>
      <c r="AB27" s="8">
        <f>$AD26</f>
        <v>1</v>
      </c>
      <c r="AC27" s="36" t="s">
        <v>1217</v>
      </c>
      <c r="AD27" s="7">
        <f>$AB27</f>
        <v>1</v>
      </c>
      <c r="AE27" s="36" t="s">
        <v>1142</v>
      </c>
      <c r="AF27" s="8">
        <f>$AD15</f>
        <v>4.5999999999999996</v>
      </c>
      <c r="AG27" s="36" t="s">
        <v>1379</v>
      </c>
      <c r="AH27" s="7">
        <f>$AF27</f>
        <v>4.5999999999999996</v>
      </c>
      <c r="AI27" s="36" t="s">
        <v>1879</v>
      </c>
      <c r="AJ27" s="8">
        <f>$AH26</f>
        <v>8</v>
      </c>
      <c r="AK27" s="36" t="s">
        <v>2338</v>
      </c>
      <c r="AL27" s="7">
        <f>$AJ27</f>
        <v>8</v>
      </c>
      <c r="AM27" s="37" t="s">
        <v>265</v>
      </c>
      <c r="AN27" s="8">
        <f>TRUNC(($AD27*노임!D10)/($AH27*$AL27),0)</f>
        <v>4675</v>
      </c>
      <c r="AO27" s="37" t="s">
        <v>972</v>
      </c>
      <c r="AP27" s="7">
        <f>$AH19+$AN27</f>
        <v>17505</v>
      </c>
    </row>
    <row r="28" spans="1:42" ht="18.399999999999999" customHeight="1" x14ac:dyDescent="0.15">
      <c r="A28" s="38" t="s">
        <v>2450</v>
      </c>
      <c r="B28" s="32"/>
      <c r="C28" s="32"/>
      <c r="D28" s="32"/>
      <c r="E28" s="32"/>
      <c r="F28" s="43"/>
      <c r="K28" s="3" t="s">
        <v>2450</v>
      </c>
    </row>
    <row r="29" spans="1:42" ht="18.399999999999999" customHeight="1" x14ac:dyDescent="0.15">
      <c r="A29" s="38" t="s">
        <v>1421</v>
      </c>
      <c r="B29" s="32"/>
      <c r="C29" s="32"/>
      <c r="D29" s="32"/>
      <c r="E29" s="32"/>
      <c r="F29" s="43"/>
      <c r="K29" s="3" t="s">
        <v>1421</v>
      </c>
    </row>
    <row r="30" spans="1:42" ht="18.399999999999999" customHeight="1" x14ac:dyDescent="0.15">
      <c r="A30" s="38" t="s">
        <v>2450</v>
      </c>
      <c r="B30" s="32"/>
      <c r="C30" s="32"/>
      <c r="D30" s="32"/>
      <c r="E30" s="32"/>
      <c r="F30" s="43"/>
      <c r="K30" s="3" t="s">
        <v>548</v>
      </c>
      <c r="AA30" s="36" t="s">
        <v>1578</v>
      </c>
      <c r="AB30" s="6">
        <v>0.01</v>
      </c>
      <c r="AC30" s="36" t="s">
        <v>1578</v>
      </c>
      <c r="AD30" s="7">
        <f>$AB30</f>
        <v>0.01</v>
      </c>
    </row>
    <row r="31" spans="1:42" ht="18.399999999999999" customHeight="1" x14ac:dyDescent="0.15">
      <c r="A31" s="40" t="str">
        <f>CONCATENATE("  (",TEXT($AB31,"#,##0.00")," * _x001D_230,000_x001D_) / ",TEXT($AF31,"#,##0.00")," = ",TEXT($AJ31,"#,##0.00"))</f>
        <v xml:space="preserve">  (0.01 * _x001D_230,000_x001D_) / 4.60 = 500.00</v>
      </c>
      <c r="B31" s="32">
        <f>SUM($C31,$D31,$E31)</f>
        <v>500</v>
      </c>
      <c r="C31" s="32"/>
      <c r="D31" s="32"/>
      <c r="E31" s="32">
        <f>$AJ31</f>
        <v>500</v>
      </c>
      <c r="F31" s="43" t="s">
        <v>2450</v>
      </c>
      <c r="K31" s="3" t="s">
        <v>333</v>
      </c>
      <c r="AA31" s="36" t="s">
        <v>169</v>
      </c>
      <c r="AB31" s="8">
        <f>$AD30</f>
        <v>0.01</v>
      </c>
      <c r="AC31" s="36" t="s">
        <v>1765</v>
      </c>
      <c r="AD31" s="7">
        <f>$AB31</f>
        <v>0.01</v>
      </c>
      <c r="AE31" s="36" t="s">
        <v>1840</v>
      </c>
      <c r="AF31" s="8">
        <f>$AD15</f>
        <v>4.5999999999999996</v>
      </c>
      <c r="AG31" s="36" t="s">
        <v>845</v>
      </c>
      <c r="AH31" s="7">
        <f>$AF31</f>
        <v>4.5999999999999996</v>
      </c>
      <c r="AI31" s="37" t="s">
        <v>815</v>
      </c>
      <c r="AJ31" s="8">
        <f>TRUNC(($AD31*자재!D5)/$AH31,0)</f>
        <v>500</v>
      </c>
      <c r="AK31" s="37" t="s">
        <v>1302</v>
      </c>
      <c r="AL31" s="7">
        <f>$AH21+$AJ31</f>
        <v>8728</v>
      </c>
    </row>
    <row r="32" spans="1:42" ht="18.399999999999999" customHeight="1" x14ac:dyDescent="0.15">
      <c r="A32" s="38" t="s">
        <v>2450</v>
      </c>
      <c r="B32" s="32"/>
      <c r="C32" s="32"/>
      <c r="D32" s="32"/>
      <c r="E32" s="32"/>
      <c r="F32" s="43"/>
      <c r="K32" s="3" t="s">
        <v>2450</v>
      </c>
    </row>
    <row r="33" spans="1:32" ht="18.399999999999999" customHeight="1" x14ac:dyDescent="0.15">
      <c r="A33" s="38" t="s">
        <v>328</v>
      </c>
      <c r="B33" s="33">
        <f>SUM($C33,$D33,$E33)</f>
        <v>5175</v>
      </c>
      <c r="C33" s="33">
        <f>$AB33</f>
        <v>0</v>
      </c>
      <c r="D33" s="33">
        <f>$AD33</f>
        <v>4675</v>
      </c>
      <c r="E33" s="33">
        <f>$AF33</f>
        <v>500</v>
      </c>
      <c r="F33" s="44"/>
      <c r="K33" s="3" t="s">
        <v>1519</v>
      </c>
      <c r="AA33" s="36" t="s">
        <v>1729</v>
      </c>
      <c r="AB33" s="7">
        <f>$AH17-$AH17</f>
        <v>0</v>
      </c>
      <c r="AC33" s="36" t="s">
        <v>71</v>
      </c>
      <c r="AD33" s="7">
        <f>$AP27-$AH19</f>
        <v>4675</v>
      </c>
      <c r="AE33" s="36" t="s">
        <v>2236</v>
      </c>
      <c r="AF33" s="7">
        <f>$AL31-$AH21</f>
        <v>500</v>
      </c>
    </row>
    <row r="34" spans="1:32" ht="18.399999999999999" customHeight="1" x14ac:dyDescent="0.15">
      <c r="A34" s="38" t="s">
        <v>2450</v>
      </c>
      <c r="B34" s="32"/>
      <c r="C34" s="32"/>
      <c r="D34" s="32"/>
      <c r="E34" s="32"/>
      <c r="F34" s="43"/>
      <c r="K34" s="3" t="s">
        <v>2450</v>
      </c>
    </row>
    <row r="35" spans="1:32" ht="18.399999999999999" customHeight="1" x14ac:dyDescent="0.15">
      <c r="A35" s="38" t="s">
        <v>2345</v>
      </c>
      <c r="B35" s="34">
        <f>SUM($C35,$D35,$E35)</f>
        <v>30884</v>
      </c>
      <c r="C35" s="34">
        <f>$AB35</f>
        <v>4651</v>
      </c>
      <c r="D35" s="34">
        <f>$AD35</f>
        <v>17505</v>
      </c>
      <c r="E35" s="34">
        <f>$AF35</f>
        <v>8728</v>
      </c>
      <c r="F35" s="45"/>
      <c r="K35" s="3" t="s">
        <v>726</v>
      </c>
      <c r="AA35" s="36" t="s">
        <v>989</v>
      </c>
      <c r="AB35" s="7">
        <f>$AH17</f>
        <v>4651</v>
      </c>
      <c r="AC35" s="36" t="s">
        <v>2036</v>
      </c>
      <c r="AD35" s="7">
        <f>$AP27</f>
        <v>17505</v>
      </c>
      <c r="AE35" s="36" t="s">
        <v>585</v>
      </c>
      <c r="AF35" s="7">
        <f>$AL31</f>
        <v>8728</v>
      </c>
    </row>
    <row r="36" spans="1:32" ht="18.399999999999999" customHeight="1" x14ac:dyDescent="0.15">
      <c r="A36" s="38" t="s">
        <v>2450</v>
      </c>
      <c r="B36" s="32"/>
      <c r="C36" s="32"/>
      <c r="D36" s="32"/>
      <c r="E36" s="32"/>
      <c r="F36" s="43"/>
      <c r="K36" s="3" t="s">
        <v>2450</v>
      </c>
    </row>
    <row r="37" spans="1:32" ht="18.399999999999999" customHeight="1" x14ac:dyDescent="0.15">
      <c r="A37" s="38" t="s">
        <v>2066</v>
      </c>
      <c r="B37" s="35">
        <f>SUM($C37,$D37,$E37)</f>
        <v>30884</v>
      </c>
      <c r="C37" s="35">
        <f>$AB37</f>
        <v>4651</v>
      </c>
      <c r="D37" s="35">
        <f>$AD37</f>
        <v>17505</v>
      </c>
      <c r="E37" s="35">
        <f>$AF37</f>
        <v>8728</v>
      </c>
      <c r="F37" s="46"/>
      <c r="K37" s="3" t="s">
        <v>1514</v>
      </c>
      <c r="AA37" s="36" t="s">
        <v>615</v>
      </c>
      <c r="AB37" s="7">
        <f>$AH17</f>
        <v>4651</v>
      </c>
      <c r="AC37" s="36" t="s">
        <v>1332</v>
      </c>
      <c r="AD37" s="7">
        <f>$AP27</f>
        <v>17505</v>
      </c>
      <c r="AE37" s="36" t="s">
        <v>963</v>
      </c>
      <c r="AF37" s="7">
        <f>$AL31</f>
        <v>8728</v>
      </c>
    </row>
    <row r="38" spans="1:32" ht="18.399999999999999" customHeight="1" x14ac:dyDescent="0.15">
      <c r="A38" s="38"/>
      <c r="B38" s="3"/>
      <c r="C38" s="3"/>
      <c r="D38" s="3"/>
      <c r="E38" s="3"/>
      <c r="F38" s="42"/>
    </row>
    <row r="39" spans="1:32" ht="18.399999999999999" customHeight="1" x14ac:dyDescent="0.15">
      <c r="A39" s="41" t="s">
        <v>1388</v>
      </c>
      <c r="B39" s="35">
        <f>SUM($C39,$D39,$E39)</f>
        <v>30884</v>
      </c>
      <c r="C39" s="35">
        <f>TRUNC(SUM($AH17),0)</f>
        <v>4651</v>
      </c>
      <c r="D39" s="35">
        <f>TRUNC(SUM($AP27),0)</f>
        <v>17505</v>
      </c>
      <c r="E39" s="35">
        <f>TRUNC(SUM($AL31),0)</f>
        <v>8728</v>
      </c>
      <c r="F39" s="47"/>
    </row>
    <row r="40" spans="1:32" ht="18.399999999999999" customHeight="1" x14ac:dyDescent="0.15">
      <c r="A40" s="38"/>
      <c r="B40" s="3"/>
      <c r="C40" s="3"/>
      <c r="D40" s="3"/>
      <c r="E40" s="3"/>
      <c r="F40" s="42"/>
    </row>
    <row r="41" spans="1:32" ht="18.399999999999999" customHeight="1" x14ac:dyDescent="0.15">
      <c r="A41" s="38" t="s">
        <v>2197</v>
      </c>
      <c r="B41" s="32">
        <f>$B72</f>
        <v>8877</v>
      </c>
      <c r="C41" s="32">
        <f>$C72</f>
        <v>1337</v>
      </c>
      <c r="D41" s="32">
        <f>$D72</f>
        <v>5032</v>
      </c>
      <c r="E41" s="32">
        <f>$E72</f>
        <v>2508</v>
      </c>
      <c r="F41" s="42" t="s">
        <v>2450</v>
      </c>
      <c r="G41" t="s">
        <v>2450</v>
      </c>
      <c r="H41" t="s">
        <v>1232</v>
      </c>
      <c r="K41">
        <v>1</v>
      </c>
      <c r="Y41" s="7" t="b">
        <f>EXACT($Z41,$B72)</f>
        <v>1</v>
      </c>
      <c r="Z41" s="35">
        <v>8877</v>
      </c>
    </row>
    <row r="42" spans="1:32" ht="18.399999999999999" customHeight="1" x14ac:dyDescent="0.15">
      <c r="A42" s="39"/>
      <c r="B42" s="3"/>
      <c r="C42" s="3"/>
      <c r="D42" s="3"/>
      <c r="E42" s="3"/>
      <c r="F42" s="42"/>
    </row>
    <row r="43" spans="1:32" ht="18.399999999999999" customHeight="1" x14ac:dyDescent="0.15">
      <c r="A43" s="38" t="s">
        <v>2450</v>
      </c>
      <c r="B43" s="3"/>
      <c r="C43" s="3"/>
      <c r="D43" s="3"/>
      <c r="E43" s="3"/>
      <c r="F43" s="42"/>
      <c r="G43" t="s">
        <v>2450</v>
      </c>
      <c r="I43" t="s">
        <v>289</v>
      </c>
      <c r="J43" t="s">
        <v>2450</v>
      </c>
      <c r="K43" t="s">
        <v>2053</v>
      </c>
    </row>
    <row r="44" spans="1:32" ht="18.399999999999999" customHeight="1" x14ac:dyDescent="0.15">
      <c r="A44" s="38" t="s">
        <v>416</v>
      </c>
      <c r="B44" s="32"/>
      <c r="C44" s="32"/>
      <c r="D44" s="32"/>
      <c r="E44" s="32"/>
      <c r="F44" s="43"/>
      <c r="K44" s="3" t="s">
        <v>416</v>
      </c>
    </row>
    <row r="45" spans="1:32" ht="18.399999999999999" customHeight="1" x14ac:dyDescent="0.15">
      <c r="A45" s="38" t="s">
        <v>2450</v>
      </c>
      <c r="B45" s="32"/>
      <c r="C45" s="32"/>
      <c r="D45" s="32"/>
      <c r="E45" s="32"/>
      <c r="F45" s="43"/>
      <c r="K45" s="3" t="s">
        <v>2450</v>
      </c>
    </row>
    <row r="46" spans="1:32" ht="18.399999999999999" customHeight="1" x14ac:dyDescent="0.15">
      <c r="A46" s="38" t="s">
        <v>1647</v>
      </c>
      <c r="B46" s="32"/>
      <c r="C46" s="32"/>
      <c r="D46" s="32"/>
      <c r="E46" s="32"/>
      <c r="F46" s="43"/>
      <c r="K46" s="3" t="s">
        <v>1647</v>
      </c>
    </row>
    <row r="47" spans="1:32" ht="18.399999999999999" customHeight="1" x14ac:dyDescent="0.15">
      <c r="A47" s="38" t="s">
        <v>2450</v>
      </c>
      <c r="B47" s="32"/>
      <c r="C47" s="32"/>
      <c r="D47" s="32"/>
      <c r="E47" s="32"/>
      <c r="F47" s="43"/>
      <c r="K47" s="3" t="s">
        <v>2450</v>
      </c>
    </row>
    <row r="48" spans="1:32" ht="18.399999999999999" customHeight="1" x14ac:dyDescent="0.15">
      <c r="A48" s="38" t="s">
        <v>85</v>
      </c>
      <c r="B48" s="32"/>
      <c r="C48" s="32"/>
      <c r="D48" s="32"/>
      <c r="E48" s="32"/>
      <c r="F48" s="43"/>
      <c r="K48" s="3" t="s">
        <v>85</v>
      </c>
    </row>
    <row r="49" spans="1:42" ht="18.399999999999999" customHeight="1" x14ac:dyDescent="0.15">
      <c r="A49" s="38" t="s">
        <v>2450</v>
      </c>
      <c r="B49" s="32"/>
      <c r="C49" s="32"/>
      <c r="D49" s="32"/>
      <c r="E49" s="32"/>
      <c r="F49" s="43"/>
      <c r="K49" s="3" t="s">
        <v>2450</v>
      </c>
    </row>
    <row r="50" spans="1:42" ht="18.399999999999999" customHeight="1" x14ac:dyDescent="0.15">
      <c r="A50" s="40" t="str">
        <f>CONCATENATE("   Q=",TEXT($AB50,"#,##0.00"),"  M3/HR")</f>
        <v xml:space="preserve">   Q=16.00  M3/HR</v>
      </c>
      <c r="B50" s="32"/>
      <c r="C50" s="32"/>
      <c r="D50" s="32"/>
      <c r="E50" s="32"/>
      <c r="F50" s="43"/>
      <c r="K50" s="10" t="str">
        <f>SUBSTITUTE(SUBSTITUTE("   Q =  16 _x001D_M3/HR_x001D_","16",TEXT($AB50,"#,##0"),1),"_x001D_","'")</f>
        <v xml:space="preserve">   Q =  16 'M3/HR'</v>
      </c>
      <c r="AA50" s="36" t="s">
        <v>1686</v>
      </c>
      <c r="AB50" s="6">
        <v>16</v>
      </c>
      <c r="AC50" s="36" t="s">
        <v>1686</v>
      </c>
      <c r="AD50" s="7">
        <f>$AB50</f>
        <v>16</v>
      </c>
    </row>
    <row r="51" spans="1:42" ht="18.399999999999999" customHeight="1" x14ac:dyDescent="0.15">
      <c r="A51" s="38" t="s">
        <v>2450</v>
      </c>
      <c r="B51" s="32"/>
      <c r="C51" s="32"/>
      <c r="D51" s="32"/>
      <c r="E51" s="32"/>
      <c r="F51" s="43"/>
      <c r="K51" s="3" t="s">
        <v>2450</v>
      </c>
    </row>
    <row r="52" spans="1:42" ht="18.399999999999999" customHeight="1" x14ac:dyDescent="0.15">
      <c r="A52" s="40" t="str">
        <f>CONCATENATE("    재 료 비 :  _x001D_21,395_x001D_ / ",TEXT($AB52,"#,##0.00")," =",TEXT($AF52,"#,##0.00"))</f>
        <v xml:space="preserve">    재 료 비 :  _x001D_21,395_x001D_ / 16.00 =1,337.00</v>
      </c>
      <c r="B52" s="32">
        <f>SUM($C52,$D52,$E52)</f>
        <v>1337</v>
      </c>
      <c r="C52" s="32">
        <f>$AF52</f>
        <v>1337</v>
      </c>
      <c r="D52" s="32"/>
      <c r="E52" s="32"/>
      <c r="F52" s="43" t="s">
        <v>2450</v>
      </c>
      <c r="K52" s="3" t="s">
        <v>1067</v>
      </c>
      <c r="AA52" s="36" t="s">
        <v>1366</v>
      </c>
      <c r="AB52" s="8">
        <f>$AD50</f>
        <v>16</v>
      </c>
      <c r="AC52" s="36" t="s">
        <v>2003</v>
      </c>
      <c r="AD52" s="7">
        <f>$AB52</f>
        <v>16</v>
      </c>
      <c r="AE52" s="37" t="s">
        <v>1805</v>
      </c>
      <c r="AF52" s="8">
        <f>TRUNC(중기사용료목록!E7/$AD52,0)</f>
        <v>1337</v>
      </c>
      <c r="AG52" s="37" t="s">
        <v>2029</v>
      </c>
      <c r="AH52" s="7">
        <f>$AF52</f>
        <v>1337</v>
      </c>
    </row>
    <row r="53" spans="1:42" ht="18.399999999999999" customHeight="1" x14ac:dyDescent="0.15">
      <c r="A53" s="38" t="s">
        <v>2450</v>
      </c>
      <c r="B53" s="32"/>
      <c r="C53" s="32"/>
      <c r="D53" s="32"/>
      <c r="E53" s="32"/>
      <c r="F53" s="43"/>
      <c r="K53" s="3" t="s">
        <v>2450</v>
      </c>
    </row>
    <row r="54" spans="1:42" ht="18.399999999999999" customHeight="1" x14ac:dyDescent="0.15">
      <c r="A54" s="40" t="str">
        <f>CONCATENATE("    노 무 비 :  _x001D_59,020_x001D_ / ",TEXT($AB54,"#,##0.00")," =",TEXT($AF54,"#,##0.00"))</f>
        <v xml:space="preserve">    노 무 비 :  _x001D_59,020_x001D_ / 16.00 =3,688.00</v>
      </c>
      <c r="B54" s="32">
        <f>SUM($C54,$D54,$E54)</f>
        <v>3688</v>
      </c>
      <c r="C54" s="32"/>
      <c r="D54" s="32">
        <f>$AF54</f>
        <v>3688</v>
      </c>
      <c r="E54" s="32"/>
      <c r="F54" s="43" t="s">
        <v>2450</v>
      </c>
      <c r="K54" s="3" t="s">
        <v>2404</v>
      </c>
      <c r="AA54" s="36" t="s">
        <v>249</v>
      </c>
      <c r="AB54" s="8">
        <f>$AD50</f>
        <v>16</v>
      </c>
      <c r="AC54" s="36" t="s">
        <v>846</v>
      </c>
      <c r="AD54" s="7">
        <f>$AB54</f>
        <v>16</v>
      </c>
      <c r="AE54" s="37" t="s">
        <v>265</v>
      </c>
      <c r="AF54" s="8">
        <f>TRUNC(중기사용료목록!F7/$AD54,0)</f>
        <v>3688</v>
      </c>
      <c r="AG54" s="37" t="s">
        <v>972</v>
      </c>
      <c r="AH54" s="7">
        <f>$AF54</f>
        <v>3688</v>
      </c>
    </row>
    <row r="55" spans="1:42" ht="18.399999999999999" customHeight="1" x14ac:dyDescent="0.15">
      <c r="A55" s="38" t="s">
        <v>2450</v>
      </c>
      <c r="B55" s="32"/>
      <c r="C55" s="32"/>
      <c r="D55" s="32"/>
      <c r="E55" s="32"/>
      <c r="F55" s="43"/>
      <c r="K55" s="3" t="s">
        <v>2450</v>
      </c>
    </row>
    <row r="56" spans="1:42" ht="18.399999999999999" customHeight="1" x14ac:dyDescent="0.15">
      <c r="A56" s="40" t="str">
        <f>CONCATENATE("    경    비 :  _x001D_37,850_x001D_ / ",TEXT($AB56,"#,##0.00")," =",TEXT($AF56,"#,##0.00"))</f>
        <v xml:space="preserve">    경    비 :  _x001D_37,850_x001D_ / 16.00 =2,365.00</v>
      </c>
      <c r="B56" s="32">
        <f>SUM($C56,$D56,$E56)</f>
        <v>2365</v>
      </c>
      <c r="C56" s="32"/>
      <c r="D56" s="32"/>
      <c r="E56" s="32">
        <f>$AF56</f>
        <v>2365</v>
      </c>
      <c r="F56" s="43" t="s">
        <v>2450</v>
      </c>
      <c r="K56" s="3" t="s">
        <v>1164</v>
      </c>
      <c r="AA56" s="36" t="s">
        <v>1488</v>
      </c>
      <c r="AB56" s="8">
        <f>$AD50</f>
        <v>16</v>
      </c>
      <c r="AC56" s="36" t="s">
        <v>388</v>
      </c>
      <c r="AD56" s="7">
        <f>$AB56</f>
        <v>16</v>
      </c>
      <c r="AE56" s="37" t="s">
        <v>815</v>
      </c>
      <c r="AF56" s="8">
        <f>TRUNC(중기사용료목록!G7/$AD56,0)</f>
        <v>2365</v>
      </c>
      <c r="AG56" s="37" t="s">
        <v>1302</v>
      </c>
      <c r="AH56" s="7">
        <f>$AF56</f>
        <v>2365</v>
      </c>
    </row>
    <row r="57" spans="1:42" ht="18.399999999999999" customHeight="1" x14ac:dyDescent="0.15">
      <c r="A57" s="38" t="s">
        <v>2450</v>
      </c>
      <c r="B57" s="32"/>
      <c r="C57" s="32"/>
      <c r="D57" s="32"/>
      <c r="E57" s="32"/>
      <c r="F57" s="43"/>
      <c r="K57" s="3" t="s">
        <v>2450</v>
      </c>
    </row>
    <row r="58" spans="1:42" ht="18.399999999999999" customHeight="1" x14ac:dyDescent="0.15">
      <c r="A58" s="38" t="s">
        <v>328</v>
      </c>
      <c r="B58" s="33">
        <f>SUM($C58,$D58,$E58)</f>
        <v>7390</v>
      </c>
      <c r="C58" s="33">
        <f>$AB58</f>
        <v>1337</v>
      </c>
      <c r="D58" s="33">
        <f>$AD58</f>
        <v>3688</v>
      </c>
      <c r="E58" s="33">
        <f>$AF58</f>
        <v>2365</v>
      </c>
      <c r="F58" s="44"/>
      <c r="K58" s="3" t="s">
        <v>1519</v>
      </c>
      <c r="AA58" s="36" t="s">
        <v>1729</v>
      </c>
      <c r="AB58" s="7">
        <f>$AH52</f>
        <v>1337</v>
      </c>
      <c r="AC58" s="36" t="s">
        <v>71</v>
      </c>
      <c r="AD58" s="7">
        <f>$AH54</f>
        <v>3688</v>
      </c>
      <c r="AE58" s="36" t="s">
        <v>2236</v>
      </c>
      <c r="AF58" s="7">
        <f>$AH56</f>
        <v>2365</v>
      </c>
    </row>
    <row r="59" spans="1:42" ht="18.399999999999999" customHeight="1" x14ac:dyDescent="0.15">
      <c r="A59" s="38" t="s">
        <v>2450</v>
      </c>
      <c r="B59" s="32"/>
      <c r="C59" s="32"/>
      <c r="D59" s="32"/>
      <c r="E59" s="32"/>
      <c r="F59" s="43"/>
      <c r="K59" s="3" t="s">
        <v>2450</v>
      </c>
    </row>
    <row r="60" spans="1:42" ht="18.399999999999999" customHeight="1" x14ac:dyDescent="0.15">
      <c r="A60" s="38" t="s">
        <v>2307</v>
      </c>
      <c r="B60" s="32"/>
      <c r="C60" s="32"/>
      <c r="D60" s="32"/>
      <c r="E60" s="32"/>
      <c r="F60" s="43"/>
      <c r="K60" s="3" t="s">
        <v>2307</v>
      </c>
    </row>
    <row r="61" spans="1:42" ht="18.399999999999999" customHeight="1" x14ac:dyDescent="0.15">
      <c r="A61" s="38" t="s">
        <v>2450</v>
      </c>
      <c r="B61" s="32"/>
      <c r="C61" s="32"/>
      <c r="D61" s="32"/>
      <c r="E61" s="32"/>
      <c r="F61" s="43"/>
      <c r="K61" s="10" t="str">
        <f>SUBSTITUTE(SUBSTITUTE(".A=1,B=8","8",TEXT($AF61,"#,##0"),1),"_x001D_","'")</f>
        <v>.A=1,B=8</v>
      </c>
      <c r="AA61" s="36" t="s">
        <v>430</v>
      </c>
      <c r="AB61" s="6">
        <v>1</v>
      </c>
      <c r="AC61" s="36" t="s">
        <v>430</v>
      </c>
      <c r="AD61" s="7">
        <f>$AB61</f>
        <v>1</v>
      </c>
      <c r="AE61" s="36" t="s">
        <v>1848</v>
      </c>
      <c r="AF61" s="6">
        <v>8</v>
      </c>
      <c r="AG61" s="36" t="s">
        <v>1848</v>
      </c>
      <c r="AH61" s="7">
        <f>$AF61</f>
        <v>8</v>
      </c>
    </row>
    <row r="62" spans="1:42" ht="18.399999999999999" customHeight="1" x14ac:dyDescent="0.15">
      <c r="A62" s="40" t="str">
        <f>CONCATENATE("  (",TEXT($AB62,"#,##0.00"),"  인  * _x001D_172,068_x001D_) / (",TEXT($AF62,"#,##0.00")," * ",TEXT($AJ62,"#,##0.00"),"  HR )=",TEXT($AN62,"#,##0.00"))</f>
        <v xml:space="preserve">  (1.00  인  * _x001D_172,068_x001D_) / (16.00 * 8.00  HR )=1,344.00</v>
      </c>
      <c r="B62" s="32">
        <f>SUM($C62,$D62,$E62)</f>
        <v>1344</v>
      </c>
      <c r="C62" s="32"/>
      <c r="D62" s="32">
        <f>$AN62</f>
        <v>1344</v>
      </c>
      <c r="E62" s="32"/>
      <c r="F62" s="43" t="s">
        <v>2450</v>
      </c>
      <c r="K62" s="3" t="s">
        <v>965</v>
      </c>
      <c r="AA62" s="36" t="s">
        <v>1399</v>
      </c>
      <c r="AB62" s="8">
        <f>$AD61</f>
        <v>1</v>
      </c>
      <c r="AC62" s="36" t="s">
        <v>221</v>
      </c>
      <c r="AD62" s="7">
        <f>$AB62</f>
        <v>1</v>
      </c>
      <c r="AE62" s="36" t="s">
        <v>665</v>
      </c>
      <c r="AF62" s="8">
        <f>$AD50</f>
        <v>16</v>
      </c>
      <c r="AG62" s="36" t="s">
        <v>2388</v>
      </c>
      <c r="AH62" s="7">
        <f>$AF62</f>
        <v>16</v>
      </c>
      <c r="AI62" s="36" t="s">
        <v>2327</v>
      </c>
      <c r="AJ62" s="8">
        <f>$AH61</f>
        <v>8</v>
      </c>
      <c r="AK62" s="36" t="s">
        <v>1486</v>
      </c>
      <c r="AL62" s="7">
        <f>$AJ62</f>
        <v>8</v>
      </c>
      <c r="AM62" s="37" t="s">
        <v>265</v>
      </c>
      <c r="AN62" s="8">
        <f>TRUNC(($AD62*노임!D10)/($AH62*$AL62),0)</f>
        <v>1344</v>
      </c>
      <c r="AO62" s="37" t="s">
        <v>972</v>
      </c>
      <c r="AP62" s="7">
        <f>$AH54+$AN62</f>
        <v>5032</v>
      </c>
    </row>
    <row r="63" spans="1:42" ht="18.399999999999999" customHeight="1" x14ac:dyDescent="0.15">
      <c r="A63" s="38" t="s">
        <v>2450</v>
      </c>
      <c r="B63" s="32"/>
      <c r="C63" s="32"/>
      <c r="D63" s="32"/>
      <c r="E63" s="32"/>
      <c r="F63" s="43"/>
      <c r="K63" s="3" t="s">
        <v>2450</v>
      </c>
    </row>
    <row r="64" spans="1:42" ht="18.399999999999999" customHeight="1" x14ac:dyDescent="0.15">
      <c r="A64" s="38" t="s">
        <v>328</v>
      </c>
      <c r="B64" s="33">
        <f>SUM($C64,$D64,$E64)</f>
        <v>1344</v>
      </c>
      <c r="C64" s="33">
        <f>$AB64</f>
        <v>0</v>
      </c>
      <c r="D64" s="33">
        <f>$AD64</f>
        <v>1344</v>
      </c>
      <c r="E64" s="33">
        <f>$AF64</f>
        <v>0</v>
      </c>
      <c r="F64" s="44"/>
      <c r="K64" s="3" t="s">
        <v>1519</v>
      </c>
      <c r="AA64" s="36" t="s">
        <v>1729</v>
      </c>
      <c r="AB64" s="7">
        <f>$AH52-$AH52</f>
        <v>0</v>
      </c>
      <c r="AC64" s="36" t="s">
        <v>71</v>
      </c>
      <c r="AD64" s="7">
        <f>$AP62-$AH54</f>
        <v>1344</v>
      </c>
      <c r="AE64" s="36" t="s">
        <v>2236</v>
      </c>
      <c r="AF64" s="7">
        <f>$AH56-$AH56</f>
        <v>0</v>
      </c>
    </row>
    <row r="65" spans="1:38" ht="18.399999999999999" customHeight="1" x14ac:dyDescent="0.15">
      <c r="A65" s="38" t="s">
        <v>2450</v>
      </c>
      <c r="B65" s="32"/>
      <c r="C65" s="32"/>
      <c r="D65" s="32"/>
      <c r="E65" s="32"/>
      <c r="F65" s="43"/>
      <c r="K65" s="3" t="s">
        <v>2450</v>
      </c>
    </row>
    <row r="66" spans="1:38" ht="18.399999999999999" customHeight="1" x14ac:dyDescent="0.15">
      <c r="A66" s="38" t="s">
        <v>1421</v>
      </c>
      <c r="B66" s="32"/>
      <c r="C66" s="32"/>
      <c r="D66" s="32"/>
      <c r="E66" s="32"/>
      <c r="F66" s="43"/>
      <c r="K66" s="3" t="s">
        <v>1421</v>
      </c>
    </row>
    <row r="67" spans="1:38" ht="18.399999999999999" customHeight="1" x14ac:dyDescent="0.15">
      <c r="A67" s="38" t="s">
        <v>2450</v>
      </c>
      <c r="B67" s="32"/>
      <c r="C67" s="32"/>
      <c r="D67" s="32"/>
      <c r="E67" s="32"/>
      <c r="F67" s="43"/>
      <c r="K67" s="3" t="s">
        <v>550</v>
      </c>
      <c r="AA67" s="36" t="s">
        <v>1578</v>
      </c>
      <c r="AB67" s="6">
        <v>0.01</v>
      </c>
      <c r="AC67" s="36" t="s">
        <v>1578</v>
      </c>
      <c r="AD67" s="7">
        <f>$AB67</f>
        <v>0.01</v>
      </c>
    </row>
    <row r="68" spans="1:38" ht="18.399999999999999" customHeight="1" x14ac:dyDescent="0.15">
      <c r="A68" s="40" t="str">
        <f>CONCATENATE("  (",TEXT($AB68,"#,##0.00")," * _x001D_230,000_x001D_) / ",TEXT($AF68,"#,##0.00")," =",TEXT($AJ68,"#,##0.00"))</f>
        <v xml:space="preserve">  (0.01 * _x001D_230,000_x001D_) / 16.00 =143.00</v>
      </c>
      <c r="B68" s="32">
        <f>SUM($C68,$D68,$E68)</f>
        <v>143</v>
      </c>
      <c r="C68" s="32"/>
      <c r="D68" s="32"/>
      <c r="E68" s="32">
        <f>$AJ68</f>
        <v>143</v>
      </c>
      <c r="F68" s="43" t="s">
        <v>2450</v>
      </c>
      <c r="K68" s="3" t="s">
        <v>962</v>
      </c>
      <c r="AA68" s="36" t="s">
        <v>121</v>
      </c>
      <c r="AB68" s="8">
        <f>$AD67</f>
        <v>0.01</v>
      </c>
      <c r="AC68" s="36" t="s">
        <v>2136</v>
      </c>
      <c r="AD68" s="7">
        <f>$AB68</f>
        <v>0.01</v>
      </c>
      <c r="AE68" s="36" t="s">
        <v>2114</v>
      </c>
      <c r="AF68" s="8">
        <f>$AD50</f>
        <v>16</v>
      </c>
      <c r="AG68" s="36" t="s">
        <v>478</v>
      </c>
      <c r="AH68" s="7">
        <f>$AF68</f>
        <v>16</v>
      </c>
      <c r="AI68" s="37" t="s">
        <v>815</v>
      </c>
      <c r="AJ68" s="8">
        <f>TRUNC(($AD68*자재!D5)/$AH68,0)</f>
        <v>143</v>
      </c>
      <c r="AK68" s="37" t="s">
        <v>1302</v>
      </c>
      <c r="AL68" s="7">
        <f>$AH56+$AJ68</f>
        <v>2508</v>
      </c>
    </row>
    <row r="69" spans="1:38" ht="18.399999999999999" customHeight="1" x14ac:dyDescent="0.15">
      <c r="A69" s="38" t="s">
        <v>2450</v>
      </c>
      <c r="B69" s="32"/>
      <c r="C69" s="32"/>
      <c r="D69" s="32"/>
      <c r="E69" s="32"/>
      <c r="F69" s="43"/>
      <c r="K69" s="3" t="s">
        <v>2450</v>
      </c>
    </row>
    <row r="70" spans="1:38" ht="18.399999999999999" customHeight="1" x14ac:dyDescent="0.15">
      <c r="A70" s="38" t="s">
        <v>328</v>
      </c>
      <c r="B70" s="33">
        <f>SUM($C70,$D70,$E70)</f>
        <v>143</v>
      </c>
      <c r="C70" s="33">
        <f>$AB70</f>
        <v>0</v>
      </c>
      <c r="D70" s="33">
        <f>$AD70</f>
        <v>0</v>
      </c>
      <c r="E70" s="33">
        <f>$AF70</f>
        <v>143</v>
      </c>
      <c r="F70" s="44"/>
      <c r="K70" s="3" t="s">
        <v>1519</v>
      </c>
      <c r="AA70" s="36" t="s">
        <v>1729</v>
      </c>
      <c r="AB70" s="7">
        <f>$AH52-$AH52</f>
        <v>0</v>
      </c>
      <c r="AC70" s="36" t="s">
        <v>71</v>
      </c>
      <c r="AD70" s="7">
        <f>$AP62-$AP62</f>
        <v>0</v>
      </c>
      <c r="AE70" s="36" t="s">
        <v>2236</v>
      </c>
      <c r="AF70" s="7">
        <f>$AL68-$AH56</f>
        <v>143</v>
      </c>
    </row>
    <row r="71" spans="1:38" ht="18.399999999999999" customHeight="1" x14ac:dyDescent="0.15">
      <c r="A71" s="38"/>
      <c r="B71" s="3"/>
      <c r="C71" s="3"/>
      <c r="D71" s="3"/>
      <c r="E71" s="3"/>
      <c r="F71" s="42"/>
    </row>
    <row r="72" spans="1:38" ht="18.399999999999999" customHeight="1" x14ac:dyDescent="0.15">
      <c r="A72" s="41" t="s">
        <v>1388</v>
      </c>
      <c r="B72" s="35">
        <f>SUM($C72,$D72,$E72)</f>
        <v>8877</v>
      </c>
      <c r="C72" s="35">
        <f>TRUNC(SUM($AH52),0)</f>
        <v>1337</v>
      </c>
      <c r="D72" s="35">
        <f>TRUNC(SUM($AP62),0)</f>
        <v>5032</v>
      </c>
      <c r="E72" s="35">
        <f>TRUNC(SUM($AL68),0)</f>
        <v>2508</v>
      </c>
      <c r="F72" s="47"/>
    </row>
    <row r="73" spans="1:38" ht="18.399999999999999" customHeight="1" x14ac:dyDescent="0.15">
      <c r="A73" s="38"/>
      <c r="B73" s="3"/>
      <c r="C73" s="3"/>
      <c r="D73" s="3"/>
      <c r="E73" s="3"/>
      <c r="F73" s="42"/>
    </row>
    <row r="74" spans="1:38" ht="18.399999999999999" customHeight="1" x14ac:dyDescent="0.15">
      <c r="A74" s="38" t="s">
        <v>343</v>
      </c>
      <c r="B74" s="32">
        <f>$B137</f>
        <v>2276</v>
      </c>
      <c r="C74" s="32">
        <f>$C137</f>
        <v>674</v>
      </c>
      <c r="D74" s="32">
        <f>$D137</f>
        <v>1535</v>
      </c>
      <c r="E74" s="32">
        <f>$E137</f>
        <v>67</v>
      </c>
      <c r="F74" s="42" t="s">
        <v>2450</v>
      </c>
      <c r="G74" t="s">
        <v>2450</v>
      </c>
      <c r="H74" t="s">
        <v>34</v>
      </c>
      <c r="K74">
        <v>1</v>
      </c>
      <c r="Y74" s="7" t="b">
        <f>EXACT($Z74,$B137)</f>
        <v>1</v>
      </c>
      <c r="Z74" s="35">
        <v>2276</v>
      </c>
    </row>
    <row r="75" spans="1:38" ht="18.399999999999999" customHeight="1" x14ac:dyDescent="0.15">
      <c r="A75" s="39"/>
      <c r="B75" s="3"/>
      <c r="C75" s="3"/>
      <c r="D75" s="3"/>
      <c r="E75" s="3"/>
      <c r="F75" s="42"/>
    </row>
    <row r="76" spans="1:38" ht="18.399999999999999" customHeight="1" x14ac:dyDescent="0.15">
      <c r="A76" s="38" t="s">
        <v>2450</v>
      </c>
      <c r="B76" s="3"/>
      <c r="C76" s="3"/>
      <c r="D76" s="3"/>
      <c r="E76" s="3"/>
      <c r="F76" s="42"/>
      <c r="G76" t="s">
        <v>2450</v>
      </c>
      <c r="I76" t="s">
        <v>289</v>
      </c>
      <c r="J76" t="s">
        <v>2450</v>
      </c>
      <c r="K76" t="s">
        <v>2053</v>
      </c>
    </row>
    <row r="77" spans="1:38" ht="18.399999999999999" customHeight="1" x14ac:dyDescent="0.15">
      <c r="A77" s="38" t="s">
        <v>361</v>
      </c>
      <c r="B77" s="32"/>
      <c r="C77" s="32"/>
      <c r="D77" s="32"/>
      <c r="E77" s="32"/>
      <c r="F77" s="43"/>
      <c r="K77" s="3" t="s">
        <v>361</v>
      </c>
    </row>
    <row r="78" spans="1:38" ht="18.399999999999999" customHeight="1" x14ac:dyDescent="0.15">
      <c r="A78" s="38" t="s">
        <v>2450</v>
      </c>
      <c r="B78" s="32"/>
      <c r="C78" s="32"/>
      <c r="D78" s="32"/>
      <c r="E78" s="32"/>
      <c r="F78" s="43"/>
      <c r="K78" s="3" t="s">
        <v>2450</v>
      </c>
    </row>
    <row r="79" spans="1:38" ht="18.399999999999999" customHeight="1" x14ac:dyDescent="0.15">
      <c r="A79" s="40" t="str">
        <f>CONCATENATE(" ○ 1일 시공량 :  A=",TEXT($AB79,"#,##0.00")," M/일")</f>
        <v xml:space="preserve"> ○ 1일 시공량 :  A=500.00 M/일</v>
      </c>
      <c r="B79" s="32"/>
      <c r="C79" s="32"/>
      <c r="D79" s="32"/>
      <c r="E79" s="32"/>
      <c r="F79" s="43"/>
      <c r="K79" s="10" t="str">
        <f>SUBSTITUTE(SUBSTITUTE("_x001D_○ 1일 시공량 :_x001D_ A = 500_x001D_M/일_x001D_","500",TEXT($AB79,"#,##0"),1),"_x001D_","'")</f>
        <v>'○ 1일 시공량 :' A = 500'M/일'</v>
      </c>
      <c r="AA79" s="36" t="s">
        <v>430</v>
      </c>
      <c r="AB79" s="6">
        <v>500</v>
      </c>
      <c r="AC79" s="36" t="s">
        <v>430</v>
      </c>
      <c r="AD79" s="7">
        <f>$AB79</f>
        <v>500</v>
      </c>
    </row>
    <row r="80" spans="1:38" ht="18.399999999999999" customHeight="1" x14ac:dyDescent="0.15">
      <c r="A80" s="38" t="s">
        <v>2450</v>
      </c>
      <c r="B80" s="32"/>
      <c r="C80" s="32"/>
      <c r="D80" s="32"/>
      <c r="E80" s="32"/>
      <c r="F80" s="43"/>
      <c r="K80" s="3" t="s">
        <v>2450</v>
      </c>
    </row>
    <row r="81" spans="1:38" ht="18.399999999999999" customHeight="1" x14ac:dyDescent="0.15">
      <c r="A81" s="40" t="str">
        <f>CONCATENATE(" ○ 1시간 작업량 :  Q = ",TEXT($AB81,"#,##0.00")," / 8 hr  =",TEXT($AJ81,"#,##0.00")," M/hr ")</f>
        <v xml:space="preserve"> ○ 1시간 작업량 :  Q = 500.00 / 8 hr  =62.50 M/hr </v>
      </c>
      <c r="B81" s="32">
        <f>SUM($C81,$D81,$E81)</f>
        <v>0</v>
      </c>
      <c r="C81" s="32"/>
      <c r="D81" s="32"/>
      <c r="E81" s="32"/>
      <c r="F81" s="43"/>
      <c r="K81" s="3" t="s">
        <v>454</v>
      </c>
      <c r="AA81" s="36" t="s">
        <v>2208</v>
      </c>
      <c r="AB81" s="8">
        <f>$AD79</f>
        <v>500</v>
      </c>
      <c r="AC81" s="36" t="s">
        <v>996</v>
      </c>
      <c r="AD81" s="7">
        <f>$AB81</f>
        <v>500</v>
      </c>
      <c r="AE81" s="36" t="s">
        <v>461</v>
      </c>
      <c r="AF81" s="8">
        <f>ROUND($AD81/8,2)</f>
        <v>62.5</v>
      </c>
      <c r="AG81" s="36" t="s">
        <v>1686</v>
      </c>
      <c r="AH81" s="7">
        <f>$AF81</f>
        <v>62.5</v>
      </c>
      <c r="AI81" s="36" t="s">
        <v>517</v>
      </c>
      <c r="AJ81" s="8">
        <f>ROUND(ROUND($AD81/8,2),2)</f>
        <v>62.5</v>
      </c>
      <c r="AK81" s="36" t="s">
        <v>1280</v>
      </c>
      <c r="AL81" s="7">
        <f>$AJ81</f>
        <v>62.5</v>
      </c>
    </row>
    <row r="82" spans="1:38" ht="18.399999999999999" customHeight="1" x14ac:dyDescent="0.15">
      <c r="A82" s="38" t="s">
        <v>2450</v>
      </c>
      <c r="B82" s="32"/>
      <c r="C82" s="32"/>
      <c r="D82" s="32"/>
      <c r="E82" s="32"/>
      <c r="F82" s="43"/>
      <c r="K82" s="3" t="s">
        <v>2450</v>
      </c>
    </row>
    <row r="83" spans="1:38" ht="18.399999999999999" customHeight="1" x14ac:dyDescent="0.15">
      <c r="A83" s="38" t="s">
        <v>824</v>
      </c>
      <c r="B83" s="32"/>
      <c r="C83" s="32"/>
      <c r="D83" s="32"/>
      <c r="E83" s="32"/>
      <c r="F83" s="43"/>
      <c r="K83" s="3" t="s">
        <v>1544</v>
      </c>
    </row>
    <row r="84" spans="1:38" ht="18.399999999999999" customHeight="1" x14ac:dyDescent="0.15">
      <c r="A84" s="38" t="s">
        <v>2450</v>
      </c>
      <c r="B84" s="32"/>
      <c r="C84" s="32"/>
      <c r="D84" s="32"/>
      <c r="E84" s="32"/>
      <c r="F84" s="43"/>
      <c r="K84" s="3" t="s">
        <v>2450</v>
      </c>
    </row>
    <row r="85" spans="1:38" ht="18.399999999999999" customHeight="1" x14ac:dyDescent="0.15">
      <c r="A85" s="40" t="str">
        <f>CONCATENATE(" ○ 물운반 :  B=2000 ℓ / 100 M / 1000 = ",TEXT($AF85,"#,##0.00")," ton ")</f>
        <v xml:space="preserve"> ○ 물운반 :  B=2000 ℓ / 100 M / 1000 = 0.02 ton </v>
      </c>
      <c r="B85" s="32">
        <f>SUM($C85,$D85,$E85)</f>
        <v>0</v>
      </c>
      <c r="C85" s="32"/>
      <c r="D85" s="32"/>
      <c r="E85" s="32"/>
      <c r="F85" s="43"/>
      <c r="K85" s="3" t="s">
        <v>2363</v>
      </c>
      <c r="AA85" s="36" t="s">
        <v>961</v>
      </c>
      <c r="AB85" s="8">
        <f>ROUND(2000/100/1000,2)</f>
        <v>0.02</v>
      </c>
      <c r="AC85" s="36" t="s">
        <v>1848</v>
      </c>
      <c r="AD85" s="7">
        <f>$AB85</f>
        <v>0.02</v>
      </c>
      <c r="AE85" s="36" t="s">
        <v>2229</v>
      </c>
      <c r="AF85" s="8">
        <f>ROUND(ROUND(2000/100/1000,2),2)</f>
        <v>0.02</v>
      </c>
      <c r="AG85" s="36" t="s">
        <v>1487</v>
      </c>
      <c r="AH85" s="7">
        <f>$AF85</f>
        <v>0.02</v>
      </c>
    </row>
    <row r="86" spans="1:38" ht="18.399999999999999" customHeight="1" x14ac:dyDescent="0.15">
      <c r="A86" s="38" t="s">
        <v>2450</v>
      </c>
      <c r="B86" s="32"/>
      <c r="C86" s="32"/>
      <c r="D86" s="32"/>
      <c r="E86" s="32"/>
      <c r="F86" s="43"/>
      <c r="K86" s="3" t="s">
        <v>2450</v>
      </c>
    </row>
    <row r="87" spans="1:38" ht="18.399999999999999" customHeight="1" x14ac:dyDescent="0.15">
      <c r="A87" s="38" t="s">
        <v>930</v>
      </c>
      <c r="B87" s="32"/>
      <c r="C87" s="32"/>
      <c r="D87" s="32"/>
      <c r="E87" s="32"/>
      <c r="F87" s="43"/>
      <c r="K87" s="3" t="s">
        <v>930</v>
      </c>
    </row>
    <row r="88" spans="1:38" ht="18.399999999999999" customHeight="1" x14ac:dyDescent="0.15">
      <c r="A88" s="38" t="s">
        <v>2450</v>
      </c>
      <c r="B88" s="32"/>
      <c r="C88" s="32"/>
      <c r="D88" s="32"/>
      <c r="E88" s="32"/>
      <c r="F88" s="43"/>
      <c r="K88" s="3" t="s">
        <v>2450</v>
      </c>
    </row>
    <row r="89" spans="1:38" ht="18.399999999999999" customHeight="1" x14ac:dyDescent="0.15">
      <c r="A89" s="40" t="str">
        <f>CONCATENATE("   블레이드 : (0.27/100) 개 * _x001D_160,000_x001D_=",TEXT($AB89,"#,##0.00"))</f>
        <v xml:space="preserve">   블레이드 : (0.27/100) 개 * _x001D_160,000_x001D_=432.00</v>
      </c>
      <c r="B89" s="32">
        <f>SUM($C89,$D89,$E89)</f>
        <v>432</v>
      </c>
      <c r="C89" s="32">
        <f>$AB89</f>
        <v>432</v>
      </c>
      <c r="D89" s="32"/>
      <c r="E89" s="32"/>
      <c r="F89" s="43" t="s">
        <v>2450</v>
      </c>
      <c r="K89" s="3" t="s">
        <v>2054</v>
      </c>
      <c r="AA89" s="37" t="s">
        <v>1805</v>
      </c>
      <c r="AB89" s="8">
        <f>TRUNC((0.27/100)*자재!D6,0)</f>
        <v>432</v>
      </c>
      <c r="AC89" s="37" t="s">
        <v>2029</v>
      </c>
      <c r="AD89" s="7">
        <f>$AB89</f>
        <v>432</v>
      </c>
    </row>
    <row r="90" spans="1:38" ht="18.399999999999999" customHeight="1" x14ac:dyDescent="0.15">
      <c r="A90" s="38" t="s">
        <v>2450</v>
      </c>
      <c r="B90" s="32"/>
      <c r="C90" s="32"/>
      <c r="D90" s="32"/>
      <c r="E90" s="32"/>
      <c r="F90" s="43"/>
      <c r="K90" s="3" t="s">
        <v>2450</v>
      </c>
    </row>
    <row r="91" spans="1:38" ht="18.399999999999999" customHeight="1" x14ac:dyDescent="0.15">
      <c r="A91" s="38" t="s">
        <v>2345</v>
      </c>
      <c r="B91" s="34">
        <f>SUM($C91,$D91,$E91)</f>
        <v>432</v>
      </c>
      <c r="C91" s="34">
        <f>$AB91</f>
        <v>432</v>
      </c>
      <c r="D91" s="34">
        <f>$AD91</f>
        <v>0</v>
      </c>
      <c r="E91" s="34">
        <f>$AF91</f>
        <v>0</v>
      </c>
      <c r="F91" s="45"/>
      <c r="K91" s="3" t="s">
        <v>726</v>
      </c>
      <c r="AA91" s="36" t="s">
        <v>989</v>
      </c>
      <c r="AB91" s="7">
        <f>$AD89</f>
        <v>432</v>
      </c>
    </row>
    <row r="92" spans="1:38" ht="18.399999999999999" customHeight="1" x14ac:dyDescent="0.15">
      <c r="A92" s="38" t="s">
        <v>2450</v>
      </c>
      <c r="B92" s="32"/>
      <c r="C92" s="32"/>
      <c r="D92" s="32"/>
      <c r="E92" s="32"/>
      <c r="F92" s="43"/>
      <c r="K92" s="3" t="s">
        <v>2450</v>
      </c>
    </row>
    <row r="93" spans="1:38" ht="18.399999999999999" customHeight="1" x14ac:dyDescent="0.15">
      <c r="A93" s="38" t="s">
        <v>976</v>
      </c>
      <c r="B93" s="32"/>
      <c r="C93" s="32"/>
      <c r="D93" s="32"/>
      <c r="E93" s="32"/>
      <c r="F93" s="43"/>
      <c r="K93" s="3" t="s">
        <v>976</v>
      </c>
    </row>
    <row r="94" spans="1:38" ht="18.399999999999999" customHeight="1" x14ac:dyDescent="0.15">
      <c r="A94" s="38" t="s">
        <v>2450</v>
      </c>
      <c r="B94" s="32"/>
      <c r="C94" s="32"/>
      <c r="D94" s="32"/>
      <c r="E94" s="32"/>
      <c r="F94" s="43"/>
      <c r="K94" s="3" t="s">
        <v>2450</v>
      </c>
    </row>
    <row r="95" spans="1:38" ht="18.399999999999999" customHeight="1" x14ac:dyDescent="0.15">
      <c r="A95" s="40" t="str">
        <f>CONCATENATE("   특별인부 :  1 인  / ",TEXT($AB95,"#,##0.00")," * _x001D_226,122_x001D_ = ",TEXT($AF95,"#,##0.00"))</f>
        <v xml:space="preserve">   특별인부 :  1 인  / 500.00 * _x001D_226,122_x001D_ = 452.00</v>
      </c>
      <c r="B95" s="32">
        <f>SUM($C95,$D95,$E95)</f>
        <v>452</v>
      </c>
      <c r="C95" s="32"/>
      <c r="D95" s="32">
        <f>$AF95</f>
        <v>452</v>
      </c>
      <c r="E95" s="32"/>
      <c r="F95" s="43" t="s">
        <v>2450</v>
      </c>
      <c r="K95" s="3" t="s">
        <v>727</v>
      </c>
      <c r="AA95" s="36" t="s">
        <v>2045</v>
      </c>
      <c r="AB95" s="8">
        <f>$AD79</f>
        <v>500</v>
      </c>
      <c r="AC95" s="36" t="s">
        <v>2137</v>
      </c>
      <c r="AD95" s="7">
        <f>$AB95</f>
        <v>500</v>
      </c>
      <c r="AE95" s="37" t="s">
        <v>265</v>
      </c>
      <c r="AF95" s="8">
        <f>TRUNC(1/$AD95*노임!D9,0)</f>
        <v>452</v>
      </c>
      <c r="AG95" s="37" t="s">
        <v>972</v>
      </c>
      <c r="AH95" s="7">
        <f>$AF95</f>
        <v>452</v>
      </c>
    </row>
    <row r="96" spans="1:38" ht="18.399999999999999" customHeight="1" x14ac:dyDescent="0.15">
      <c r="A96" s="38" t="s">
        <v>2450</v>
      </c>
      <c r="B96" s="32"/>
      <c r="C96" s="32"/>
      <c r="D96" s="32"/>
      <c r="E96" s="32"/>
      <c r="F96" s="43"/>
      <c r="K96" s="3" t="s">
        <v>2450</v>
      </c>
    </row>
    <row r="97" spans="1:34" ht="18.399999999999999" customHeight="1" x14ac:dyDescent="0.15">
      <c r="A97" s="40" t="str">
        <f>CONCATENATE("   보통인부 :  1 인  / ",TEXT($AB97,"#,##0.00")," * _x001D_172,068_x001D_ = ",TEXT($AF97,"#,##0.00"))</f>
        <v xml:space="preserve">   보통인부 :  1 인  / 500.00 * _x001D_172,068_x001D_ = 344.00</v>
      </c>
      <c r="B97" s="32">
        <f>SUM($C97,$D97,$E97)</f>
        <v>344</v>
      </c>
      <c r="C97" s="32"/>
      <c r="D97" s="32">
        <f>$AF97</f>
        <v>344</v>
      </c>
      <c r="E97" s="32"/>
      <c r="F97" s="43" t="s">
        <v>2450</v>
      </c>
      <c r="K97" s="3" t="s">
        <v>707</v>
      </c>
      <c r="AA97" s="36" t="s">
        <v>813</v>
      </c>
      <c r="AB97" s="8">
        <f>$AD79</f>
        <v>500</v>
      </c>
      <c r="AC97" s="36" t="s">
        <v>1552</v>
      </c>
      <c r="AD97" s="7">
        <f>$AB97</f>
        <v>500</v>
      </c>
      <c r="AE97" s="37" t="s">
        <v>265</v>
      </c>
      <c r="AF97" s="8">
        <f>TRUNC(1/$AD97*노임!D10,0)</f>
        <v>344</v>
      </c>
      <c r="AG97" s="37" t="s">
        <v>972</v>
      </c>
      <c r="AH97" s="7">
        <f>$AH95+$AF97</f>
        <v>796</v>
      </c>
    </row>
    <row r="98" spans="1:34" ht="18.399999999999999" customHeight="1" x14ac:dyDescent="0.15">
      <c r="A98" s="38" t="s">
        <v>2450</v>
      </c>
      <c r="B98" s="32"/>
      <c r="C98" s="32"/>
      <c r="D98" s="32"/>
      <c r="E98" s="32"/>
      <c r="F98" s="43"/>
      <c r="K98" s="3" t="s">
        <v>2450</v>
      </c>
    </row>
    <row r="99" spans="1:34" ht="18.399999999999999" customHeight="1" x14ac:dyDescent="0.15">
      <c r="A99" s="38" t="s">
        <v>2345</v>
      </c>
      <c r="B99" s="34">
        <f>SUM($C99,$D99,$E99)</f>
        <v>796</v>
      </c>
      <c r="C99" s="34">
        <f>$AB99</f>
        <v>0</v>
      </c>
      <c r="D99" s="34">
        <f>$AD99</f>
        <v>796</v>
      </c>
      <c r="E99" s="34">
        <f>$AF99</f>
        <v>0</v>
      </c>
      <c r="F99" s="45"/>
      <c r="K99" s="3" t="s">
        <v>726</v>
      </c>
      <c r="AA99" s="36" t="s">
        <v>989</v>
      </c>
      <c r="AB99" s="7">
        <f>$AD89-$AD89</f>
        <v>0</v>
      </c>
      <c r="AC99" s="36" t="s">
        <v>2036</v>
      </c>
      <c r="AD99" s="7">
        <f>$AH97</f>
        <v>796</v>
      </c>
    </row>
    <row r="100" spans="1:34" ht="18.399999999999999" customHeight="1" x14ac:dyDescent="0.15">
      <c r="A100" s="38" t="s">
        <v>2450</v>
      </c>
      <c r="B100" s="32"/>
      <c r="C100" s="32"/>
      <c r="D100" s="32"/>
      <c r="E100" s="32"/>
      <c r="F100" s="43"/>
      <c r="K100" s="3" t="s">
        <v>2450</v>
      </c>
    </row>
    <row r="101" spans="1:34" ht="18.399999999999999" customHeight="1" x14ac:dyDescent="0.15">
      <c r="A101" s="38" t="s">
        <v>686</v>
      </c>
      <c r="B101" s="32"/>
      <c r="C101" s="32"/>
      <c r="D101" s="32"/>
      <c r="E101" s="32"/>
      <c r="F101" s="43"/>
      <c r="K101" s="3" t="s">
        <v>686</v>
      </c>
    </row>
    <row r="102" spans="1:34" ht="18.399999999999999" customHeight="1" x14ac:dyDescent="0.15">
      <c r="A102" s="38" t="s">
        <v>2450</v>
      </c>
      <c r="B102" s="32"/>
      <c r="C102" s="32"/>
      <c r="D102" s="32"/>
      <c r="E102" s="32"/>
      <c r="F102" s="43"/>
      <c r="K102" s="3" t="s">
        <v>2450</v>
      </c>
    </row>
    <row r="103" spans="1:34" ht="18.399999999999999" customHeight="1" x14ac:dyDescent="0.15">
      <c r="A103" s="38" t="s">
        <v>1685</v>
      </c>
      <c r="B103" s="32"/>
      <c r="C103" s="32"/>
      <c r="D103" s="32"/>
      <c r="E103" s="32"/>
      <c r="F103" s="43"/>
      <c r="K103" s="3" t="s">
        <v>1685</v>
      </c>
    </row>
    <row r="104" spans="1:34" ht="18.399999999999999" customHeight="1" x14ac:dyDescent="0.15">
      <c r="A104" s="38" t="s">
        <v>2450</v>
      </c>
      <c r="B104" s="32"/>
      <c r="C104" s="32"/>
      <c r="D104" s="32"/>
      <c r="E104" s="32"/>
      <c r="F104" s="43"/>
      <c r="K104" s="3" t="s">
        <v>2450</v>
      </c>
    </row>
    <row r="105" spans="1:34" ht="18.399999999999999" customHeight="1" x14ac:dyDescent="0.15">
      <c r="A105" s="40" t="str">
        <f>CONCATENATE("    노 무 비 :  _x001D_36,248_x001D_ / ",TEXT($AB105,"#,##0.00")," =",TEXT($AF105,"#,##0.00"))</f>
        <v xml:space="preserve">    노 무 비 :  _x001D_36,248_x001D_ / 62.50 =579.00</v>
      </c>
      <c r="B105" s="32">
        <f>SUM($C105,$D105,$E105)</f>
        <v>579</v>
      </c>
      <c r="C105" s="32"/>
      <c r="D105" s="32">
        <f>$AF105</f>
        <v>579</v>
      </c>
      <c r="E105" s="32"/>
      <c r="F105" s="43" t="s">
        <v>2450</v>
      </c>
      <c r="K105" s="3" t="s">
        <v>1162</v>
      </c>
      <c r="AA105" s="36" t="s">
        <v>905</v>
      </c>
      <c r="AB105" s="8">
        <f>$AH81</f>
        <v>62.5</v>
      </c>
      <c r="AC105" s="36" t="s">
        <v>892</v>
      </c>
      <c r="AD105" s="7">
        <f>$AB105</f>
        <v>62.5</v>
      </c>
      <c r="AE105" s="37" t="s">
        <v>265</v>
      </c>
      <c r="AF105" s="8">
        <f>TRUNC(중기사용료목록!F24/$AD105,0)</f>
        <v>579</v>
      </c>
      <c r="AG105" s="37" t="s">
        <v>972</v>
      </c>
      <c r="AH105" s="7">
        <f>$AH97+$AF105</f>
        <v>1375</v>
      </c>
    </row>
    <row r="106" spans="1:34" ht="18.399999999999999" customHeight="1" x14ac:dyDescent="0.15">
      <c r="A106" s="38" t="s">
        <v>2450</v>
      </c>
      <c r="B106" s="32"/>
      <c r="C106" s="32"/>
      <c r="D106" s="32"/>
      <c r="E106" s="32"/>
      <c r="F106" s="43"/>
      <c r="K106" s="3" t="s">
        <v>2450</v>
      </c>
    </row>
    <row r="107" spans="1:34" ht="18.399999999999999" customHeight="1" x14ac:dyDescent="0.15">
      <c r="A107" s="40" t="str">
        <f>CONCATENATE("    재 료 비 :  _x001D_10,832_x001D_ / ",TEXT($AB107,"#,##0.00")," =",TEXT($AF107,"#,##0.00"))</f>
        <v xml:space="preserve">    재 료 비 :  _x001D_10,832_x001D_ / 62.50 =173.00</v>
      </c>
      <c r="B107" s="32">
        <f>SUM($C107,$D107,$E107)</f>
        <v>173</v>
      </c>
      <c r="C107" s="32">
        <f>$AF107</f>
        <v>173</v>
      </c>
      <c r="D107" s="32"/>
      <c r="E107" s="32"/>
      <c r="F107" s="43" t="s">
        <v>2450</v>
      </c>
      <c r="K107" s="3" t="s">
        <v>2403</v>
      </c>
      <c r="AA107" s="36" t="s">
        <v>2113</v>
      </c>
      <c r="AB107" s="8">
        <f>$AH81</f>
        <v>62.5</v>
      </c>
      <c r="AC107" s="36" t="s">
        <v>381</v>
      </c>
      <c r="AD107" s="7">
        <f>$AB107</f>
        <v>62.5</v>
      </c>
      <c r="AE107" s="37" t="s">
        <v>1805</v>
      </c>
      <c r="AF107" s="8">
        <f>TRUNC(중기사용료목록!E24/$AD107,0)</f>
        <v>173</v>
      </c>
      <c r="AG107" s="37" t="s">
        <v>2029</v>
      </c>
      <c r="AH107" s="7">
        <f>$AD89+$AF107</f>
        <v>605</v>
      </c>
    </row>
    <row r="108" spans="1:34" ht="18.399999999999999" customHeight="1" x14ac:dyDescent="0.15">
      <c r="A108" s="38" t="s">
        <v>2450</v>
      </c>
      <c r="B108" s="32"/>
      <c r="C108" s="32"/>
      <c r="D108" s="32"/>
      <c r="E108" s="32"/>
      <c r="F108" s="43"/>
      <c r="K108" s="3" t="s">
        <v>2450</v>
      </c>
    </row>
    <row r="109" spans="1:34" ht="18.399999999999999" customHeight="1" x14ac:dyDescent="0.15">
      <c r="A109" s="40" t="str">
        <f>CONCATENATE("    경    비 :  _x001D_2,064_x001D_ / ",TEXT($AB109,"#,##0.00")," =",TEXT($AF109,"#,##0.00"))</f>
        <v xml:space="preserve">    경    비 :  _x001D_2,064_x001D_ / 62.50 =33.00</v>
      </c>
      <c r="B109" s="32">
        <f>SUM($C109,$D109,$E109)</f>
        <v>33</v>
      </c>
      <c r="C109" s="32"/>
      <c r="D109" s="32"/>
      <c r="E109" s="32">
        <f>$AF109</f>
        <v>33</v>
      </c>
      <c r="F109" s="43" t="s">
        <v>2450</v>
      </c>
      <c r="K109" s="3" t="s">
        <v>901</v>
      </c>
      <c r="AA109" s="36" t="s">
        <v>796</v>
      </c>
      <c r="AB109" s="8">
        <f>$AH81</f>
        <v>62.5</v>
      </c>
      <c r="AC109" s="36" t="s">
        <v>204</v>
      </c>
      <c r="AD109" s="7">
        <f>$AB109</f>
        <v>62.5</v>
      </c>
      <c r="AE109" s="37" t="s">
        <v>815</v>
      </c>
      <c r="AF109" s="8">
        <f>TRUNC(중기사용료목록!G24/$AD109,0)</f>
        <v>33</v>
      </c>
      <c r="AG109" s="37" t="s">
        <v>1302</v>
      </c>
      <c r="AH109" s="7">
        <f>$AF109</f>
        <v>33</v>
      </c>
    </row>
    <row r="110" spans="1:34" ht="18.399999999999999" customHeight="1" x14ac:dyDescent="0.15">
      <c r="A110" s="38" t="s">
        <v>2450</v>
      </c>
      <c r="B110" s="32"/>
      <c r="C110" s="32"/>
      <c r="D110" s="32"/>
      <c r="E110" s="32"/>
      <c r="F110" s="43"/>
      <c r="K110" s="3" t="s">
        <v>2450</v>
      </c>
    </row>
    <row r="111" spans="1:34" ht="18.399999999999999" customHeight="1" x14ac:dyDescent="0.15">
      <c r="A111" s="38" t="s">
        <v>328</v>
      </c>
      <c r="B111" s="33">
        <f>SUM($C111,$D111,$E111)</f>
        <v>785</v>
      </c>
      <c r="C111" s="33">
        <f>$AB111</f>
        <v>173</v>
      </c>
      <c r="D111" s="33">
        <f>$AD111</f>
        <v>579</v>
      </c>
      <c r="E111" s="33">
        <f>$AF111</f>
        <v>33</v>
      </c>
      <c r="F111" s="44"/>
      <c r="K111" s="3" t="s">
        <v>1519</v>
      </c>
      <c r="AA111" s="36" t="s">
        <v>1729</v>
      </c>
      <c r="AB111" s="7">
        <f>$AH107-$AD89</f>
        <v>173</v>
      </c>
      <c r="AC111" s="36" t="s">
        <v>71</v>
      </c>
      <c r="AD111" s="7">
        <f>$AH105-$AH97</f>
        <v>579</v>
      </c>
      <c r="AE111" s="36" t="s">
        <v>2236</v>
      </c>
      <c r="AF111" s="7">
        <f>$AH109</f>
        <v>33</v>
      </c>
    </row>
    <row r="112" spans="1:34" ht="18.399999999999999" customHeight="1" x14ac:dyDescent="0.15">
      <c r="A112" s="38" t="s">
        <v>2450</v>
      </c>
      <c r="B112" s="32"/>
      <c r="C112" s="32"/>
      <c r="D112" s="32"/>
      <c r="E112" s="32"/>
      <c r="F112" s="43"/>
      <c r="K112" s="3" t="s">
        <v>2450</v>
      </c>
    </row>
    <row r="113" spans="1:34" ht="18.399999999999999" customHeight="1" x14ac:dyDescent="0.15">
      <c r="A113" s="38" t="s">
        <v>1066</v>
      </c>
      <c r="B113" s="32"/>
      <c r="C113" s="32"/>
      <c r="D113" s="32"/>
      <c r="E113" s="32"/>
      <c r="F113" s="43"/>
      <c r="K113" s="3" t="s">
        <v>1066</v>
      </c>
    </row>
    <row r="114" spans="1:34" ht="18.399999999999999" customHeight="1" x14ac:dyDescent="0.15">
      <c r="A114" s="38" t="s">
        <v>2450</v>
      </c>
      <c r="B114" s="32"/>
      <c r="C114" s="32"/>
      <c r="D114" s="32"/>
      <c r="E114" s="32"/>
      <c r="F114" s="43"/>
      <c r="K114" s="3" t="s">
        <v>2450</v>
      </c>
    </row>
    <row r="115" spans="1:34" ht="18.399999999999999" customHeight="1" x14ac:dyDescent="0.15">
      <c r="A115" s="40" t="str">
        <f>CONCATENATE("   재 료 비 :  _x001D_2,514_x001D_ / ",TEXT($AB115,"#,##0.00")," * 0.5 =",TEXT($AF115,"#,##0.00"))</f>
        <v xml:space="preserve">   재 료 비 :  _x001D_2,514_x001D_ / 62.50 * 0.5 =20.00</v>
      </c>
      <c r="B115" s="32">
        <f>SUM($C115,$D115,$E115)</f>
        <v>20</v>
      </c>
      <c r="C115" s="32">
        <f>$AF115</f>
        <v>20</v>
      </c>
      <c r="D115" s="32"/>
      <c r="E115" s="32"/>
      <c r="F115" s="43" t="s">
        <v>2450</v>
      </c>
      <c r="K115" s="3" t="s">
        <v>123</v>
      </c>
      <c r="AA115" s="36" t="s">
        <v>990</v>
      </c>
      <c r="AB115" s="8">
        <f>$AH81</f>
        <v>62.5</v>
      </c>
      <c r="AC115" s="36" t="s">
        <v>241</v>
      </c>
      <c r="AD115" s="7">
        <f>$AB115</f>
        <v>62.5</v>
      </c>
      <c r="AE115" s="37" t="s">
        <v>1805</v>
      </c>
      <c r="AF115" s="8">
        <f>TRUNC(중기사용료목록!E29/$AD115*0.5,0)</f>
        <v>20</v>
      </c>
      <c r="AG115" s="37" t="s">
        <v>2029</v>
      </c>
      <c r="AH115" s="7">
        <f>$AH107+$AF115</f>
        <v>625</v>
      </c>
    </row>
    <row r="116" spans="1:34" ht="18.399999999999999" customHeight="1" x14ac:dyDescent="0.15">
      <c r="A116" s="38" t="s">
        <v>2450</v>
      </c>
      <c r="B116" s="32"/>
      <c r="C116" s="32"/>
      <c r="D116" s="32"/>
      <c r="E116" s="32"/>
      <c r="F116" s="43"/>
      <c r="K116" s="3" t="s">
        <v>2450</v>
      </c>
    </row>
    <row r="117" spans="1:34" ht="18.399999999999999" customHeight="1" x14ac:dyDescent="0.15">
      <c r="A117" s="40" t="str">
        <f>CONCATENATE("   노 무 비 :  _x001D_0_x001D_ / ",TEXT($AB117,"#,##0.00")," * 0.5 =",TEXT($AF117,"#,##0.00"))</f>
        <v xml:space="preserve">   노 무 비 :  _x001D_0_x001D_ / 62.50 * 0.5 =0.00</v>
      </c>
      <c r="B117" s="32">
        <f>SUM($C117,$D117,$E117)</f>
        <v>0</v>
      </c>
      <c r="C117" s="32"/>
      <c r="D117" s="32">
        <f>$AF117</f>
        <v>0</v>
      </c>
      <c r="E117" s="32"/>
      <c r="F117" s="43" t="s">
        <v>2450</v>
      </c>
      <c r="K117" s="3" t="s">
        <v>1255</v>
      </c>
      <c r="AA117" s="36" t="s">
        <v>2190</v>
      </c>
      <c r="AB117" s="8">
        <f>$AH81</f>
        <v>62.5</v>
      </c>
      <c r="AC117" s="36" t="s">
        <v>975</v>
      </c>
      <c r="AD117" s="7">
        <f>$AB117</f>
        <v>62.5</v>
      </c>
      <c r="AE117" s="37" t="s">
        <v>265</v>
      </c>
      <c r="AF117" s="8">
        <f>TRUNC(중기사용료목록!F29/$AD117*0.5,0)</f>
        <v>0</v>
      </c>
      <c r="AG117" s="37" t="s">
        <v>972</v>
      </c>
      <c r="AH117" s="7">
        <f>$AH105+$AF117</f>
        <v>1375</v>
      </c>
    </row>
    <row r="118" spans="1:34" ht="18.399999999999999" customHeight="1" x14ac:dyDescent="0.15">
      <c r="A118" s="38" t="s">
        <v>2450</v>
      </c>
      <c r="B118" s="32"/>
      <c r="C118" s="32"/>
      <c r="D118" s="32"/>
      <c r="E118" s="32"/>
      <c r="F118" s="43"/>
      <c r="K118" s="3" t="s">
        <v>2450</v>
      </c>
    </row>
    <row r="119" spans="1:34" ht="18.399999999999999" customHeight="1" x14ac:dyDescent="0.15">
      <c r="A119" s="40" t="str">
        <f>CONCATENATE("   경    비 :  _x001D_258_x001D_ / ",TEXT($AB119,"#,##0.00")," * 0.5 =",TEXT($AF119,"#,##0.00"))</f>
        <v xml:space="preserve">   경    비 :  _x001D_258_x001D_ / 62.50 * 0.5 =2.00</v>
      </c>
      <c r="B119" s="32">
        <f>SUM($C119,$D119,$E119)</f>
        <v>2</v>
      </c>
      <c r="C119" s="32"/>
      <c r="D119" s="32"/>
      <c r="E119" s="32">
        <f>$AF119</f>
        <v>2</v>
      </c>
      <c r="F119" s="43" t="s">
        <v>2450</v>
      </c>
      <c r="K119" s="3" t="s">
        <v>778</v>
      </c>
      <c r="AA119" s="36" t="s">
        <v>1097</v>
      </c>
      <c r="AB119" s="8">
        <f>$AH81</f>
        <v>62.5</v>
      </c>
      <c r="AC119" s="36" t="s">
        <v>857</v>
      </c>
      <c r="AD119" s="7">
        <f>$AB119</f>
        <v>62.5</v>
      </c>
      <c r="AE119" s="37" t="s">
        <v>815</v>
      </c>
      <c r="AF119" s="8">
        <f>TRUNC(중기사용료목록!G29/$AD119*0.5,0)</f>
        <v>2</v>
      </c>
      <c r="AG119" s="37" t="s">
        <v>1302</v>
      </c>
      <c r="AH119" s="7">
        <f>$AH109+$AF119</f>
        <v>35</v>
      </c>
    </row>
    <row r="120" spans="1:34" ht="18.399999999999999" customHeight="1" x14ac:dyDescent="0.15">
      <c r="A120" s="38" t="s">
        <v>2450</v>
      </c>
      <c r="B120" s="32"/>
      <c r="C120" s="32"/>
      <c r="D120" s="32"/>
      <c r="E120" s="32"/>
      <c r="F120" s="43"/>
      <c r="K120" s="3" t="s">
        <v>2450</v>
      </c>
    </row>
    <row r="121" spans="1:34" ht="18.399999999999999" customHeight="1" x14ac:dyDescent="0.15">
      <c r="A121" s="38" t="s">
        <v>328</v>
      </c>
      <c r="B121" s="33">
        <f>SUM($C121,$D121,$E121)</f>
        <v>22</v>
      </c>
      <c r="C121" s="33">
        <f>$AB121</f>
        <v>20</v>
      </c>
      <c r="D121" s="33">
        <f>$AD121</f>
        <v>0</v>
      </c>
      <c r="E121" s="33">
        <f>$AF121</f>
        <v>2</v>
      </c>
      <c r="F121" s="44"/>
      <c r="K121" s="3" t="s">
        <v>1519</v>
      </c>
      <c r="AA121" s="36" t="s">
        <v>1729</v>
      </c>
      <c r="AB121" s="7">
        <f>$AH115-$AH107</f>
        <v>20</v>
      </c>
      <c r="AC121" s="36" t="s">
        <v>71</v>
      </c>
      <c r="AD121" s="7">
        <f>$AH117-$AH105</f>
        <v>0</v>
      </c>
      <c r="AE121" s="36" t="s">
        <v>2236</v>
      </c>
      <c r="AF121" s="7">
        <f>$AH119-$AH109</f>
        <v>2</v>
      </c>
    </row>
    <row r="122" spans="1:34" ht="18.399999999999999" customHeight="1" x14ac:dyDescent="0.15">
      <c r="A122" s="38" t="s">
        <v>2450</v>
      </c>
      <c r="B122" s="32"/>
      <c r="C122" s="32"/>
      <c r="D122" s="32"/>
      <c r="E122" s="32"/>
      <c r="F122" s="43"/>
      <c r="K122" s="3" t="s">
        <v>2450</v>
      </c>
    </row>
    <row r="123" spans="1:34" ht="18.399999999999999" customHeight="1" x14ac:dyDescent="0.15">
      <c r="A123" s="38" t="s">
        <v>2345</v>
      </c>
      <c r="B123" s="34">
        <f>SUM($C123,$D123,$E123)</f>
        <v>807</v>
      </c>
      <c r="C123" s="34">
        <f>$AB123</f>
        <v>193</v>
      </c>
      <c r="D123" s="34">
        <f>$AD123</f>
        <v>579</v>
      </c>
      <c r="E123" s="34">
        <f>$AF123</f>
        <v>35</v>
      </c>
      <c r="F123" s="45"/>
      <c r="K123" s="3" t="s">
        <v>726</v>
      </c>
      <c r="AA123" s="36" t="s">
        <v>989</v>
      </c>
      <c r="AB123" s="7">
        <f>$AH115-$AD89</f>
        <v>193</v>
      </c>
      <c r="AC123" s="36" t="s">
        <v>2036</v>
      </c>
      <c r="AD123" s="7">
        <f>$AH117-$AH97</f>
        <v>579</v>
      </c>
      <c r="AE123" s="36" t="s">
        <v>585</v>
      </c>
      <c r="AF123" s="7">
        <f>$AH119</f>
        <v>35</v>
      </c>
    </row>
    <row r="124" spans="1:34" ht="18.399999999999999" customHeight="1" x14ac:dyDescent="0.15">
      <c r="A124" s="38" t="s">
        <v>2450</v>
      </c>
      <c r="B124" s="32"/>
      <c r="C124" s="32"/>
      <c r="D124" s="32"/>
      <c r="E124" s="32"/>
      <c r="F124" s="43"/>
      <c r="K124" s="3" t="s">
        <v>2450</v>
      </c>
    </row>
    <row r="125" spans="1:34" ht="18.399999999999999" customHeight="1" x14ac:dyDescent="0.15">
      <c r="A125" s="38" t="s">
        <v>1457</v>
      </c>
      <c r="B125" s="32"/>
      <c r="C125" s="32"/>
      <c r="D125" s="32"/>
      <c r="E125" s="32"/>
      <c r="F125" s="43"/>
      <c r="K125" s="3" t="s">
        <v>1457</v>
      </c>
    </row>
    <row r="126" spans="1:34" ht="18.399999999999999" customHeight="1" x14ac:dyDescent="0.15">
      <c r="A126" s="38" t="s">
        <v>2450</v>
      </c>
      <c r="B126" s="32"/>
      <c r="C126" s="32"/>
      <c r="D126" s="32"/>
      <c r="E126" s="32"/>
      <c r="F126" s="43"/>
      <c r="K126" s="3" t="s">
        <v>2450</v>
      </c>
    </row>
    <row r="127" spans="1:34" ht="18.399999999999999" customHeight="1" x14ac:dyDescent="0.15">
      <c r="A127" s="40" t="str">
        <f>CONCATENATE("   재 료 비 :  ",TEXT($AB127,"#,##0.00")," TON  * _x001D_2,458_x001D_ = ",TEXT($AF127,"#,##0.00"))</f>
        <v xml:space="preserve">   재 료 비 :  0.02 TON  * _x001D_2,458_x001D_ = 49.00</v>
      </c>
      <c r="B127" s="32">
        <f>SUM($C127,$D127,$E127)</f>
        <v>49</v>
      </c>
      <c r="C127" s="32">
        <f>$AF127</f>
        <v>49</v>
      </c>
      <c r="D127" s="32"/>
      <c r="E127" s="32"/>
      <c r="F127" s="43" t="s">
        <v>2450</v>
      </c>
      <c r="K127" s="3" t="s">
        <v>1979</v>
      </c>
      <c r="AA127" s="36" t="s">
        <v>2151</v>
      </c>
      <c r="AB127" s="8">
        <f>$AD85</f>
        <v>0.02</v>
      </c>
      <c r="AC127" s="36" t="s">
        <v>1542</v>
      </c>
      <c r="AD127" s="7">
        <f>$AB127</f>
        <v>0.02</v>
      </c>
      <c r="AE127" s="37" t="s">
        <v>1805</v>
      </c>
      <c r="AF127" s="8">
        <f>TRUNC($AD127*일위대가목록!F44,0)</f>
        <v>49</v>
      </c>
      <c r="AG127" s="37" t="s">
        <v>2029</v>
      </c>
      <c r="AH127" s="7">
        <f>$AH115+$AF127</f>
        <v>674</v>
      </c>
    </row>
    <row r="128" spans="1:34" ht="18.399999999999999" customHeight="1" x14ac:dyDescent="0.15">
      <c r="A128" s="38" t="s">
        <v>2450</v>
      </c>
      <c r="B128" s="32"/>
      <c r="C128" s="32"/>
      <c r="D128" s="32"/>
      <c r="E128" s="32"/>
      <c r="F128" s="43"/>
      <c r="K128" s="3" t="s">
        <v>2450</v>
      </c>
    </row>
    <row r="129" spans="1:34" ht="18.399999999999999" customHeight="1" x14ac:dyDescent="0.15">
      <c r="A129" s="40" t="str">
        <f>CONCATENATE("   노 무 비 :  ",TEXT($AB129,"#,##0.00")," TON  * _x001D_8,041_x001D_ = ",TEXT($AF129,"#,##0.00"))</f>
        <v xml:space="preserve">   노 무 비 :  0.02 TON  * _x001D_8,041_x001D_ = 160.00</v>
      </c>
      <c r="B129" s="32">
        <f>SUM($C129,$D129,$E129)</f>
        <v>160</v>
      </c>
      <c r="C129" s="32"/>
      <c r="D129" s="32">
        <f>$AF129</f>
        <v>160</v>
      </c>
      <c r="E129" s="32"/>
      <c r="F129" s="43" t="s">
        <v>2450</v>
      </c>
      <c r="K129" s="3" t="s">
        <v>1878</v>
      </c>
      <c r="AA129" s="36" t="s">
        <v>1104</v>
      </c>
      <c r="AB129" s="8">
        <f>$AD85</f>
        <v>0.02</v>
      </c>
      <c r="AC129" s="36" t="s">
        <v>1400</v>
      </c>
      <c r="AD129" s="7">
        <f>$AB129</f>
        <v>0.02</v>
      </c>
      <c r="AE129" s="37" t="s">
        <v>265</v>
      </c>
      <c r="AF129" s="8">
        <f>TRUNC($AD129*일위대가목록!G44,0)</f>
        <v>160</v>
      </c>
      <c r="AG129" s="37" t="s">
        <v>972</v>
      </c>
      <c r="AH129" s="7">
        <f>$AH117+$AF129</f>
        <v>1535</v>
      </c>
    </row>
    <row r="130" spans="1:34" ht="18.399999999999999" customHeight="1" x14ac:dyDescent="0.15">
      <c r="A130" s="38" t="s">
        <v>2450</v>
      </c>
      <c r="B130" s="32"/>
      <c r="C130" s="32"/>
      <c r="D130" s="32"/>
      <c r="E130" s="32"/>
      <c r="F130" s="43"/>
      <c r="K130" s="3" t="s">
        <v>2450</v>
      </c>
    </row>
    <row r="131" spans="1:34" ht="18.399999999999999" customHeight="1" x14ac:dyDescent="0.15">
      <c r="A131" s="40" t="str">
        <f>CONCATENATE("   경    비 :  ",TEXT($AB131,"#,##0.00")," TON  * _x001D_1,613_x001D_ = ",TEXT($AF131,"#,##0.00"))</f>
        <v xml:space="preserve">   경    비 :  0.02 TON  * _x001D_1,613_x001D_ = 32.00</v>
      </c>
      <c r="B131" s="32">
        <f>SUM($C131,$D131,$E131)</f>
        <v>32</v>
      </c>
      <c r="C131" s="32"/>
      <c r="D131" s="32"/>
      <c r="E131" s="32">
        <f>$AF131</f>
        <v>32</v>
      </c>
      <c r="F131" s="43" t="s">
        <v>2450</v>
      </c>
      <c r="K131" s="3" t="s">
        <v>865</v>
      </c>
      <c r="AA131" s="36" t="s">
        <v>840</v>
      </c>
      <c r="AB131" s="8">
        <f>$AD85</f>
        <v>0.02</v>
      </c>
      <c r="AC131" s="36" t="s">
        <v>985</v>
      </c>
      <c r="AD131" s="7">
        <f>$AB131</f>
        <v>0.02</v>
      </c>
      <c r="AE131" s="37" t="s">
        <v>815</v>
      </c>
      <c r="AF131" s="8">
        <f>TRUNC($AD131*일위대가목록!H44,0)</f>
        <v>32</v>
      </c>
      <c r="AG131" s="37" t="s">
        <v>1302</v>
      </c>
      <c r="AH131" s="7">
        <f>$AH119+$AF131</f>
        <v>67</v>
      </c>
    </row>
    <row r="132" spans="1:34" ht="18.399999999999999" customHeight="1" x14ac:dyDescent="0.15">
      <c r="A132" s="38" t="s">
        <v>2450</v>
      </c>
      <c r="B132" s="32"/>
      <c r="C132" s="32"/>
      <c r="D132" s="32"/>
      <c r="E132" s="32"/>
      <c r="F132" s="43"/>
      <c r="K132" s="3" t="s">
        <v>2450</v>
      </c>
    </row>
    <row r="133" spans="1:34" ht="18.399999999999999" customHeight="1" x14ac:dyDescent="0.15">
      <c r="A133" s="38" t="s">
        <v>2345</v>
      </c>
      <c r="B133" s="34">
        <f>SUM($C133,$D133,$E133)</f>
        <v>241</v>
      </c>
      <c r="C133" s="34">
        <f>$AB133</f>
        <v>49</v>
      </c>
      <c r="D133" s="34">
        <f>$AD133</f>
        <v>160</v>
      </c>
      <c r="E133" s="34">
        <f>$AF133</f>
        <v>32</v>
      </c>
      <c r="F133" s="45"/>
      <c r="K133" s="3" t="s">
        <v>726</v>
      </c>
      <c r="AA133" s="36" t="s">
        <v>989</v>
      </c>
      <c r="AB133" s="7">
        <f>$AH127-$AH115</f>
        <v>49</v>
      </c>
      <c r="AC133" s="36" t="s">
        <v>2036</v>
      </c>
      <c r="AD133" s="7">
        <f>$AH129-$AH117</f>
        <v>160</v>
      </c>
      <c r="AE133" s="36" t="s">
        <v>585</v>
      </c>
      <c r="AF133" s="7">
        <f>$AH131-$AH119</f>
        <v>32</v>
      </c>
    </row>
    <row r="134" spans="1:34" ht="18.399999999999999" customHeight="1" x14ac:dyDescent="0.15">
      <c r="A134" s="38" t="s">
        <v>2450</v>
      </c>
      <c r="B134" s="32"/>
      <c r="C134" s="32"/>
      <c r="D134" s="32"/>
      <c r="E134" s="32"/>
      <c r="F134" s="43"/>
      <c r="K134" s="3" t="s">
        <v>2450</v>
      </c>
    </row>
    <row r="135" spans="1:34" ht="18.399999999999999" customHeight="1" x14ac:dyDescent="0.15">
      <c r="A135" s="38" t="s">
        <v>2066</v>
      </c>
      <c r="B135" s="35">
        <f>SUM($C135,$D135,$E135)</f>
        <v>2276</v>
      </c>
      <c r="C135" s="35">
        <f>$AB135</f>
        <v>674</v>
      </c>
      <c r="D135" s="35">
        <f>$AD135</f>
        <v>1535</v>
      </c>
      <c r="E135" s="35">
        <f>$AF135</f>
        <v>67</v>
      </c>
      <c r="F135" s="46"/>
      <c r="K135" s="3" t="s">
        <v>1514</v>
      </c>
      <c r="AA135" s="36" t="s">
        <v>615</v>
      </c>
      <c r="AB135" s="7">
        <f>$AH127</f>
        <v>674</v>
      </c>
      <c r="AC135" s="36" t="s">
        <v>1332</v>
      </c>
      <c r="AD135" s="7">
        <f>$AH129</f>
        <v>1535</v>
      </c>
      <c r="AE135" s="36" t="s">
        <v>963</v>
      </c>
      <c r="AF135" s="7">
        <f>$AH131</f>
        <v>67</v>
      </c>
    </row>
    <row r="136" spans="1:34" ht="18.399999999999999" customHeight="1" x14ac:dyDescent="0.15">
      <c r="A136" s="38"/>
      <c r="B136" s="3"/>
      <c r="C136" s="3"/>
      <c r="D136" s="3"/>
      <c r="E136" s="3"/>
      <c r="F136" s="42"/>
    </row>
    <row r="137" spans="1:34" ht="18.399999999999999" customHeight="1" x14ac:dyDescent="0.15">
      <c r="A137" s="41" t="s">
        <v>1388</v>
      </c>
      <c r="B137" s="35">
        <f>SUM($C137,$D137,$E137)</f>
        <v>2276</v>
      </c>
      <c r="C137" s="35">
        <f>TRUNC(SUM($AH127),0)</f>
        <v>674</v>
      </c>
      <c r="D137" s="35">
        <f>TRUNC(SUM($AH129),0)</f>
        <v>1535</v>
      </c>
      <c r="E137" s="35">
        <f>TRUNC(SUM($AH131),0)</f>
        <v>67</v>
      </c>
      <c r="F137" s="47"/>
    </row>
    <row r="138" spans="1:34" ht="18.399999999999999" customHeight="1" x14ac:dyDescent="0.15">
      <c r="A138" s="38"/>
      <c r="B138" s="3"/>
      <c r="C138" s="3"/>
      <c r="D138" s="3"/>
      <c r="E138" s="3"/>
      <c r="F138" s="42"/>
    </row>
    <row r="139" spans="1:34" ht="18.399999999999999" customHeight="1" x14ac:dyDescent="0.15">
      <c r="A139" s="38" t="s">
        <v>1197</v>
      </c>
      <c r="B139" s="32">
        <f>$B160</f>
        <v>4567</v>
      </c>
      <c r="C139" s="32">
        <f>$C160</f>
        <v>969</v>
      </c>
      <c r="D139" s="32">
        <f>$D160</f>
        <v>2541</v>
      </c>
      <c r="E139" s="32">
        <f>$E160</f>
        <v>1057</v>
      </c>
      <c r="F139" s="42" t="s">
        <v>2450</v>
      </c>
      <c r="G139" t="s">
        <v>2450</v>
      </c>
      <c r="H139" t="s">
        <v>527</v>
      </c>
      <c r="K139">
        <v>1</v>
      </c>
      <c r="Y139" s="7" t="b">
        <f>EXACT($Z139,$B160)</f>
        <v>1</v>
      </c>
      <c r="Z139" s="35">
        <v>4567</v>
      </c>
    </row>
    <row r="140" spans="1:34" ht="18.399999999999999" customHeight="1" x14ac:dyDescent="0.15">
      <c r="A140" s="39"/>
      <c r="B140" s="3"/>
      <c r="C140" s="3"/>
      <c r="D140" s="3"/>
      <c r="E140" s="3"/>
      <c r="F140" s="42"/>
    </row>
    <row r="141" spans="1:34" ht="18.399999999999999" customHeight="1" x14ac:dyDescent="0.15">
      <c r="A141" s="38" t="s">
        <v>2450</v>
      </c>
      <c r="B141" s="3"/>
      <c r="C141" s="3"/>
      <c r="D141" s="3"/>
      <c r="E141" s="3"/>
      <c r="F141" s="42"/>
      <c r="G141" t="s">
        <v>2450</v>
      </c>
      <c r="I141" t="s">
        <v>289</v>
      </c>
      <c r="J141" t="s">
        <v>2450</v>
      </c>
      <c r="K141" t="s">
        <v>2053</v>
      </c>
    </row>
    <row r="142" spans="1:34" ht="18.399999999999999" customHeight="1" x14ac:dyDescent="0.15">
      <c r="A142" s="38" t="s">
        <v>875</v>
      </c>
      <c r="B142" s="32"/>
      <c r="C142" s="32"/>
      <c r="D142" s="32"/>
      <c r="E142" s="32"/>
      <c r="F142" s="43"/>
      <c r="K142" s="3" t="s">
        <v>875</v>
      </c>
    </row>
    <row r="143" spans="1:34" ht="18.399999999999999" customHeight="1" x14ac:dyDescent="0.15">
      <c r="A143" s="38" t="s">
        <v>2450</v>
      </c>
      <c r="B143" s="32"/>
      <c r="C143" s="32"/>
      <c r="D143" s="32"/>
      <c r="E143" s="32"/>
      <c r="F143" s="43"/>
      <c r="K143" s="3" t="s">
        <v>2450</v>
      </c>
    </row>
    <row r="144" spans="1:34" ht="18.399999999999999" customHeight="1" x14ac:dyDescent="0.15">
      <c r="A144" s="38" t="s">
        <v>1812</v>
      </c>
      <c r="B144" s="32"/>
      <c r="C144" s="32"/>
      <c r="D144" s="32"/>
      <c r="E144" s="32"/>
      <c r="F144" s="43"/>
      <c r="K144" s="3" t="s">
        <v>1812</v>
      </c>
    </row>
    <row r="145" spans="1:42" ht="18.399999999999999" customHeight="1" x14ac:dyDescent="0.15">
      <c r="A145" s="38" t="s">
        <v>2450</v>
      </c>
      <c r="B145" s="32"/>
      <c r="C145" s="32"/>
      <c r="D145" s="32"/>
      <c r="E145" s="32"/>
      <c r="F145" s="43"/>
      <c r="K145" s="3" t="s">
        <v>2450</v>
      </c>
    </row>
    <row r="146" spans="1:42" ht="18.399999999999999" customHeight="1" x14ac:dyDescent="0.15">
      <c r="A146" s="40" t="str">
        <f>CONCATENATE("    q=",TEXT($AB146,"#,##0.0"),",   k=",TEXT($AF146,"#,##0.00"),",   f = 1/1.5 = ",TEXT($AN146,"#,##0.00"))</f>
        <v xml:space="preserve">    q=0.7,   k=0.55,   f = 1/1.5 = 0.67</v>
      </c>
      <c r="B146" s="32">
        <f>SUM($C146,$D146,$E146)</f>
        <v>0</v>
      </c>
      <c r="C146" s="32"/>
      <c r="D146" s="32"/>
      <c r="E146" s="32"/>
      <c r="F146" s="43"/>
      <c r="K146" s="10" t="str">
        <f>SUBSTITUTE(SUBSTITUTE(SUBSTITUTE("    q = 0.7,   k = 0.55,   f = 1/1.5 = ?","0.7",TEXT($AB146,"#,##0.0"),1),"0.55",TEXT($AF146,"#,##0.00"),1),"_x001D_","'")</f>
        <v xml:space="preserve">    q = 0.7,   k = 0.55,   f = 1/1.5 = ?</v>
      </c>
      <c r="AA146" s="36" t="s">
        <v>1686</v>
      </c>
      <c r="AB146" s="6">
        <v>0.7</v>
      </c>
      <c r="AC146" s="36" t="s">
        <v>1686</v>
      </c>
      <c r="AD146" s="7">
        <f>$AB146</f>
        <v>0.7</v>
      </c>
      <c r="AE146" s="36" t="s">
        <v>725</v>
      </c>
      <c r="AF146" s="6">
        <v>0.55000000000000004</v>
      </c>
      <c r="AG146" s="36" t="s">
        <v>725</v>
      </c>
      <c r="AH146" s="7">
        <f>$AF146</f>
        <v>0.55000000000000004</v>
      </c>
      <c r="AI146" s="36" t="s">
        <v>1551</v>
      </c>
      <c r="AJ146" s="8">
        <f>ROUND(1/1.5,2)</f>
        <v>0.67</v>
      </c>
      <c r="AK146" s="36" t="s">
        <v>1406</v>
      </c>
      <c r="AL146" s="7">
        <f>$AJ146</f>
        <v>0.67</v>
      </c>
      <c r="AM146" s="36" t="s">
        <v>1956</v>
      </c>
      <c r="AN146" s="8">
        <f>ROUND(ROUND(1/1.5,2),2)</f>
        <v>0.67</v>
      </c>
      <c r="AO146" s="36" t="s">
        <v>1799</v>
      </c>
      <c r="AP146" s="7">
        <f>$AN146</f>
        <v>0.67</v>
      </c>
    </row>
    <row r="147" spans="1:42" ht="18.399999999999999" customHeight="1" x14ac:dyDescent="0.15">
      <c r="A147" s="38" t="s">
        <v>2450</v>
      </c>
      <c r="B147" s="32"/>
      <c r="C147" s="32"/>
      <c r="D147" s="32"/>
      <c r="E147" s="32"/>
      <c r="F147" s="43"/>
      <c r="K147" s="3" t="s">
        <v>2450</v>
      </c>
    </row>
    <row r="148" spans="1:42" ht="18.399999999999999" customHeight="1" x14ac:dyDescent="0.15">
      <c r="A148" s="40" t="str">
        <f>CONCATENATE("    E=",TEXT($AB148,"#,##0.00"),", cm=",TEXT($AF148,"#,##0.00")," sec")</f>
        <v xml:space="preserve">    E=0.45, cm=18.00 sec</v>
      </c>
      <c r="B148" s="32"/>
      <c r="C148" s="32"/>
      <c r="D148" s="32"/>
      <c r="E148" s="32"/>
      <c r="F148" s="43"/>
      <c r="K148" s="10" t="str">
        <f>SUBSTITUTE(SUBSTITUTE(SUBSTITUTE("    E = 0.45, cm = 18_x001D_sec_x001D_","0.45",TEXT($AB148,"#,##0.00"),1),"18",TEXT($AF148,"#,##0"),1),"_x001D_","'")</f>
        <v xml:space="preserve">    E = 0.45, cm = 18'sec'</v>
      </c>
      <c r="AA148" s="36" t="s">
        <v>1179</v>
      </c>
      <c r="AB148" s="6">
        <v>0.45</v>
      </c>
      <c r="AC148" s="36" t="s">
        <v>1179</v>
      </c>
      <c r="AD148" s="7">
        <f>$AB148</f>
        <v>0.45</v>
      </c>
      <c r="AE148" s="36" t="s">
        <v>120</v>
      </c>
      <c r="AF148" s="6">
        <v>18</v>
      </c>
      <c r="AG148" s="36" t="s">
        <v>120</v>
      </c>
      <c r="AH148" s="7">
        <f>$AF148</f>
        <v>18</v>
      </c>
    </row>
    <row r="149" spans="1:42" ht="18.399999999999999" customHeight="1" x14ac:dyDescent="0.15">
      <c r="A149" s="38" t="s">
        <v>2450</v>
      </c>
      <c r="B149" s="32"/>
      <c r="C149" s="32"/>
      <c r="D149" s="32"/>
      <c r="E149" s="32"/>
      <c r="F149" s="43"/>
      <c r="K149" s="3" t="s">
        <v>2450</v>
      </c>
    </row>
    <row r="150" spans="1:42" ht="18.399999999999999" customHeight="1" x14ac:dyDescent="0.15">
      <c r="A150" s="40" t="str">
        <f>CONCATENATE("    Q = (3600*q*f*K*E)/cm = ",TEXT($AF150,"#,##0.00")," ㎥/hr ")</f>
        <v xml:space="preserve">    Q = (3600*q*f*K*E)/cm = 23.22 ㎥/hr </v>
      </c>
      <c r="B150" s="32">
        <f>SUM($C150,$D150,$E150)</f>
        <v>0</v>
      </c>
      <c r="C150" s="32"/>
      <c r="D150" s="32"/>
      <c r="E150" s="32"/>
      <c r="F150" s="43"/>
      <c r="K150" s="3" t="s">
        <v>677</v>
      </c>
      <c r="AA150" s="36" t="s">
        <v>461</v>
      </c>
      <c r="AB150" s="8">
        <f>ROUND((3600*$AD146*$AL146*$AH146*$AD148)/$AH148,2)</f>
        <v>23.22</v>
      </c>
      <c r="AC150" s="36" t="s">
        <v>1686</v>
      </c>
      <c r="AD150" s="7">
        <f>$AB150</f>
        <v>23.22</v>
      </c>
      <c r="AE150" s="36" t="s">
        <v>809</v>
      </c>
      <c r="AF150" s="8">
        <f>ROUND(ROUND((3600*$AD146*$AL146*$AH146*$AD148)/$AH148,2),2)</f>
        <v>23.22</v>
      </c>
      <c r="AG150" s="36" t="s">
        <v>1096</v>
      </c>
      <c r="AH150" s="7">
        <f>$AF150</f>
        <v>23.22</v>
      </c>
    </row>
    <row r="151" spans="1:42" ht="18.399999999999999" customHeight="1" x14ac:dyDescent="0.15">
      <c r="A151" s="38" t="s">
        <v>2450</v>
      </c>
      <c r="B151" s="32"/>
      <c r="C151" s="32"/>
      <c r="D151" s="32"/>
      <c r="E151" s="32"/>
      <c r="F151" s="43"/>
      <c r="K151" s="3" t="s">
        <v>2450</v>
      </c>
    </row>
    <row r="152" spans="1:42" ht="18.399999999999999" customHeight="1" x14ac:dyDescent="0.15">
      <c r="A152" s="40" t="str">
        <f>CONCATENATE("    재 료 비   _x001D_22,501_x001D_ / ",TEXT($AB152,"#,##0.00")," = ",TEXT($AF152,"#,##0.00"))</f>
        <v xml:space="preserve">    재 료 비   _x001D_22,501_x001D_ / 23.22 = 969.00</v>
      </c>
      <c r="B152" s="32">
        <f>SUM($C152,$D152,$E152)</f>
        <v>969</v>
      </c>
      <c r="C152" s="32">
        <f>$AF152</f>
        <v>969</v>
      </c>
      <c r="D152" s="32"/>
      <c r="E152" s="32"/>
      <c r="F152" s="43" t="s">
        <v>2450</v>
      </c>
      <c r="K152" s="3" t="s">
        <v>2207</v>
      </c>
      <c r="AA152" s="36" t="s">
        <v>2040</v>
      </c>
      <c r="AB152" s="8">
        <f>$AD150</f>
        <v>23.22</v>
      </c>
      <c r="AC152" s="36" t="s">
        <v>106</v>
      </c>
      <c r="AD152" s="7">
        <f>$AB152</f>
        <v>23.22</v>
      </c>
      <c r="AE152" s="37" t="s">
        <v>1805</v>
      </c>
      <c r="AF152" s="8">
        <f>TRUNC(중기사용료목록!E5/$AD152,0)</f>
        <v>969</v>
      </c>
      <c r="AG152" s="37" t="s">
        <v>2029</v>
      </c>
      <c r="AH152" s="7">
        <f>$AF152</f>
        <v>969</v>
      </c>
    </row>
    <row r="153" spans="1:42" ht="18.399999999999999" customHeight="1" x14ac:dyDescent="0.15">
      <c r="A153" s="38" t="s">
        <v>2450</v>
      </c>
      <c r="B153" s="32"/>
      <c r="C153" s="32"/>
      <c r="D153" s="32"/>
      <c r="E153" s="32"/>
      <c r="F153" s="43"/>
      <c r="K153" s="3" t="s">
        <v>2450</v>
      </c>
    </row>
    <row r="154" spans="1:42" ht="18.399999999999999" customHeight="1" x14ac:dyDescent="0.15">
      <c r="A154" s="40" t="str">
        <f>CONCATENATE("    노 무 비   _x001D_59,020_x001D_ / ",TEXT($AB154,"#,##0.00")," = ",TEXT($AF154,"#,##0.00"))</f>
        <v xml:space="preserve">    노 무 비   _x001D_59,020_x001D_ / 23.22 = 2,541.00</v>
      </c>
      <c r="B154" s="32">
        <f>SUM($C154,$D154,$E154)</f>
        <v>2541</v>
      </c>
      <c r="C154" s="32"/>
      <c r="D154" s="32">
        <f>$AF154</f>
        <v>2541</v>
      </c>
      <c r="E154" s="32"/>
      <c r="F154" s="43" t="s">
        <v>2450</v>
      </c>
      <c r="K154" s="3" t="s">
        <v>592</v>
      </c>
      <c r="AA154" s="36" t="s">
        <v>912</v>
      </c>
      <c r="AB154" s="8">
        <f>$AD150</f>
        <v>23.22</v>
      </c>
      <c r="AC154" s="36" t="s">
        <v>1313</v>
      </c>
      <c r="AD154" s="7">
        <f>$AB154</f>
        <v>23.22</v>
      </c>
      <c r="AE154" s="37" t="s">
        <v>265</v>
      </c>
      <c r="AF154" s="8">
        <f>TRUNC(중기사용료목록!F5/$AD154,0)</f>
        <v>2541</v>
      </c>
      <c r="AG154" s="37" t="s">
        <v>972</v>
      </c>
      <c r="AH154" s="7">
        <f>$AF154</f>
        <v>2541</v>
      </c>
    </row>
    <row r="155" spans="1:42" ht="18.399999999999999" customHeight="1" x14ac:dyDescent="0.15">
      <c r="A155" s="38" t="s">
        <v>2450</v>
      </c>
      <c r="B155" s="32"/>
      <c r="C155" s="32"/>
      <c r="D155" s="32"/>
      <c r="E155" s="32"/>
      <c r="F155" s="43"/>
      <c r="K155" s="3" t="s">
        <v>2450</v>
      </c>
    </row>
    <row r="156" spans="1:42" ht="18.399999999999999" customHeight="1" x14ac:dyDescent="0.15">
      <c r="A156" s="40" t="str">
        <f>CONCATENATE("    경    비   _x001D_24,554_x001D_ / ",TEXT($AB156,"#,##0.00")," = ",TEXT($AF156,"#,##0.00"))</f>
        <v xml:space="preserve">    경    비   _x001D_24,554_x001D_ / 23.22 = 1,057.00</v>
      </c>
      <c r="B156" s="32">
        <f>SUM($C156,$D156,$E156)</f>
        <v>1057</v>
      </c>
      <c r="C156" s="32"/>
      <c r="D156" s="32"/>
      <c r="E156" s="32">
        <f>$AF156</f>
        <v>1057</v>
      </c>
      <c r="F156" s="43" t="s">
        <v>2450</v>
      </c>
      <c r="K156" s="3" t="s">
        <v>2162</v>
      </c>
      <c r="AA156" s="36" t="s">
        <v>2087</v>
      </c>
      <c r="AB156" s="8">
        <f>$AD150</f>
        <v>23.22</v>
      </c>
      <c r="AC156" s="36" t="s">
        <v>2362</v>
      </c>
      <c r="AD156" s="7">
        <f>$AB156</f>
        <v>23.22</v>
      </c>
      <c r="AE156" s="37" t="s">
        <v>815</v>
      </c>
      <c r="AF156" s="8">
        <f>TRUNC(중기사용료목록!G5/$AD156,0)</f>
        <v>1057</v>
      </c>
      <c r="AG156" s="37" t="s">
        <v>1302</v>
      </c>
      <c r="AH156" s="7">
        <f>$AF156</f>
        <v>1057</v>
      </c>
    </row>
    <row r="157" spans="1:42" ht="18.399999999999999" customHeight="1" x14ac:dyDescent="0.15">
      <c r="A157" s="38" t="s">
        <v>2450</v>
      </c>
      <c r="B157" s="32"/>
      <c r="C157" s="32"/>
      <c r="D157" s="32"/>
      <c r="E157" s="32"/>
      <c r="F157" s="43"/>
      <c r="K157" s="3" t="s">
        <v>2450</v>
      </c>
    </row>
    <row r="158" spans="1:42" ht="18.399999999999999" customHeight="1" x14ac:dyDescent="0.15">
      <c r="A158" s="38" t="s">
        <v>2345</v>
      </c>
      <c r="B158" s="34">
        <f>SUM($C158,$D158,$E158)</f>
        <v>4567</v>
      </c>
      <c r="C158" s="34">
        <f>$AB158</f>
        <v>969</v>
      </c>
      <c r="D158" s="34">
        <f>$AD158</f>
        <v>2541</v>
      </c>
      <c r="E158" s="34">
        <f>$AF158</f>
        <v>1057</v>
      </c>
      <c r="F158" s="45"/>
      <c r="K158" s="3" t="s">
        <v>726</v>
      </c>
      <c r="AA158" s="36" t="s">
        <v>989</v>
      </c>
      <c r="AB158" s="7">
        <f>$AH152</f>
        <v>969</v>
      </c>
      <c r="AC158" s="36" t="s">
        <v>2036</v>
      </c>
      <c r="AD158" s="7">
        <f>$AH154</f>
        <v>2541</v>
      </c>
      <c r="AE158" s="36" t="s">
        <v>585</v>
      </c>
      <c r="AF158" s="7">
        <f>$AH156</f>
        <v>1057</v>
      </c>
    </row>
    <row r="159" spans="1:42" ht="18.399999999999999" customHeight="1" x14ac:dyDescent="0.15">
      <c r="A159" s="38"/>
      <c r="B159" s="3"/>
      <c r="C159" s="3"/>
      <c r="D159" s="3"/>
      <c r="E159" s="3"/>
      <c r="F159" s="42"/>
    </row>
    <row r="160" spans="1:42" ht="18.399999999999999" customHeight="1" x14ac:dyDescent="0.15">
      <c r="A160" s="41" t="s">
        <v>1388</v>
      </c>
      <c r="B160" s="35">
        <f>SUM($C160,$D160,$E160)</f>
        <v>4567</v>
      </c>
      <c r="C160" s="35">
        <f>TRUNC(SUM($AH152),0)</f>
        <v>969</v>
      </c>
      <c r="D160" s="35">
        <f>TRUNC(SUM($AH154),0)</f>
        <v>2541</v>
      </c>
      <c r="E160" s="35">
        <f>TRUNC(SUM($AH156),0)</f>
        <v>1057</v>
      </c>
      <c r="F160" s="47"/>
    </row>
    <row r="161" spans="1:38" ht="18.399999999999999" customHeight="1" x14ac:dyDescent="0.15">
      <c r="A161" s="38"/>
      <c r="B161" s="3"/>
      <c r="C161" s="3"/>
      <c r="D161" s="3"/>
      <c r="E161" s="3"/>
      <c r="F161" s="42"/>
    </row>
    <row r="162" spans="1:38" ht="18.399999999999999" customHeight="1" x14ac:dyDescent="0.15">
      <c r="A162" s="38" t="s">
        <v>1792</v>
      </c>
      <c r="B162" s="32">
        <f>$B181</f>
        <v>3263</v>
      </c>
      <c r="C162" s="32">
        <f>$C181</f>
        <v>976</v>
      </c>
      <c r="D162" s="32">
        <f>$D181</f>
        <v>1523</v>
      </c>
      <c r="E162" s="32">
        <f>$E181</f>
        <v>764</v>
      </c>
      <c r="F162" s="42" t="s">
        <v>2450</v>
      </c>
      <c r="G162" t="s">
        <v>2450</v>
      </c>
      <c r="H162" t="s">
        <v>939</v>
      </c>
      <c r="K162">
        <v>1</v>
      </c>
      <c r="Y162" s="7" t="b">
        <f>EXACT($Z162,$B181)</f>
        <v>1</v>
      </c>
      <c r="Z162" s="35">
        <v>3263</v>
      </c>
    </row>
    <row r="163" spans="1:38" ht="18.399999999999999" customHeight="1" x14ac:dyDescent="0.15">
      <c r="A163" s="39"/>
      <c r="B163" s="3"/>
      <c r="C163" s="3"/>
      <c r="D163" s="3"/>
      <c r="E163" s="3"/>
      <c r="F163" s="42"/>
    </row>
    <row r="164" spans="1:38" ht="18.399999999999999" customHeight="1" x14ac:dyDescent="0.15">
      <c r="A164" s="38" t="s">
        <v>2450</v>
      </c>
      <c r="B164" s="3"/>
      <c r="C164" s="3"/>
      <c r="D164" s="3"/>
      <c r="E164" s="3"/>
      <c r="F164" s="42"/>
      <c r="G164" t="s">
        <v>2450</v>
      </c>
      <c r="I164" t="s">
        <v>289</v>
      </c>
      <c r="J164" t="s">
        <v>2450</v>
      </c>
      <c r="K164" t="s">
        <v>2053</v>
      </c>
    </row>
    <row r="165" spans="1:38" ht="18.399999999999999" customHeight="1" x14ac:dyDescent="0.15">
      <c r="A165" s="38" t="s">
        <v>1562</v>
      </c>
      <c r="B165" s="32"/>
      <c r="C165" s="32"/>
      <c r="D165" s="32"/>
      <c r="E165" s="32"/>
      <c r="F165" s="43"/>
      <c r="K165" s="3" t="s">
        <v>1562</v>
      </c>
    </row>
    <row r="166" spans="1:38" ht="18.399999999999999" customHeight="1" x14ac:dyDescent="0.15">
      <c r="A166" s="38" t="s">
        <v>2450</v>
      </c>
      <c r="B166" s="32"/>
      <c r="C166" s="32"/>
      <c r="D166" s="32"/>
      <c r="E166" s="32"/>
      <c r="F166" s="43"/>
      <c r="K166" s="3" t="s">
        <v>2450</v>
      </c>
    </row>
    <row r="167" spans="1:38" ht="18.399999999999999" customHeight="1" x14ac:dyDescent="0.15">
      <c r="A167" s="40" t="str">
        <f>CONCATENATE(" ○ 1일 시공량 :  B=",TEXT($AB167,"#,##0.00")," m3/일")</f>
        <v xml:space="preserve"> ○ 1일 시공량 :  B=310.00 m3/일</v>
      </c>
      <c r="B167" s="32"/>
      <c r="C167" s="32"/>
      <c r="D167" s="32"/>
      <c r="E167" s="32"/>
      <c r="F167" s="43"/>
      <c r="K167" s="10" t="str">
        <f>SUBSTITUTE(SUBSTITUTE("_x001D_○ 1일 시공량 :_x001D_ B = 310_x001D_m3/일_x001D_","310",TEXT($AB167,"#,##0"),1),"_x001D_","'")</f>
        <v>'○ 1일 시공량 :' B = 310'm3/일'</v>
      </c>
      <c r="AA167" s="36" t="s">
        <v>1848</v>
      </c>
      <c r="AB167" s="6">
        <v>310</v>
      </c>
      <c r="AC167" s="36" t="s">
        <v>1848</v>
      </c>
      <c r="AD167" s="7">
        <f>$AB167</f>
        <v>310</v>
      </c>
    </row>
    <row r="168" spans="1:38" ht="18.399999999999999" customHeight="1" x14ac:dyDescent="0.15">
      <c r="A168" s="38" t="s">
        <v>2450</v>
      </c>
      <c r="B168" s="32"/>
      <c r="C168" s="32"/>
      <c r="D168" s="32"/>
      <c r="E168" s="32"/>
      <c r="F168" s="43"/>
      <c r="K168" s="3" t="s">
        <v>2450</v>
      </c>
    </row>
    <row r="169" spans="1:38" ht="18.399999999999999" customHeight="1" x14ac:dyDescent="0.15">
      <c r="A169" s="40" t="str">
        <f>CONCATENATE(" ○ 1시간 작업량 :  Q1 = ",TEXT($AB169,"#,##0.00")," / 8 hr  =",TEXT($AJ169,"#,##0.00")," m/hr ")</f>
        <v xml:space="preserve"> ○ 1시간 작업량 :  Q1 = 310.00 / 8 hr  =38.75 m/hr </v>
      </c>
      <c r="B169" s="32">
        <f>SUM($C169,$D169,$E169)</f>
        <v>0</v>
      </c>
      <c r="C169" s="32"/>
      <c r="D169" s="32"/>
      <c r="E169" s="32"/>
      <c r="F169" s="43"/>
      <c r="K169" s="3" t="s">
        <v>9</v>
      </c>
      <c r="AA169" s="36" t="s">
        <v>79</v>
      </c>
      <c r="AB169" s="8">
        <f>$AD167</f>
        <v>310</v>
      </c>
      <c r="AC169" s="36" t="s">
        <v>1517</v>
      </c>
      <c r="AD169" s="7">
        <f>$AB169</f>
        <v>310</v>
      </c>
      <c r="AE169" s="36" t="s">
        <v>1378</v>
      </c>
      <c r="AF169" s="8">
        <f>ROUND($AD169/8,2)</f>
        <v>38.75</v>
      </c>
      <c r="AG169" s="36" t="s">
        <v>1929</v>
      </c>
      <c r="AH169" s="7">
        <f>$AF169</f>
        <v>38.75</v>
      </c>
      <c r="AI169" s="36" t="s">
        <v>2062</v>
      </c>
      <c r="AJ169" s="8">
        <f>ROUND(ROUND($AD169/8,2),2)</f>
        <v>38.75</v>
      </c>
      <c r="AK169" s="36" t="s">
        <v>1095</v>
      </c>
      <c r="AL169" s="7">
        <f>$AJ169</f>
        <v>38.75</v>
      </c>
    </row>
    <row r="170" spans="1:38" ht="18.399999999999999" customHeight="1" x14ac:dyDescent="0.15">
      <c r="A170" s="38" t="s">
        <v>2450</v>
      </c>
      <c r="B170" s="32"/>
      <c r="C170" s="32"/>
      <c r="D170" s="32"/>
      <c r="E170" s="32"/>
      <c r="F170" s="43"/>
      <c r="K170" s="3" t="s">
        <v>2450</v>
      </c>
    </row>
    <row r="171" spans="1:38" ht="18.399999999999999" customHeight="1" x14ac:dyDescent="0.15">
      <c r="A171" s="38" t="s">
        <v>259</v>
      </c>
      <c r="B171" s="32"/>
      <c r="C171" s="32"/>
      <c r="D171" s="32"/>
      <c r="E171" s="32"/>
      <c r="F171" s="43"/>
      <c r="K171" s="3" t="s">
        <v>259</v>
      </c>
    </row>
    <row r="172" spans="1:38" ht="18.399999999999999" customHeight="1" x14ac:dyDescent="0.15">
      <c r="A172" s="38" t="s">
        <v>2450</v>
      </c>
      <c r="B172" s="32"/>
      <c r="C172" s="32"/>
      <c r="D172" s="32"/>
      <c r="E172" s="32"/>
      <c r="F172" s="43"/>
      <c r="K172" s="3" t="s">
        <v>2450</v>
      </c>
    </row>
    <row r="173" spans="1:38" ht="18.399999999999999" customHeight="1" x14ac:dyDescent="0.15">
      <c r="A173" s="40" t="str">
        <f>CONCATENATE("    재 료 비 :   _x001D_37,826_x001D_ / ",TEXT($AB173,"#,##0.00")," =",TEXT($AF173,"#,##0.00"))</f>
        <v xml:space="preserve">    재 료 비 :   _x001D_37,826_x001D_ / 38.75 =976.00</v>
      </c>
      <c r="B173" s="32">
        <f>SUM($C173,$D173,$E173)</f>
        <v>976</v>
      </c>
      <c r="C173" s="32">
        <f>$AF173</f>
        <v>976</v>
      </c>
      <c r="D173" s="32"/>
      <c r="E173" s="32"/>
      <c r="F173" s="43" t="s">
        <v>2450</v>
      </c>
      <c r="K173" s="3" t="s">
        <v>1005</v>
      </c>
      <c r="AA173" s="36" t="s">
        <v>1602</v>
      </c>
      <c r="AB173" s="8">
        <f>$AH169</f>
        <v>38.75</v>
      </c>
      <c r="AC173" s="36" t="s">
        <v>195</v>
      </c>
      <c r="AD173" s="7">
        <f>$AB173</f>
        <v>38.75</v>
      </c>
      <c r="AE173" s="37" t="s">
        <v>1805</v>
      </c>
      <c r="AF173" s="8">
        <f>TRUNC(중기사용료목록!E6/$AD173,0)</f>
        <v>976</v>
      </c>
      <c r="AG173" s="37" t="s">
        <v>2029</v>
      </c>
      <c r="AH173" s="7">
        <f>$AF173</f>
        <v>976</v>
      </c>
    </row>
    <row r="174" spans="1:38" ht="18.399999999999999" customHeight="1" x14ac:dyDescent="0.15">
      <c r="A174" s="38" t="s">
        <v>2450</v>
      </c>
      <c r="B174" s="32"/>
      <c r="C174" s="32"/>
      <c r="D174" s="32"/>
      <c r="E174" s="32"/>
      <c r="F174" s="43"/>
      <c r="K174" s="3" t="s">
        <v>2450</v>
      </c>
    </row>
    <row r="175" spans="1:38" ht="18.399999999999999" customHeight="1" x14ac:dyDescent="0.15">
      <c r="A175" s="40" t="str">
        <f>CONCATENATE("    노 무 비 :   _x001D_59,020_x001D_ / ",TEXT($AB175,"#,##0.00")," =",TEXT($AF175,"#,##0.00"))</f>
        <v xml:space="preserve">    노 무 비 :   _x001D_59,020_x001D_ / 38.75 =1,523.00</v>
      </c>
      <c r="B175" s="32">
        <f>SUM($C175,$D175,$E175)</f>
        <v>1523</v>
      </c>
      <c r="C175" s="32"/>
      <c r="D175" s="32">
        <f>$AF175</f>
        <v>1523</v>
      </c>
      <c r="E175" s="32"/>
      <c r="F175" s="43" t="s">
        <v>2450</v>
      </c>
      <c r="K175" s="3" t="s">
        <v>1277</v>
      </c>
      <c r="AA175" s="36" t="s">
        <v>336</v>
      </c>
      <c r="AB175" s="8">
        <f>$AH169</f>
        <v>38.75</v>
      </c>
      <c r="AC175" s="36" t="s">
        <v>1401</v>
      </c>
      <c r="AD175" s="7">
        <f>$AB175</f>
        <v>38.75</v>
      </c>
      <c r="AE175" s="37" t="s">
        <v>265</v>
      </c>
      <c r="AF175" s="8">
        <f>TRUNC(중기사용료목록!F6/$AD175,0)</f>
        <v>1523</v>
      </c>
      <c r="AG175" s="37" t="s">
        <v>972</v>
      </c>
      <c r="AH175" s="7">
        <f>$AF175</f>
        <v>1523</v>
      </c>
    </row>
    <row r="176" spans="1:38" ht="18.399999999999999" customHeight="1" x14ac:dyDescent="0.15">
      <c r="A176" s="38" t="s">
        <v>2450</v>
      </c>
      <c r="B176" s="32"/>
      <c r="C176" s="32"/>
      <c r="D176" s="32"/>
      <c r="E176" s="32"/>
      <c r="F176" s="43"/>
      <c r="K176" s="3" t="s">
        <v>2450</v>
      </c>
    </row>
    <row r="177" spans="1:38" ht="18.399999999999999" customHeight="1" x14ac:dyDescent="0.15">
      <c r="A177" s="40" t="str">
        <f>CONCATENATE("    경    비 :   _x001D_29,621_x001D_ / ",TEXT($AB177,"#,##0.00")," =",TEXT($AF177,"#,##0.00"))</f>
        <v xml:space="preserve">    경    비 :   _x001D_29,621_x001D_ / 38.75 =764.00</v>
      </c>
      <c r="B177" s="32">
        <f>SUM($C177,$D177,$E177)</f>
        <v>764</v>
      </c>
      <c r="C177" s="32"/>
      <c r="D177" s="32"/>
      <c r="E177" s="32">
        <f>$AF177</f>
        <v>764</v>
      </c>
      <c r="F177" s="43" t="s">
        <v>2450</v>
      </c>
      <c r="K177" s="3" t="s">
        <v>635</v>
      </c>
      <c r="AA177" s="36" t="s">
        <v>1570</v>
      </c>
      <c r="AB177" s="8">
        <f>$AH169</f>
        <v>38.75</v>
      </c>
      <c r="AC177" s="36" t="s">
        <v>2283</v>
      </c>
      <c r="AD177" s="7">
        <f>$AB177</f>
        <v>38.75</v>
      </c>
      <c r="AE177" s="37" t="s">
        <v>815</v>
      </c>
      <c r="AF177" s="8">
        <f>TRUNC(중기사용료목록!G6/$AD177,0)</f>
        <v>764</v>
      </c>
      <c r="AG177" s="37" t="s">
        <v>1302</v>
      </c>
      <c r="AH177" s="7">
        <f>$AF177</f>
        <v>764</v>
      </c>
    </row>
    <row r="178" spans="1:38" ht="18.399999999999999" customHeight="1" x14ac:dyDescent="0.15">
      <c r="A178" s="38" t="s">
        <v>2450</v>
      </c>
      <c r="B178" s="32"/>
      <c r="C178" s="32"/>
      <c r="D178" s="32"/>
      <c r="E178" s="32"/>
      <c r="F178" s="43"/>
      <c r="K178" s="3" t="s">
        <v>2450</v>
      </c>
    </row>
    <row r="179" spans="1:38" ht="18.399999999999999" customHeight="1" x14ac:dyDescent="0.15">
      <c r="A179" s="38" t="s">
        <v>569</v>
      </c>
      <c r="B179" s="33">
        <f>SUM($C179,$D179,$E179)</f>
        <v>3263</v>
      </c>
      <c r="C179" s="33">
        <f>$AB179</f>
        <v>976</v>
      </c>
      <c r="D179" s="33">
        <f>$AD179</f>
        <v>1523</v>
      </c>
      <c r="E179" s="33">
        <f>$AF179</f>
        <v>764</v>
      </c>
      <c r="F179" s="44"/>
      <c r="K179" s="3" t="s">
        <v>1529</v>
      </c>
      <c r="AA179" s="36" t="s">
        <v>1729</v>
      </c>
      <c r="AB179" s="7">
        <f>$AH173</f>
        <v>976</v>
      </c>
      <c r="AC179" s="36" t="s">
        <v>71</v>
      </c>
      <c r="AD179" s="7">
        <f>$AH175</f>
        <v>1523</v>
      </c>
      <c r="AE179" s="36" t="s">
        <v>2236</v>
      </c>
      <c r="AF179" s="7">
        <f>$AH177</f>
        <v>764</v>
      </c>
    </row>
    <row r="180" spans="1:38" ht="18.399999999999999" customHeight="1" x14ac:dyDescent="0.15">
      <c r="A180" s="38"/>
      <c r="B180" s="3"/>
      <c r="C180" s="3"/>
      <c r="D180" s="3"/>
      <c r="E180" s="3"/>
      <c r="F180" s="42"/>
    </row>
    <row r="181" spans="1:38" ht="18.399999999999999" customHeight="1" x14ac:dyDescent="0.15">
      <c r="A181" s="41" t="s">
        <v>1388</v>
      </c>
      <c r="B181" s="35">
        <f>SUM($C181,$D181,$E181)</f>
        <v>3263</v>
      </c>
      <c r="C181" s="35">
        <f>TRUNC(SUM($AH173),0)</f>
        <v>976</v>
      </c>
      <c r="D181" s="35">
        <f>TRUNC(SUM($AH175),0)</f>
        <v>1523</v>
      </c>
      <c r="E181" s="35">
        <f>TRUNC(SUM($AH177),0)</f>
        <v>764</v>
      </c>
      <c r="F181" s="47"/>
    </row>
    <row r="182" spans="1:38" ht="18.399999999999999" customHeight="1" x14ac:dyDescent="0.15">
      <c r="A182" s="38"/>
      <c r="B182" s="3"/>
      <c r="C182" s="3"/>
      <c r="D182" s="3"/>
      <c r="E182" s="3"/>
      <c r="F182" s="42"/>
    </row>
    <row r="183" spans="1:38" ht="18.399999999999999" customHeight="1" x14ac:dyDescent="0.15">
      <c r="A183" s="38" t="s">
        <v>1961</v>
      </c>
      <c r="B183" s="32">
        <f>$B236</f>
        <v>12584</v>
      </c>
      <c r="C183" s="32">
        <f>$C236</f>
        <v>2681</v>
      </c>
      <c r="D183" s="32">
        <f>$D236</f>
        <v>7716</v>
      </c>
      <c r="E183" s="32">
        <f>$E236</f>
        <v>2187</v>
      </c>
      <c r="F183" s="42" t="s">
        <v>2450</v>
      </c>
      <c r="G183" t="s">
        <v>2450</v>
      </c>
      <c r="H183" t="s">
        <v>2322</v>
      </c>
      <c r="K183">
        <v>1</v>
      </c>
      <c r="Y183" s="7" t="b">
        <f>EXACT($Z183,$B236)</f>
        <v>1</v>
      </c>
      <c r="Z183" s="35">
        <v>12584</v>
      </c>
    </row>
    <row r="184" spans="1:38" ht="18.399999999999999" customHeight="1" x14ac:dyDescent="0.15">
      <c r="A184" s="39"/>
      <c r="B184" s="3"/>
      <c r="C184" s="3"/>
      <c r="D184" s="3"/>
      <c r="E184" s="3"/>
      <c r="F184" s="42"/>
    </row>
    <row r="185" spans="1:38" ht="18.399999999999999" customHeight="1" x14ac:dyDescent="0.15">
      <c r="A185" s="38" t="s">
        <v>2450</v>
      </c>
      <c r="B185" s="3"/>
      <c r="C185" s="3"/>
      <c r="D185" s="3"/>
      <c r="E185" s="3"/>
      <c r="F185" s="42"/>
      <c r="G185" t="s">
        <v>2450</v>
      </c>
      <c r="I185" t="s">
        <v>289</v>
      </c>
      <c r="J185" t="s">
        <v>2450</v>
      </c>
      <c r="K185" t="s">
        <v>2053</v>
      </c>
    </row>
    <row r="186" spans="1:38" ht="18.399999999999999" customHeight="1" x14ac:dyDescent="0.15">
      <c r="A186" s="38" t="s">
        <v>1923</v>
      </c>
      <c r="B186" s="32"/>
      <c r="C186" s="32"/>
      <c r="D186" s="32"/>
      <c r="E186" s="32"/>
      <c r="F186" s="43"/>
      <c r="K186" s="3" t="s">
        <v>1923</v>
      </c>
    </row>
    <row r="187" spans="1:38" ht="18.399999999999999" customHeight="1" x14ac:dyDescent="0.15">
      <c r="A187" s="38" t="s">
        <v>2450</v>
      </c>
      <c r="B187" s="32"/>
      <c r="C187" s="32"/>
      <c r="D187" s="32"/>
      <c r="E187" s="32"/>
      <c r="F187" s="43"/>
      <c r="K187" s="3" t="s">
        <v>2450</v>
      </c>
    </row>
    <row r="188" spans="1:38" ht="18.399999999999999" customHeight="1" x14ac:dyDescent="0.15">
      <c r="A188" s="40" t="str">
        <f>CONCATENATE(" ○ 1일 시공량 :  A=",TEXT($AB188,"#,##0.00")," ㎥/일")</f>
        <v xml:space="preserve"> ○ 1일 시공량 :  A=250.00 ㎥/일</v>
      </c>
      <c r="B188" s="32"/>
      <c r="C188" s="32"/>
      <c r="D188" s="32"/>
      <c r="E188" s="32"/>
      <c r="F188" s="43"/>
      <c r="K188" s="10" t="str">
        <f>SUBSTITUTE(SUBSTITUTE("_x001D_○ 1일 시공량 :_x001D_ A = 250_x001D_㎥/일_x001D_","250",TEXT($AB188,"#,##0"),1),"_x001D_","'")</f>
        <v>'○ 1일 시공량 :' A = 250'㎥/일'</v>
      </c>
      <c r="AA188" s="36" t="s">
        <v>430</v>
      </c>
      <c r="AB188" s="6">
        <v>250</v>
      </c>
      <c r="AC188" s="36" t="s">
        <v>430</v>
      </c>
      <c r="AD188" s="7">
        <f>$AB188</f>
        <v>250</v>
      </c>
    </row>
    <row r="189" spans="1:38" ht="18.399999999999999" customHeight="1" x14ac:dyDescent="0.15">
      <c r="A189" s="38" t="s">
        <v>2450</v>
      </c>
      <c r="B189" s="32"/>
      <c r="C189" s="32"/>
      <c r="D189" s="32"/>
      <c r="E189" s="32"/>
      <c r="F189" s="43"/>
      <c r="K189" s="3" t="s">
        <v>2450</v>
      </c>
    </row>
    <row r="190" spans="1:38" ht="18.399999999999999" customHeight="1" x14ac:dyDescent="0.15">
      <c r="A190" s="40" t="str">
        <f>CONCATENATE(" ○ 1시간 작업량 :  Q = ",TEXT($AB190,"#,##0.00")," / 8 hr  =",TEXT($AJ190,"#,##0.00")," ㎥/hr ")</f>
        <v xml:space="preserve"> ○ 1시간 작업량 :  Q = 250.00 / 8 hr  =31.25 ㎥/hr </v>
      </c>
      <c r="B190" s="32">
        <f>SUM($C190,$D190,$E190)</f>
        <v>0</v>
      </c>
      <c r="C190" s="32"/>
      <c r="D190" s="32"/>
      <c r="E190" s="32"/>
      <c r="F190" s="43"/>
      <c r="K190" s="3" t="s">
        <v>1790</v>
      </c>
      <c r="AA190" s="36" t="s">
        <v>2127</v>
      </c>
      <c r="AB190" s="8">
        <f>$AD188</f>
        <v>250</v>
      </c>
      <c r="AC190" s="36" t="s">
        <v>986</v>
      </c>
      <c r="AD190" s="7">
        <f>$AB190</f>
        <v>250</v>
      </c>
      <c r="AE190" s="36" t="s">
        <v>461</v>
      </c>
      <c r="AF190" s="8">
        <f>ROUND($AD190/8,2)</f>
        <v>31.25</v>
      </c>
      <c r="AG190" s="36" t="s">
        <v>1686</v>
      </c>
      <c r="AH190" s="7">
        <f>$AF190</f>
        <v>31.25</v>
      </c>
      <c r="AI190" s="36" t="s">
        <v>139</v>
      </c>
      <c r="AJ190" s="8">
        <f>ROUND(ROUND($AD190/8,2),2)</f>
        <v>31.25</v>
      </c>
      <c r="AK190" s="36" t="s">
        <v>1314</v>
      </c>
      <c r="AL190" s="7">
        <f>$AJ190</f>
        <v>31.25</v>
      </c>
    </row>
    <row r="191" spans="1:38" ht="18.399999999999999" customHeight="1" x14ac:dyDescent="0.15">
      <c r="A191" s="38" t="s">
        <v>2450</v>
      </c>
      <c r="B191" s="32"/>
      <c r="C191" s="32"/>
      <c r="D191" s="32"/>
      <c r="E191" s="32"/>
      <c r="F191" s="43"/>
      <c r="K191" s="3" t="s">
        <v>2450</v>
      </c>
    </row>
    <row r="192" spans="1:38" ht="18.399999999999999" customHeight="1" x14ac:dyDescent="0.15">
      <c r="A192" s="38" t="s">
        <v>1033</v>
      </c>
      <c r="B192" s="32"/>
      <c r="C192" s="32"/>
      <c r="D192" s="32"/>
      <c r="E192" s="32"/>
      <c r="F192" s="43"/>
      <c r="K192" s="3" t="s">
        <v>1033</v>
      </c>
    </row>
    <row r="193" spans="1:34" ht="18.399999999999999" customHeight="1" x14ac:dyDescent="0.15">
      <c r="A193" s="38" t="s">
        <v>2450</v>
      </c>
      <c r="B193" s="32"/>
      <c r="C193" s="32"/>
      <c r="D193" s="32"/>
      <c r="E193" s="32"/>
      <c r="F193" s="43"/>
      <c r="K193" s="3" t="s">
        <v>2450</v>
      </c>
    </row>
    <row r="194" spans="1:34" ht="18.399999999999999" customHeight="1" x14ac:dyDescent="0.15">
      <c r="A194" s="40" t="str">
        <f>CONCATENATE("    포 설 공 :  2.0 인  / ",TEXT($AB194,"#,##0.00")," * _x001D_221,015_x001D_ =",TEXT($AF194,"#,##0.00"))</f>
        <v xml:space="preserve">    포 설 공 :  2.0 인  / 250.00 * _x001D_221,015_x001D_ =1,768.00</v>
      </c>
      <c r="B194" s="32">
        <f>SUM($C194,$D194,$E194)</f>
        <v>1768</v>
      </c>
      <c r="C194" s="32"/>
      <c r="D194" s="32">
        <f>$AF194</f>
        <v>1768</v>
      </c>
      <c r="E194" s="32"/>
      <c r="F194" s="43" t="s">
        <v>2450</v>
      </c>
      <c r="K194" s="3" t="s">
        <v>2234</v>
      </c>
      <c r="AA194" s="36" t="s">
        <v>2006</v>
      </c>
      <c r="AB194" s="8">
        <f>$AD188</f>
        <v>250</v>
      </c>
      <c r="AC194" s="36" t="s">
        <v>1518</v>
      </c>
      <c r="AD194" s="7">
        <f>$AB194</f>
        <v>250</v>
      </c>
      <c r="AE194" s="37" t="s">
        <v>265</v>
      </c>
      <c r="AF194" s="8">
        <f>TRUNC(2/$AD194*노임!D7,0)</f>
        <v>1768</v>
      </c>
      <c r="AG194" s="37" t="s">
        <v>972</v>
      </c>
      <c r="AH194" s="7">
        <f>$AF194</f>
        <v>1768</v>
      </c>
    </row>
    <row r="195" spans="1:34" ht="18.399999999999999" customHeight="1" x14ac:dyDescent="0.15">
      <c r="A195" s="38" t="s">
        <v>2450</v>
      </c>
      <c r="B195" s="32"/>
      <c r="C195" s="32"/>
      <c r="D195" s="32"/>
      <c r="E195" s="32"/>
      <c r="F195" s="43"/>
      <c r="K195" s="3" t="s">
        <v>2450</v>
      </c>
    </row>
    <row r="196" spans="1:34" ht="18.399999999999999" customHeight="1" x14ac:dyDescent="0.15">
      <c r="A196" s="40" t="str">
        <f>CONCATENATE("    보통인부 :  2.0 인  / ",TEXT($AB196,"#,##0.00")," * _x001D_172,068_x001D_ =",TEXT($AF196,"#,##0.00"))</f>
        <v xml:space="preserve">    보통인부 :  2.0 인  / 250.00 * _x001D_172,068_x001D_ =1,376.00</v>
      </c>
      <c r="B196" s="32">
        <f>SUM($C196,$D196,$E196)</f>
        <v>1376</v>
      </c>
      <c r="C196" s="32"/>
      <c r="D196" s="32">
        <f>$AF196</f>
        <v>1376</v>
      </c>
      <c r="E196" s="32"/>
      <c r="F196" s="43" t="s">
        <v>2450</v>
      </c>
      <c r="K196" s="3" t="s">
        <v>1409</v>
      </c>
      <c r="AA196" s="36" t="s">
        <v>841</v>
      </c>
      <c r="AB196" s="8">
        <f>$AD188</f>
        <v>250</v>
      </c>
      <c r="AC196" s="36" t="s">
        <v>2171</v>
      </c>
      <c r="AD196" s="7">
        <f>$AB196</f>
        <v>250</v>
      </c>
      <c r="AE196" s="37" t="s">
        <v>265</v>
      </c>
      <c r="AF196" s="8">
        <f>TRUNC(2/$AD196*노임!D10,0)</f>
        <v>1376</v>
      </c>
      <c r="AG196" s="37" t="s">
        <v>972</v>
      </c>
      <c r="AH196" s="7">
        <f>$AH194+$AF196</f>
        <v>3144</v>
      </c>
    </row>
    <row r="197" spans="1:34" ht="18.399999999999999" customHeight="1" x14ac:dyDescent="0.15">
      <c r="A197" s="38" t="s">
        <v>2450</v>
      </c>
      <c r="B197" s="32"/>
      <c r="C197" s="32"/>
      <c r="D197" s="32"/>
      <c r="E197" s="32"/>
      <c r="F197" s="43"/>
      <c r="K197" s="3" t="s">
        <v>2450</v>
      </c>
    </row>
    <row r="198" spans="1:34" ht="18.399999999999999" customHeight="1" x14ac:dyDescent="0.15">
      <c r="A198" s="38" t="s">
        <v>1325</v>
      </c>
      <c r="B198" s="33">
        <f>SUM($C198,$D198,$E198)</f>
        <v>3144</v>
      </c>
      <c r="C198" s="33">
        <f>$AB198</f>
        <v>0</v>
      </c>
      <c r="D198" s="33">
        <f>$AD198</f>
        <v>3144</v>
      </c>
      <c r="E198" s="33">
        <f>$AF198</f>
        <v>0</v>
      </c>
      <c r="F198" s="44"/>
      <c r="K198" s="3" t="s">
        <v>1477</v>
      </c>
      <c r="AC198" s="36" t="s">
        <v>71</v>
      </c>
      <c r="AD198" s="7">
        <f>$AH196</f>
        <v>3144</v>
      </c>
    </row>
    <row r="199" spans="1:34" ht="18.399999999999999" customHeight="1" x14ac:dyDescent="0.15">
      <c r="A199" s="38" t="s">
        <v>2450</v>
      </c>
      <c r="B199" s="32"/>
      <c r="C199" s="32"/>
      <c r="D199" s="32"/>
      <c r="E199" s="32"/>
      <c r="F199" s="43"/>
      <c r="K199" s="3" t="s">
        <v>2450</v>
      </c>
    </row>
    <row r="200" spans="1:34" ht="18.399999999999999" customHeight="1" x14ac:dyDescent="0.15">
      <c r="A200" s="38" t="s">
        <v>1991</v>
      </c>
      <c r="B200" s="32"/>
      <c r="C200" s="32"/>
      <c r="D200" s="32"/>
      <c r="E200" s="32"/>
      <c r="F200" s="43"/>
      <c r="K200" s="3" t="s">
        <v>1991</v>
      </c>
    </row>
    <row r="201" spans="1:34" ht="18.399999999999999" customHeight="1" x14ac:dyDescent="0.15">
      <c r="A201" s="38" t="s">
        <v>2450</v>
      </c>
      <c r="B201" s="32"/>
      <c r="C201" s="32"/>
      <c r="D201" s="32"/>
      <c r="E201" s="32"/>
      <c r="F201" s="43"/>
      <c r="K201" s="3" t="s">
        <v>2450</v>
      </c>
    </row>
    <row r="202" spans="1:34" ht="18.399999999999999" customHeight="1" x14ac:dyDescent="0.15">
      <c r="A202" s="40" t="str">
        <f>CONCATENATE("    재 료 비 :  _x001D_37,826_x001D_ / ",TEXT($AB202,"#,##0.00")," =",TEXT($AF202,"#,##0.00"))</f>
        <v xml:space="preserve">    재 료 비 :  _x001D_37,826_x001D_ / 31.25 =1,210.00</v>
      </c>
      <c r="B202" s="32">
        <f>SUM($C202,$D202,$E202)</f>
        <v>1210</v>
      </c>
      <c r="C202" s="32">
        <f>$AF202</f>
        <v>1210</v>
      </c>
      <c r="D202" s="32"/>
      <c r="E202" s="32"/>
      <c r="F202" s="43" t="s">
        <v>2450</v>
      </c>
      <c r="K202" s="3" t="s">
        <v>1337</v>
      </c>
      <c r="AA202" s="36" t="s">
        <v>1403</v>
      </c>
      <c r="AB202" s="8">
        <f>$AH190</f>
        <v>31.25</v>
      </c>
      <c r="AC202" s="36" t="s">
        <v>634</v>
      </c>
      <c r="AD202" s="7">
        <f>$AB202</f>
        <v>31.25</v>
      </c>
      <c r="AE202" s="37" t="s">
        <v>1805</v>
      </c>
      <c r="AF202" s="8">
        <f>TRUNC(중기사용료목록!E6/$AD202,0)</f>
        <v>1210</v>
      </c>
      <c r="AG202" s="37" t="s">
        <v>2029</v>
      </c>
      <c r="AH202" s="7">
        <f>$AF202</f>
        <v>1210</v>
      </c>
    </row>
    <row r="203" spans="1:34" ht="18.399999999999999" customHeight="1" x14ac:dyDescent="0.15">
      <c r="A203" s="38" t="s">
        <v>2450</v>
      </c>
      <c r="B203" s="32"/>
      <c r="C203" s="32"/>
      <c r="D203" s="32"/>
      <c r="E203" s="32"/>
      <c r="F203" s="43"/>
      <c r="K203" s="3" t="s">
        <v>2450</v>
      </c>
    </row>
    <row r="204" spans="1:34" ht="18.399999999999999" customHeight="1" x14ac:dyDescent="0.15">
      <c r="A204" s="40" t="str">
        <f>CONCATENATE("    노 무 비 :  _x001D_59,020_x001D_ / ",TEXT($AB204,"#,##0.00")," =",TEXT($AF204,"#,##0.00"))</f>
        <v xml:space="preserve">    노 무 비 :  _x001D_59,020_x001D_ / 31.25 =1,888.00</v>
      </c>
      <c r="B204" s="32">
        <f>SUM($C204,$D204,$E204)</f>
        <v>1888</v>
      </c>
      <c r="C204" s="32"/>
      <c r="D204" s="32">
        <f>$AF204</f>
        <v>1888</v>
      </c>
      <c r="E204" s="32"/>
      <c r="F204" s="43" t="s">
        <v>2450</v>
      </c>
      <c r="K204" s="3" t="s">
        <v>148</v>
      </c>
      <c r="AA204" s="36" t="s">
        <v>245</v>
      </c>
      <c r="AB204" s="8">
        <f>$AH190</f>
        <v>31.25</v>
      </c>
      <c r="AC204" s="36" t="s">
        <v>1886</v>
      </c>
      <c r="AD204" s="7">
        <f>$AB204</f>
        <v>31.25</v>
      </c>
      <c r="AE204" s="37" t="s">
        <v>265</v>
      </c>
      <c r="AF204" s="8">
        <f>TRUNC(중기사용료목록!F6/$AD204,0)</f>
        <v>1888</v>
      </c>
      <c r="AG204" s="37" t="s">
        <v>972</v>
      </c>
      <c r="AH204" s="7">
        <f>$AH196+$AF204</f>
        <v>5032</v>
      </c>
    </row>
    <row r="205" spans="1:34" ht="18.399999999999999" customHeight="1" x14ac:dyDescent="0.15">
      <c r="A205" s="38" t="s">
        <v>2450</v>
      </c>
      <c r="B205" s="32"/>
      <c r="C205" s="32"/>
      <c r="D205" s="32"/>
      <c r="E205" s="32"/>
      <c r="F205" s="43"/>
      <c r="K205" s="3" t="s">
        <v>2450</v>
      </c>
    </row>
    <row r="206" spans="1:34" ht="18.399999999999999" customHeight="1" x14ac:dyDescent="0.15">
      <c r="A206" s="40" t="str">
        <f>CONCATENATE("    경    비 :  _x001D_29,621_x001D_ / ",TEXT($AB206,"#,##0.00")," =",TEXT($AF206,"#,##0.00"))</f>
        <v xml:space="preserve">    경    비 :  _x001D_29,621_x001D_ / 31.25 =947.00</v>
      </c>
      <c r="B206" s="32">
        <f>SUM($C206,$D206,$E206)</f>
        <v>947</v>
      </c>
      <c r="C206" s="32"/>
      <c r="D206" s="32"/>
      <c r="E206" s="32">
        <f>$AF206</f>
        <v>947</v>
      </c>
      <c r="F206" s="43" t="s">
        <v>2450</v>
      </c>
      <c r="K206" s="3" t="s">
        <v>424</v>
      </c>
      <c r="AA206" s="36" t="s">
        <v>1523</v>
      </c>
      <c r="AB206" s="8">
        <f>$AH190</f>
        <v>31.25</v>
      </c>
      <c r="AC206" s="36" t="s">
        <v>1760</v>
      </c>
      <c r="AD206" s="7">
        <f>$AB206</f>
        <v>31.25</v>
      </c>
      <c r="AE206" s="37" t="s">
        <v>815</v>
      </c>
      <c r="AF206" s="8">
        <f>TRUNC(중기사용료목록!G6/$AD206,0)</f>
        <v>947</v>
      </c>
      <c r="AG206" s="37" t="s">
        <v>1302</v>
      </c>
      <c r="AH206" s="7">
        <f>$AF206</f>
        <v>947</v>
      </c>
    </row>
    <row r="207" spans="1:34" ht="18.399999999999999" customHeight="1" x14ac:dyDescent="0.15">
      <c r="A207" s="38" t="s">
        <v>2450</v>
      </c>
      <c r="B207" s="32"/>
      <c r="C207" s="32"/>
      <c r="D207" s="32"/>
      <c r="E207" s="32"/>
      <c r="F207" s="43"/>
      <c r="K207" s="3" t="s">
        <v>2450</v>
      </c>
    </row>
    <row r="208" spans="1:34" ht="18.399999999999999" customHeight="1" x14ac:dyDescent="0.15">
      <c r="A208" s="38" t="s">
        <v>1325</v>
      </c>
      <c r="B208" s="33">
        <f>SUM($C208,$D208,$E208)</f>
        <v>4045</v>
      </c>
      <c r="C208" s="33">
        <f>$AB208</f>
        <v>1210</v>
      </c>
      <c r="D208" s="33">
        <f>$AD208</f>
        <v>1888</v>
      </c>
      <c r="E208" s="33">
        <f>$AF208</f>
        <v>947</v>
      </c>
      <c r="F208" s="44"/>
      <c r="K208" s="3" t="s">
        <v>1477</v>
      </c>
      <c r="AA208" s="36" t="s">
        <v>1729</v>
      </c>
      <c r="AB208" s="7">
        <f>$AH202</f>
        <v>1210</v>
      </c>
      <c r="AC208" s="36" t="s">
        <v>71</v>
      </c>
      <c r="AD208" s="7">
        <f>$AH204-$AH196</f>
        <v>1888</v>
      </c>
      <c r="AE208" s="36" t="s">
        <v>2236</v>
      </c>
      <c r="AF208" s="7">
        <f>$AH206</f>
        <v>947</v>
      </c>
    </row>
    <row r="209" spans="1:34" ht="18.399999999999999" customHeight="1" x14ac:dyDescent="0.15">
      <c r="A209" s="38" t="s">
        <v>2450</v>
      </c>
      <c r="B209" s="32"/>
      <c r="C209" s="32"/>
      <c r="D209" s="32"/>
      <c r="E209" s="32"/>
      <c r="F209" s="43"/>
      <c r="K209" s="3" t="s">
        <v>2450</v>
      </c>
    </row>
    <row r="210" spans="1:34" ht="18.399999999999999" customHeight="1" x14ac:dyDescent="0.15">
      <c r="A210" s="38" t="s">
        <v>1082</v>
      </c>
      <c r="B210" s="32"/>
      <c r="C210" s="32"/>
      <c r="D210" s="32"/>
      <c r="E210" s="32"/>
      <c r="F210" s="43"/>
      <c r="K210" s="3" t="s">
        <v>1082</v>
      </c>
    </row>
    <row r="211" spans="1:34" ht="18.399999999999999" customHeight="1" x14ac:dyDescent="0.15">
      <c r="A211" s="38" t="s">
        <v>2450</v>
      </c>
      <c r="B211" s="32"/>
      <c r="C211" s="32"/>
      <c r="D211" s="32"/>
      <c r="E211" s="32"/>
      <c r="F211" s="43"/>
      <c r="K211" s="3" t="s">
        <v>2450</v>
      </c>
    </row>
    <row r="212" spans="1:34" ht="18.399999999999999" customHeight="1" x14ac:dyDescent="0.15">
      <c r="A212" s="38" t="s">
        <v>1696</v>
      </c>
      <c r="B212" s="32"/>
      <c r="C212" s="32"/>
      <c r="D212" s="32"/>
      <c r="E212" s="32"/>
      <c r="F212" s="43"/>
      <c r="K212" s="3" t="s">
        <v>1696</v>
      </c>
    </row>
    <row r="213" spans="1:34" ht="18.399999999999999" customHeight="1" x14ac:dyDescent="0.15">
      <c r="A213" s="38" t="s">
        <v>2450</v>
      </c>
      <c r="B213" s="32"/>
      <c r="C213" s="32"/>
      <c r="D213" s="32"/>
      <c r="E213" s="32"/>
      <c r="F213" s="43"/>
      <c r="K213" s="3" t="s">
        <v>2450</v>
      </c>
    </row>
    <row r="214" spans="1:34" ht="18.399999999999999" customHeight="1" x14ac:dyDescent="0.15">
      <c r="A214" s="40" t="str">
        <f>CONCATENATE("    재 료 비 :  _x001D_32,658_x001D_ / ",TEXT($AB214,"#,##0.00")," =",TEXT($AF214,"#,##0.00"))</f>
        <v xml:space="preserve">    재 료 비 :  _x001D_32,658_x001D_ / 31.25 =1,045.00</v>
      </c>
      <c r="B214" s="32">
        <f>SUM($C214,$D214,$E214)</f>
        <v>1045</v>
      </c>
      <c r="C214" s="32">
        <f>$AF214</f>
        <v>1045</v>
      </c>
      <c r="D214" s="32"/>
      <c r="E214" s="32"/>
      <c r="F214" s="43" t="s">
        <v>2450</v>
      </c>
      <c r="K214" s="3" t="s">
        <v>706</v>
      </c>
      <c r="AA214" s="36" t="s">
        <v>380</v>
      </c>
      <c r="AB214" s="8">
        <f>$AH190</f>
        <v>31.25</v>
      </c>
      <c r="AC214" s="36" t="s">
        <v>1254</v>
      </c>
      <c r="AD214" s="7">
        <f>$AB214</f>
        <v>31.25</v>
      </c>
      <c r="AE214" s="37" t="s">
        <v>1805</v>
      </c>
      <c r="AF214" s="8">
        <f>TRUNC(중기사용료목록!E17/$AD214,0)</f>
        <v>1045</v>
      </c>
      <c r="AG214" s="37" t="s">
        <v>2029</v>
      </c>
      <c r="AH214" s="7">
        <f>$AH202+$AF214</f>
        <v>2255</v>
      </c>
    </row>
    <row r="215" spans="1:34" ht="18.399999999999999" customHeight="1" x14ac:dyDescent="0.15">
      <c r="A215" s="38" t="s">
        <v>2450</v>
      </c>
      <c r="B215" s="32"/>
      <c r="C215" s="32"/>
      <c r="D215" s="32"/>
      <c r="E215" s="32"/>
      <c r="F215" s="43"/>
      <c r="K215" s="3" t="s">
        <v>2450</v>
      </c>
    </row>
    <row r="216" spans="1:34" ht="18.399999999999999" customHeight="1" x14ac:dyDescent="0.15">
      <c r="A216" s="40" t="str">
        <f>CONCATENATE("    노 무 비 :  _x001D_59,020_x001D_ / ",TEXT($AB216,"#,##0.00")," =",TEXT($AF216,"#,##0.00"))</f>
        <v xml:space="preserve">    노 무 비 :  _x001D_59,020_x001D_ / 31.25 =1,888.00</v>
      </c>
      <c r="B216" s="32">
        <f>SUM($C216,$D216,$E216)</f>
        <v>1888</v>
      </c>
      <c r="C216" s="32"/>
      <c r="D216" s="32">
        <f>$AF216</f>
        <v>1888</v>
      </c>
      <c r="E216" s="32"/>
      <c r="F216" s="43" t="s">
        <v>2450</v>
      </c>
      <c r="K216" s="3" t="s">
        <v>1870</v>
      </c>
      <c r="AA216" s="36" t="s">
        <v>1545</v>
      </c>
      <c r="AB216" s="8">
        <f>$AH190</f>
        <v>31.25</v>
      </c>
      <c r="AC216" s="36" t="s">
        <v>2390</v>
      </c>
      <c r="AD216" s="7">
        <f>$AB216</f>
        <v>31.25</v>
      </c>
      <c r="AE216" s="37" t="s">
        <v>265</v>
      </c>
      <c r="AF216" s="8">
        <f>TRUNC(중기사용료목록!F17/$AD216,0)</f>
        <v>1888</v>
      </c>
      <c r="AG216" s="37" t="s">
        <v>972</v>
      </c>
      <c r="AH216" s="7">
        <f>$AH204+$AF216</f>
        <v>6920</v>
      </c>
    </row>
    <row r="217" spans="1:34" ht="18.399999999999999" customHeight="1" x14ac:dyDescent="0.15">
      <c r="A217" s="38" t="s">
        <v>2450</v>
      </c>
      <c r="B217" s="32"/>
      <c r="C217" s="32"/>
      <c r="D217" s="32"/>
      <c r="E217" s="32"/>
      <c r="F217" s="43"/>
      <c r="K217" s="3" t="s">
        <v>2450</v>
      </c>
    </row>
    <row r="218" spans="1:34" ht="18.399999999999999" customHeight="1" x14ac:dyDescent="0.15">
      <c r="A218" s="40" t="str">
        <f>CONCATENATE("    경    비 :  _x001D_29,191_x001D_ / ",TEXT($AB218,"#,##0.00")," =",TEXT($AF218,"#,##0.00"))</f>
        <v xml:space="preserve">    경    비 :  _x001D_29,191_x001D_ / 31.25 =934.00</v>
      </c>
      <c r="B218" s="32">
        <f>SUM($C218,$D218,$E218)</f>
        <v>934</v>
      </c>
      <c r="C218" s="32"/>
      <c r="D218" s="32"/>
      <c r="E218" s="32">
        <f>$AF218</f>
        <v>934</v>
      </c>
      <c r="F218" s="43" t="s">
        <v>2450</v>
      </c>
      <c r="K218" s="3" t="s">
        <v>2215</v>
      </c>
      <c r="AA218" s="36" t="s">
        <v>500</v>
      </c>
      <c r="AB218" s="8">
        <f>$AH190</f>
        <v>31.25</v>
      </c>
      <c r="AC218" s="36" t="s">
        <v>1922</v>
      </c>
      <c r="AD218" s="7">
        <f>$AB218</f>
        <v>31.25</v>
      </c>
      <c r="AE218" s="37" t="s">
        <v>815</v>
      </c>
      <c r="AF218" s="8">
        <f>TRUNC(중기사용료목록!G17/$AD218,0)</f>
        <v>934</v>
      </c>
      <c r="AG218" s="37" t="s">
        <v>1302</v>
      </c>
      <c r="AH218" s="7">
        <f>$AH206+$AF218</f>
        <v>1881</v>
      </c>
    </row>
    <row r="219" spans="1:34" ht="18.399999999999999" customHeight="1" x14ac:dyDescent="0.15">
      <c r="A219" s="38" t="s">
        <v>2450</v>
      </c>
      <c r="B219" s="32"/>
      <c r="C219" s="32"/>
      <c r="D219" s="32"/>
      <c r="E219" s="32"/>
      <c r="F219" s="43"/>
      <c r="K219" s="3" t="s">
        <v>2450</v>
      </c>
    </row>
    <row r="220" spans="1:34" ht="18.399999999999999" customHeight="1" x14ac:dyDescent="0.15">
      <c r="A220" s="38" t="s">
        <v>1325</v>
      </c>
      <c r="B220" s="33">
        <f>SUM($C220,$D220,$E220)</f>
        <v>3867</v>
      </c>
      <c r="C220" s="33">
        <f>$AB220</f>
        <v>1045</v>
      </c>
      <c r="D220" s="33">
        <f>$AD220</f>
        <v>1888</v>
      </c>
      <c r="E220" s="33">
        <f>$AF220</f>
        <v>934</v>
      </c>
      <c r="F220" s="44"/>
      <c r="K220" s="3" t="s">
        <v>1477</v>
      </c>
      <c r="AA220" s="36" t="s">
        <v>1729</v>
      </c>
      <c r="AB220" s="7">
        <f>$AH214-$AH202</f>
        <v>1045</v>
      </c>
      <c r="AC220" s="36" t="s">
        <v>71</v>
      </c>
      <c r="AD220" s="7">
        <f>$AH216-$AH204</f>
        <v>1888</v>
      </c>
      <c r="AE220" s="36" t="s">
        <v>2236</v>
      </c>
      <c r="AF220" s="7">
        <f>$AH218-$AH206</f>
        <v>934</v>
      </c>
    </row>
    <row r="221" spans="1:34" ht="18.399999999999999" customHeight="1" x14ac:dyDescent="0.15">
      <c r="A221" s="38" t="s">
        <v>2450</v>
      </c>
      <c r="B221" s="32"/>
      <c r="C221" s="32"/>
      <c r="D221" s="32"/>
      <c r="E221" s="32"/>
      <c r="F221" s="43"/>
      <c r="K221" s="3" t="s">
        <v>2450</v>
      </c>
    </row>
    <row r="222" spans="1:34" ht="18.399999999999999" customHeight="1" x14ac:dyDescent="0.15">
      <c r="A222" s="38" t="s">
        <v>2345</v>
      </c>
      <c r="B222" s="34">
        <f>SUM($C222,$D222,$E222)</f>
        <v>11056</v>
      </c>
      <c r="C222" s="34">
        <f>$AB222</f>
        <v>2255</v>
      </c>
      <c r="D222" s="34">
        <f>$AD222</f>
        <v>6920</v>
      </c>
      <c r="E222" s="34">
        <f>$AF222</f>
        <v>1881</v>
      </c>
      <c r="F222" s="45"/>
      <c r="K222" s="3" t="s">
        <v>726</v>
      </c>
      <c r="AA222" s="36" t="s">
        <v>989</v>
      </c>
      <c r="AB222" s="7">
        <f>$AH214</f>
        <v>2255</v>
      </c>
      <c r="AC222" s="36" t="s">
        <v>2036</v>
      </c>
      <c r="AD222" s="7">
        <f>$AH216</f>
        <v>6920</v>
      </c>
      <c r="AE222" s="36" t="s">
        <v>585</v>
      </c>
      <c r="AF222" s="7">
        <f>$AH218</f>
        <v>1881</v>
      </c>
    </row>
    <row r="223" spans="1:34" ht="18.399999999999999" customHeight="1" x14ac:dyDescent="0.15">
      <c r="A223" s="38" t="s">
        <v>2450</v>
      </c>
      <c r="B223" s="32"/>
      <c r="C223" s="32"/>
      <c r="D223" s="32"/>
      <c r="E223" s="32"/>
      <c r="F223" s="43"/>
      <c r="K223" s="3" t="s">
        <v>2450</v>
      </c>
    </row>
    <row r="224" spans="1:34" ht="18.399999999999999" customHeight="1" x14ac:dyDescent="0.15">
      <c r="A224" s="38" t="s">
        <v>2078</v>
      </c>
      <c r="B224" s="32"/>
      <c r="C224" s="32"/>
      <c r="D224" s="32"/>
      <c r="E224" s="32"/>
      <c r="F224" s="43"/>
      <c r="K224" s="3" t="s">
        <v>2078</v>
      </c>
    </row>
    <row r="225" spans="1:34" ht="18.399999999999999" customHeight="1" x14ac:dyDescent="0.15">
      <c r="A225" s="38" t="s">
        <v>2450</v>
      </c>
      <c r="B225" s="32"/>
      <c r="C225" s="32"/>
      <c r="D225" s="32"/>
      <c r="E225" s="32"/>
      <c r="F225" s="43"/>
      <c r="K225" s="3" t="s">
        <v>2450</v>
      </c>
    </row>
    <row r="226" spans="1:34" ht="18.399999999999999" customHeight="1" x14ac:dyDescent="0.15">
      <c r="A226" s="40" t="str">
        <f>CONCATENATE("    재 료 비 :  _x001D_26,664_x001D_ / ",TEXT($AB226,"#,##0.00")," * 0.5 =",TEXT($AF226,"#,##0.00"))</f>
        <v xml:space="preserve">    재 료 비 :  _x001D_26,664_x001D_ / 31.25 * 0.5 =426.00</v>
      </c>
      <c r="B226" s="32">
        <f>SUM($C226,$D226,$E226)</f>
        <v>426</v>
      </c>
      <c r="C226" s="32">
        <f>$AF226</f>
        <v>426</v>
      </c>
      <c r="D226" s="32"/>
      <c r="E226" s="32"/>
      <c r="F226" s="43" t="s">
        <v>2450</v>
      </c>
      <c r="K226" s="3" t="s">
        <v>1344</v>
      </c>
      <c r="AA226" s="36" t="s">
        <v>1550</v>
      </c>
      <c r="AB226" s="8">
        <f>$AH190</f>
        <v>31.25</v>
      </c>
      <c r="AC226" s="36" t="s">
        <v>598</v>
      </c>
      <c r="AD226" s="7">
        <f>$AB226</f>
        <v>31.25</v>
      </c>
      <c r="AE226" s="37" t="s">
        <v>1805</v>
      </c>
      <c r="AF226" s="8">
        <f>TRUNC(중기사용료목록!E28/$AD226*0.5,0)</f>
        <v>426</v>
      </c>
      <c r="AG226" s="37" t="s">
        <v>2029</v>
      </c>
      <c r="AH226" s="7">
        <f>$AH214+$AF226</f>
        <v>2681</v>
      </c>
    </row>
    <row r="227" spans="1:34" ht="18.399999999999999" customHeight="1" x14ac:dyDescent="0.15">
      <c r="A227" s="38" t="s">
        <v>2450</v>
      </c>
      <c r="B227" s="32"/>
      <c r="C227" s="32"/>
      <c r="D227" s="32"/>
      <c r="E227" s="32"/>
      <c r="F227" s="43"/>
      <c r="K227" s="3" t="s">
        <v>2450</v>
      </c>
    </row>
    <row r="228" spans="1:34" ht="18.399999999999999" customHeight="1" x14ac:dyDescent="0.15">
      <c r="A228" s="40" t="str">
        <f>CONCATENATE("    노 무 비 :  _x001D_49,778_x001D_ / ",TEXT($AB228,"#,##0.00")," * 0.5 =",TEXT($AF228,"#,##0.00"))</f>
        <v xml:space="preserve">    노 무 비 :  _x001D_49,778_x001D_ / 31.25 * 0.5 =796.00</v>
      </c>
      <c r="B228" s="32">
        <f>SUM($C228,$D228,$E228)</f>
        <v>796</v>
      </c>
      <c r="C228" s="32"/>
      <c r="D228" s="32">
        <f>$AF228</f>
        <v>796</v>
      </c>
      <c r="E228" s="32"/>
      <c r="F228" s="43" t="s">
        <v>2450</v>
      </c>
      <c r="K228" s="3" t="s">
        <v>69</v>
      </c>
      <c r="AA228" s="36" t="s">
        <v>468</v>
      </c>
      <c r="AB228" s="8">
        <f>$AH190</f>
        <v>31.25</v>
      </c>
      <c r="AC228" s="36" t="s">
        <v>131</v>
      </c>
      <c r="AD228" s="7">
        <f>$AB228</f>
        <v>31.25</v>
      </c>
      <c r="AE228" s="37" t="s">
        <v>265</v>
      </c>
      <c r="AF228" s="8">
        <f>TRUNC(중기사용료목록!F28/$AD228*0.5,0)</f>
        <v>796</v>
      </c>
      <c r="AG228" s="37" t="s">
        <v>972</v>
      </c>
      <c r="AH228" s="7">
        <f>$AH216+$AF228</f>
        <v>7716</v>
      </c>
    </row>
    <row r="229" spans="1:34" ht="18.399999999999999" customHeight="1" x14ac:dyDescent="0.15">
      <c r="A229" s="38" t="s">
        <v>2450</v>
      </c>
      <c r="B229" s="32"/>
      <c r="C229" s="32"/>
      <c r="D229" s="32"/>
      <c r="E229" s="32"/>
      <c r="F229" s="43"/>
      <c r="K229" s="3" t="s">
        <v>2450</v>
      </c>
    </row>
    <row r="230" spans="1:34" ht="18.399999999999999" customHeight="1" x14ac:dyDescent="0.15">
      <c r="A230" s="40" t="str">
        <f>CONCATENATE("    경    비 :  _x001D_19,154_x001D_ / ",TEXT($AB230,"#,##0.00")," * 0.5 =",TEXT($AF230,"#,##0.00"))</f>
        <v xml:space="preserve">    경    비 :  _x001D_19,154_x001D_ / 31.25 * 0.5 =306.00</v>
      </c>
      <c r="B230" s="32">
        <f>SUM($C230,$D230,$E230)</f>
        <v>306</v>
      </c>
      <c r="C230" s="32"/>
      <c r="D230" s="32"/>
      <c r="E230" s="32">
        <f>$AF230</f>
        <v>306</v>
      </c>
      <c r="F230" s="43" t="s">
        <v>2450</v>
      </c>
      <c r="K230" s="3" t="s">
        <v>82</v>
      </c>
      <c r="AA230" s="36" t="s">
        <v>215</v>
      </c>
      <c r="AB230" s="8">
        <f>$AH190</f>
        <v>31.25</v>
      </c>
      <c r="AC230" s="36" t="s">
        <v>2375</v>
      </c>
      <c r="AD230" s="7">
        <f>$AB230</f>
        <v>31.25</v>
      </c>
      <c r="AE230" s="37" t="s">
        <v>815</v>
      </c>
      <c r="AF230" s="8">
        <f>TRUNC(중기사용료목록!G28/$AD230*0.5,0)</f>
        <v>306</v>
      </c>
      <c r="AG230" s="37" t="s">
        <v>1302</v>
      </c>
      <c r="AH230" s="7">
        <f>$AH218+$AF230</f>
        <v>2187</v>
      </c>
    </row>
    <row r="231" spans="1:34" ht="18.399999999999999" customHeight="1" x14ac:dyDescent="0.15">
      <c r="A231" s="38" t="s">
        <v>2450</v>
      </c>
      <c r="B231" s="32"/>
      <c r="C231" s="32"/>
      <c r="D231" s="32"/>
      <c r="E231" s="32"/>
      <c r="F231" s="43"/>
      <c r="K231" s="3" t="s">
        <v>2450</v>
      </c>
    </row>
    <row r="232" spans="1:34" ht="18.399999999999999" customHeight="1" x14ac:dyDescent="0.15">
      <c r="A232" s="38" t="s">
        <v>2345</v>
      </c>
      <c r="B232" s="34">
        <f>SUM($C232,$D232,$E232)</f>
        <v>1528</v>
      </c>
      <c r="C232" s="34">
        <f>$AB232</f>
        <v>426</v>
      </c>
      <c r="D232" s="34">
        <f>$AD232</f>
        <v>796</v>
      </c>
      <c r="E232" s="34">
        <f>$AF232</f>
        <v>306</v>
      </c>
      <c r="F232" s="45"/>
      <c r="K232" s="3" t="s">
        <v>726</v>
      </c>
      <c r="AA232" s="36" t="s">
        <v>989</v>
      </c>
      <c r="AB232" s="7">
        <f>$AH226-$AH214</f>
        <v>426</v>
      </c>
      <c r="AC232" s="36" t="s">
        <v>2036</v>
      </c>
      <c r="AD232" s="7">
        <f>$AH228-$AH216</f>
        <v>796</v>
      </c>
      <c r="AE232" s="36" t="s">
        <v>585</v>
      </c>
      <c r="AF232" s="7">
        <f>$AH230-$AH218</f>
        <v>306</v>
      </c>
    </row>
    <row r="233" spans="1:34" ht="18.399999999999999" customHeight="1" x14ac:dyDescent="0.15">
      <c r="A233" s="38" t="s">
        <v>2450</v>
      </c>
      <c r="B233" s="32"/>
      <c r="C233" s="32"/>
      <c r="D233" s="32"/>
      <c r="E233" s="32"/>
      <c r="F233" s="43"/>
      <c r="K233" s="3" t="s">
        <v>2450</v>
      </c>
    </row>
    <row r="234" spans="1:34" ht="18.399999999999999" customHeight="1" x14ac:dyDescent="0.15">
      <c r="A234" s="38" t="s">
        <v>2066</v>
      </c>
      <c r="B234" s="35">
        <f>SUM($C234,$D234,$E234)</f>
        <v>12584</v>
      </c>
      <c r="C234" s="35">
        <f>$AB234</f>
        <v>2681</v>
      </c>
      <c r="D234" s="35">
        <f>$AD234</f>
        <v>7716</v>
      </c>
      <c r="E234" s="35">
        <f>$AF234</f>
        <v>2187</v>
      </c>
      <c r="F234" s="46"/>
      <c r="K234" s="3" t="s">
        <v>1514</v>
      </c>
      <c r="AA234" s="36" t="s">
        <v>615</v>
      </c>
      <c r="AB234" s="7">
        <f>$AH226</f>
        <v>2681</v>
      </c>
      <c r="AC234" s="36" t="s">
        <v>1332</v>
      </c>
      <c r="AD234" s="7">
        <f>$AH228</f>
        <v>7716</v>
      </c>
      <c r="AE234" s="36" t="s">
        <v>963</v>
      </c>
      <c r="AF234" s="7">
        <f>$AH230</f>
        <v>2187</v>
      </c>
    </row>
    <row r="235" spans="1:34" ht="18.399999999999999" customHeight="1" x14ac:dyDescent="0.15">
      <c r="A235" s="38"/>
      <c r="B235" s="3"/>
      <c r="C235" s="3"/>
      <c r="D235" s="3"/>
      <c r="E235" s="3"/>
      <c r="F235" s="42"/>
    </row>
    <row r="236" spans="1:34" ht="18.399999999999999" customHeight="1" x14ac:dyDescent="0.15">
      <c r="A236" s="41" t="s">
        <v>1388</v>
      </c>
      <c r="B236" s="35">
        <f>SUM($C236,$D236,$E236)</f>
        <v>12584</v>
      </c>
      <c r="C236" s="35">
        <f>TRUNC(SUM($AH226),0)</f>
        <v>2681</v>
      </c>
      <c r="D236" s="35">
        <f>TRUNC(SUM($AH228),0)</f>
        <v>7716</v>
      </c>
      <c r="E236" s="35">
        <f>TRUNC(SUM($AH230),0)</f>
        <v>2187</v>
      </c>
      <c r="F236" s="47"/>
    </row>
    <row r="237" spans="1:34" ht="18.399999999999999" customHeight="1" x14ac:dyDescent="0.15">
      <c r="A237" s="38"/>
      <c r="B237" s="3"/>
      <c r="C237" s="3"/>
      <c r="D237" s="3"/>
      <c r="E237" s="3"/>
      <c r="F237" s="42"/>
    </row>
    <row r="238" spans="1:34" ht="18.399999999999999" customHeight="1" x14ac:dyDescent="0.15">
      <c r="A238" s="38" t="s">
        <v>1276</v>
      </c>
      <c r="B238" s="32">
        <f>$B257</f>
        <v>2408</v>
      </c>
      <c r="C238" s="32">
        <f>$C257</f>
        <v>720</v>
      </c>
      <c r="D238" s="32">
        <f>$D257</f>
        <v>1124</v>
      </c>
      <c r="E238" s="32">
        <f>$E257</f>
        <v>564</v>
      </c>
      <c r="F238" s="42" t="s">
        <v>2450</v>
      </c>
      <c r="G238" t="s">
        <v>2450</v>
      </c>
      <c r="H238" t="s">
        <v>1722</v>
      </c>
      <c r="K238">
        <v>1</v>
      </c>
      <c r="Y238" s="7" t="b">
        <f>EXACT($Z238,$B257)</f>
        <v>1</v>
      </c>
      <c r="Z238" s="35">
        <v>2408</v>
      </c>
    </row>
    <row r="239" spans="1:34" ht="18.399999999999999" customHeight="1" x14ac:dyDescent="0.15">
      <c r="A239" s="39"/>
      <c r="B239" s="3"/>
      <c r="C239" s="3"/>
      <c r="D239" s="3"/>
      <c r="E239" s="3"/>
      <c r="F239" s="42"/>
    </row>
    <row r="240" spans="1:34" ht="18.399999999999999" customHeight="1" x14ac:dyDescent="0.15">
      <c r="A240" s="38" t="s">
        <v>2450</v>
      </c>
      <c r="B240" s="3"/>
      <c r="C240" s="3"/>
      <c r="D240" s="3"/>
      <c r="E240" s="3"/>
      <c r="F240" s="42"/>
      <c r="G240" t="s">
        <v>2450</v>
      </c>
      <c r="I240" t="s">
        <v>289</v>
      </c>
      <c r="J240" t="s">
        <v>2450</v>
      </c>
      <c r="K240" t="s">
        <v>2053</v>
      </c>
    </row>
    <row r="241" spans="1:38" ht="18.399999999999999" customHeight="1" x14ac:dyDescent="0.15">
      <c r="A241" s="38" t="s">
        <v>2298</v>
      </c>
      <c r="B241" s="32"/>
      <c r="C241" s="32"/>
      <c r="D241" s="32"/>
      <c r="E241" s="32"/>
      <c r="F241" s="43"/>
      <c r="K241" s="3" t="s">
        <v>2298</v>
      </c>
    </row>
    <row r="242" spans="1:38" ht="18.399999999999999" customHeight="1" x14ac:dyDescent="0.15">
      <c r="A242" s="38" t="s">
        <v>2450</v>
      </c>
      <c r="B242" s="32"/>
      <c r="C242" s="32"/>
      <c r="D242" s="32"/>
      <c r="E242" s="32"/>
      <c r="F242" s="43"/>
      <c r="K242" s="3" t="s">
        <v>2450</v>
      </c>
    </row>
    <row r="243" spans="1:38" ht="18.399999999999999" customHeight="1" x14ac:dyDescent="0.15">
      <c r="A243" s="40" t="str">
        <f>CONCATENATE(" ○ 1일 시공량 :  A=",TEXT($AB243,"#,##0.00")," m3/일")</f>
        <v xml:space="preserve"> ○ 1일 시공량 :  A=420.00 m3/일</v>
      </c>
      <c r="B243" s="32"/>
      <c r="C243" s="32"/>
      <c r="D243" s="32"/>
      <c r="E243" s="32"/>
      <c r="F243" s="43"/>
      <c r="K243" s="10" t="str">
        <f>SUBSTITUTE(SUBSTITUTE("_x001D_○ 1일 시공량 :_x001D_ A = 420_x001D_m3/일_x001D_","420",TEXT($AB243,"#,##0"),1),"_x001D_","'")</f>
        <v>'○ 1일 시공량 :' A = 420'm3/일'</v>
      </c>
      <c r="AA243" s="36" t="s">
        <v>430</v>
      </c>
      <c r="AB243" s="6">
        <v>420</v>
      </c>
      <c r="AC243" s="36" t="s">
        <v>430</v>
      </c>
      <c r="AD243" s="7">
        <f>$AB243</f>
        <v>420</v>
      </c>
    </row>
    <row r="244" spans="1:38" ht="18.399999999999999" customHeight="1" x14ac:dyDescent="0.15">
      <c r="A244" s="38" t="s">
        <v>2450</v>
      </c>
      <c r="B244" s="32"/>
      <c r="C244" s="32"/>
      <c r="D244" s="32"/>
      <c r="E244" s="32"/>
      <c r="F244" s="43"/>
      <c r="K244" s="3" t="s">
        <v>2450</v>
      </c>
    </row>
    <row r="245" spans="1:38" ht="18.399999999999999" customHeight="1" x14ac:dyDescent="0.15">
      <c r="A245" s="40" t="str">
        <f>CONCATENATE(" ○ 1시간 작업량 :  Q = ",TEXT($AB245,"#,##0.00")," / 8 hr  =",TEXT($AJ245,"#,##0.00")," m3/hr ")</f>
        <v xml:space="preserve"> ○ 1시간 작업량 :  Q = 420.00 / 8 hr  =52.50 m3/hr </v>
      </c>
      <c r="B245" s="32">
        <f>SUM($C245,$D245,$E245)</f>
        <v>0</v>
      </c>
      <c r="C245" s="32"/>
      <c r="D245" s="32"/>
      <c r="E245" s="32"/>
      <c r="F245" s="43"/>
      <c r="K245" s="3" t="s">
        <v>669</v>
      </c>
      <c r="AA245" s="36" t="s">
        <v>309</v>
      </c>
      <c r="AB245" s="8">
        <f>$AD243</f>
        <v>420</v>
      </c>
      <c r="AC245" s="36" t="s">
        <v>847</v>
      </c>
      <c r="AD245" s="7">
        <f>$AB245</f>
        <v>420</v>
      </c>
      <c r="AE245" s="36" t="s">
        <v>461</v>
      </c>
      <c r="AF245" s="8">
        <f>ROUND($AD245/8,2)</f>
        <v>52.5</v>
      </c>
      <c r="AG245" s="36" t="s">
        <v>1686</v>
      </c>
      <c r="AH245" s="7">
        <f>$AF245</f>
        <v>52.5</v>
      </c>
      <c r="AI245" s="36" t="s">
        <v>2306</v>
      </c>
      <c r="AJ245" s="8">
        <f>ROUND(ROUND($AD245/8,2),2)</f>
        <v>52.5</v>
      </c>
      <c r="AK245" s="36" t="s">
        <v>1766</v>
      </c>
      <c r="AL245" s="7">
        <f>$AJ245</f>
        <v>52.5</v>
      </c>
    </row>
    <row r="246" spans="1:38" ht="18.399999999999999" customHeight="1" x14ac:dyDescent="0.15">
      <c r="A246" s="38" t="s">
        <v>2450</v>
      </c>
      <c r="B246" s="32"/>
      <c r="C246" s="32"/>
      <c r="D246" s="32"/>
      <c r="E246" s="32"/>
      <c r="F246" s="43"/>
      <c r="K246" s="3" t="s">
        <v>2450</v>
      </c>
    </row>
    <row r="247" spans="1:38" ht="18.399999999999999" customHeight="1" x14ac:dyDescent="0.15">
      <c r="A247" s="38" t="s">
        <v>1948</v>
      </c>
      <c r="B247" s="32"/>
      <c r="C247" s="32"/>
      <c r="D247" s="32"/>
      <c r="E247" s="32"/>
      <c r="F247" s="43"/>
      <c r="K247" s="3" t="s">
        <v>1948</v>
      </c>
    </row>
    <row r="248" spans="1:38" ht="18.399999999999999" customHeight="1" x14ac:dyDescent="0.15">
      <c r="A248" s="38" t="s">
        <v>2450</v>
      </c>
      <c r="B248" s="32"/>
      <c r="C248" s="32"/>
      <c r="D248" s="32"/>
      <c r="E248" s="32"/>
      <c r="F248" s="43"/>
      <c r="K248" s="3" t="s">
        <v>2450</v>
      </c>
    </row>
    <row r="249" spans="1:38" ht="18.399999999999999" customHeight="1" x14ac:dyDescent="0.15">
      <c r="A249" s="40" t="str">
        <f>CONCATENATE("    재 료 비 :   _x001D_37,826_x001D_ / ",TEXT($AB249,"#,##0.00")," =",TEXT($AF249,"#,##0.00"))</f>
        <v xml:space="preserve">    재 료 비 :   _x001D_37,826_x001D_ / 52.50 =720.00</v>
      </c>
      <c r="B249" s="32">
        <f>SUM($C249,$D249,$E249)</f>
        <v>720</v>
      </c>
      <c r="C249" s="32">
        <f>$AF249</f>
        <v>720</v>
      </c>
      <c r="D249" s="32"/>
      <c r="E249" s="32"/>
      <c r="F249" s="43" t="s">
        <v>2450</v>
      </c>
      <c r="K249" s="3" t="s">
        <v>1998</v>
      </c>
      <c r="AA249" s="36" t="s">
        <v>511</v>
      </c>
      <c r="AB249" s="8">
        <f>$AH245</f>
        <v>52.5</v>
      </c>
      <c r="AC249" s="36" t="s">
        <v>250</v>
      </c>
      <c r="AD249" s="7">
        <f>$AB249</f>
        <v>52.5</v>
      </c>
      <c r="AE249" s="37" t="s">
        <v>1805</v>
      </c>
      <c r="AF249" s="8">
        <f>TRUNC(중기사용료목록!E6/$AD249,0)</f>
        <v>720</v>
      </c>
      <c r="AG249" s="37" t="s">
        <v>2029</v>
      </c>
      <c r="AH249" s="7">
        <f>$AF249</f>
        <v>720</v>
      </c>
    </row>
    <row r="250" spans="1:38" ht="18.399999999999999" customHeight="1" x14ac:dyDescent="0.15">
      <c r="A250" s="38" t="s">
        <v>2450</v>
      </c>
      <c r="B250" s="32"/>
      <c r="C250" s="32"/>
      <c r="D250" s="32"/>
      <c r="E250" s="32"/>
      <c r="F250" s="43"/>
      <c r="K250" s="3" t="s">
        <v>2450</v>
      </c>
    </row>
    <row r="251" spans="1:38" ht="18.399999999999999" customHeight="1" x14ac:dyDescent="0.15">
      <c r="A251" s="40" t="str">
        <f>CONCATENATE("    노 무 비 :   _x001D_59,020_x001D_ / ",TEXT($AB251,"#,##0.00")," =",TEXT($AF251,"#,##0.00"))</f>
        <v xml:space="preserve">    노 무 비 :   _x001D_59,020_x001D_ / 52.50 =1,124.00</v>
      </c>
      <c r="B251" s="32">
        <f>SUM($C251,$D251,$E251)</f>
        <v>1124</v>
      </c>
      <c r="C251" s="32"/>
      <c r="D251" s="32">
        <f>$AF251</f>
        <v>1124</v>
      </c>
      <c r="E251" s="32"/>
      <c r="F251" s="43" t="s">
        <v>2450</v>
      </c>
      <c r="K251" s="3" t="s">
        <v>699</v>
      </c>
      <c r="AA251" s="36" t="s">
        <v>173</v>
      </c>
      <c r="AB251" s="8">
        <f>$AH245</f>
        <v>52.5</v>
      </c>
      <c r="AC251" s="36" t="s">
        <v>2263</v>
      </c>
      <c r="AD251" s="7">
        <f>$AB251</f>
        <v>52.5</v>
      </c>
      <c r="AE251" s="37" t="s">
        <v>265</v>
      </c>
      <c r="AF251" s="8">
        <f>TRUNC(중기사용료목록!F6/$AD251,0)</f>
        <v>1124</v>
      </c>
      <c r="AG251" s="37" t="s">
        <v>972</v>
      </c>
      <c r="AH251" s="7">
        <f>$AF251</f>
        <v>1124</v>
      </c>
    </row>
    <row r="252" spans="1:38" ht="18.399999999999999" customHeight="1" x14ac:dyDescent="0.15">
      <c r="A252" s="38" t="s">
        <v>2450</v>
      </c>
      <c r="B252" s="32"/>
      <c r="C252" s="32"/>
      <c r="D252" s="32"/>
      <c r="E252" s="32"/>
      <c r="F252" s="43"/>
      <c r="K252" s="3" t="s">
        <v>2450</v>
      </c>
    </row>
    <row r="253" spans="1:38" ht="18.399999999999999" customHeight="1" x14ac:dyDescent="0.15">
      <c r="A253" s="40" t="str">
        <f>CONCATENATE("    경    비 :   _x001D_29,621_x001D_ / ",TEXT($AB253,"#,##0.00")," =",TEXT($AF253,"#,##0.00"))</f>
        <v xml:space="preserve">    경    비 :   _x001D_29,621_x001D_ / 52.50 =564.00</v>
      </c>
      <c r="B253" s="32">
        <f>SUM($C253,$D253,$E253)</f>
        <v>564</v>
      </c>
      <c r="C253" s="32"/>
      <c r="D253" s="32"/>
      <c r="E253" s="32">
        <f>$AF253</f>
        <v>564</v>
      </c>
      <c r="F253" s="43" t="s">
        <v>2450</v>
      </c>
      <c r="K253" s="3" t="s">
        <v>1866</v>
      </c>
      <c r="AA253" s="36" t="s">
        <v>1416</v>
      </c>
      <c r="AB253" s="8">
        <f>$AH245</f>
        <v>52.5</v>
      </c>
      <c r="AC253" s="36" t="s">
        <v>1380</v>
      </c>
      <c r="AD253" s="7">
        <f>$AB253</f>
        <v>52.5</v>
      </c>
      <c r="AE253" s="37" t="s">
        <v>815</v>
      </c>
      <c r="AF253" s="8">
        <f>TRUNC(중기사용료목록!G6/$AD253,0)</f>
        <v>564</v>
      </c>
      <c r="AG253" s="37" t="s">
        <v>1302</v>
      </c>
      <c r="AH253" s="7">
        <f>$AF253</f>
        <v>564</v>
      </c>
    </row>
    <row r="254" spans="1:38" ht="18.399999999999999" customHeight="1" x14ac:dyDescent="0.15">
      <c r="A254" s="38" t="s">
        <v>2450</v>
      </c>
      <c r="B254" s="32"/>
      <c r="C254" s="32"/>
      <c r="D254" s="32"/>
      <c r="E254" s="32"/>
      <c r="F254" s="43"/>
      <c r="K254" s="3" t="s">
        <v>2450</v>
      </c>
    </row>
    <row r="255" spans="1:38" ht="18.399999999999999" customHeight="1" x14ac:dyDescent="0.15">
      <c r="A255" s="38" t="s">
        <v>569</v>
      </c>
      <c r="B255" s="33">
        <f>SUM($C255,$D255,$E255)</f>
        <v>2408</v>
      </c>
      <c r="C255" s="33">
        <f>$AB255</f>
        <v>720</v>
      </c>
      <c r="D255" s="33">
        <f>$AD255</f>
        <v>1124</v>
      </c>
      <c r="E255" s="33">
        <f>$AF255</f>
        <v>564</v>
      </c>
      <c r="F255" s="44"/>
      <c r="K255" s="3" t="s">
        <v>1529</v>
      </c>
      <c r="AA255" s="36" t="s">
        <v>1729</v>
      </c>
      <c r="AB255" s="7">
        <f>$AH249</f>
        <v>720</v>
      </c>
      <c r="AC255" s="36" t="s">
        <v>71</v>
      </c>
      <c r="AD255" s="7">
        <f>$AH251</f>
        <v>1124</v>
      </c>
      <c r="AE255" s="36" t="s">
        <v>2236</v>
      </c>
      <c r="AF255" s="7">
        <f>$AH253</f>
        <v>564</v>
      </c>
    </row>
    <row r="256" spans="1:38" ht="18.399999999999999" customHeight="1" x14ac:dyDescent="0.15">
      <c r="A256" s="38"/>
      <c r="B256" s="3"/>
      <c r="C256" s="3"/>
      <c r="D256" s="3"/>
      <c r="E256" s="3"/>
      <c r="F256" s="42"/>
    </row>
    <row r="257" spans="1:38" ht="18.399999999999999" customHeight="1" x14ac:dyDescent="0.15">
      <c r="A257" s="41" t="s">
        <v>1388</v>
      </c>
      <c r="B257" s="35">
        <f>SUM($C257,$D257,$E257)</f>
        <v>2408</v>
      </c>
      <c r="C257" s="35">
        <f>TRUNC(SUM($AH249),0)</f>
        <v>720</v>
      </c>
      <c r="D257" s="35">
        <f>TRUNC(SUM($AH251),0)</f>
        <v>1124</v>
      </c>
      <c r="E257" s="35">
        <f>TRUNC(SUM($AH253),0)</f>
        <v>564</v>
      </c>
      <c r="F257" s="47"/>
    </row>
    <row r="258" spans="1:38" ht="18.399999999999999" customHeight="1" x14ac:dyDescent="0.15">
      <c r="A258" s="38"/>
      <c r="B258" s="3"/>
      <c r="C258" s="3"/>
      <c r="D258" s="3"/>
      <c r="E258" s="3"/>
      <c r="F258" s="42"/>
    </row>
    <row r="259" spans="1:38" ht="18.399999999999999" customHeight="1" x14ac:dyDescent="0.15">
      <c r="A259" s="38" t="s">
        <v>987</v>
      </c>
      <c r="B259" s="32">
        <f>$B318</f>
        <v>8626</v>
      </c>
      <c r="C259" s="32">
        <f>$C318</f>
        <v>1740</v>
      </c>
      <c r="D259" s="32">
        <f>$D318</f>
        <v>5314</v>
      </c>
      <c r="E259" s="32">
        <f>$E318</f>
        <v>1572</v>
      </c>
      <c r="F259" s="42" t="s">
        <v>2450</v>
      </c>
      <c r="G259" t="s">
        <v>2450</v>
      </c>
      <c r="H259" t="s">
        <v>2167</v>
      </c>
      <c r="K259">
        <v>1</v>
      </c>
      <c r="Y259" s="7" t="b">
        <f>EXACT($Z259,$B318)</f>
        <v>1</v>
      </c>
      <c r="Z259" s="35">
        <v>8626</v>
      </c>
    </row>
    <row r="260" spans="1:38" ht="18.399999999999999" customHeight="1" x14ac:dyDescent="0.15">
      <c r="A260" s="39"/>
      <c r="B260" s="3"/>
      <c r="C260" s="3"/>
      <c r="D260" s="3"/>
      <c r="E260" s="3"/>
      <c r="F260" s="42"/>
    </row>
    <row r="261" spans="1:38" ht="18.399999999999999" customHeight="1" x14ac:dyDescent="0.15">
      <c r="A261" s="38" t="s">
        <v>2450</v>
      </c>
      <c r="B261" s="3"/>
      <c r="C261" s="3"/>
      <c r="D261" s="3"/>
      <c r="E261" s="3"/>
      <c r="F261" s="42"/>
      <c r="G261" t="s">
        <v>2450</v>
      </c>
      <c r="I261" t="s">
        <v>289</v>
      </c>
      <c r="J261" t="s">
        <v>2450</v>
      </c>
      <c r="K261" t="s">
        <v>2053</v>
      </c>
    </row>
    <row r="262" spans="1:38" ht="18.399999999999999" customHeight="1" x14ac:dyDescent="0.15">
      <c r="A262" s="38" t="s">
        <v>1728</v>
      </c>
      <c r="B262" s="32"/>
      <c r="C262" s="32"/>
      <c r="D262" s="32"/>
      <c r="E262" s="32"/>
      <c r="F262" s="43"/>
      <c r="K262" s="3" t="s">
        <v>1728</v>
      </c>
    </row>
    <row r="263" spans="1:38" ht="18.399999999999999" customHeight="1" x14ac:dyDescent="0.15">
      <c r="A263" s="38" t="s">
        <v>2450</v>
      </c>
      <c r="B263" s="32"/>
      <c r="C263" s="32"/>
      <c r="D263" s="32"/>
      <c r="E263" s="32"/>
      <c r="F263" s="43"/>
      <c r="K263" s="3" t="s">
        <v>2450</v>
      </c>
    </row>
    <row r="264" spans="1:38" ht="18.399999999999999" customHeight="1" x14ac:dyDescent="0.15">
      <c r="A264" s="40" t="str">
        <f>CONCATENATE(" ○ 1일 시공량 :  B=",TEXT($AB264,"#,##0.00")," m3/일")</f>
        <v xml:space="preserve"> ○ 1일 시공량 :  B=290.00 m3/일</v>
      </c>
      <c r="B264" s="32"/>
      <c r="C264" s="32"/>
      <c r="D264" s="32"/>
      <c r="E264" s="32"/>
      <c r="F264" s="43"/>
      <c r="K264" s="10" t="str">
        <f>SUBSTITUTE(SUBSTITUTE("_x001D_○ 1일 시공량 :_x001D_ B = 290_x001D_m3/일_x001D_","290",TEXT($AB264,"#,##0"),1),"_x001D_","'")</f>
        <v>'○ 1일 시공량 :' B = 290'm3/일'</v>
      </c>
      <c r="AA264" s="36" t="s">
        <v>1848</v>
      </c>
      <c r="AB264" s="6">
        <v>290</v>
      </c>
      <c r="AC264" s="36" t="s">
        <v>1848</v>
      </c>
      <c r="AD264" s="7">
        <f>$AB264</f>
        <v>290</v>
      </c>
    </row>
    <row r="265" spans="1:38" ht="18.399999999999999" customHeight="1" x14ac:dyDescent="0.15">
      <c r="A265" s="38" t="s">
        <v>2450</v>
      </c>
      <c r="B265" s="32"/>
      <c r="C265" s="32"/>
      <c r="D265" s="32"/>
      <c r="E265" s="32"/>
      <c r="F265" s="43"/>
      <c r="K265" s="3" t="s">
        <v>2450</v>
      </c>
    </row>
    <row r="266" spans="1:38" ht="18.399999999999999" customHeight="1" x14ac:dyDescent="0.15">
      <c r="A266" s="40" t="str">
        <f>CONCATENATE(" ○ 1시간 작업량 :  Q1 = ",TEXT($AB266,"#,##0.00")," / 8 hr  =",TEXT($AJ266,"#,##0.00")," m3/hr ")</f>
        <v xml:space="preserve"> ○ 1시간 작업량 :  Q1 = 290.00 / 8 hr  =36.25 m3/hr </v>
      </c>
      <c r="B266" s="32">
        <f>SUM($C266,$D266,$E266)</f>
        <v>0</v>
      </c>
      <c r="C266" s="32"/>
      <c r="D266" s="32"/>
      <c r="E266" s="32"/>
      <c r="F266" s="43"/>
      <c r="K266" s="3" t="s">
        <v>2274</v>
      </c>
      <c r="AA266" s="36" t="s">
        <v>2063</v>
      </c>
      <c r="AB266" s="8">
        <f>$AD264</f>
        <v>290</v>
      </c>
      <c r="AC266" s="36" t="s">
        <v>465</v>
      </c>
      <c r="AD266" s="7">
        <f>$AB266</f>
        <v>290</v>
      </c>
      <c r="AE266" s="36" t="s">
        <v>1378</v>
      </c>
      <c r="AF266" s="8">
        <f>ROUND($AD266/8,2)</f>
        <v>36.25</v>
      </c>
      <c r="AG266" s="36" t="s">
        <v>1929</v>
      </c>
      <c r="AH266" s="7">
        <f>$AF266</f>
        <v>36.25</v>
      </c>
      <c r="AI266" s="36" t="s">
        <v>78</v>
      </c>
      <c r="AJ266" s="8">
        <f>ROUND(ROUND($AD266/8,2),2)</f>
        <v>36.25</v>
      </c>
      <c r="AK266" s="36" t="s">
        <v>2122</v>
      </c>
      <c r="AL266" s="7">
        <f>$AJ266</f>
        <v>36.25</v>
      </c>
    </row>
    <row r="267" spans="1:38" ht="18.399999999999999" customHeight="1" x14ac:dyDescent="0.15">
      <c r="A267" s="38" t="s">
        <v>2450</v>
      </c>
      <c r="B267" s="32"/>
      <c r="C267" s="32"/>
      <c r="D267" s="32"/>
      <c r="E267" s="32"/>
      <c r="F267" s="43"/>
      <c r="K267" s="3" t="s">
        <v>2450</v>
      </c>
    </row>
    <row r="268" spans="1:38" ht="18.399999999999999" customHeight="1" x14ac:dyDescent="0.15">
      <c r="A268" s="38" t="s">
        <v>874</v>
      </c>
      <c r="B268" s="32"/>
      <c r="C268" s="32"/>
      <c r="D268" s="32"/>
      <c r="E268" s="32"/>
      <c r="F268" s="43"/>
      <c r="K268" s="3" t="s">
        <v>572</v>
      </c>
    </row>
    <row r="269" spans="1:38" ht="18.399999999999999" customHeight="1" x14ac:dyDescent="0.15">
      <c r="A269" s="38" t="s">
        <v>2450</v>
      </c>
      <c r="B269" s="32"/>
      <c r="C269" s="32"/>
      <c r="D269" s="32"/>
      <c r="E269" s="32"/>
      <c r="F269" s="43"/>
      <c r="K269" s="3" t="s">
        <v>2450</v>
      </c>
    </row>
    <row r="270" spans="1:38" ht="18.399999999999999" customHeight="1" x14ac:dyDescent="0.15">
      <c r="A270" s="38" t="s">
        <v>1033</v>
      </c>
      <c r="B270" s="32"/>
      <c r="C270" s="32"/>
      <c r="D270" s="32"/>
      <c r="E270" s="32"/>
      <c r="F270" s="43"/>
      <c r="K270" s="3" t="s">
        <v>1033</v>
      </c>
    </row>
    <row r="271" spans="1:38" ht="18.399999999999999" customHeight="1" x14ac:dyDescent="0.15">
      <c r="A271" s="38" t="s">
        <v>2450</v>
      </c>
      <c r="B271" s="32"/>
      <c r="C271" s="32"/>
      <c r="D271" s="32"/>
      <c r="E271" s="32"/>
      <c r="F271" s="43"/>
      <c r="K271" s="3" t="s">
        <v>2450</v>
      </c>
    </row>
    <row r="272" spans="1:38" ht="18.399999999999999" customHeight="1" x14ac:dyDescent="0.15">
      <c r="A272" s="40" t="str">
        <f>CONCATENATE("    특별인부 :  1.0 인  / ",TEXT($AB272,"#,##0.00")," * _x001D_226,122_x001D_ =",TEXT($AF272,"#,##0.00"))</f>
        <v xml:space="preserve">    특별인부 :  1.0 인  / 290.00 * _x001D_226,122_x001D_ =779.00</v>
      </c>
      <c r="B272" s="32">
        <f>SUM($C272,$D272,$E272)</f>
        <v>779</v>
      </c>
      <c r="C272" s="32"/>
      <c r="D272" s="32">
        <f>$AF272</f>
        <v>779</v>
      </c>
      <c r="E272" s="32"/>
      <c r="F272" s="43" t="s">
        <v>2450</v>
      </c>
      <c r="K272" s="3" t="s">
        <v>284</v>
      </c>
      <c r="AA272" s="36" t="s">
        <v>2245</v>
      </c>
      <c r="AB272" s="8">
        <f>$AD264</f>
        <v>290</v>
      </c>
      <c r="AC272" s="36" t="s">
        <v>1294</v>
      </c>
      <c r="AD272" s="7">
        <f>$AB272</f>
        <v>290</v>
      </c>
      <c r="AE272" s="37" t="s">
        <v>265</v>
      </c>
      <c r="AF272" s="8">
        <f>TRUNC(1/$AD272*노임!D9,0)</f>
        <v>779</v>
      </c>
      <c r="AG272" s="37" t="s">
        <v>972</v>
      </c>
      <c r="AH272" s="7">
        <f>$AF272</f>
        <v>779</v>
      </c>
    </row>
    <row r="273" spans="1:34" ht="18.399999999999999" customHeight="1" x14ac:dyDescent="0.15">
      <c r="A273" s="38" t="s">
        <v>2450</v>
      </c>
      <c r="B273" s="32"/>
      <c r="C273" s="32"/>
      <c r="D273" s="32"/>
      <c r="E273" s="32"/>
      <c r="F273" s="43"/>
      <c r="K273" s="3" t="s">
        <v>2450</v>
      </c>
    </row>
    <row r="274" spans="1:34" ht="18.399999999999999" customHeight="1" x14ac:dyDescent="0.15">
      <c r="A274" s="40" t="str">
        <f>CONCATENATE("    보통인부 :  1.0 인  / ",TEXT($AB274,"#,##0.00")," * _x001D_172,068_x001D_ =",TEXT($AF274,"#,##0.00"))</f>
        <v xml:space="preserve">    보통인부 :  1.0 인  / 290.00 * _x001D_172,068_x001D_ =593.00</v>
      </c>
      <c r="B274" s="32">
        <f>SUM($C274,$D274,$E274)</f>
        <v>593</v>
      </c>
      <c r="C274" s="32"/>
      <c r="D274" s="32">
        <f>$AF274</f>
        <v>593</v>
      </c>
      <c r="E274" s="32"/>
      <c r="F274" s="43" t="s">
        <v>2450</v>
      </c>
      <c r="K274" s="3" t="s">
        <v>190</v>
      </c>
      <c r="AA274" s="36" t="s">
        <v>945</v>
      </c>
      <c r="AB274" s="8">
        <f>$AD264</f>
        <v>290</v>
      </c>
      <c r="AC274" s="36" t="s">
        <v>132</v>
      </c>
      <c r="AD274" s="7">
        <f>$AB274</f>
        <v>290</v>
      </c>
      <c r="AE274" s="37" t="s">
        <v>265</v>
      </c>
      <c r="AF274" s="8">
        <f>TRUNC(1/$AD274*노임!D10,0)</f>
        <v>593</v>
      </c>
      <c r="AG274" s="37" t="s">
        <v>972</v>
      </c>
      <c r="AH274" s="7">
        <f>$AH272+$AF274</f>
        <v>1372</v>
      </c>
    </row>
    <row r="275" spans="1:34" ht="18.399999999999999" customHeight="1" x14ac:dyDescent="0.15">
      <c r="A275" s="38" t="s">
        <v>2450</v>
      </c>
      <c r="B275" s="32"/>
      <c r="C275" s="32"/>
      <c r="D275" s="32"/>
      <c r="E275" s="32"/>
      <c r="F275" s="43"/>
      <c r="K275" s="3" t="s">
        <v>2450</v>
      </c>
    </row>
    <row r="276" spans="1:34" ht="18.399999999999999" customHeight="1" x14ac:dyDescent="0.15">
      <c r="A276" s="38" t="s">
        <v>569</v>
      </c>
      <c r="B276" s="33">
        <f>SUM($C276,$D276,$E276)</f>
        <v>1372</v>
      </c>
      <c r="C276" s="33">
        <f>$AB276</f>
        <v>0</v>
      </c>
      <c r="D276" s="33">
        <f>$AD276</f>
        <v>1372</v>
      </c>
      <c r="E276" s="33">
        <f>$AF276</f>
        <v>0</v>
      </c>
      <c r="F276" s="44"/>
      <c r="K276" s="3" t="s">
        <v>1529</v>
      </c>
      <c r="AC276" s="36" t="s">
        <v>71</v>
      </c>
      <c r="AD276" s="7">
        <f>$AH274</f>
        <v>1372</v>
      </c>
    </row>
    <row r="277" spans="1:34" ht="18.399999999999999" customHeight="1" x14ac:dyDescent="0.15">
      <c r="A277" s="38" t="s">
        <v>2450</v>
      </c>
      <c r="B277" s="32"/>
      <c r="C277" s="32"/>
      <c r="D277" s="32"/>
      <c r="E277" s="32"/>
      <c r="F277" s="43"/>
      <c r="K277" s="3" t="s">
        <v>2450</v>
      </c>
    </row>
    <row r="278" spans="1:34" ht="18.399999999999999" customHeight="1" x14ac:dyDescent="0.15">
      <c r="A278" s="38" t="s">
        <v>2000</v>
      </c>
      <c r="B278" s="32"/>
      <c r="C278" s="32"/>
      <c r="D278" s="32"/>
      <c r="E278" s="32"/>
      <c r="F278" s="43"/>
      <c r="K278" s="3" t="s">
        <v>2000</v>
      </c>
    </row>
    <row r="279" spans="1:34" ht="18.399999999999999" customHeight="1" x14ac:dyDescent="0.15">
      <c r="A279" s="38" t="s">
        <v>2450</v>
      </c>
      <c r="B279" s="32"/>
      <c r="C279" s="32"/>
      <c r="D279" s="32"/>
      <c r="E279" s="32"/>
      <c r="F279" s="43"/>
      <c r="K279" s="3" t="s">
        <v>2450</v>
      </c>
    </row>
    <row r="280" spans="1:34" ht="18.399999999999999" customHeight="1" x14ac:dyDescent="0.15">
      <c r="A280" s="40" t="str">
        <f>CONCATENATE("    재 료 비 :   _x001D_19,785_x001D_ / ",TEXT($AB280,"#,##0.00")," =",TEXT($AF280,"#,##0.00"))</f>
        <v xml:space="preserve">    재 료 비 :   _x001D_19,785_x001D_ / 36.25 =545.00</v>
      </c>
      <c r="B280" s="32">
        <f>SUM($C280,$D280,$E280)</f>
        <v>545</v>
      </c>
      <c r="C280" s="32">
        <f>$AF280</f>
        <v>545</v>
      </c>
      <c r="D280" s="32"/>
      <c r="E280" s="32"/>
      <c r="F280" s="43" t="s">
        <v>2450</v>
      </c>
      <c r="K280" s="3" t="s">
        <v>1173</v>
      </c>
      <c r="AA280" s="36" t="s">
        <v>2163</v>
      </c>
      <c r="AB280" s="8">
        <f>$AH266</f>
        <v>36.25</v>
      </c>
      <c r="AC280" s="36" t="s">
        <v>362</v>
      </c>
      <c r="AD280" s="7">
        <f>$AB280</f>
        <v>36.25</v>
      </c>
      <c r="AE280" s="37" t="s">
        <v>1805</v>
      </c>
      <c r="AF280" s="8">
        <f>TRUNC(중기사용료목록!E4/$AD280,0)</f>
        <v>545</v>
      </c>
      <c r="AG280" s="37" t="s">
        <v>2029</v>
      </c>
      <c r="AH280" s="7">
        <f>$AF280</f>
        <v>545</v>
      </c>
    </row>
    <row r="281" spans="1:34" ht="18.399999999999999" customHeight="1" x14ac:dyDescent="0.15">
      <c r="A281" s="38" t="s">
        <v>2450</v>
      </c>
      <c r="B281" s="32"/>
      <c r="C281" s="32"/>
      <c r="D281" s="32"/>
      <c r="E281" s="32"/>
      <c r="F281" s="43"/>
      <c r="K281" s="3" t="s">
        <v>2450</v>
      </c>
    </row>
    <row r="282" spans="1:34" ht="18.399999999999999" customHeight="1" x14ac:dyDescent="0.15">
      <c r="A282" s="40" t="str">
        <f>CONCATENATE("    노 무 비 :   _x001D_59,020_x001D_ / ",TEXT($AB282,"#,##0.00")," =",TEXT($AF282,"#,##0.00"))</f>
        <v xml:space="preserve">    노 무 비 :   _x001D_59,020_x001D_ / 36.25 =1,628.00</v>
      </c>
      <c r="B282" s="32">
        <f>SUM($C282,$D282,$E282)</f>
        <v>1628</v>
      </c>
      <c r="C282" s="32"/>
      <c r="D282" s="32">
        <f>$AF282</f>
        <v>1628</v>
      </c>
      <c r="E282" s="32"/>
      <c r="F282" s="43" t="s">
        <v>2450</v>
      </c>
      <c r="K282" s="3" t="s">
        <v>1458</v>
      </c>
      <c r="AA282" s="36" t="s">
        <v>1015</v>
      </c>
      <c r="AB282" s="8">
        <f>$AH266</f>
        <v>36.25</v>
      </c>
      <c r="AC282" s="36" t="s">
        <v>873</v>
      </c>
      <c r="AD282" s="7">
        <f>$AB282</f>
        <v>36.25</v>
      </c>
      <c r="AE282" s="37" t="s">
        <v>265</v>
      </c>
      <c r="AF282" s="8">
        <f>TRUNC(중기사용료목록!F4/$AD282,0)</f>
        <v>1628</v>
      </c>
      <c r="AG282" s="37" t="s">
        <v>972</v>
      </c>
      <c r="AH282" s="7">
        <f>$AH274+$AF282</f>
        <v>3000</v>
      </c>
    </row>
    <row r="283" spans="1:34" ht="18.399999999999999" customHeight="1" x14ac:dyDescent="0.15">
      <c r="A283" s="38" t="s">
        <v>2450</v>
      </c>
      <c r="B283" s="32"/>
      <c r="C283" s="32"/>
      <c r="D283" s="32"/>
      <c r="E283" s="32"/>
      <c r="F283" s="43"/>
      <c r="K283" s="3" t="s">
        <v>2450</v>
      </c>
    </row>
    <row r="284" spans="1:34" ht="18.399999999999999" customHeight="1" x14ac:dyDescent="0.15">
      <c r="A284" s="40" t="str">
        <f>CONCATENATE("    경    비 :   _x001D_23,423_x001D_ / ",TEXT($AB284,"#,##0.00")," =",TEXT($AF284,"#,##0.00"))</f>
        <v xml:space="preserve">    경    비 :   _x001D_23,423_x001D_ / 36.25 =646.00</v>
      </c>
      <c r="B284" s="32">
        <f>SUM($C284,$D284,$E284)</f>
        <v>646</v>
      </c>
      <c r="C284" s="32"/>
      <c r="D284" s="32"/>
      <c r="E284" s="32">
        <f>$AF284</f>
        <v>646</v>
      </c>
      <c r="F284" s="43" t="s">
        <v>2450</v>
      </c>
      <c r="K284" s="3" t="s">
        <v>935</v>
      </c>
      <c r="AA284" s="36" t="s">
        <v>2277</v>
      </c>
      <c r="AB284" s="8">
        <f>$AH266</f>
        <v>36.25</v>
      </c>
      <c r="AC284" s="36" t="s">
        <v>2138</v>
      </c>
      <c r="AD284" s="7">
        <f>$AB284</f>
        <v>36.25</v>
      </c>
      <c r="AE284" s="37" t="s">
        <v>815</v>
      </c>
      <c r="AF284" s="8">
        <f>TRUNC(중기사용료목록!G4/$AD284,0)</f>
        <v>646</v>
      </c>
      <c r="AG284" s="37" t="s">
        <v>1302</v>
      </c>
      <c r="AH284" s="7">
        <f>$AF284</f>
        <v>646</v>
      </c>
    </row>
    <row r="285" spans="1:34" ht="18.399999999999999" customHeight="1" x14ac:dyDescent="0.15">
      <c r="A285" s="38" t="s">
        <v>2450</v>
      </c>
      <c r="B285" s="32"/>
      <c r="C285" s="32"/>
      <c r="D285" s="32"/>
      <c r="E285" s="32"/>
      <c r="F285" s="43"/>
      <c r="K285" s="3" t="s">
        <v>2450</v>
      </c>
    </row>
    <row r="286" spans="1:34" ht="18.399999999999999" customHeight="1" x14ac:dyDescent="0.15">
      <c r="A286" s="38" t="s">
        <v>569</v>
      </c>
      <c r="B286" s="33">
        <f>SUM($C286,$D286,$E286)</f>
        <v>2819</v>
      </c>
      <c r="C286" s="33">
        <f>$AB286</f>
        <v>545</v>
      </c>
      <c r="D286" s="33">
        <f>$AD286</f>
        <v>1628</v>
      </c>
      <c r="E286" s="33">
        <f>$AF286</f>
        <v>646</v>
      </c>
      <c r="F286" s="44"/>
      <c r="K286" s="3" t="s">
        <v>1529</v>
      </c>
      <c r="AA286" s="36" t="s">
        <v>1729</v>
      </c>
      <c r="AB286" s="7">
        <f>$AH280</f>
        <v>545</v>
      </c>
      <c r="AC286" s="36" t="s">
        <v>71</v>
      </c>
      <c r="AD286" s="7">
        <f>$AH282-$AH274</f>
        <v>1628</v>
      </c>
      <c r="AE286" s="36" t="s">
        <v>2236</v>
      </c>
      <c r="AF286" s="7">
        <f>$AH284</f>
        <v>646</v>
      </c>
    </row>
    <row r="287" spans="1:34" ht="18.399999999999999" customHeight="1" x14ac:dyDescent="0.15">
      <c r="A287" s="38" t="s">
        <v>2450</v>
      </c>
      <c r="B287" s="32"/>
      <c r="C287" s="32"/>
      <c r="D287" s="32"/>
      <c r="E287" s="32"/>
      <c r="F287" s="43"/>
      <c r="K287" s="3" t="s">
        <v>2450</v>
      </c>
    </row>
    <row r="288" spans="1:34" ht="18.399999999999999" customHeight="1" x14ac:dyDescent="0.15">
      <c r="A288" s="38" t="s">
        <v>2361</v>
      </c>
      <c r="B288" s="32"/>
      <c r="C288" s="32"/>
      <c r="D288" s="32"/>
      <c r="E288" s="32"/>
      <c r="F288" s="43"/>
      <c r="K288" s="3" t="s">
        <v>2361</v>
      </c>
    </row>
    <row r="289" spans="1:34" ht="18.399999999999999" customHeight="1" x14ac:dyDescent="0.15">
      <c r="A289" s="38" t="s">
        <v>2450</v>
      </c>
      <c r="B289" s="32"/>
      <c r="C289" s="32"/>
      <c r="D289" s="32"/>
      <c r="E289" s="32"/>
      <c r="F289" s="43"/>
      <c r="K289" s="3" t="s">
        <v>2450</v>
      </c>
    </row>
    <row r="290" spans="1:34" ht="18.399999999999999" customHeight="1" x14ac:dyDescent="0.15">
      <c r="A290" s="40" t="str">
        <f>CONCATENATE("    재 료 비 :   _x001D_29,764_x001D_ / ",TEXT($AB290,"#,##0.00")," =",TEXT($AF290,"#,##0.00"))</f>
        <v xml:space="preserve">    재 료 비 :   _x001D_29,764_x001D_ / 36.25 =821.00</v>
      </c>
      <c r="B290" s="32">
        <f>SUM($C290,$D290,$E290)</f>
        <v>821</v>
      </c>
      <c r="C290" s="32">
        <f>$AF290</f>
        <v>821</v>
      </c>
      <c r="D290" s="32"/>
      <c r="E290" s="32"/>
      <c r="F290" s="43" t="s">
        <v>2450</v>
      </c>
      <c r="K290" s="3" t="s">
        <v>315</v>
      </c>
      <c r="AA290" s="36" t="s">
        <v>2144</v>
      </c>
      <c r="AB290" s="8">
        <f>$AH266</f>
        <v>36.25</v>
      </c>
      <c r="AC290" s="36" t="s">
        <v>997</v>
      </c>
      <c r="AD290" s="7">
        <f>$AB290</f>
        <v>36.25</v>
      </c>
      <c r="AE290" s="37" t="s">
        <v>1805</v>
      </c>
      <c r="AF290" s="8">
        <f>TRUNC(중기사용료목록!E16/$AD290,0)</f>
        <v>821</v>
      </c>
      <c r="AG290" s="37" t="s">
        <v>2029</v>
      </c>
      <c r="AH290" s="7">
        <f>$AH280+$AF290</f>
        <v>1366</v>
      </c>
    </row>
    <row r="291" spans="1:34" ht="18.399999999999999" customHeight="1" x14ac:dyDescent="0.15">
      <c r="A291" s="38" t="s">
        <v>2450</v>
      </c>
      <c r="B291" s="32"/>
      <c r="C291" s="32"/>
      <c r="D291" s="32"/>
      <c r="E291" s="32"/>
      <c r="F291" s="43"/>
      <c r="K291" s="3" t="s">
        <v>2450</v>
      </c>
    </row>
    <row r="292" spans="1:34" ht="18.399999999999999" customHeight="1" x14ac:dyDescent="0.15">
      <c r="A292" s="40" t="str">
        <f>CONCATENATE("    노 무 비 :   _x001D_59,020_x001D_ / ",TEXT($AB292,"#,##0.00")," =",TEXT($AF292,"#,##0.00"))</f>
        <v xml:space="preserve">    노 무 비 :   _x001D_59,020_x001D_ / 36.25 =1,628.00</v>
      </c>
      <c r="B292" s="32">
        <f>SUM($C292,$D292,$E292)</f>
        <v>1628</v>
      </c>
      <c r="C292" s="32"/>
      <c r="D292" s="32">
        <f>$AF292</f>
        <v>1628</v>
      </c>
      <c r="E292" s="32"/>
      <c r="F292" s="43" t="s">
        <v>2450</v>
      </c>
      <c r="K292" s="3" t="s">
        <v>1818</v>
      </c>
      <c r="AA292" s="36" t="s">
        <v>885</v>
      </c>
      <c r="AB292" s="8">
        <f>$AH266</f>
        <v>36.25</v>
      </c>
      <c r="AC292" s="36" t="s">
        <v>261</v>
      </c>
      <c r="AD292" s="7">
        <f>$AB292</f>
        <v>36.25</v>
      </c>
      <c r="AE292" s="37" t="s">
        <v>265</v>
      </c>
      <c r="AF292" s="8">
        <f>TRUNC(중기사용료목록!F16/$AD292,0)</f>
        <v>1628</v>
      </c>
      <c r="AG292" s="37" t="s">
        <v>972</v>
      </c>
      <c r="AH292" s="7">
        <f>$AH282+$AF292</f>
        <v>4628</v>
      </c>
    </row>
    <row r="293" spans="1:34" ht="18.399999999999999" customHeight="1" x14ac:dyDescent="0.15">
      <c r="A293" s="38" t="s">
        <v>2450</v>
      </c>
      <c r="B293" s="32"/>
      <c r="C293" s="32"/>
      <c r="D293" s="32"/>
      <c r="E293" s="32"/>
      <c r="F293" s="43"/>
      <c r="K293" s="3" t="s">
        <v>2450</v>
      </c>
    </row>
    <row r="294" spans="1:34" ht="18.399999999999999" customHeight="1" x14ac:dyDescent="0.15">
      <c r="A294" s="40" t="str">
        <f>CONCATENATE("    경    비 :   _x001D_26,662_x001D_ / ",TEXT($AB294,"#,##0.00")," =",TEXT($AF294,"#,##0.00"))</f>
        <v xml:space="preserve">    경    비 :   _x001D_26,662_x001D_ / 36.25 =735.00</v>
      </c>
      <c r="B294" s="32">
        <f>SUM($C294,$D294,$E294)</f>
        <v>735</v>
      </c>
      <c r="C294" s="32"/>
      <c r="D294" s="32"/>
      <c r="E294" s="32">
        <f>$AF294</f>
        <v>735</v>
      </c>
      <c r="F294" s="43" t="s">
        <v>2450</v>
      </c>
      <c r="K294" s="3" t="s">
        <v>63</v>
      </c>
      <c r="AA294" s="36" t="s">
        <v>2014</v>
      </c>
      <c r="AB294" s="8">
        <f>$AH266</f>
        <v>36.25</v>
      </c>
      <c r="AC294" s="36" t="s">
        <v>1489</v>
      </c>
      <c r="AD294" s="7">
        <f>$AB294</f>
        <v>36.25</v>
      </c>
      <c r="AE294" s="37" t="s">
        <v>815</v>
      </c>
      <c r="AF294" s="8">
        <f>TRUNC(중기사용료목록!G16/$AD294,0)</f>
        <v>735</v>
      </c>
      <c r="AG294" s="37" t="s">
        <v>1302</v>
      </c>
      <c r="AH294" s="7">
        <f>$AH284+$AF294</f>
        <v>1381</v>
      </c>
    </row>
    <row r="295" spans="1:34" ht="18.399999999999999" customHeight="1" x14ac:dyDescent="0.15">
      <c r="A295" s="38" t="s">
        <v>2450</v>
      </c>
      <c r="B295" s="32"/>
      <c r="C295" s="32"/>
      <c r="D295" s="32"/>
      <c r="E295" s="32"/>
      <c r="F295" s="43"/>
      <c r="K295" s="3" t="s">
        <v>2450</v>
      </c>
    </row>
    <row r="296" spans="1:34" ht="18.399999999999999" customHeight="1" x14ac:dyDescent="0.15">
      <c r="A296" s="38" t="s">
        <v>569</v>
      </c>
      <c r="B296" s="33">
        <f>SUM($C296,$D296,$E296)</f>
        <v>3184</v>
      </c>
      <c r="C296" s="33">
        <f>$AB296</f>
        <v>821</v>
      </c>
      <c r="D296" s="33">
        <f>$AD296</f>
        <v>1628</v>
      </c>
      <c r="E296" s="33">
        <f>$AF296</f>
        <v>735</v>
      </c>
      <c r="F296" s="44"/>
      <c r="K296" s="3" t="s">
        <v>1529</v>
      </c>
      <c r="AA296" s="36" t="s">
        <v>1729</v>
      </c>
      <c r="AB296" s="7">
        <f>$AH290-$AH280</f>
        <v>821</v>
      </c>
      <c r="AC296" s="36" t="s">
        <v>71</v>
      </c>
      <c r="AD296" s="7">
        <f>$AH292-$AH282</f>
        <v>1628</v>
      </c>
      <c r="AE296" s="36" t="s">
        <v>2236</v>
      </c>
      <c r="AF296" s="7">
        <f>$AH294-$AH284</f>
        <v>735</v>
      </c>
    </row>
    <row r="297" spans="1:34" ht="18.399999999999999" customHeight="1" x14ac:dyDescent="0.15">
      <c r="A297" s="38" t="s">
        <v>2450</v>
      </c>
      <c r="B297" s="32"/>
      <c r="C297" s="32"/>
      <c r="D297" s="32"/>
      <c r="E297" s="32"/>
      <c r="F297" s="43"/>
      <c r="K297" s="3" t="s">
        <v>2450</v>
      </c>
    </row>
    <row r="298" spans="1:34" ht="18.399999999999999" customHeight="1" x14ac:dyDescent="0.15">
      <c r="A298" s="38" t="s">
        <v>510</v>
      </c>
      <c r="B298" s="32"/>
      <c r="C298" s="32"/>
      <c r="D298" s="32"/>
      <c r="E298" s="32"/>
      <c r="F298" s="43"/>
      <c r="K298" s="3" t="s">
        <v>510</v>
      </c>
    </row>
    <row r="299" spans="1:34" ht="18.399999999999999" customHeight="1" x14ac:dyDescent="0.15">
      <c r="A299" s="38" t="s">
        <v>2450</v>
      </c>
      <c r="B299" s="32"/>
      <c r="C299" s="32"/>
      <c r="D299" s="32"/>
      <c r="E299" s="32"/>
      <c r="F299" s="43"/>
      <c r="K299" s="3" t="s">
        <v>2450</v>
      </c>
    </row>
    <row r="300" spans="1:34" ht="18.399999999999999" customHeight="1" x14ac:dyDescent="0.15">
      <c r="A300" s="40" t="str">
        <f>CONCATENATE("    재 료 비 :   _x001D_3,952_x001D_ / ",TEXT($AB300,"#,##0.00")," =",TEXT($AF300,"#,##0.00"))</f>
        <v xml:space="preserve">    재 료 비 :   _x001D_3,952_x001D_ / 36.25 =109.00</v>
      </c>
      <c r="B300" s="32">
        <f>SUM($C300,$D300,$E300)</f>
        <v>109</v>
      </c>
      <c r="C300" s="32">
        <f>$AF300</f>
        <v>109</v>
      </c>
      <c r="D300" s="32"/>
      <c r="E300" s="32"/>
      <c r="F300" s="43" t="s">
        <v>2450</v>
      </c>
      <c r="K300" s="3" t="s">
        <v>499</v>
      </c>
      <c r="AA300" s="36" t="s">
        <v>2035</v>
      </c>
      <c r="AB300" s="8">
        <f>$AH266</f>
        <v>36.25</v>
      </c>
      <c r="AC300" s="36" t="s">
        <v>29</v>
      </c>
      <c r="AD300" s="7">
        <f>$AB300</f>
        <v>36.25</v>
      </c>
      <c r="AE300" s="37" t="s">
        <v>1805</v>
      </c>
      <c r="AF300" s="8">
        <f>TRUNC(중기사용료목록!E15/$AD300,0)</f>
        <v>109</v>
      </c>
      <c r="AG300" s="37" t="s">
        <v>2029</v>
      </c>
      <c r="AH300" s="7">
        <f>$AH290+$AF300</f>
        <v>1475</v>
      </c>
    </row>
    <row r="301" spans="1:34" ht="18.399999999999999" customHeight="1" x14ac:dyDescent="0.15">
      <c r="A301" s="38" t="s">
        <v>2450</v>
      </c>
      <c r="B301" s="32"/>
      <c r="C301" s="32"/>
      <c r="D301" s="32"/>
      <c r="E301" s="32"/>
      <c r="F301" s="43"/>
      <c r="K301" s="3" t="s">
        <v>2450</v>
      </c>
    </row>
    <row r="302" spans="1:34" ht="18.399999999999999" customHeight="1" x14ac:dyDescent="0.15">
      <c r="A302" s="40" t="str">
        <f>CONCATENATE("    경    비 :   _x001D_1,967_x001D_ / ",TEXT($AB302,"#,##0.00")," =",TEXT($AF302,"#,##0.00"))</f>
        <v xml:space="preserve">    경    비 :   _x001D_1,967_x001D_ / 36.25 =54.00</v>
      </c>
      <c r="B302" s="32">
        <f>SUM($C302,$D302,$E302)</f>
        <v>54</v>
      </c>
      <c r="C302" s="32"/>
      <c r="D302" s="32"/>
      <c r="E302" s="32">
        <f>$AF302</f>
        <v>54</v>
      </c>
      <c r="F302" s="43" t="s">
        <v>2450</v>
      </c>
      <c r="K302" s="3" t="s">
        <v>198</v>
      </c>
      <c r="AA302" s="36" t="s">
        <v>831</v>
      </c>
      <c r="AB302" s="8">
        <f>$AH266</f>
        <v>36.25</v>
      </c>
      <c r="AC302" s="36" t="s">
        <v>1209</v>
      </c>
      <c r="AD302" s="7">
        <f>$AB302</f>
        <v>36.25</v>
      </c>
      <c r="AE302" s="37" t="s">
        <v>815</v>
      </c>
      <c r="AF302" s="8">
        <f>TRUNC(중기사용료목록!G15/$AD302,0)</f>
        <v>54</v>
      </c>
      <c r="AG302" s="37" t="s">
        <v>1302</v>
      </c>
      <c r="AH302" s="7">
        <f>$AH294+$AF302</f>
        <v>1435</v>
      </c>
    </row>
    <row r="303" spans="1:34" ht="18.399999999999999" customHeight="1" x14ac:dyDescent="0.15">
      <c r="A303" s="38" t="s">
        <v>2450</v>
      </c>
      <c r="B303" s="32"/>
      <c r="C303" s="32"/>
      <c r="D303" s="32"/>
      <c r="E303" s="32"/>
      <c r="F303" s="43"/>
      <c r="K303" s="3" t="s">
        <v>2450</v>
      </c>
    </row>
    <row r="304" spans="1:34" ht="18.399999999999999" customHeight="1" x14ac:dyDescent="0.15">
      <c r="A304" s="38" t="s">
        <v>569</v>
      </c>
      <c r="B304" s="33">
        <f>SUM($C304,$D304,$E304)</f>
        <v>163</v>
      </c>
      <c r="C304" s="33">
        <f>$AB304</f>
        <v>109</v>
      </c>
      <c r="D304" s="33">
        <f>$AD304</f>
        <v>0</v>
      </c>
      <c r="E304" s="33">
        <f>$AF304</f>
        <v>54</v>
      </c>
      <c r="F304" s="44"/>
      <c r="K304" s="3" t="s">
        <v>1529</v>
      </c>
      <c r="AA304" s="36" t="s">
        <v>1729</v>
      </c>
      <c r="AB304" s="7">
        <f>$AH300-$AH290</f>
        <v>109</v>
      </c>
      <c r="AC304" s="36" t="s">
        <v>71</v>
      </c>
      <c r="AD304" s="7">
        <f>$AH292-$AH292</f>
        <v>0</v>
      </c>
      <c r="AE304" s="36" t="s">
        <v>2236</v>
      </c>
      <c r="AF304" s="7">
        <f>$AH302-$AH294</f>
        <v>54</v>
      </c>
    </row>
    <row r="305" spans="1:34" ht="18.399999999999999" customHeight="1" x14ac:dyDescent="0.15">
      <c r="A305" s="38" t="s">
        <v>2450</v>
      </c>
      <c r="B305" s="32"/>
      <c r="C305" s="32"/>
      <c r="D305" s="32"/>
      <c r="E305" s="32"/>
      <c r="F305" s="43"/>
      <c r="K305" s="3" t="s">
        <v>2450</v>
      </c>
    </row>
    <row r="306" spans="1:34" ht="18.399999999999999" customHeight="1" x14ac:dyDescent="0.15">
      <c r="A306" s="38" t="s">
        <v>2417</v>
      </c>
      <c r="B306" s="32"/>
      <c r="C306" s="32"/>
      <c r="D306" s="32"/>
      <c r="E306" s="32"/>
      <c r="F306" s="43"/>
      <c r="K306" s="3" t="s">
        <v>2417</v>
      </c>
    </row>
    <row r="307" spans="1:34" ht="18.399999999999999" customHeight="1" x14ac:dyDescent="0.15">
      <c r="A307" s="38" t="s">
        <v>2450</v>
      </c>
      <c r="B307" s="32"/>
      <c r="C307" s="32"/>
      <c r="D307" s="32"/>
      <c r="E307" s="32"/>
      <c r="F307" s="43"/>
      <c r="K307" s="3" t="s">
        <v>2450</v>
      </c>
    </row>
    <row r="308" spans="1:34" ht="18.399999999999999" customHeight="1" x14ac:dyDescent="0.15">
      <c r="A308" s="40" t="str">
        <f>CONCATENATE("    재 료 비 :   _x001D_19,223_x001D_ / ",TEXT($AB308,"#,##0.00")," * 0.5 =",TEXT($AF308,"#,##0.00"))</f>
        <v xml:space="preserve">    재 료 비 :   _x001D_19,223_x001D_ / 36.25 * 0.5 =265.00</v>
      </c>
      <c r="B308" s="32">
        <f>SUM($C308,$D308,$E308)</f>
        <v>265</v>
      </c>
      <c r="C308" s="32">
        <f>$AF308</f>
        <v>265</v>
      </c>
      <c r="D308" s="32"/>
      <c r="E308" s="32"/>
      <c r="F308" s="43" t="s">
        <v>2450</v>
      </c>
      <c r="K308" s="3" t="s">
        <v>613</v>
      </c>
      <c r="AA308" s="36" t="s">
        <v>1957</v>
      </c>
      <c r="AB308" s="8">
        <f>$AH266</f>
        <v>36.25</v>
      </c>
      <c r="AC308" s="36" t="s">
        <v>1721</v>
      </c>
      <c r="AD308" s="7">
        <f>$AB308</f>
        <v>36.25</v>
      </c>
      <c r="AE308" s="37" t="s">
        <v>1805</v>
      </c>
      <c r="AF308" s="8">
        <f>TRUNC(중기사용료목록!E27/$AD308*0.5,0)</f>
        <v>265</v>
      </c>
      <c r="AG308" s="37" t="s">
        <v>2029</v>
      </c>
      <c r="AH308" s="7">
        <f>$AH300+$AF308</f>
        <v>1740</v>
      </c>
    </row>
    <row r="309" spans="1:34" ht="18.399999999999999" customHeight="1" x14ac:dyDescent="0.15">
      <c r="A309" s="38" t="s">
        <v>2450</v>
      </c>
      <c r="B309" s="32"/>
      <c r="C309" s="32"/>
      <c r="D309" s="32"/>
      <c r="E309" s="32"/>
      <c r="F309" s="43"/>
      <c r="K309" s="3" t="s">
        <v>2450</v>
      </c>
    </row>
    <row r="310" spans="1:34" ht="18.399999999999999" customHeight="1" x14ac:dyDescent="0.15">
      <c r="A310" s="40" t="str">
        <f>CONCATENATE("    노 무 비 :   _x001D_49,778_x001D_ / ",TEXT($AB310,"#,##0.00")," * 0.5 =",TEXT($AF310,"#,##0.00"))</f>
        <v xml:space="preserve">    노 무 비 :   _x001D_49,778_x001D_ / 36.25 * 0.5 =686.00</v>
      </c>
      <c r="B310" s="32">
        <f>SUM($C310,$D310,$E310)</f>
        <v>686</v>
      </c>
      <c r="C310" s="32"/>
      <c r="D310" s="32">
        <f>$AF310</f>
        <v>686</v>
      </c>
      <c r="E310" s="32"/>
      <c r="F310" s="43" t="s">
        <v>2450</v>
      </c>
      <c r="K310" s="3" t="s">
        <v>2312</v>
      </c>
      <c r="AA310" s="36" t="s">
        <v>2257</v>
      </c>
      <c r="AB310" s="8">
        <f>$AH266</f>
        <v>36.25</v>
      </c>
      <c r="AC310" s="36" t="s">
        <v>633</v>
      </c>
      <c r="AD310" s="7">
        <f>$AB310</f>
        <v>36.25</v>
      </c>
      <c r="AE310" s="37" t="s">
        <v>265</v>
      </c>
      <c r="AF310" s="8">
        <f>TRUNC(중기사용료목록!F27/$AD310*0.5,0)</f>
        <v>686</v>
      </c>
      <c r="AG310" s="37" t="s">
        <v>972</v>
      </c>
      <c r="AH310" s="7">
        <f>$AH292+$AF310</f>
        <v>5314</v>
      </c>
    </row>
    <row r="311" spans="1:34" ht="18.399999999999999" customHeight="1" x14ac:dyDescent="0.15">
      <c r="A311" s="38" t="s">
        <v>2450</v>
      </c>
      <c r="B311" s="32"/>
      <c r="C311" s="32"/>
      <c r="D311" s="32"/>
      <c r="E311" s="32"/>
      <c r="F311" s="43"/>
      <c r="K311" s="3" t="s">
        <v>2450</v>
      </c>
    </row>
    <row r="312" spans="1:34" ht="18.399999999999999" customHeight="1" x14ac:dyDescent="0.15">
      <c r="A312" s="40" t="str">
        <f>CONCATENATE("    경    비 :   _x001D_9,986_x001D_ / ",TEXT($AB312,"#,##0.00")," * 0.5 =",TEXT($AF312,"#,##0.00"))</f>
        <v xml:space="preserve">    경    비 :   _x001D_9,986_x001D_ / 36.25 * 0.5 =137.00</v>
      </c>
      <c r="B312" s="32">
        <f>SUM($C312,$D312,$E312)</f>
        <v>137</v>
      </c>
      <c r="C312" s="32"/>
      <c r="D312" s="32"/>
      <c r="E312" s="32">
        <f>$AF312</f>
        <v>137</v>
      </c>
      <c r="F312" s="43" t="s">
        <v>2450</v>
      </c>
      <c r="K312" s="3" t="s">
        <v>366</v>
      </c>
      <c r="AA312" s="36" t="s">
        <v>1059</v>
      </c>
      <c r="AB312" s="8">
        <f>$AH266</f>
        <v>36.25</v>
      </c>
      <c r="AC312" s="36" t="s">
        <v>607</v>
      </c>
      <c r="AD312" s="7">
        <f>$AB312</f>
        <v>36.25</v>
      </c>
      <c r="AE312" s="37" t="s">
        <v>815</v>
      </c>
      <c r="AF312" s="8">
        <f>TRUNC(중기사용료목록!G27/$AD312*0.5,0)</f>
        <v>137</v>
      </c>
      <c r="AG312" s="37" t="s">
        <v>1302</v>
      </c>
      <c r="AH312" s="7">
        <f>$AH302+$AF312</f>
        <v>1572</v>
      </c>
    </row>
    <row r="313" spans="1:34" ht="18.399999999999999" customHeight="1" x14ac:dyDescent="0.15">
      <c r="A313" s="38" t="s">
        <v>2450</v>
      </c>
      <c r="B313" s="32"/>
      <c r="C313" s="32"/>
      <c r="D313" s="32"/>
      <c r="E313" s="32"/>
      <c r="F313" s="43"/>
      <c r="K313" s="3" t="s">
        <v>2450</v>
      </c>
    </row>
    <row r="314" spans="1:34" ht="18.399999999999999" customHeight="1" x14ac:dyDescent="0.15">
      <c r="A314" s="38" t="s">
        <v>569</v>
      </c>
      <c r="B314" s="33">
        <f>SUM($C314,$D314,$E314)</f>
        <v>1088</v>
      </c>
      <c r="C314" s="33">
        <f>$AB314</f>
        <v>265</v>
      </c>
      <c r="D314" s="33">
        <f>$AD314</f>
        <v>686</v>
      </c>
      <c r="E314" s="33">
        <f>$AF314</f>
        <v>137</v>
      </c>
      <c r="F314" s="44"/>
      <c r="K314" s="3" t="s">
        <v>1529</v>
      </c>
      <c r="AA314" s="36" t="s">
        <v>1729</v>
      </c>
      <c r="AB314" s="7">
        <f>$AH308-$AH300</f>
        <v>265</v>
      </c>
      <c r="AC314" s="36" t="s">
        <v>71</v>
      </c>
      <c r="AD314" s="7">
        <f>$AH310-$AH292</f>
        <v>686</v>
      </c>
      <c r="AE314" s="36" t="s">
        <v>2236</v>
      </c>
      <c r="AF314" s="7">
        <f>$AH312-$AH302</f>
        <v>137</v>
      </c>
    </row>
    <row r="315" spans="1:34" ht="18.399999999999999" customHeight="1" x14ac:dyDescent="0.15">
      <c r="A315" s="38" t="s">
        <v>2450</v>
      </c>
      <c r="B315" s="32"/>
      <c r="C315" s="32"/>
      <c r="D315" s="32"/>
      <c r="E315" s="32"/>
      <c r="F315" s="43"/>
      <c r="K315" s="3" t="s">
        <v>2450</v>
      </c>
    </row>
    <row r="316" spans="1:34" ht="18.399999999999999" customHeight="1" x14ac:dyDescent="0.15">
      <c r="A316" s="38" t="s">
        <v>1073</v>
      </c>
      <c r="B316" s="34">
        <f>SUM($C316,$D316,$E316)</f>
        <v>8626</v>
      </c>
      <c r="C316" s="34">
        <f>$AB316</f>
        <v>1740</v>
      </c>
      <c r="D316" s="34">
        <f>$AD316</f>
        <v>5314</v>
      </c>
      <c r="E316" s="34">
        <f>$AF316</f>
        <v>1572</v>
      </c>
      <c r="F316" s="45"/>
      <c r="K316" s="3" t="s">
        <v>439</v>
      </c>
      <c r="AA316" s="36" t="s">
        <v>989</v>
      </c>
      <c r="AB316" s="7">
        <f>$AH308</f>
        <v>1740</v>
      </c>
      <c r="AC316" s="36" t="s">
        <v>2036</v>
      </c>
      <c r="AD316" s="7">
        <f>$AH310</f>
        <v>5314</v>
      </c>
      <c r="AE316" s="36" t="s">
        <v>585</v>
      </c>
      <c r="AF316" s="7">
        <f>$AH312</f>
        <v>1572</v>
      </c>
    </row>
    <row r="317" spans="1:34" ht="18.399999999999999" customHeight="1" x14ac:dyDescent="0.15">
      <c r="A317" s="38"/>
      <c r="B317" s="3"/>
      <c r="C317" s="3"/>
      <c r="D317" s="3"/>
      <c r="E317" s="3"/>
      <c r="F317" s="42"/>
    </row>
    <row r="318" spans="1:34" ht="18.399999999999999" customHeight="1" x14ac:dyDescent="0.15">
      <c r="A318" s="41" t="s">
        <v>1388</v>
      </c>
      <c r="B318" s="35">
        <f>SUM($C318,$D318,$E318)</f>
        <v>8626</v>
      </c>
      <c r="C318" s="35">
        <f>TRUNC(SUM($AH308),0)</f>
        <v>1740</v>
      </c>
      <c r="D318" s="35">
        <f>TRUNC(SUM($AH310),0)</f>
        <v>5314</v>
      </c>
      <c r="E318" s="35">
        <f>TRUNC(SUM($AH312),0)</f>
        <v>1572</v>
      </c>
      <c r="F318" s="47"/>
    </row>
    <row r="319" spans="1:34" ht="18.399999999999999" customHeight="1" x14ac:dyDescent="0.15">
      <c r="A319" s="38"/>
      <c r="B319" s="3"/>
      <c r="C319" s="3"/>
      <c r="D319" s="3"/>
      <c r="E319" s="3"/>
      <c r="F319" s="42"/>
    </row>
    <row r="320" spans="1:34" ht="18.399999999999999" customHeight="1" x14ac:dyDescent="0.15">
      <c r="A320" s="38" t="s">
        <v>1618</v>
      </c>
      <c r="B320" s="32">
        <f>$B349</f>
        <v>1771</v>
      </c>
      <c r="C320" s="32">
        <f>$C349</f>
        <v>175</v>
      </c>
      <c r="D320" s="32">
        <f>$D349</f>
        <v>1405</v>
      </c>
      <c r="E320" s="32">
        <f>$E349</f>
        <v>191</v>
      </c>
      <c r="F320" s="42" t="s">
        <v>2450</v>
      </c>
      <c r="G320" t="s">
        <v>2450</v>
      </c>
      <c r="H320" t="s">
        <v>552</v>
      </c>
      <c r="K320">
        <v>1</v>
      </c>
      <c r="Y320" s="7" t="b">
        <f>EXACT($Z320,$B349)</f>
        <v>1</v>
      </c>
      <c r="Z320" s="35">
        <v>1771</v>
      </c>
    </row>
    <row r="321" spans="1:54" ht="18.399999999999999" customHeight="1" x14ac:dyDescent="0.15">
      <c r="A321" s="39"/>
      <c r="B321" s="3"/>
      <c r="C321" s="3"/>
      <c r="D321" s="3"/>
      <c r="E321" s="3"/>
      <c r="F321" s="42"/>
    </row>
    <row r="322" spans="1:54" ht="18.399999999999999" customHeight="1" x14ac:dyDescent="0.15">
      <c r="A322" s="38" t="s">
        <v>2450</v>
      </c>
      <c r="B322" s="3"/>
      <c r="C322" s="3"/>
      <c r="D322" s="3"/>
      <c r="E322" s="3"/>
      <c r="F322" s="42"/>
      <c r="G322" t="s">
        <v>2450</v>
      </c>
      <c r="I322" t="s">
        <v>289</v>
      </c>
      <c r="J322" t="s">
        <v>2450</v>
      </c>
      <c r="K322" t="s">
        <v>2053</v>
      </c>
    </row>
    <row r="323" spans="1:54" ht="18.399999999999999" customHeight="1" x14ac:dyDescent="0.15">
      <c r="A323" s="38" t="s">
        <v>373</v>
      </c>
      <c r="B323" s="32"/>
      <c r="C323" s="32"/>
      <c r="D323" s="32"/>
      <c r="E323" s="32"/>
      <c r="F323" s="43"/>
      <c r="K323" s="3" t="s">
        <v>373</v>
      </c>
    </row>
    <row r="324" spans="1:54" ht="18.399999999999999" customHeight="1" x14ac:dyDescent="0.15">
      <c r="A324" s="38" t="s">
        <v>2450</v>
      </c>
      <c r="B324" s="32"/>
      <c r="C324" s="32"/>
      <c r="D324" s="32"/>
      <c r="E324" s="32"/>
      <c r="F324" s="43"/>
      <c r="K324" s="3" t="s">
        <v>2450</v>
      </c>
    </row>
    <row r="325" spans="1:54" ht="18.399999999999999" customHeight="1" x14ac:dyDescent="0.15">
      <c r="A325" s="40" t="str">
        <f>CONCATENATE("   q=",TEXT($AB325,"#,##0.0"),", K=",TEXT($AF325,"#,##0.0"))</f>
        <v xml:space="preserve">   q=0.7, K=1.1</v>
      </c>
      <c r="B325" s="32"/>
      <c r="C325" s="32"/>
      <c r="D325" s="32"/>
      <c r="E325" s="32"/>
      <c r="F325" s="43"/>
      <c r="K325" s="10" t="str">
        <f>SUBSTITUTE(SUBSTITUTE(SUBSTITUTE("   q = 0.7, K = 1.1","0.7",TEXT($AB325,"#,##0.0"),1),"1.1",TEXT($AF325,"#,##0.0"),1),"_x001D_","'")</f>
        <v xml:space="preserve">   q = 0.7, K = 1.1</v>
      </c>
      <c r="AA325" s="36" t="s">
        <v>1686</v>
      </c>
      <c r="AB325" s="6">
        <v>0.7</v>
      </c>
      <c r="AC325" s="36" t="s">
        <v>1686</v>
      </c>
      <c r="AD325" s="7">
        <f>$AB325</f>
        <v>0.7</v>
      </c>
      <c r="AE325" s="36" t="s">
        <v>725</v>
      </c>
      <c r="AF325" s="6">
        <v>1.1000000000000001</v>
      </c>
      <c r="AG325" s="36" t="s">
        <v>725</v>
      </c>
      <c r="AH325" s="7">
        <f>$AF325</f>
        <v>1.1000000000000001</v>
      </c>
    </row>
    <row r="326" spans="1:54" ht="18.399999999999999" customHeight="1" x14ac:dyDescent="0.15">
      <c r="A326" s="38" t="s">
        <v>2450</v>
      </c>
      <c r="B326" s="32"/>
      <c r="C326" s="32"/>
      <c r="D326" s="32"/>
      <c r="E326" s="32"/>
      <c r="F326" s="43"/>
      <c r="K326" s="3" t="s">
        <v>2450</v>
      </c>
    </row>
    <row r="327" spans="1:54" ht="18.399999999999999" customHeight="1" x14ac:dyDescent="0.15">
      <c r="A327" s="40" t="str">
        <f>CONCATENATE("   E=",TEXT($AB327,"#,##0.00")," , F=",TEXT($AF327,"#,##0.0"))</f>
        <v xml:space="preserve">   E=0.75 , F=1.0</v>
      </c>
      <c r="B327" s="32"/>
      <c r="C327" s="32"/>
      <c r="D327" s="32"/>
      <c r="E327" s="32"/>
      <c r="F327" s="43"/>
      <c r="K327" s="10" t="str">
        <f>SUBSTITUTE(SUBSTITUTE(SUBSTITUTE("   E = 0.75 , F = 1.0","0.75",TEXT($AB327,"#,##0.00"),1),"1.0",TEXT($AF327,"#,##0.0"),1),"_x001D_","'")</f>
        <v xml:space="preserve">   E = 0.75 , F = 1.0</v>
      </c>
      <c r="AA327" s="36" t="s">
        <v>1179</v>
      </c>
      <c r="AB327" s="6">
        <v>0.75</v>
      </c>
      <c r="AC327" s="36" t="s">
        <v>1179</v>
      </c>
      <c r="AD327" s="7">
        <f>$AB327</f>
        <v>0.75</v>
      </c>
      <c r="AE327" s="36" t="s">
        <v>1406</v>
      </c>
      <c r="AF327" s="6">
        <v>1</v>
      </c>
      <c r="AG327" s="36" t="s">
        <v>1406</v>
      </c>
      <c r="AH327" s="7">
        <f>$AF327</f>
        <v>1</v>
      </c>
    </row>
    <row r="328" spans="1:54" ht="18.399999999999999" customHeight="1" x14ac:dyDescent="0.15">
      <c r="A328" s="38" t="s">
        <v>2450</v>
      </c>
      <c r="B328" s="32"/>
      <c r="C328" s="32"/>
      <c r="D328" s="32"/>
      <c r="E328" s="32"/>
      <c r="F328" s="43"/>
      <c r="K328" s="3" t="s">
        <v>2450</v>
      </c>
    </row>
    <row r="329" spans="1:54" ht="18.399999999999999" customHeight="1" x14ac:dyDescent="0.15">
      <c r="A329" s="40" t="str">
        <f>CONCATENATE("   CM=",TEXT($AB329,"#,##0.00")," SEC(90°)")</f>
        <v xml:space="preserve">   CM=18.00 SEC(90°)</v>
      </c>
      <c r="B329" s="32"/>
      <c r="C329" s="32"/>
      <c r="D329" s="32"/>
      <c r="E329" s="32"/>
      <c r="F329" s="43"/>
      <c r="K329" s="10" t="str">
        <f>SUBSTITUTE(SUBSTITUTE("   CM = 18_x001D_SEC(90°)_x001D_","18",TEXT($AB329,"#,##0"),1),"_x001D_","'")</f>
        <v xml:space="preserve">   CM = 18'SEC(90°)'</v>
      </c>
      <c r="AA329" s="36" t="s">
        <v>120</v>
      </c>
      <c r="AB329" s="6">
        <v>18</v>
      </c>
      <c r="AC329" s="36" t="s">
        <v>120</v>
      </c>
      <c r="AD329" s="7">
        <f>$AB329</f>
        <v>18</v>
      </c>
    </row>
    <row r="330" spans="1:54" ht="18.399999999999999" customHeight="1" x14ac:dyDescent="0.15">
      <c r="A330" s="38" t="s">
        <v>2450</v>
      </c>
      <c r="B330" s="32"/>
      <c r="C330" s="32"/>
      <c r="D330" s="32"/>
      <c r="E330" s="32"/>
      <c r="F330" s="43"/>
      <c r="K330" s="3" t="s">
        <v>2450</v>
      </c>
    </row>
    <row r="331" spans="1:54" ht="18.399999999999999" customHeight="1" x14ac:dyDescent="0.15">
      <c r="A331" s="40" t="str">
        <f>CONCATENATE("   Q = (3600*",TEXT($AB331,"#,##0.00"),"*",TEXT($AF331,"#,##0.00"),"*",TEXT($AJ331,"#,##0.00"),"*",TEXT($AN331,"#,##0.00"),") / ",TEXT($AR331,"#,##0.00")," =",TEXT($AZ331,"#,##0.00")," M3/HR ")</f>
        <v xml:space="preserve">   Q = (3600*0.70*1.10*0.75*1.00) / 18.00 =115.50 M3/HR </v>
      </c>
      <c r="B331" s="32">
        <f>SUM($C331,$D331,$E331)</f>
        <v>0</v>
      </c>
      <c r="C331" s="32"/>
      <c r="D331" s="32"/>
      <c r="E331" s="32"/>
      <c r="F331" s="43"/>
      <c r="K331" s="3" t="s">
        <v>2321</v>
      </c>
      <c r="AA331" s="36" t="s">
        <v>1426</v>
      </c>
      <c r="AB331" s="8">
        <f>$AD325</f>
        <v>0.7</v>
      </c>
      <c r="AC331" s="36" t="s">
        <v>872</v>
      </c>
      <c r="AD331" s="7">
        <f>$AB331</f>
        <v>0.7</v>
      </c>
      <c r="AE331" s="36" t="s">
        <v>690</v>
      </c>
      <c r="AF331" s="8">
        <f>$AH325</f>
        <v>1.1000000000000001</v>
      </c>
      <c r="AG331" s="36" t="s">
        <v>1720</v>
      </c>
      <c r="AH331" s="7">
        <f>$AF331</f>
        <v>1.1000000000000001</v>
      </c>
      <c r="AI331" s="36" t="s">
        <v>2355</v>
      </c>
      <c r="AJ331" s="8">
        <f>$AD327</f>
        <v>0.75</v>
      </c>
      <c r="AK331" s="36" t="s">
        <v>2010</v>
      </c>
      <c r="AL331" s="7">
        <f>$AJ331</f>
        <v>0.75</v>
      </c>
      <c r="AM331" s="36" t="s">
        <v>2206</v>
      </c>
      <c r="AN331" s="8">
        <f>$AH327</f>
        <v>1</v>
      </c>
      <c r="AO331" s="36" t="s">
        <v>1042</v>
      </c>
      <c r="AP331" s="7">
        <f>$AN331</f>
        <v>1</v>
      </c>
      <c r="AQ331" s="36" t="s">
        <v>852</v>
      </c>
      <c r="AR331" s="8">
        <f>$AD329</f>
        <v>18</v>
      </c>
      <c r="AS331" s="36" t="s">
        <v>143</v>
      </c>
      <c r="AT331" s="7">
        <f>$AR331</f>
        <v>18</v>
      </c>
      <c r="AU331" s="36" t="s">
        <v>461</v>
      </c>
      <c r="AV331" s="8">
        <f>ROUND((3600*$AD331*$AH331*$AL331*$AP331)/$AT331,2)</f>
        <v>115.5</v>
      </c>
      <c r="AW331" s="36" t="s">
        <v>1686</v>
      </c>
      <c r="AX331" s="7">
        <f>$AV331</f>
        <v>115.5</v>
      </c>
      <c r="AY331" s="36" t="s">
        <v>1263</v>
      </c>
      <c r="AZ331" s="8">
        <f>ROUND(ROUND((3600*$AD331*$AH331*$AL331*$AP331)/$AT331,2),2)</f>
        <v>115.5</v>
      </c>
      <c r="BA331" s="36" t="s">
        <v>2158</v>
      </c>
      <c r="BB331" s="7">
        <f>$AZ331</f>
        <v>115.5</v>
      </c>
    </row>
    <row r="332" spans="1:54" ht="18.399999999999999" customHeight="1" x14ac:dyDescent="0.15">
      <c r="A332" s="38" t="s">
        <v>2450</v>
      </c>
      <c r="B332" s="32"/>
      <c r="C332" s="32"/>
      <c r="D332" s="32"/>
      <c r="E332" s="32"/>
      <c r="F332" s="43"/>
      <c r="K332" s="3" t="s">
        <v>415</v>
      </c>
      <c r="AA332" s="36" t="s">
        <v>430</v>
      </c>
      <c r="AB332" s="6">
        <v>0.9</v>
      </c>
      <c r="AC332" s="36" t="s">
        <v>430</v>
      </c>
      <c r="AD332" s="7">
        <f>$AB332</f>
        <v>0.9</v>
      </c>
    </row>
    <row r="333" spans="1:54" ht="18.399999999999999" customHeight="1" x14ac:dyDescent="0.15">
      <c r="A333" s="40" t="str">
        <f>CONCATENATE("     재 료 비 :  _x001D_22,501_x001D_ / ",TEXT($AB333,"#,##0.00")," * ",TEXT($AF333,"#,##0.00")," =",TEXT($AJ333,"#,##0.00"))</f>
        <v xml:space="preserve">     재 료 비 :  _x001D_22,501_x001D_ / 115.50 * 0.90 =175.00</v>
      </c>
      <c r="B333" s="32">
        <f>SUM($C333,$D333,$E333)</f>
        <v>175</v>
      </c>
      <c r="C333" s="32">
        <f>$AJ333</f>
        <v>175</v>
      </c>
      <c r="D333" s="32"/>
      <c r="E333" s="32"/>
      <c r="F333" s="43" t="s">
        <v>2450</v>
      </c>
      <c r="K333" s="3" t="s">
        <v>1178</v>
      </c>
      <c r="AA333" s="36" t="s">
        <v>187</v>
      </c>
      <c r="AB333" s="8">
        <f>$AX331</f>
        <v>115.5</v>
      </c>
      <c r="AC333" s="36" t="s">
        <v>363</v>
      </c>
      <c r="AD333" s="7">
        <f>$AB333</f>
        <v>115.5</v>
      </c>
      <c r="AE333" s="36" t="s">
        <v>1858</v>
      </c>
      <c r="AF333" s="8">
        <f>$AD332</f>
        <v>0.9</v>
      </c>
      <c r="AG333" s="36" t="s">
        <v>1918</v>
      </c>
      <c r="AH333" s="7">
        <f>$AF333</f>
        <v>0.9</v>
      </c>
      <c r="AI333" s="37" t="s">
        <v>1805</v>
      </c>
      <c r="AJ333" s="8">
        <f>TRUNC(중기사용료목록!E5/$AD333*$AH333,0)</f>
        <v>175</v>
      </c>
      <c r="AK333" s="37" t="s">
        <v>2029</v>
      </c>
      <c r="AL333" s="7">
        <f>$AJ333</f>
        <v>175</v>
      </c>
    </row>
    <row r="334" spans="1:54" ht="18.399999999999999" customHeight="1" x14ac:dyDescent="0.15">
      <c r="A334" s="38" t="s">
        <v>2450</v>
      </c>
      <c r="B334" s="32"/>
      <c r="C334" s="32"/>
      <c r="D334" s="32"/>
      <c r="E334" s="32"/>
      <c r="F334" s="43"/>
      <c r="K334" s="3" t="s">
        <v>2450</v>
      </c>
    </row>
    <row r="335" spans="1:54" ht="18.399999999999999" customHeight="1" x14ac:dyDescent="0.15">
      <c r="A335" s="40" t="str">
        <f>CONCATENATE("     노 무 비 :  _x001D_59,020_x001D_ / ",TEXT($AB335,"#,##0.00")," * ",TEXT($AF335,"#,##0.00")," =",TEXT($AJ335,"#,##0.00"))</f>
        <v xml:space="preserve">     노 무 비 :  _x001D_59,020_x001D_ / 115.50 * 0.90 =459.00</v>
      </c>
      <c r="B335" s="32">
        <f>SUM($C335,$D335,$E335)</f>
        <v>459</v>
      </c>
      <c r="C335" s="32"/>
      <c r="D335" s="32">
        <f>$AJ335</f>
        <v>459</v>
      </c>
      <c r="E335" s="32"/>
      <c r="F335" s="43" t="s">
        <v>2450</v>
      </c>
      <c r="K335" s="3" t="s">
        <v>2332</v>
      </c>
      <c r="AA335" s="36" t="s">
        <v>1461</v>
      </c>
      <c r="AB335" s="8">
        <f>$AX331</f>
        <v>115.5</v>
      </c>
      <c r="AC335" s="36" t="s">
        <v>1549</v>
      </c>
      <c r="AD335" s="7">
        <f>$AB335</f>
        <v>115.5</v>
      </c>
      <c r="AE335" s="36" t="s">
        <v>735</v>
      </c>
      <c r="AF335" s="8">
        <f>$AD332</f>
        <v>0.9</v>
      </c>
      <c r="AG335" s="36" t="s">
        <v>769</v>
      </c>
      <c r="AH335" s="7">
        <f>$AF335</f>
        <v>0.9</v>
      </c>
      <c r="AI335" s="37" t="s">
        <v>265</v>
      </c>
      <c r="AJ335" s="8">
        <f>TRUNC(중기사용료목록!F5/$AD335*$AH335,0)</f>
        <v>459</v>
      </c>
      <c r="AK335" s="37" t="s">
        <v>972</v>
      </c>
      <c r="AL335" s="7">
        <f>$AJ335</f>
        <v>459</v>
      </c>
    </row>
    <row r="336" spans="1:54" ht="18.399999999999999" customHeight="1" x14ac:dyDescent="0.15">
      <c r="A336" s="38" t="s">
        <v>2450</v>
      </c>
      <c r="B336" s="32"/>
      <c r="C336" s="32"/>
      <c r="D336" s="32"/>
      <c r="E336" s="32"/>
      <c r="F336" s="43"/>
      <c r="K336" s="3" t="s">
        <v>2450</v>
      </c>
    </row>
    <row r="337" spans="1:38" ht="18.399999999999999" customHeight="1" x14ac:dyDescent="0.15">
      <c r="A337" s="40" t="str">
        <f>CONCATENATE("     경    비 :  _x001D_24,554_x001D_ / ",TEXT($AB337,"#,##0.00")," * ",TEXT($AF337,"#,##0.00")," =",TEXT($AJ337,"#,##0.00"))</f>
        <v xml:space="preserve">     경    비 :  _x001D_24,554_x001D_ / 115.50 * 0.90 =191.00</v>
      </c>
      <c r="B337" s="32">
        <f>SUM($C337,$D337,$E337)</f>
        <v>191</v>
      </c>
      <c r="C337" s="32"/>
      <c r="D337" s="32"/>
      <c r="E337" s="32">
        <f>$AJ337</f>
        <v>191</v>
      </c>
      <c r="F337" s="43" t="s">
        <v>2450</v>
      </c>
      <c r="K337" s="3" t="s">
        <v>404</v>
      </c>
      <c r="AA337" s="36" t="s">
        <v>301</v>
      </c>
      <c r="AB337" s="8">
        <f>$AX331</f>
        <v>115.5</v>
      </c>
      <c r="AC337" s="36" t="s">
        <v>2139</v>
      </c>
      <c r="AD337" s="7">
        <f>$AB337</f>
        <v>115.5</v>
      </c>
      <c r="AE337" s="36" t="s">
        <v>1976</v>
      </c>
      <c r="AF337" s="8">
        <f>$AD332</f>
        <v>0.9</v>
      </c>
      <c r="AG337" s="36" t="s">
        <v>479</v>
      </c>
      <c r="AH337" s="7">
        <f>$AF337</f>
        <v>0.9</v>
      </c>
      <c r="AI337" s="37" t="s">
        <v>815</v>
      </c>
      <c r="AJ337" s="8">
        <f>TRUNC(중기사용료목록!G5/$AD337*$AH337,0)</f>
        <v>191</v>
      </c>
      <c r="AK337" s="37" t="s">
        <v>1302</v>
      </c>
      <c r="AL337" s="7">
        <f>$AJ337</f>
        <v>191</v>
      </c>
    </row>
    <row r="338" spans="1:38" ht="18.399999999999999" customHeight="1" x14ac:dyDescent="0.15">
      <c r="A338" s="38" t="s">
        <v>2450</v>
      </c>
      <c r="B338" s="32"/>
      <c r="C338" s="32"/>
      <c r="D338" s="32"/>
      <c r="E338" s="32"/>
      <c r="F338" s="43"/>
      <c r="K338" s="3" t="s">
        <v>2450</v>
      </c>
    </row>
    <row r="339" spans="1:38" ht="18.399999999999999" customHeight="1" x14ac:dyDescent="0.15">
      <c r="A339" s="38" t="s">
        <v>1078</v>
      </c>
      <c r="B339" s="33">
        <f>SUM($C339,$D339,$E339)</f>
        <v>825</v>
      </c>
      <c r="C339" s="33">
        <f>$AB339</f>
        <v>175</v>
      </c>
      <c r="D339" s="33">
        <f>$AD339</f>
        <v>459</v>
      </c>
      <c r="E339" s="33">
        <f>$AF339</f>
        <v>191</v>
      </c>
      <c r="F339" s="44"/>
      <c r="K339" s="3" t="s">
        <v>1358</v>
      </c>
      <c r="AA339" s="36" t="s">
        <v>1729</v>
      </c>
      <c r="AB339" s="7">
        <f>$AL333</f>
        <v>175</v>
      </c>
      <c r="AC339" s="36" t="s">
        <v>71</v>
      </c>
      <c r="AD339" s="7">
        <f>$AL335</f>
        <v>459</v>
      </c>
      <c r="AE339" s="36" t="s">
        <v>2236</v>
      </c>
      <c r="AF339" s="7">
        <f>$AL337</f>
        <v>191</v>
      </c>
    </row>
    <row r="340" spans="1:38" ht="18.399999999999999" customHeight="1" x14ac:dyDescent="0.15">
      <c r="A340" s="38" t="s">
        <v>2450</v>
      </c>
      <c r="B340" s="32"/>
      <c r="C340" s="32"/>
      <c r="D340" s="32"/>
      <c r="E340" s="32"/>
      <c r="F340" s="43"/>
      <c r="K340" s="3" t="s">
        <v>2450</v>
      </c>
    </row>
    <row r="341" spans="1:38" ht="18.399999999999999" customHeight="1" x14ac:dyDescent="0.15">
      <c r="A341" s="38" t="s">
        <v>756</v>
      </c>
      <c r="B341" s="32"/>
      <c r="C341" s="32"/>
      <c r="D341" s="32"/>
      <c r="E341" s="32"/>
      <c r="F341" s="43"/>
      <c r="K341" s="3" t="s">
        <v>756</v>
      </c>
    </row>
    <row r="342" spans="1:38" ht="18.399999999999999" customHeight="1" x14ac:dyDescent="0.15">
      <c r="A342" s="38" t="s">
        <v>2450</v>
      </c>
      <c r="B342" s="32"/>
      <c r="C342" s="32"/>
      <c r="D342" s="32"/>
      <c r="E342" s="32"/>
      <c r="F342" s="43"/>
      <c r="K342" s="3" t="s">
        <v>1906</v>
      </c>
      <c r="AA342" s="36" t="s">
        <v>1848</v>
      </c>
      <c r="AB342" s="6">
        <v>0.1</v>
      </c>
      <c r="AC342" s="36" t="s">
        <v>1848</v>
      </c>
      <c r="AD342" s="7">
        <f>$AB342</f>
        <v>0.1</v>
      </c>
    </row>
    <row r="343" spans="1:38" ht="18.399999999999999" customHeight="1" x14ac:dyDescent="0.15">
      <c r="A343" s="40" t="str">
        <f>CONCATENATE("   보통인부 :   0.11/2  인  * _x001D_172,068_x001D_ * ",TEXT($AB343,"#,##0.00"),"=",TEXT($AF343,"#,##0.00"))</f>
        <v xml:space="preserve">   보통인부 :   0.11/2  인  * _x001D_172,068_x001D_ * 0.10=946.00</v>
      </c>
      <c r="B343" s="32">
        <f>SUM($C343,$D343,$E343)</f>
        <v>946</v>
      </c>
      <c r="C343" s="32"/>
      <c r="D343" s="32">
        <f>$AF343</f>
        <v>946</v>
      </c>
      <c r="E343" s="32"/>
      <c r="F343" s="43" t="s">
        <v>2450</v>
      </c>
      <c r="K343" s="3" t="s">
        <v>172</v>
      </c>
      <c r="AA343" s="36" t="s">
        <v>1041</v>
      </c>
      <c r="AB343" s="8">
        <f>$AD342</f>
        <v>0.1</v>
      </c>
      <c r="AC343" s="36" t="s">
        <v>2262</v>
      </c>
      <c r="AD343" s="7">
        <f>$AB343</f>
        <v>0.1</v>
      </c>
      <c r="AE343" s="37" t="s">
        <v>265</v>
      </c>
      <c r="AF343" s="8">
        <f>TRUNC(0.11/2*노임!D10*$AD343,0)</f>
        <v>946</v>
      </c>
      <c r="AG343" s="37" t="s">
        <v>972</v>
      </c>
      <c r="AH343" s="7">
        <f>$AL335+$AF343</f>
        <v>1405</v>
      </c>
    </row>
    <row r="344" spans="1:38" ht="18.399999999999999" customHeight="1" x14ac:dyDescent="0.15">
      <c r="A344" s="38" t="s">
        <v>2450</v>
      </c>
      <c r="B344" s="32"/>
      <c r="C344" s="32"/>
      <c r="D344" s="32"/>
      <c r="E344" s="32"/>
      <c r="F344" s="43"/>
      <c r="K344" s="3" t="s">
        <v>2450</v>
      </c>
    </row>
    <row r="345" spans="1:38" ht="18.399999999999999" customHeight="1" x14ac:dyDescent="0.15">
      <c r="A345" s="38" t="s">
        <v>1078</v>
      </c>
      <c r="B345" s="33">
        <f>SUM($C345,$D345,$E345)</f>
        <v>946</v>
      </c>
      <c r="C345" s="33">
        <f>$AB345</f>
        <v>0</v>
      </c>
      <c r="D345" s="33">
        <f>$AD345</f>
        <v>946</v>
      </c>
      <c r="E345" s="33">
        <f>$AF345</f>
        <v>0</v>
      </c>
      <c r="F345" s="44"/>
      <c r="K345" s="3" t="s">
        <v>1358</v>
      </c>
      <c r="AA345" s="36" t="s">
        <v>1729</v>
      </c>
      <c r="AB345" s="7">
        <f>$AL333-$AL333</f>
        <v>0</v>
      </c>
      <c r="AC345" s="36" t="s">
        <v>71</v>
      </c>
      <c r="AD345" s="7">
        <f>$AH343-$AL335</f>
        <v>946</v>
      </c>
      <c r="AE345" s="36" t="s">
        <v>2236</v>
      </c>
      <c r="AF345" s="7">
        <f>$AL337-$AL337</f>
        <v>0</v>
      </c>
    </row>
    <row r="346" spans="1:38" ht="18.399999999999999" customHeight="1" x14ac:dyDescent="0.15">
      <c r="A346" s="38" t="s">
        <v>2450</v>
      </c>
      <c r="B346" s="32"/>
      <c r="C346" s="32"/>
      <c r="D346" s="32"/>
      <c r="E346" s="32"/>
      <c r="F346" s="43"/>
      <c r="K346" s="3" t="s">
        <v>2450</v>
      </c>
    </row>
    <row r="347" spans="1:38" ht="18.399999999999999" customHeight="1" x14ac:dyDescent="0.15">
      <c r="A347" s="38" t="s">
        <v>1346</v>
      </c>
      <c r="B347" s="34">
        <f>SUM($C347,$D347,$E347)</f>
        <v>1771</v>
      </c>
      <c r="C347" s="34">
        <f>$AB347</f>
        <v>175</v>
      </c>
      <c r="D347" s="34">
        <f>$AD347</f>
        <v>1405</v>
      </c>
      <c r="E347" s="34">
        <f>$AF347</f>
        <v>191</v>
      </c>
      <c r="F347" s="45"/>
      <c r="K347" s="3" t="s">
        <v>718</v>
      </c>
      <c r="AA347" s="36" t="s">
        <v>989</v>
      </c>
      <c r="AB347" s="7">
        <f>$AL333</f>
        <v>175</v>
      </c>
      <c r="AC347" s="36" t="s">
        <v>2036</v>
      </c>
      <c r="AD347" s="7">
        <f>$AH343</f>
        <v>1405</v>
      </c>
      <c r="AE347" s="36" t="s">
        <v>585</v>
      </c>
      <c r="AF347" s="7">
        <f>$AL337</f>
        <v>191</v>
      </c>
    </row>
    <row r="348" spans="1:38" ht="18.399999999999999" customHeight="1" x14ac:dyDescent="0.15">
      <c r="A348" s="38"/>
      <c r="B348" s="3"/>
      <c r="C348" s="3"/>
      <c r="D348" s="3"/>
      <c r="E348" s="3"/>
      <c r="F348" s="42"/>
    </row>
    <row r="349" spans="1:38" ht="18.399999999999999" customHeight="1" x14ac:dyDescent="0.15">
      <c r="A349" s="41" t="s">
        <v>1388</v>
      </c>
      <c r="B349" s="35">
        <f>SUM($C349,$D349,$E349)</f>
        <v>1771</v>
      </c>
      <c r="C349" s="35">
        <f>TRUNC(SUM($AL333),0)</f>
        <v>175</v>
      </c>
      <c r="D349" s="35">
        <f>TRUNC(SUM($AH343),0)</f>
        <v>1405</v>
      </c>
      <c r="E349" s="35">
        <f>TRUNC(SUM($AL337),0)</f>
        <v>191</v>
      </c>
      <c r="F349" s="47"/>
    </row>
    <row r="350" spans="1:38" ht="18.399999999999999" customHeight="1" x14ac:dyDescent="0.15">
      <c r="A350" s="38"/>
      <c r="B350" s="3"/>
      <c r="C350" s="3"/>
      <c r="D350" s="3"/>
      <c r="E350" s="3"/>
      <c r="F350" s="42"/>
    </row>
    <row r="351" spans="1:38" ht="18.399999999999999" customHeight="1" x14ac:dyDescent="0.15">
      <c r="A351" s="38" t="s">
        <v>449</v>
      </c>
      <c r="B351" s="32">
        <f>$B412</f>
        <v>3788</v>
      </c>
      <c r="C351" s="32">
        <f>$C412</f>
        <v>633</v>
      </c>
      <c r="D351" s="32">
        <f>$D412</f>
        <v>2092</v>
      </c>
      <c r="E351" s="32">
        <f>$E412</f>
        <v>1063</v>
      </c>
      <c r="F351" s="42" t="s">
        <v>2450</v>
      </c>
      <c r="G351" t="s">
        <v>2450</v>
      </c>
      <c r="H351" t="s">
        <v>312</v>
      </c>
      <c r="K351">
        <v>1</v>
      </c>
      <c r="Y351" s="7" t="b">
        <f>EXACT($Z351,$B412)</f>
        <v>1</v>
      </c>
      <c r="Z351" s="35">
        <v>3788</v>
      </c>
    </row>
    <row r="352" spans="1:38" ht="18.399999999999999" customHeight="1" x14ac:dyDescent="0.15">
      <c r="A352" s="39"/>
      <c r="B352" s="3"/>
      <c r="C352" s="3"/>
      <c r="D352" s="3"/>
      <c r="E352" s="3"/>
      <c r="F352" s="42"/>
    </row>
    <row r="353" spans="1:54" ht="18.399999999999999" customHeight="1" x14ac:dyDescent="0.15">
      <c r="A353" s="38" t="s">
        <v>2450</v>
      </c>
      <c r="B353" s="3"/>
      <c r="C353" s="3"/>
      <c r="D353" s="3"/>
      <c r="E353" s="3"/>
      <c r="F353" s="42"/>
      <c r="G353" t="s">
        <v>2450</v>
      </c>
      <c r="I353" t="s">
        <v>289</v>
      </c>
      <c r="J353" t="s">
        <v>2450</v>
      </c>
      <c r="K353" t="s">
        <v>2053</v>
      </c>
    </row>
    <row r="354" spans="1:54" ht="18.399999999999999" customHeight="1" x14ac:dyDescent="0.15">
      <c r="A354" s="38" t="s">
        <v>856</v>
      </c>
      <c r="B354" s="32"/>
      <c r="C354" s="32"/>
      <c r="D354" s="32"/>
      <c r="E354" s="32"/>
      <c r="F354" s="43"/>
      <c r="K354" s="3" t="s">
        <v>856</v>
      </c>
    </row>
    <row r="355" spans="1:54" ht="18.399999999999999" customHeight="1" x14ac:dyDescent="0.15">
      <c r="A355" s="38" t="s">
        <v>2450</v>
      </c>
      <c r="B355" s="32"/>
      <c r="C355" s="32"/>
      <c r="D355" s="32"/>
      <c r="E355" s="32"/>
      <c r="F355" s="43"/>
      <c r="K355" s="3" t="s">
        <v>2450</v>
      </c>
    </row>
    <row r="356" spans="1:54" ht="18.399999999999999" customHeight="1" x14ac:dyDescent="0.15">
      <c r="A356" s="38" t="s">
        <v>1820</v>
      </c>
      <c r="B356" s="32"/>
      <c r="C356" s="32"/>
      <c r="D356" s="32"/>
      <c r="E356" s="32"/>
      <c r="F356" s="43"/>
      <c r="K356" s="3" t="s">
        <v>1820</v>
      </c>
    </row>
    <row r="357" spans="1:54" ht="18.399999999999999" customHeight="1" x14ac:dyDescent="0.15">
      <c r="A357" s="38" t="s">
        <v>2450</v>
      </c>
      <c r="B357" s="32"/>
      <c r="C357" s="32"/>
      <c r="D357" s="32"/>
      <c r="E357" s="32"/>
      <c r="F357" s="43"/>
      <c r="K357" s="3" t="s">
        <v>2450</v>
      </c>
    </row>
    <row r="358" spans="1:54" ht="18.399999999999999" customHeight="1" x14ac:dyDescent="0.15">
      <c r="A358" s="40" t="str">
        <f>CONCATENATE(" q=",TEXT($AB358,"#,##0.0"),", K=",TEXT($AF358,"#,##0.0"),", f = 1/1.30 =",TEXT($AN358,"#,##0.00"))</f>
        <v xml:space="preserve"> q=0.7, K=0.9, f = 1/1.30 =0.77</v>
      </c>
      <c r="B358" s="32">
        <f>SUM($C358,$D358,$E358)</f>
        <v>0</v>
      </c>
      <c r="C358" s="32"/>
      <c r="D358" s="32"/>
      <c r="E358" s="32"/>
      <c r="F358" s="43"/>
      <c r="K358" s="10" t="str">
        <f>SUBSTITUTE(SUBSTITUTE(SUBSTITUTE(" q = 0.7, K = 0.9, f = 1/1.30 =?","0.7",TEXT($AB358,"#,##0.0"),1),"0.9",TEXT($AF358,"#,##0.0"),1),"_x001D_","'")</f>
        <v xml:space="preserve"> q = 0.7, K = 0.9, f = 1/1.30 =?</v>
      </c>
      <c r="AA358" s="36" t="s">
        <v>1686</v>
      </c>
      <c r="AB358" s="6">
        <v>0.7</v>
      </c>
      <c r="AC358" s="36" t="s">
        <v>1686</v>
      </c>
      <c r="AD358" s="7">
        <f>$AB358</f>
        <v>0.7</v>
      </c>
      <c r="AE358" s="36" t="s">
        <v>725</v>
      </c>
      <c r="AF358" s="6">
        <v>0.9</v>
      </c>
      <c r="AG358" s="36" t="s">
        <v>725</v>
      </c>
      <c r="AH358" s="7">
        <f>$AF358</f>
        <v>0.9</v>
      </c>
      <c r="AI358" s="36" t="s">
        <v>1551</v>
      </c>
      <c r="AJ358" s="8">
        <f>ROUND(1/1.3,2)</f>
        <v>0.77</v>
      </c>
      <c r="AK358" s="36" t="s">
        <v>1406</v>
      </c>
      <c r="AL358" s="7">
        <f>$AJ358</f>
        <v>0.77</v>
      </c>
      <c r="AM358" s="36" t="s">
        <v>1535</v>
      </c>
      <c r="AN358" s="8">
        <f>ROUND(ROUND(1/1.3,2),2)</f>
        <v>0.77</v>
      </c>
      <c r="AO358" s="36" t="s">
        <v>2320</v>
      </c>
      <c r="AP358" s="7">
        <f>$AN358</f>
        <v>0.77</v>
      </c>
    </row>
    <row r="359" spans="1:54" ht="18.399999999999999" customHeight="1" x14ac:dyDescent="0.15">
      <c r="A359" s="38" t="s">
        <v>2450</v>
      </c>
      <c r="B359" s="32"/>
      <c r="C359" s="32"/>
      <c r="D359" s="32"/>
      <c r="E359" s="32"/>
      <c r="F359" s="43"/>
      <c r="K359" s="3" t="s">
        <v>2450</v>
      </c>
    </row>
    <row r="360" spans="1:54" ht="18.399999999999999" customHeight="1" x14ac:dyDescent="0.15">
      <c r="A360" s="40" t="str">
        <f>CONCATENATE("   Eo=",TEXT($AB360,"#,##0.00"),",  CM=",TEXT($AF360,"#,##0.00")," SEC(90˚)")</f>
        <v xml:space="preserve">   Eo=0.75,  CM=18.00 SEC(90˚)</v>
      </c>
      <c r="B360" s="32"/>
      <c r="C360" s="32"/>
      <c r="D360" s="32"/>
      <c r="E360" s="32"/>
      <c r="F360" s="43"/>
      <c r="K360" s="10" t="str">
        <f>SUBSTITUTE(SUBSTITUTE(SUBSTITUTE("   Eo = 0.75,  CM = 18_x001D_SEC(90˚)_x001D_","0.75",TEXT($AB360,"#,##0.00"),1),"18",TEXT($AF360,"#,##0"),1),"_x001D_","'")</f>
        <v xml:space="preserve">   Eo = 0.75,  CM = 18'SEC(90˚)'</v>
      </c>
      <c r="AA360" s="36" t="s">
        <v>372</v>
      </c>
      <c r="AB360" s="6">
        <v>0.75</v>
      </c>
      <c r="AC360" s="36" t="s">
        <v>372</v>
      </c>
      <c r="AD360" s="7">
        <f>$AB360</f>
        <v>0.75</v>
      </c>
      <c r="AE360" s="36" t="s">
        <v>120</v>
      </c>
      <c r="AF360" s="6">
        <v>18</v>
      </c>
      <c r="AG360" s="36" t="s">
        <v>120</v>
      </c>
      <c r="AH360" s="7">
        <f>$AF360</f>
        <v>18</v>
      </c>
    </row>
    <row r="361" spans="1:54" ht="18.399999999999999" customHeight="1" x14ac:dyDescent="0.15">
      <c r="A361" s="38" t="s">
        <v>2450</v>
      </c>
      <c r="B361" s="32"/>
      <c r="C361" s="32"/>
      <c r="D361" s="32"/>
      <c r="E361" s="32"/>
      <c r="F361" s="43"/>
      <c r="K361" s="3" t="s">
        <v>2450</v>
      </c>
    </row>
    <row r="362" spans="1:54" ht="18.399999999999999" customHeight="1" x14ac:dyDescent="0.15">
      <c r="A362" s="40" t="str">
        <f>CONCATENATE("   Q = (3600*",TEXT($AB362,"#,##0.00"),"*",TEXT($AF362,"#,##0.00"),"*",TEXT($AJ362,"#,##0.00"),"*",TEXT($AN362,"#,##0.00"),") / ",TEXT($AR362,"#,##0.00")," =",TEXT($AZ362,"#,##0.00")," M3/HR ")</f>
        <v xml:space="preserve">   Q = (3600*0.70*0.90*0.77*0.75) / 18.00 =72.77 M3/HR </v>
      </c>
      <c r="B362" s="32">
        <f>SUM($C362,$D362,$E362)</f>
        <v>0</v>
      </c>
      <c r="C362" s="32"/>
      <c r="D362" s="32"/>
      <c r="E362" s="32"/>
      <c r="F362" s="43"/>
      <c r="K362" s="3" t="s">
        <v>1368</v>
      </c>
      <c r="AA362" s="36" t="s">
        <v>200</v>
      </c>
      <c r="AB362" s="8">
        <f>$AD358</f>
        <v>0.7</v>
      </c>
      <c r="AC362" s="36" t="s">
        <v>2339</v>
      </c>
      <c r="AD362" s="7">
        <f>$AB362</f>
        <v>0.7</v>
      </c>
      <c r="AE362" s="36" t="s">
        <v>1864</v>
      </c>
      <c r="AF362" s="8">
        <f>$AH358</f>
        <v>0.9</v>
      </c>
      <c r="AG362" s="36" t="s">
        <v>251</v>
      </c>
      <c r="AH362" s="7">
        <f>$AF362</f>
        <v>0.9</v>
      </c>
      <c r="AI362" s="36" t="s">
        <v>1125</v>
      </c>
      <c r="AJ362" s="8">
        <f>$AL358</f>
        <v>0.77</v>
      </c>
      <c r="AK362" s="36" t="s">
        <v>1216</v>
      </c>
      <c r="AL362" s="7">
        <f>$AJ362</f>
        <v>0.77</v>
      </c>
      <c r="AM362" s="36" t="s">
        <v>982</v>
      </c>
      <c r="AN362" s="8">
        <f>$AD360</f>
        <v>0.75</v>
      </c>
      <c r="AO362" s="36" t="s">
        <v>1877</v>
      </c>
      <c r="AP362" s="7">
        <f>$AN362</f>
        <v>0.75</v>
      </c>
      <c r="AQ362" s="36" t="s">
        <v>2030</v>
      </c>
      <c r="AR362" s="8">
        <f>$AH360</f>
        <v>18</v>
      </c>
      <c r="AS362" s="36" t="s">
        <v>1558</v>
      </c>
      <c r="AT362" s="7">
        <f>$AR362</f>
        <v>18</v>
      </c>
      <c r="AU362" s="36" t="s">
        <v>461</v>
      </c>
      <c r="AV362" s="8">
        <f>ROUND((3600*$AD362*$AH362*$AL362*$AP362)/$AT362,2)</f>
        <v>72.77</v>
      </c>
      <c r="AW362" s="36" t="s">
        <v>1686</v>
      </c>
      <c r="AX362" s="7">
        <f>$AV362</f>
        <v>72.77</v>
      </c>
      <c r="AY362" s="36" t="s">
        <v>43</v>
      </c>
      <c r="AZ362" s="8">
        <f>ROUND(ROUND((3600*$AD362*$AH362*$AL362*$AP362)/$AT362,2),2)</f>
        <v>72.77</v>
      </c>
      <c r="BA362" s="36" t="s">
        <v>776</v>
      </c>
      <c r="BB362" s="7">
        <f>$AZ362</f>
        <v>72.77</v>
      </c>
    </row>
    <row r="363" spans="1:54" ht="18.399999999999999" customHeight="1" x14ac:dyDescent="0.15">
      <c r="A363" s="38" t="s">
        <v>2450</v>
      </c>
      <c r="B363" s="32"/>
      <c r="C363" s="32"/>
      <c r="D363" s="32"/>
      <c r="E363" s="32"/>
      <c r="F363" s="43"/>
      <c r="K363" s="3" t="s">
        <v>1738</v>
      </c>
      <c r="AA363" s="36" t="s">
        <v>430</v>
      </c>
      <c r="AB363" s="6">
        <v>1</v>
      </c>
      <c r="AC363" s="36" t="s">
        <v>430</v>
      </c>
      <c r="AD363" s="7">
        <f>$AB363</f>
        <v>1</v>
      </c>
    </row>
    <row r="364" spans="1:54" ht="18.399999999999999" customHeight="1" x14ac:dyDescent="0.15">
      <c r="A364" s="40" t="str">
        <f>CONCATENATE("     재 료 비 :  _x001D_22,501_x001D_ / ",TEXT($AB364,"#,##0.00")," * ",TEXT($AF364,"#,##0.00")," =",TEXT($AJ364,"#,##0.00"))</f>
        <v xml:space="preserve">     재 료 비 :  _x001D_22,501_x001D_ / 72.77 * 1.00 =309.00</v>
      </c>
      <c r="B364" s="32">
        <f>SUM($C364,$D364,$E364)</f>
        <v>309</v>
      </c>
      <c r="C364" s="32">
        <f>$AJ364</f>
        <v>309</v>
      </c>
      <c r="D364" s="32"/>
      <c r="E364" s="32"/>
      <c r="F364" s="43" t="s">
        <v>2450</v>
      </c>
      <c r="K364" s="3" t="s">
        <v>1178</v>
      </c>
      <c r="AA364" s="36" t="s">
        <v>1511</v>
      </c>
      <c r="AB364" s="8">
        <f>$AX362</f>
        <v>72.77</v>
      </c>
      <c r="AC364" s="36" t="s">
        <v>1111</v>
      </c>
      <c r="AD364" s="7">
        <f>$AB364</f>
        <v>72.77</v>
      </c>
      <c r="AE364" s="36" t="s">
        <v>791</v>
      </c>
      <c r="AF364" s="8">
        <f>$AD363</f>
        <v>1</v>
      </c>
      <c r="AG364" s="36" t="s">
        <v>1498</v>
      </c>
      <c r="AH364" s="7">
        <f>$AF364</f>
        <v>1</v>
      </c>
      <c r="AI364" s="37" t="s">
        <v>1805</v>
      </c>
      <c r="AJ364" s="8">
        <f>TRUNC(중기사용료목록!E5/$AD364*$AH364,0)</f>
        <v>309</v>
      </c>
      <c r="AK364" s="37" t="s">
        <v>2029</v>
      </c>
      <c r="AL364" s="7">
        <f>$AJ364</f>
        <v>309</v>
      </c>
    </row>
    <row r="365" spans="1:54" ht="18.399999999999999" customHeight="1" x14ac:dyDescent="0.15">
      <c r="A365" s="38" t="s">
        <v>2450</v>
      </c>
      <c r="B365" s="32"/>
      <c r="C365" s="32"/>
      <c r="D365" s="32"/>
      <c r="E365" s="32"/>
      <c r="F365" s="43"/>
      <c r="K365" s="3" t="s">
        <v>2450</v>
      </c>
    </row>
    <row r="366" spans="1:54" ht="18.399999999999999" customHeight="1" x14ac:dyDescent="0.15">
      <c r="A366" s="40" t="str">
        <f>CONCATENATE("     노 무 비 :  _x001D_59,020_x001D_ / ",TEXT($AB366,"#,##0.00")," * ",TEXT($AF366,"#,##0.00")," =",TEXT($AJ366,"#,##0.00"))</f>
        <v xml:space="preserve">     노 무 비 :  _x001D_59,020_x001D_ / 72.77 * 1.00 =811.00</v>
      </c>
      <c r="B366" s="32">
        <f>SUM($C366,$D366,$E366)</f>
        <v>811</v>
      </c>
      <c r="C366" s="32"/>
      <c r="D366" s="32">
        <f>$AJ366</f>
        <v>811</v>
      </c>
      <c r="E366" s="32"/>
      <c r="F366" s="43" t="s">
        <v>2450</v>
      </c>
      <c r="K366" s="3" t="s">
        <v>2332</v>
      </c>
      <c r="AA366" s="36" t="s">
        <v>233</v>
      </c>
      <c r="AB366" s="8">
        <f>$AX362</f>
        <v>72.77</v>
      </c>
      <c r="AC366" s="36" t="s">
        <v>133</v>
      </c>
      <c r="AD366" s="7">
        <f>$AB366</f>
        <v>72.77</v>
      </c>
      <c r="AE366" s="36" t="s">
        <v>1900</v>
      </c>
      <c r="AF366" s="8">
        <f>$AD363</f>
        <v>1</v>
      </c>
      <c r="AG366" s="36" t="s">
        <v>2150</v>
      </c>
      <c r="AH366" s="7">
        <f>$AF366</f>
        <v>1</v>
      </c>
      <c r="AI366" s="37" t="s">
        <v>265</v>
      </c>
      <c r="AJ366" s="8">
        <f>TRUNC(중기사용료목록!F5/$AD366*$AH366,0)</f>
        <v>811</v>
      </c>
      <c r="AK366" s="37" t="s">
        <v>972</v>
      </c>
      <c r="AL366" s="7">
        <f>$AJ366</f>
        <v>811</v>
      </c>
    </row>
    <row r="367" spans="1:54" ht="18.399999999999999" customHeight="1" x14ac:dyDescent="0.15">
      <c r="A367" s="38" t="s">
        <v>2450</v>
      </c>
      <c r="B367" s="32"/>
      <c r="C367" s="32"/>
      <c r="D367" s="32"/>
      <c r="E367" s="32"/>
      <c r="F367" s="43"/>
      <c r="K367" s="3" t="s">
        <v>2450</v>
      </c>
    </row>
    <row r="368" spans="1:54" ht="18.399999999999999" customHeight="1" x14ac:dyDescent="0.15">
      <c r="A368" s="40" t="str">
        <f>CONCATENATE("     경    비 :  _x001D_24,554_x001D_ / ",TEXT($AB368,"#,##0.00")," * ",TEXT($AF368,"#,##0.00")," =",TEXT($AJ368,"#,##0.00"))</f>
        <v xml:space="preserve">     경    비 :  _x001D_24,554_x001D_ / 72.77 * 1.00 =337.00</v>
      </c>
      <c r="B368" s="32">
        <f>SUM($C368,$D368,$E368)</f>
        <v>337</v>
      </c>
      <c r="C368" s="32"/>
      <c r="D368" s="32"/>
      <c r="E368" s="32">
        <f>$AJ368</f>
        <v>337</v>
      </c>
      <c r="F368" s="43" t="s">
        <v>2450</v>
      </c>
      <c r="K368" s="3" t="s">
        <v>404</v>
      </c>
      <c r="AA368" s="36" t="s">
        <v>1301</v>
      </c>
      <c r="AB368" s="8">
        <f>$AX362</f>
        <v>72.77</v>
      </c>
      <c r="AC368" s="36" t="s">
        <v>597</v>
      </c>
      <c r="AD368" s="7">
        <f>$AB368</f>
        <v>72.77</v>
      </c>
      <c r="AE368" s="36" t="s">
        <v>896</v>
      </c>
      <c r="AF368" s="8">
        <f>$AD363</f>
        <v>1</v>
      </c>
      <c r="AG368" s="36" t="s">
        <v>2004</v>
      </c>
      <c r="AH368" s="7">
        <f>$AF368</f>
        <v>1</v>
      </c>
      <c r="AI368" s="37" t="s">
        <v>815</v>
      </c>
      <c r="AJ368" s="8">
        <f>TRUNC(중기사용료목록!G5/$AD368*$AH368,0)</f>
        <v>337</v>
      </c>
      <c r="AK368" s="37" t="s">
        <v>1302</v>
      </c>
      <c r="AL368" s="7">
        <f>$AJ368</f>
        <v>337</v>
      </c>
    </row>
    <row r="369" spans="1:46" ht="18.399999999999999" customHeight="1" x14ac:dyDescent="0.15">
      <c r="A369" s="38" t="s">
        <v>2450</v>
      </c>
      <c r="B369" s="32"/>
      <c r="C369" s="32"/>
      <c r="D369" s="32"/>
      <c r="E369" s="32"/>
      <c r="F369" s="43"/>
      <c r="K369" s="3" t="s">
        <v>2450</v>
      </c>
    </row>
    <row r="370" spans="1:46" ht="18.399999999999999" customHeight="1" x14ac:dyDescent="0.15">
      <c r="A370" s="38" t="s">
        <v>2345</v>
      </c>
      <c r="B370" s="34">
        <f>SUM($C370,$D370,$E370)</f>
        <v>1457</v>
      </c>
      <c r="C370" s="34">
        <f>$AB370</f>
        <v>309</v>
      </c>
      <c r="D370" s="34">
        <f>$AD370</f>
        <v>811</v>
      </c>
      <c r="E370" s="34">
        <f>$AF370</f>
        <v>337</v>
      </c>
      <c r="F370" s="45"/>
      <c r="K370" s="3" t="s">
        <v>726</v>
      </c>
      <c r="AA370" s="36" t="s">
        <v>989</v>
      </c>
      <c r="AB370" s="7">
        <f>$AL364</f>
        <v>309</v>
      </c>
      <c r="AC370" s="36" t="s">
        <v>2036</v>
      </c>
      <c r="AD370" s="7">
        <f>$AL366</f>
        <v>811</v>
      </c>
      <c r="AE370" s="36" t="s">
        <v>585</v>
      </c>
      <c r="AF370" s="7">
        <f>$AL368</f>
        <v>337</v>
      </c>
    </row>
    <row r="371" spans="1:46" ht="18.399999999999999" customHeight="1" x14ac:dyDescent="0.15">
      <c r="A371" s="38" t="s">
        <v>2450</v>
      </c>
      <c r="B371" s="32"/>
      <c r="C371" s="32"/>
      <c r="D371" s="32"/>
      <c r="E371" s="32"/>
      <c r="F371" s="43"/>
      <c r="K371" s="3" t="s">
        <v>2450</v>
      </c>
    </row>
    <row r="372" spans="1:46" ht="18.399999999999999" customHeight="1" x14ac:dyDescent="0.15">
      <c r="A372" s="38" t="s">
        <v>368</v>
      </c>
      <c r="B372" s="32"/>
      <c r="C372" s="32"/>
      <c r="D372" s="32"/>
      <c r="E372" s="32"/>
      <c r="F372" s="43"/>
      <c r="K372" s="3" t="s">
        <v>368</v>
      </c>
    </row>
    <row r="373" spans="1:46" ht="18.399999999999999" customHeight="1" x14ac:dyDescent="0.15">
      <c r="A373" s="38" t="s">
        <v>2450</v>
      </c>
      <c r="B373" s="32"/>
      <c r="C373" s="32"/>
      <c r="D373" s="32"/>
      <c r="E373" s="32"/>
      <c r="F373" s="43"/>
      <c r="K373" s="3" t="s">
        <v>2450</v>
      </c>
    </row>
    <row r="374" spans="1:46" ht="18.399999999999999" customHeight="1" x14ac:dyDescent="0.15">
      <c r="A374" s="38" t="s">
        <v>208</v>
      </c>
      <c r="B374" s="32"/>
      <c r="C374" s="32"/>
      <c r="D374" s="32"/>
      <c r="E374" s="32"/>
      <c r="F374" s="43"/>
      <c r="K374" s="3" t="s">
        <v>208</v>
      </c>
    </row>
    <row r="375" spans="1:46" ht="18.399999999999999" customHeight="1" x14ac:dyDescent="0.15">
      <c r="A375" s="38" t="s">
        <v>2450</v>
      </c>
      <c r="B375" s="32"/>
      <c r="C375" s="32"/>
      <c r="D375" s="32"/>
      <c r="E375" s="32"/>
      <c r="F375" s="43"/>
      <c r="K375" s="3" t="s">
        <v>2450</v>
      </c>
    </row>
    <row r="376" spans="1:46" ht="18.399999999999999" customHeight="1" x14ac:dyDescent="0.15">
      <c r="A376" s="40" t="str">
        <f>CONCATENATE("             L=",TEXT($AB376,"#,##0.00")," KM")</f>
        <v xml:space="preserve">             L=0.50 KM</v>
      </c>
      <c r="B376" s="32"/>
      <c r="C376" s="32"/>
      <c r="D376" s="32"/>
      <c r="E376" s="32"/>
      <c r="F376" s="43"/>
      <c r="K376" s="10" t="str">
        <f>SUBSTITUTE(SUBSTITUTE("             L=0.50_x001D_KM_x001D_","0.50",TEXT($AB376,"#,##0.00"),1),"_x001D_","'")</f>
        <v xml:space="preserve">             L=0.50'KM'</v>
      </c>
      <c r="AA376" s="36" t="s">
        <v>2295</v>
      </c>
      <c r="AB376" s="6">
        <v>0.5</v>
      </c>
      <c r="AC376" s="36" t="s">
        <v>2295</v>
      </c>
      <c r="AD376" s="7">
        <f>$AB376</f>
        <v>0.5</v>
      </c>
    </row>
    <row r="377" spans="1:46" ht="18.399999999999999" customHeight="1" x14ac:dyDescent="0.15">
      <c r="A377" s="38" t="s">
        <v>766</v>
      </c>
      <c r="B377" s="32"/>
      <c r="C377" s="32"/>
      <c r="D377" s="32"/>
      <c r="E377" s="32"/>
      <c r="F377" s="43"/>
      <c r="K377" s="3" t="s">
        <v>766</v>
      </c>
    </row>
    <row r="378" spans="1:46" ht="18.399999999999999" customHeight="1" x14ac:dyDescent="0.15">
      <c r="A378" s="38" t="s">
        <v>557</v>
      </c>
      <c r="B378" s="32"/>
      <c r="C378" s="32"/>
      <c r="D378" s="32"/>
      <c r="E378" s="32"/>
      <c r="F378" s="43"/>
      <c r="K378" s="3" t="s">
        <v>14</v>
      </c>
    </row>
    <row r="379" spans="1:46" ht="18.399999999999999" customHeight="1" x14ac:dyDescent="0.15">
      <c r="A379" s="38" t="s">
        <v>2450</v>
      </c>
      <c r="B379" s="32"/>
      <c r="C379" s="32"/>
      <c r="D379" s="32"/>
      <c r="E379" s="32"/>
      <c r="F379" s="43"/>
      <c r="K379" s="3" t="s">
        <v>2450</v>
      </c>
    </row>
    <row r="380" spans="1:46" ht="18.399999999999999" customHeight="1" x14ac:dyDescent="0.15">
      <c r="A380" s="40" t="str">
        <f>CONCATENATE("   E=",TEXT($AB380,"#,##0.0")," , F = 1 / 1.3 = ",TEXT($AJ380,"#,##0.00"),", q1 = 24.0 / 1.6 * 1.3 = ",TEXT($AR380,"#,##0.00"))</f>
        <v xml:space="preserve">   E=0.9 , F = 1 / 1.3 = 0.77, q1 = 24.0 / 1.6 * 1.3 = 19.50</v>
      </c>
      <c r="B380" s="32">
        <f>SUM($C380,$D380,$E380)</f>
        <v>0</v>
      </c>
      <c r="C380" s="32"/>
      <c r="D380" s="32"/>
      <c r="E380" s="32"/>
      <c r="F380" s="43"/>
      <c r="K380" s="10" t="str">
        <f>SUBSTITUTE(SUBSTITUTE("   E = 0.9 , F = 1 / 1.3 = ?, q1 = 24.0 / 1.6 * 1.3 = ?","0.9",TEXT($AB380,"#,##0.0"),1),"_x001D_","'")</f>
        <v xml:space="preserve">   E = 0.9 , F = 1 / 1.3 = ?, q1 = 24.0 / 1.6 * 1.3 = ?</v>
      </c>
      <c r="AA380" s="36" t="s">
        <v>1179</v>
      </c>
      <c r="AB380" s="6">
        <v>0.9</v>
      </c>
      <c r="AC380" s="36" t="s">
        <v>1179</v>
      </c>
      <c r="AD380" s="7">
        <f>$AB380</f>
        <v>0.9</v>
      </c>
      <c r="AE380" s="36" t="s">
        <v>1551</v>
      </c>
      <c r="AF380" s="8">
        <f>ROUND(1/1.3,2)</f>
        <v>0.77</v>
      </c>
      <c r="AG380" s="36" t="s">
        <v>1406</v>
      </c>
      <c r="AH380" s="7">
        <f>$AF380</f>
        <v>0.77</v>
      </c>
      <c r="AI380" s="36" t="s">
        <v>1779</v>
      </c>
      <c r="AJ380" s="8">
        <f>ROUND(ROUND(1/1.3,2),2)</f>
        <v>0.77</v>
      </c>
      <c r="AK380" s="36" t="s">
        <v>1710</v>
      </c>
      <c r="AL380" s="7">
        <f>$AJ380</f>
        <v>0.77</v>
      </c>
      <c r="AM380" s="36" t="s">
        <v>1378</v>
      </c>
      <c r="AN380" s="8">
        <f>ROUND(24/1.6*1.3,2)</f>
        <v>19.5</v>
      </c>
      <c r="AO380" s="36" t="s">
        <v>1921</v>
      </c>
      <c r="AP380" s="7">
        <f>$AN380</f>
        <v>19.5</v>
      </c>
      <c r="AQ380" s="36" t="s">
        <v>77</v>
      </c>
      <c r="AR380" s="8">
        <f>ROUND(ROUND(24/1.6*1.3,2),2)</f>
        <v>19.5</v>
      </c>
      <c r="AS380" s="36" t="s">
        <v>154</v>
      </c>
      <c r="AT380" s="7">
        <f>$AR380</f>
        <v>19.5</v>
      </c>
    </row>
    <row r="381" spans="1:46" ht="18.399999999999999" customHeight="1" x14ac:dyDescent="0.15">
      <c r="A381" s="38" t="s">
        <v>2450</v>
      </c>
      <c r="B381" s="32"/>
      <c r="C381" s="32"/>
      <c r="D381" s="32"/>
      <c r="E381" s="32"/>
      <c r="F381" s="43"/>
      <c r="K381" s="3" t="s">
        <v>2450</v>
      </c>
    </row>
    <row r="382" spans="1:46" ht="18.399999999999999" customHeight="1" x14ac:dyDescent="0.15">
      <c r="A382" s="40" t="str">
        <f>CONCATENATE("   N  = ",TEXT($AB382,"#,##0.00")," / (0.7 * ",TEXT($AF382,"#,##0.00"),") = ",TEXT($AN382,"#,##0.00"))</f>
        <v xml:space="preserve">   N  = 19.50 / (0.7 * 0.90) = 30.95</v>
      </c>
      <c r="B382" s="32">
        <f>SUM($C382,$D382,$E382)</f>
        <v>0</v>
      </c>
      <c r="C382" s="32"/>
      <c r="D382" s="32"/>
      <c r="E382" s="32"/>
      <c r="F382" s="43"/>
      <c r="K382" s="3" t="s">
        <v>1434</v>
      </c>
      <c r="AA382" s="36" t="s">
        <v>1596</v>
      </c>
      <c r="AB382" s="8">
        <f>$AP380</f>
        <v>19.5</v>
      </c>
      <c r="AC382" s="36" t="s">
        <v>998</v>
      </c>
      <c r="AD382" s="7">
        <f>$AB382</f>
        <v>19.5</v>
      </c>
      <c r="AE382" s="36" t="s">
        <v>1159</v>
      </c>
      <c r="AF382" s="8">
        <f>$AH358</f>
        <v>0.9</v>
      </c>
      <c r="AG382" s="36" t="s">
        <v>1282</v>
      </c>
      <c r="AH382" s="7">
        <f>$AF382</f>
        <v>0.9</v>
      </c>
      <c r="AI382" s="36" t="s">
        <v>971</v>
      </c>
      <c r="AJ382" s="8">
        <f>ROUND($AD382/(0.7*$AH382),2)</f>
        <v>30.95</v>
      </c>
      <c r="AK382" s="36" t="s">
        <v>1181</v>
      </c>
      <c r="AL382" s="7">
        <f>$AJ382</f>
        <v>30.95</v>
      </c>
      <c r="AM382" s="36" t="s">
        <v>1893</v>
      </c>
      <c r="AN382" s="8">
        <f>ROUND(ROUND($AD382/(0.7*$AH382),2),2)</f>
        <v>30.95</v>
      </c>
      <c r="AO382" s="36" t="s">
        <v>2272</v>
      </c>
      <c r="AP382" s="7">
        <f>$AN382</f>
        <v>30.95</v>
      </c>
    </row>
    <row r="383" spans="1:46" ht="18.399999999999999" customHeight="1" x14ac:dyDescent="0.15">
      <c r="A383" s="38" t="s">
        <v>2450</v>
      </c>
      <c r="B383" s="32"/>
      <c r="C383" s="32"/>
      <c r="D383" s="32"/>
      <c r="E383" s="32"/>
      <c r="F383" s="43"/>
      <c r="K383" s="3" t="s">
        <v>2450</v>
      </c>
    </row>
    <row r="384" spans="1:46" ht="18.399999999999999" customHeight="1" x14ac:dyDescent="0.15">
      <c r="A384" s="40" t="str">
        <f>CONCATENATE("   t1 = (",TEXT($AB384,"#,##0.00")," * ",TEXT($AF384,"#,##0.00"),") / (60 * ",TEXT($AJ384,"#,##0.00"),") = ",TEXT($AR384,"#,##0.00")," MIN ")</f>
        <v xml:space="preserve">   t1 = (18.00 * 30.95) / (60 * 0.75) = 12.38 MIN </v>
      </c>
      <c r="B384" s="32">
        <f>SUM($C384,$D384,$E384)</f>
        <v>0</v>
      </c>
      <c r="C384" s="32"/>
      <c r="D384" s="32"/>
      <c r="E384" s="32"/>
      <c r="F384" s="43"/>
      <c r="K384" s="3" t="s">
        <v>2286</v>
      </c>
      <c r="AA384" s="36" t="s">
        <v>436</v>
      </c>
      <c r="AB384" s="8">
        <f>$AH360</f>
        <v>18</v>
      </c>
      <c r="AC384" s="36" t="s">
        <v>2159</v>
      </c>
      <c r="AD384" s="7">
        <f>$AB384</f>
        <v>18</v>
      </c>
      <c r="AE384" s="36" t="s">
        <v>2429</v>
      </c>
      <c r="AF384" s="8">
        <f>$AL382</f>
        <v>30.95</v>
      </c>
      <c r="AG384" s="36" t="s">
        <v>144</v>
      </c>
      <c r="AH384" s="7">
        <f>$AF384</f>
        <v>30.95</v>
      </c>
      <c r="AI384" s="36" t="s">
        <v>780</v>
      </c>
      <c r="AJ384" s="8">
        <f>$AD360</f>
        <v>0.75</v>
      </c>
      <c r="AK384" s="36" t="s">
        <v>1040</v>
      </c>
      <c r="AL384" s="7">
        <f>$AJ384</f>
        <v>0.75</v>
      </c>
      <c r="AM384" s="36" t="s">
        <v>331</v>
      </c>
      <c r="AN384" s="8">
        <f>ROUND(($AD384*$AH384)/(60*$AL384),2)</f>
        <v>12.38</v>
      </c>
      <c r="AO384" s="36" t="s">
        <v>1767</v>
      </c>
      <c r="AP384" s="7">
        <f>$AN384</f>
        <v>12.38</v>
      </c>
      <c r="AQ384" s="36" t="s">
        <v>921</v>
      </c>
      <c r="AR384" s="8">
        <f>ROUND(ROUND(($AD384*$AH384)/(60*$AL384),2),2)</f>
        <v>12.38</v>
      </c>
      <c r="AS384" s="36" t="s">
        <v>2011</v>
      </c>
      <c r="AT384" s="7">
        <f>$AR384</f>
        <v>12.38</v>
      </c>
    </row>
    <row r="385" spans="1:54" ht="18.399999999999999" customHeight="1" x14ac:dyDescent="0.15">
      <c r="A385" s="38" t="s">
        <v>2450</v>
      </c>
      <c r="B385" s="32"/>
      <c r="C385" s="32"/>
      <c r="D385" s="32"/>
      <c r="E385" s="32"/>
      <c r="F385" s="43"/>
      <c r="K385" s="3" t="s">
        <v>2450</v>
      </c>
    </row>
    <row r="386" spans="1:54" ht="18.399999999999999" customHeight="1" x14ac:dyDescent="0.15">
      <c r="A386" s="40" t="str">
        <f>CONCATENATE("   t2 = (",TEXT($AB386,"#,##0.00"),"/15+ ",TEXT($AF386,"#,##0.00"),"/20) * 60 = ",TEXT($AN386,"#,##0.00")," min ")</f>
        <v xml:space="preserve">   t2 = (0.50/15+ 0.50/20) * 60 = 3.50 min </v>
      </c>
      <c r="B386" s="32">
        <f>SUM($C386,$D386,$E386)</f>
        <v>0</v>
      </c>
      <c r="C386" s="32"/>
      <c r="D386" s="32"/>
      <c r="E386" s="32"/>
      <c r="F386" s="43"/>
      <c r="K386" s="3" t="s">
        <v>1362</v>
      </c>
      <c r="AA386" s="36" t="s">
        <v>1629</v>
      </c>
      <c r="AB386" s="8">
        <f>$AD376</f>
        <v>0.5</v>
      </c>
      <c r="AC386" s="36" t="s">
        <v>1484</v>
      </c>
      <c r="AD386" s="7">
        <f>$AB386</f>
        <v>0.5</v>
      </c>
      <c r="AE386" s="36" t="s">
        <v>1192</v>
      </c>
      <c r="AF386" s="8">
        <f>$AD376</f>
        <v>0.5</v>
      </c>
      <c r="AG386" s="36" t="s">
        <v>1100</v>
      </c>
      <c r="AH386" s="7">
        <f>$AF386</f>
        <v>0.5</v>
      </c>
      <c r="AI386" s="36" t="s">
        <v>2319</v>
      </c>
      <c r="AJ386" s="8">
        <f>ROUND(($AD386/15+$AH386/20)*60,2)</f>
        <v>3.5</v>
      </c>
      <c r="AK386" s="36" t="s">
        <v>849</v>
      </c>
      <c r="AL386" s="7">
        <f>$AJ386</f>
        <v>3.5</v>
      </c>
      <c r="AM386" s="36" t="s">
        <v>1920</v>
      </c>
      <c r="AN386" s="8">
        <f>ROUND(ROUND(($AD386/15+$AH386/20)*60,2),2)</f>
        <v>3.5</v>
      </c>
      <c r="AO386" s="36" t="s">
        <v>220</v>
      </c>
      <c r="AP386" s="7">
        <f>$AN386</f>
        <v>3.5</v>
      </c>
    </row>
    <row r="387" spans="1:54" ht="18.399999999999999" customHeight="1" x14ac:dyDescent="0.15">
      <c r="A387" s="38" t="s">
        <v>2450</v>
      </c>
      <c r="B387" s="32"/>
      <c r="C387" s="32"/>
      <c r="D387" s="32"/>
      <c r="E387" s="32"/>
      <c r="F387" s="43"/>
      <c r="K387" s="3" t="s">
        <v>2450</v>
      </c>
    </row>
    <row r="388" spans="1:54" ht="18.399999999999999" customHeight="1" x14ac:dyDescent="0.15">
      <c r="A388" s="40" t="str">
        <f>CONCATENATE("   t3=",TEXT($AB388,"#,##0.0"),", t4=",TEXT($AF388,"#,##0.00"),", t5=",TEXT($AJ388,"#,##0.00"))</f>
        <v xml:space="preserve">   t3=0.8, t4=0.42, t5=0.50</v>
      </c>
      <c r="B388" s="32"/>
      <c r="C388" s="32"/>
      <c r="D388" s="32"/>
      <c r="E388" s="32"/>
      <c r="F388" s="43"/>
      <c r="K388" s="10" t="str">
        <f>SUBSTITUTE(SUBSTITUTE(SUBSTITUTE(SUBSTITUTE("   t3 = 0.8, t4 = 0.42, t5 = 0.50","0.8",TEXT($AB388,"#,##0.0"),1),"0.42",TEXT($AF388,"#,##0.00"),1),"0.50",TEXT($AJ388,"#,##0.00"),1),"_x001D_","'")</f>
        <v xml:space="preserve">   t3 = 0.8, t4 = 0.42, t5 = 0.50</v>
      </c>
      <c r="AA388" s="36" t="s">
        <v>466</v>
      </c>
      <c r="AB388" s="6">
        <v>0.8</v>
      </c>
      <c r="AC388" s="36" t="s">
        <v>466</v>
      </c>
      <c r="AD388" s="7">
        <f>$AB388</f>
        <v>0.8</v>
      </c>
      <c r="AE388" s="36" t="s">
        <v>1293</v>
      </c>
      <c r="AF388" s="6">
        <v>0.42</v>
      </c>
      <c r="AG388" s="36" t="s">
        <v>1293</v>
      </c>
      <c r="AH388" s="7">
        <f>$AF388</f>
        <v>0.42</v>
      </c>
      <c r="AI388" s="36" t="s">
        <v>2261</v>
      </c>
      <c r="AJ388" s="6">
        <v>0.5</v>
      </c>
      <c r="AK388" s="36" t="s">
        <v>2261</v>
      </c>
      <c r="AL388" s="7">
        <f>$AJ388</f>
        <v>0.5</v>
      </c>
    </row>
    <row r="389" spans="1:54" ht="18.399999999999999" customHeight="1" x14ac:dyDescent="0.15">
      <c r="A389" s="38" t="s">
        <v>2450</v>
      </c>
      <c r="B389" s="32"/>
      <c r="C389" s="32"/>
      <c r="D389" s="32"/>
      <c r="E389" s="32"/>
      <c r="F389" s="43"/>
      <c r="K389" s="3" t="s">
        <v>2450</v>
      </c>
    </row>
    <row r="390" spans="1:54" ht="18.399999999999999" customHeight="1" x14ac:dyDescent="0.15">
      <c r="A390" s="40" t="str">
        <f>CONCATENATE("   cm = ",TEXT($AB390,"#,##0.00"),"+",TEXT($AF390,"#,##0.00"),"+",TEXT($AJ390,"#,##0.00"),"+",TEXT($AN390,"#,##0.00"),"+",TEXT($AR390,"#,##0.00"),"= ",TEXT($AZ390,"#,##0.00"))</f>
        <v xml:space="preserve">   cm = 12.38+3.50+0.80+0.42+0.50= 17.60</v>
      </c>
      <c r="B390" s="32">
        <f>SUM($C390,$D390,$E390)</f>
        <v>0</v>
      </c>
      <c r="C390" s="32"/>
      <c r="D390" s="32"/>
      <c r="E390" s="32"/>
      <c r="F390" s="43"/>
      <c r="K390" s="3" t="s">
        <v>842</v>
      </c>
      <c r="AA390" s="36" t="s">
        <v>302</v>
      </c>
      <c r="AB390" s="8">
        <f>$AP384</f>
        <v>12.38</v>
      </c>
      <c r="AC390" s="36" t="s">
        <v>871</v>
      </c>
      <c r="AD390" s="7">
        <f>$AB390</f>
        <v>12.38</v>
      </c>
      <c r="AE390" s="36" t="s">
        <v>1977</v>
      </c>
      <c r="AF390" s="8">
        <f>$AL386</f>
        <v>3.5</v>
      </c>
      <c r="AG390" s="36" t="s">
        <v>1719</v>
      </c>
      <c r="AH390" s="7">
        <f>$AF390</f>
        <v>3.5</v>
      </c>
      <c r="AI390" s="36" t="s">
        <v>1215</v>
      </c>
      <c r="AJ390" s="8">
        <f>$AD388</f>
        <v>0.8</v>
      </c>
      <c r="AK390" s="36" t="s">
        <v>2012</v>
      </c>
      <c r="AL390" s="7">
        <f>$AJ390</f>
        <v>0.8</v>
      </c>
      <c r="AM390" s="36" t="s">
        <v>1072</v>
      </c>
      <c r="AN390" s="8">
        <f>$AH388</f>
        <v>0.42</v>
      </c>
      <c r="AO390" s="36" t="s">
        <v>1039</v>
      </c>
      <c r="AP390" s="7">
        <f>$AN390</f>
        <v>0.42</v>
      </c>
      <c r="AQ390" s="36" t="s">
        <v>2145</v>
      </c>
      <c r="AR390" s="8">
        <f>$AL388</f>
        <v>0.5</v>
      </c>
      <c r="AS390" s="36" t="s">
        <v>145</v>
      </c>
      <c r="AT390" s="7">
        <f>$AR390</f>
        <v>0.5</v>
      </c>
      <c r="AU390" s="36" t="s">
        <v>1972</v>
      </c>
      <c r="AV390" s="8">
        <f>ROUND($AD390+$AH390+$AL390+$AP390+$AT390,2)</f>
        <v>17.600000000000001</v>
      </c>
      <c r="AW390" s="36" t="s">
        <v>120</v>
      </c>
      <c r="AX390" s="7">
        <f>$AV390</f>
        <v>17.600000000000001</v>
      </c>
      <c r="AY390" s="36" t="s">
        <v>149</v>
      </c>
      <c r="AZ390" s="8">
        <f>ROUND(ROUND($AD390+$AH390+$AL390+$AP390+$AT390,2),2)</f>
        <v>17.600000000000001</v>
      </c>
      <c r="BA390" s="36" t="s">
        <v>2160</v>
      </c>
      <c r="BB390" s="7">
        <f>$AZ390</f>
        <v>17.600000000000001</v>
      </c>
    </row>
    <row r="391" spans="1:54" ht="18.399999999999999" customHeight="1" x14ac:dyDescent="0.15">
      <c r="A391" s="38" t="s">
        <v>2450</v>
      </c>
      <c r="B391" s="32"/>
      <c r="C391" s="32"/>
      <c r="D391" s="32"/>
      <c r="E391" s="32"/>
      <c r="F391" s="43"/>
      <c r="K391" s="3" t="s">
        <v>2450</v>
      </c>
    </row>
    <row r="392" spans="1:54" ht="18.399999999999999" customHeight="1" x14ac:dyDescent="0.15">
      <c r="A392" s="40" t="str">
        <f>CONCATENATE("   Q  = (60 * ",TEXT($AB392,"#,##0.00")," * ",TEXT($AF392,"#,##0.00")," * ",TEXT($AJ392,"#,##0.00"),") / ",TEXT($AN392,"#,##0.00")," = ",TEXT($AV392,"#,##0.00")," M3/HR ")</f>
        <v xml:space="preserve">   Q  = (60 * 19.50 * 0.77 * 0.90) / 17.60 = 46.07 M3/HR </v>
      </c>
      <c r="B392" s="32">
        <f>SUM($C392,$D392,$E392)</f>
        <v>0</v>
      </c>
      <c r="C392" s="32"/>
      <c r="D392" s="32"/>
      <c r="E392" s="32"/>
      <c r="F392" s="43"/>
      <c r="K392" s="3" t="s">
        <v>58</v>
      </c>
      <c r="AA392" s="36" t="s">
        <v>1462</v>
      </c>
      <c r="AB392" s="8">
        <f>$AP380</f>
        <v>19.5</v>
      </c>
      <c r="AC392" s="36" t="s">
        <v>364</v>
      </c>
      <c r="AD392" s="7">
        <f>$AB392</f>
        <v>19.5</v>
      </c>
      <c r="AE392" s="36" t="s">
        <v>736</v>
      </c>
      <c r="AF392" s="8">
        <f>$AH380</f>
        <v>0.77</v>
      </c>
      <c r="AG392" s="36" t="s">
        <v>1924</v>
      </c>
      <c r="AH392" s="7">
        <f>$AF392</f>
        <v>0.77</v>
      </c>
      <c r="AI392" s="36" t="s">
        <v>2397</v>
      </c>
      <c r="AJ392" s="8">
        <f>$AD380</f>
        <v>0.9</v>
      </c>
      <c r="AK392" s="36" t="s">
        <v>1644</v>
      </c>
      <c r="AL392" s="7">
        <f>$AJ392</f>
        <v>0.9</v>
      </c>
      <c r="AM392" s="36" t="s">
        <v>2237</v>
      </c>
      <c r="AN392" s="8">
        <f>$AX390</f>
        <v>17.600000000000001</v>
      </c>
      <c r="AO392" s="36" t="s">
        <v>219</v>
      </c>
      <c r="AP392" s="7">
        <f>$AN392</f>
        <v>17.600000000000001</v>
      </c>
      <c r="AQ392" s="36" t="s">
        <v>461</v>
      </c>
      <c r="AR392" s="8">
        <f>ROUND((60*$AD392*$AH392*$AL392)/$AP392,2)</f>
        <v>46.07</v>
      </c>
      <c r="AS392" s="36" t="s">
        <v>1686</v>
      </c>
      <c r="AT392" s="7">
        <f>$AR392</f>
        <v>46.07</v>
      </c>
      <c r="AU392" s="36" t="s">
        <v>886</v>
      </c>
      <c r="AV392" s="8">
        <f>ROUND(ROUND((60*$AD392*$AH392*$AL392)/$AP392,2),2)</f>
        <v>46.07</v>
      </c>
      <c r="AW392" s="36" t="s">
        <v>1101</v>
      </c>
      <c r="AX392" s="7">
        <f>$AV392</f>
        <v>46.07</v>
      </c>
    </row>
    <row r="393" spans="1:54" ht="18.399999999999999" customHeight="1" x14ac:dyDescent="0.15">
      <c r="A393" s="38" t="s">
        <v>2450</v>
      </c>
      <c r="B393" s="32"/>
      <c r="C393" s="32"/>
      <c r="D393" s="32"/>
      <c r="E393" s="32"/>
      <c r="F393" s="43"/>
      <c r="K393" s="3" t="s">
        <v>2450</v>
      </c>
    </row>
    <row r="394" spans="1:54" ht="18.399999999999999" customHeight="1" x14ac:dyDescent="0.15">
      <c r="A394" s="40" t="str">
        <f>CONCATENATE("    재 료 비 :  _x001D_50,466_x001D_ / ",TEXT($AB394,"#,##0.00")," * ((",TEXT($AF394,"#,##0.00"),"-",TEXT($AJ394,"#,##0.00"),")/",TEXT($AN394,"#,##0.00"),") = ",TEXT($AR394,"#,##0.00"))</f>
        <v xml:space="preserve">    재 료 비 :  _x001D_50,466_x001D_ / 46.07 * ((17.60-12.38)/17.60) = 324.00</v>
      </c>
      <c r="B394" s="32">
        <f>SUM($C394,$D394,$E394)</f>
        <v>324</v>
      </c>
      <c r="C394" s="32">
        <f>$AR394</f>
        <v>324</v>
      </c>
      <c r="D394" s="32"/>
      <c r="E394" s="32"/>
      <c r="F394" s="43" t="s">
        <v>2450</v>
      </c>
      <c r="K394" s="3" t="s">
        <v>2013</v>
      </c>
      <c r="AA394" s="36" t="s">
        <v>179</v>
      </c>
      <c r="AB394" s="8">
        <f>$AT392</f>
        <v>46.07</v>
      </c>
      <c r="AC394" s="36" t="s">
        <v>1548</v>
      </c>
      <c r="AD394" s="7">
        <f>$AB394</f>
        <v>46.07</v>
      </c>
      <c r="AE394" s="36" t="s">
        <v>1859</v>
      </c>
      <c r="AF394" s="8">
        <f>$AX390</f>
        <v>17.600000000000001</v>
      </c>
      <c r="AG394" s="36" t="s">
        <v>770</v>
      </c>
      <c r="AH394" s="7">
        <f>$AF394</f>
        <v>17.600000000000001</v>
      </c>
      <c r="AI394" s="36" t="s">
        <v>1110</v>
      </c>
      <c r="AJ394" s="8">
        <f>$AP384</f>
        <v>12.38</v>
      </c>
      <c r="AK394" s="36" t="s">
        <v>396</v>
      </c>
      <c r="AL394" s="7">
        <f>$AJ394</f>
        <v>12.38</v>
      </c>
      <c r="AM394" s="36" t="s">
        <v>969</v>
      </c>
      <c r="AN394" s="8">
        <f>$AX390</f>
        <v>17.600000000000001</v>
      </c>
      <c r="AO394" s="36" t="s">
        <v>1370</v>
      </c>
      <c r="AP394" s="7">
        <f>$AN394</f>
        <v>17.600000000000001</v>
      </c>
      <c r="AQ394" s="37" t="s">
        <v>1805</v>
      </c>
      <c r="AR394" s="8">
        <f>TRUNC(중기사용료목록!E11/$AD394*(($AH394-$AL394)/$AP394),0)</f>
        <v>324</v>
      </c>
      <c r="AS394" s="37" t="s">
        <v>2029</v>
      </c>
      <c r="AT394" s="7">
        <f>$AL364+$AR394</f>
        <v>633</v>
      </c>
    </row>
    <row r="395" spans="1:54" ht="18.399999999999999" customHeight="1" x14ac:dyDescent="0.15">
      <c r="A395" s="38" t="s">
        <v>2450</v>
      </c>
      <c r="B395" s="32"/>
      <c r="C395" s="32"/>
      <c r="D395" s="32"/>
      <c r="E395" s="32"/>
      <c r="F395" s="43"/>
      <c r="K395" s="3" t="s">
        <v>2450</v>
      </c>
    </row>
    <row r="396" spans="1:54" ht="18.399999999999999" customHeight="1" x14ac:dyDescent="0.15">
      <c r="A396" s="40" t="str">
        <f>CONCATENATE("    노 무 비 :  _x001D_59,020_x001D_ / ",TEXT($AB396,"#,##0.00")," = ",TEXT($AF396,"#,##0.00"))</f>
        <v xml:space="preserve">    노 무 비 :  _x001D_59,020_x001D_ / 46.07 = 1,281.00</v>
      </c>
      <c r="B396" s="32">
        <f>SUM($C396,$D396,$E396)</f>
        <v>1281</v>
      </c>
      <c r="C396" s="32"/>
      <c r="D396" s="32">
        <f>$AF396</f>
        <v>1281</v>
      </c>
      <c r="E396" s="32"/>
      <c r="F396" s="43" t="s">
        <v>2450</v>
      </c>
      <c r="K396" s="3" t="s">
        <v>1418</v>
      </c>
      <c r="AA396" s="36" t="s">
        <v>1427</v>
      </c>
      <c r="AB396" s="8">
        <f>$AT392</f>
        <v>46.07</v>
      </c>
      <c r="AC396" s="36" t="s">
        <v>2132</v>
      </c>
      <c r="AD396" s="7">
        <f>$AB396</f>
        <v>46.07</v>
      </c>
      <c r="AE396" s="37" t="s">
        <v>265</v>
      </c>
      <c r="AF396" s="8">
        <f>TRUNC(중기사용료목록!F11/$AD396,0)</f>
        <v>1281</v>
      </c>
      <c r="AG396" s="37" t="s">
        <v>972</v>
      </c>
      <c r="AH396" s="7">
        <f>$AL366+$AF396</f>
        <v>2092</v>
      </c>
    </row>
    <row r="397" spans="1:54" ht="18.399999999999999" customHeight="1" x14ac:dyDescent="0.15">
      <c r="A397" s="38" t="s">
        <v>2450</v>
      </c>
      <c r="B397" s="32"/>
      <c r="C397" s="32"/>
      <c r="D397" s="32"/>
      <c r="E397" s="32"/>
      <c r="F397" s="43"/>
      <c r="K397" s="3" t="s">
        <v>2450</v>
      </c>
    </row>
    <row r="398" spans="1:54" ht="18.399999999999999" customHeight="1" x14ac:dyDescent="0.15">
      <c r="A398" s="40" t="str">
        <f>CONCATENATE("    경    비 :  _x001D_32,950_x001D_ / ",TEXT($AB398,"#,##0.00")," = ",TEXT($AF398,"#,##0.00"))</f>
        <v xml:space="preserve">    경    비 :  _x001D_32,950_x001D_ / 46.07 = 715.00</v>
      </c>
      <c r="B398" s="32">
        <f>SUM($C398,$D398,$E398)</f>
        <v>715</v>
      </c>
      <c r="C398" s="32"/>
      <c r="D398" s="32"/>
      <c r="E398" s="32">
        <f>$AF398</f>
        <v>715</v>
      </c>
      <c r="F398" s="43" t="s">
        <v>2450</v>
      </c>
      <c r="K398" s="3" t="s">
        <v>2252</v>
      </c>
      <c r="AA398" s="36" t="s">
        <v>72</v>
      </c>
      <c r="AB398" s="8">
        <f>$AT392</f>
        <v>46.07</v>
      </c>
      <c r="AC398" s="36" t="s">
        <v>2273</v>
      </c>
      <c r="AD398" s="7">
        <f>$AB398</f>
        <v>46.07</v>
      </c>
      <c r="AE398" s="37" t="s">
        <v>815</v>
      </c>
      <c r="AF398" s="8">
        <f>TRUNC(중기사용료목록!G11/$AD398,0)</f>
        <v>715</v>
      </c>
      <c r="AG398" s="37" t="s">
        <v>1302</v>
      </c>
      <c r="AH398" s="7">
        <f>$AL368+$AF398</f>
        <v>1052</v>
      </c>
    </row>
    <row r="399" spans="1:54" ht="18.399999999999999" customHeight="1" x14ac:dyDescent="0.15">
      <c r="A399" s="38" t="s">
        <v>2450</v>
      </c>
      <c r="B399" s="32"/>
      <c r="C399" s="32"/>
      <c r="D399" s="32"/>
      <c r="E399" s="32"/>
      <c r="F399" s="43"/>
      <c r="K399" s="3" t="s">
        <v>2450</v>
      </c>
    </row>
    <row r="400" spans="1:54" ht="18.399999999999999" customHeight="1" x14ac:dyDescent="0.15">
      <c r="A400" s="38" t="s">
        <v>328</v>
      </c>
      <c r="B400" s="33">
        <f>SUM($C400,$D400,$E400)</f>
        <v>2320</v>
      </c>
      <c r="C400" s="33">
        <f>$AB400</f>
        <v>324</v>
      </c>
      <c r="D400" s="33">
        <f>$AD400</f>
        <v>1281</v>
      </c>
      <c r="E400" s="33">
        <f>$AF400</f>
        <v>715</v>
      </c>
      <c r="F400" s="44"/>
      <c r="K400" s="3" t="s">
        <v>1519</v>
      </c>
      <c r="AA400" s="36" t="s">
        <v>1729</v>
      </c>
      <c r="AB400" s="7">
        <f>$AT394-$AL364</f>
        <v>324</v>
      </c>
      <c r="AC400" s="36" t="s">
        <v>71</v>
      </c>
      <c r="AD400" s="7">
        <f>$AH396-$AL366</f>
        <v>1281</v>
      </c>
      <c r="AE400" s="36" t="s">
        <v>2236</v>
      </c>
      <c r="AF400" s="7">
        <f>$AH398-$AL368</f>
        <v>715</v>
      </c>
    </row>
    <row r="401" spans="1:34" ht="18.399999999999999" customHeight="1" x14ac:dyDescent="0.15">
      <c r="A401" s="38" t="s">
        <v>2450</v>
      </c>
      <c r="B401" s="32"/>
      <c r="C401" s="32"/>
      <c r="D401" s="32"/>
      <c r="E401" s="32"/>
      <c r="F401" s="43"/>
      <c r="K401" s="3" t="s">
        <v>2450</v>
      </c>
    </row>
    <row r="402" spans="1:34" ht="18.399999999999999" customHeight="1" x14ac:dyDescent="0.15">
      <c r="A402" s="38" t="s">
        <v>812</v>
      </c>
      <c r="B402" s="32"/>
      <c r="C402" s="32"/>
      <c r="D402" s="32"/>
      <c r="E402" s="32"/>
      <c r="F402" s="43"/>
      <c r="K402" s="3" t="s">
        <v>812</v>
      </c>
    </row>
    <row r="403" spans="1:34" ht="18.399999999999999" customHeight="1" x14ac:dyDescent="0.15">
      <c r="A403" s="38" t="s">
        <v>2450</v>
      </c>
      <c r="B403" s="32"/>
      <c r="C403" s="32"/>
      <c r="D403" s="32"/>
      <c r="E403" s="32"/>
      <c r="F403" s="43"/>
      <c r="K403" s="3" t="s">
        <v>2450</v>
      </c>
    </row>
    <row r="404" spans="1:34" ht="18.399999999999999" customHeight="1" x14ac:dyDescent="0.15">
      <c r="A404" s="40" t="str">
        <f>CONCATENATE("    자동덮개 :  _x001D_508_x001D_ / ",TEXT($AB404,"#,##0.00")," =",TEXT($AF404,"#,##0.00"))</f>
        <v xml:space="preserve">    자동덮개 :  _x001D_508_x001D_ / 46.07 =11.00</v>
      </c>
      <c r="B404" s="32">
        <f>SUM($C404,$D404,$E404)</f>
        <v>11</v>
      </c>
      <c r="C404" s="32"/>
      <c r="D404" s="32"/>
      <c r="E404" s="32">
        <f>$AF404</f>
        <v>11</v>
      </c>
      <c r="F404" s="43" t="s">
        <v>2450</v>
      </c>
      <c r="K404" s="3" t="s">
        <v>2218</v>
      </c>
      <c r="AA404" s="36" t="s">
        <v>897</v>
      </c>
      <c r="AB404" s="8">
        <f>$AT392</f>
        <v>46.07</v>
      </c>
      <c r="AC404" s="36" t="s">
        <v>1221</v>
      </c>
      <c r="AD404" s="7">
        <f>$AB404</f>
        <v>46.07</v>
      </c>
      <c r="AE404" s="37" t="s">
        <v>815</v>
      </c>
      <c r="AF404" s="8">
        <f>TRUNC(중기사용료목록!G12/$AD404,0)</f>
        <v>11</v>
      </c>
      <c r="AG404" s="37" t="s">
        <v>1302</v>
      </c>
      <c r="AH404" s="7">
        <f>$AH398+$AF404</f>
        <v>1063</v>
      </c>
    </row>
    <row r="405" spans="1:34" ht="18.399999999999999" customHeight="1" x14ac:dyDescent="0.15">
      <c r="A405" s="38" t="s">
        <v>2450</v>
      </c>
      <c r="B405" s="32"/>
      <c r="C405" s="32"/>
      <c r="D405" s="32"/>
      <c r="E405" s="32"/>
      <c r="F405" s="43"/>
      <c r="K405" s="3" t="s">
        <v>2450</v>
      </c>
    </row>
    <row r="406" spans="1:34" ht="18.399999999999999" customHeight="1" x14ac:dyDescent="0.15">
      <c r="A406" s="38" t="s">
        <v>328</v>
      </c>
      <c r="B406" s="33">
        <f>SUM($C406,$D406,$E406)</f>
        <v>11</v>
      </c>
      <c r="C406" s="33">
        <f>$AB406</f>
        <v>0</v>
      </c>
      <c r="D406" s="33">
        <f>$AD406</f>
        <v>0</v>
      </c>
      <c r="E406" s="33">
        <f>$AF406</f>
        <v>11</v>
      </c>
      <c r="F406" s="44"/>
      <c r="K406" s="3" t="s">
        <v>1519</v>
      </c>
      <c r="AA406" s="36" t="s">
        <v>1729</v>
      </c>
      <c r="AB406" s="7">
        <f>$AT394-$AT394</f>
        <v>0</v>
      </c>
      <c r="AC406" s="36" t="s">
        <v>71</v>
      </c>
      <c r="AD406" s="7">
        <f>$AH396-$AH396</f>
        <v>0</v>
      </c>
      <c r="AE406" s="36" t="s">
        <v>2236</v>
      </c>
      <c r="AF406" s="7">
        <f>$AH404-$AH398</f>
        <v>11</v>
      </c>
    </row>
    <row r="407" spans="1:34" ht="18.399999999999999" customHeight="1" x14ac:dyDescent="0.15">
      <c r="A407" s="38" t="s">
        <v>2450</v>
      </c>
      <c r="B407" s="32"/>
      <c r="C407" s="32"/>
      <c r="D407" s="32"/>
      <c r="E407" s="32"/>
      <c r="F407" s="43"/>
      <c r="K407" s="3" t="s">
        <v>2450</v>
      </c>
    </row>
    <row r="408" spans="1:34" ht="18.399999999999999" customHeight="1" x14ac:dyDescent="0.15">
      <c r="A408" s="38" t="s">
        <v>2345</v>
      </c>
      <c r="B408" s="34">
        <f>SUM($C408,$D408,$E408)</f>
        <v>2331</v>
      </c>
      <c r="C408" s="34">
        <f>$AB408</f>
        <v>324</v>
      </c>
      <c r="D408" s="34">
        <f>$AD408</f>
        <v>1281</v>
      </c>
      <c r="E408" s="34">
        <f>$AF408</f>
        <v>726</v>
      </c>
      <c r="F408" s="45"/>
      <c r="K408" s="3" t="s">
        <v>726</v>
      </c>
      <c r="AA408" s="36" t="s">
        <v>989</v>
      </c>
      <c r="AB408" s="7">
        <f>$AT394-$AL364</f>
        <v>324</v>
      </c>
      <c r="AC408" s="36" t="s">
        <v>2036</v>
      </c>
      <c r="AD408" s="7">
        <f>$AH396-$AL366</f>
        <v>1281</v>
      </c>
      <c r="AE408" s="36" t="s">
        <v>585</v>
      </c>
      <c r="AF408" s="7">
        <f>$AH404-$AL368</f>
        <v>726</v>
      </c>
    </row>
    <row r="409" spans="1:34" ht="18.399999999999999" customHeight="1" x14ac:dyDescent="0.15">
      <c r="A409" s="38" t="s">
        <v>2450</v>
      </c>
      <c r="B409" s="32"/>
      <c r="C409" s="32"/>
      <c r="D409" s="32"/>
      <c r="E409" s="32"/>
      <c r="F409" s="43"/>
      <c r="K409" s="3" t="s">
        <v>2450</v>
      </c>
    </row>
    <row r="410" spans="1:34" ht="18.399999999999999" customHeight="1" x14ac:dyDescent="0.15">
      <c r="A410" s="38" t="s">
        <v>1865</v>
      </c>
      <c r="B410" s="35">
        <f>SUM($C410,$D410,$E410)</f>
        <v>3788</v>
      </c>
      <c r="C410" s="35">
        <f>$AB410</f>
        <v>633</v>
      </c>
      <c r="D410" s="35">
        <f>$AD410</f>
        <v>2092</v>
      </c>
      <c r="E410" s="35">
        <f>$AF410</f>
        <v>1063</v>
      </c>
      <c r="F410" s="46"/>
      <c r="K410" s="3" t="s">
        <v>411</v>
      </c>
      <c r="AA410" s="36" t="s">
        <v>615</v>
      </c>
      <c r="AB410" s="7">
        <f>$AT394</f>
        <v>633</v>
      </c>
      <c r="AC410" s="36" t="s">
        <v>1332</v>
      </c>
      <c r="AD410" s="7">
        <f>$AH396</f>
        <v>2092</v>
      </c>
      <c r="AE410" s="36" t="s">
        <v>963</v>
      </c>
      <c r="AF410" s="7">
        <f>$AH404</f>
        <v>1063</v>
      </c>
    </row>
    <row r="411" spans="1:34" ht="18.399999999999999" customHeight="1" x14ac:dyDescent="0.15">
      <c r="A411" s="38"/>
      <c r="B411" s="3"/>
      <c r="C411" s="3"/>
      <c r="D411" s="3"/>
      <c r="E411" s="3"/>
      <c r="F411" s="42"/>
    </row>
    <row r="412" spans="1:34" ht="18.399999999999999" customHeight="1" x14ac:dyDescent="0.15">
      <c r="A412" s="41" t="s">
        <v>1388</v>
      </c>
      <c r="B412" s="35">
        <f>SUM($C412,$D412,$E412)</f>
        <v>3788</v>
      </c>
      <c r="C412" s="35">
        <f>TRUNC(SUM($AT394),0)</f>
        <v>633</v>
      </c>
      <c r="D412" s="35">
        <f>TRUNC(SUM($AH396),0)</f>
        <v>2092</v>
      </c>
      <c r="E412" s="35">
        <f>TRUNC(SUM($AH404),0)</f>
        <v>1063</v>
      </c>
      <c r="F412" s="47"/>
    </row>
    <row r="413" spans="1:34" ht="18.399999999999999" customHeight="1" x14ac:dyDescent="0.15">
      <c r="A413" s="38"/>
      <c r="B413" s="3"/>
      <c r="C413" s="3"/>
      <c r="D413" s="3"/>
      <c r="E413" s="3"/>
      <c r="F413" s="42"/>
    </row>
    <row r="414" spans="1:34" ht="18.399999999999999" customHeight="1" x14ac:dyDescent="0.15">
      <c r="A414" s="38" t="s">
        <v>1371</v>
      </c>
      <c r="B414" s="32">
        <f>$B447</f>
        <v>24000</v>
      </c>
      <c r="C414" s="32">
        <f>$C447</f>
        <v>1834</v>
      </c>
      <c r="D414" s="32">
        <f>$D447</f>
        <v>19555</v>
      </c>
      <c r="E414" s="32">
        <f>$E447</f>
        <v>2611</v>
      </c>
      <c r="F414" s="42" t="s">
        <v>2450</v>
      </c>
      <c r="G414" t="s">
        <v>2450</v>
      </c>
      <c r="H414" t="s">
        <v>114</v>
      </c>
      <c r="K414">
        <v>1</v>
      </c>
      <c r="Y414" s="7" t="b">
        <f>EXACT($Z414,$B447)</f>
        <v>1</v>
      </c>
      <c r="Z414" s="35">
        <v>24000</v>
      </c>
    </row>
    <row r="415" spans="1:34" ht="18.399999999999999" customHeight="1" x14ac:dyDescent="0.15">
      <c r="A415" s="39"/>
      <c r="B415" s="3"/>
      <c r="C415" s="3"/>
      <c r="D415" s="3"/>
      <c r="E415" s="3"/>
      <c r="F415" s="42"/>
    </row>
    <row r="416" spans="1:34" ht="18.399999999999999" customHeight="1" x14ac:dyDescent="0.15">
      <c r="A416" s="38" t="s">
        <v>2450</v>
      </c>
      <c r="B416" s="3"/>
      <c r="C416" s="3"/>
      <c r="D416" s="3"/>
      <c r="E416" s="3"/>
      <c r="F416" s="42"/>
      <c r="G416" t="s">
        <v>2450</v>
      </c>
      <c r="I416" t="s">
        <v>289</v>
      </c>
      <c r="J416" t="s">
        <v>2450</v>
      </c>
      <c r="K416" t="s">
        <v>2053</v>
      </c>
    </row>
    <row r="417" spans="1:34" ht="18.399999999999999" customHeight="1" x14ac:dyDescent="0.15">
      <c r="A417" s="38" t="s">
        <v>930</v>
      </c>
      <c r="B417" s="32"/>
      <c r="C417" s="32"/>
      <c r="D417" s="32"/>
      <c r="E417" s="32"/>
      <c r="F417" s="43"/>
      <c r="K417" s="3" t="s">
        <v>930</v>
      </c>
    </row>
    <row r="418" spans="1:34" ht="18.399999999999999" customHeight="1" x14ac:dyDescent="0.15">
      <c r="A418" s="38" t="s">
        <v>2450</v>
      </c>
      <c r="B418" s="32"/>
      <c r="C418" s="32"/>
      <c r="D418" s="32"/>
      <c r="E418" s="32"/>
      <c r="F418" s="43"/>
      <c r="K418" s="3" t="s">
        <v>2450</v>
      </c>
    </row>
    <row r="419" spans="1:34" ht="18.399999999999999" customHeight="1" x14ac:dyDescent="0.15">
      <c r="A419" s="38" t="s">
        <v>1185</v>
      </c>
      <c r="B419" s="32"/>
      <c r="C419" s="32"/>
      <c r="D419" s="32"/>
      <c r="E419" s="32"/>
      <c r="F419" s="43"/>
      <c r="K419" s="3" t="s">
        <v>1185</v>
      </c>
    </row>
    <row r="420" spans="1:34" ht="18.399999999999999" customHeight="1" x14ac:dyDescent="0.15">
      <c r="A420" s="38" t="s">
        <v>2450</v>
      </c>
      <c r="B420" s="32"/>
      <c r="C420" s="32"/>
      <c r="D420" s="32"/>
      <c r="E420" s="32"/>
      <c r="F420" s="43"/>
      <c r="K420" s="3" t="s">
        <v>2450</v>
      </c>
    </row>
    <row r="421" spans="1:34" ht="18.399999999999999" customHeight="1" x14ac:dyDescent="0.15">
      <c r="A421" s="38" t="s">
        <v>2381</v>
      </c>
      <c r="B421" s="32"/>
      <c r="C421" s="32"/>
      <c r="D421" s="32"/>
      <c r="E421" s="32"/>
      <c r="F421" s="43"/>
      <c r="K421" s="3" t="s">
        <v>2381</v>
      </c>
    </row>
    <row r="422" spans="1:34" ht="18.399999999999999" customHeight="1" x14ac:dyDescent="0.15">
      <c r="A422" s="38" t="s">
        <v>2450</v>
      </c>
      <c r="B422" s="32"/>
      <c r="C422" s="32"/>
      <c r="D422" s="32"/>
      <c r="E422" s="32"/>
      <c r="F422" s="43"/>
      <c r="K422" s="3" t="s">
        <v>2450</v>
      </c>
    </row>
    <row r="423" spans="1:34" ht="18.399999999999999" customHeight="1" x14ac:dyDescent="0.15">
      <c r="A423" s="40" t="str">
        <f>CONCATENATE("   배 관 공 : (0.19 인 /6.0 m ) * _x001D_262,580_x001D_ =",TEXT($AB423,"#,##0.00"))</f>
        <v xml:space="preserve">   배 관 공 : (0.19 인 /6.0 m ) * _x001D_262,580_x001D_ =8,315.00</v>
      </c>
      <c r="B423" s="32">
        <f>SUM($C423,$D423,$E423)</f>
        <v>8315</v>
      </c>
      <c r="C423" s="32"/>
      <c r="D423" s="32">
        <f>$AB423</f>
        <v>8315</v>
      </c>
      <c r="E423" s="32"/>
      <c r="F423" s="43" t="s">
        <v>2450</v>
      </c>
      <c r="K423" s="3" t="s">
        <v>2008</v>
      </c>
      <c r="AA423" s="37" t="s">
        <v>265</v>
      </c>
      <c r="AB423" s="8">
        <f>TRUNC((0.19/6)*노임!D11,0)</f>
        <v>8315</v>
      </c>
      <c r="AC423" s="37" t="s">
        <v>972</v>
      </c>
      <c r="AD423" s="7">
        <f>$AB423</f>
        <v>8315</v>
      </c>
    </row>
    <row r="424" spans="1:34" ht="18.399999999999999" customHeight="1" x14ac:dyDescent="0.15">
      <c r="A424" s="38" t="s">
        <v>2450</v>
      </c>
      <c r="B424" s="32"/>
      <c r="C424" s="32"/>
      <c r="D424" s="32"/>
      <c r="E424" s="32"/>
      <c r="F424" s="43"/>
      <c r="K424" s="3" t="s">
        <v>2450</v>
      </c>
    </row>
    <row r="425" spans="1:34" ht="18.399999999999999" customHeight="1" x14ac:dyDescent="0.15">
      <c r="A425" s="40" t="str">
        <f>CONCATENATE("   보통인부 : (0.23 인 /6.0 m ) * _x001D_172,068_x001D_ =",TEXT($AB425,"#,##0.00"))</f>
        <v xml:space="preserve">   보통인부 : (0.23 인 /6.0 m ) * _x001D_172,068_x001D_ =6,595.00</v>
      </c>
      <c r="B425" s="32">
        <f>SUM($C425,$D425,$E425)</f>
        <v>6595</v>
      </c>
      <c r="C425" s="32"/>
      <c r="D425" s="32">
        <f>$AB425</f>
        <v>6595</v>
      </c>
      <c r="E425" s="32"/>
      <c r="F425" s="43" t="s">
        <v>2450</v>
      </c>
      <c r="K425" s="3" t="s">
        <v>2311</v>
      </c>
      <c r="AA425" s="37" t="s">
        <v>265</v>
      </c>
      <c r="AB425" s="8">
        <f>TRUNC((0.23/6)*노임!D10,0)</f>
        <v>6595</v>
      </c>
      <c r="AC425" s="37" t="s">
        <v>972</v>
      </c>
      <c r="AD425" s="7">
        <f>$AD423+$AB425</f>
        <v>14910</v>
      </c>
    </row>
    <row r="426" spans="1:34" ht="18.399999999999999" customHeight="1" x14ac:dyDescent="0.15">
      <c r="A426" s="38" t="s">
        <v>2450</v>
      </c>
      <c r="B426" s="32"/>
      <c r="C426" s="32"/>
      <c r="D426" s="32"/>
      <c r="E426" s="32"/>
      <c r="F426" s="43"/>
      <c r="K426" s="3" t="s">
        <v>2450</v>
      </c>
    </row>
    <row r="427" spans="1:34" ht="18.399999999999999" customHeight="1" x14ac:dyDescent="0.15">
      <c r="A427" s="38" t="s">
        <v>104</v>
      </c>
      <c r="B427" s="33">
        <f>SUM($C427,$D427,$E427)</f>
        <v>14910</v>
      </c>
      <c r="C427" s="33">
        <f>$AB427</f>
        <v>0</v>
      </c>
      <c r="D427" s="33">
        <f>$AD427</f>
        <v>14910</v>
      </c>
      <c r="E427" s="33">
        <f>$AF427</f>
        <v>0</v>
      </c>
      <c r="F427" s="44"/>
      <c r="K427" s="3" t="s">
        <v>1671</v>
      </c>
      <c r="AC427" s="36" t="s">
        <v>71</v>
      </c>
      <c r="AD427" s="7">
        <f>$AD425</f>
        <v>14910</v>
      </c>
    </row>
    <row r="428" spans="1:34" ht="18.399999999999999" customHeight="1" x14ac:dyDescent="0.15">
      <c r="A428" s="38" t="s">
        <v>2450</v>
      </c>
      <c r="B428" s="32"/>
      <c r="C428" s="32"/>
      <c r="D428" s="32"/>
      <c r="E428" s="32"/>
      <c r="F428" s="43"/>
      <c r="K428" s="3" t="s">
        <v>2450</v>
      </c>
    </row>
    <row r="429" spans="1:34" ht="18.399999999999999" customHeight="1" x14ac:dyDescent="0.15">
      <c r="A429" s="38" t="s">
        <v>1788</v>
      </c>
      <c r="B429" s="32"/>
      <c r="C429" s="32"/>
      <c r="D429" s="32"/>
      <c r="E429" s="32"/>
      <c r="F429" s="43"/>
      <c r="K429" s="3" t="s">
        <v>1788</v>
      </c>
    </row>
    <row r="430" spans="1:34" ht="18.399999999999999" customHeight="1" x14ac:dyDescent="0.15">
      <c r="A430" s="38" t="s">
        <v>2450</v>
      </c>
      <c r="B430" s="32"/>
      <c r="C430" s="32"/>
      <c r="D430" s="32"/>
      <c r="E430" s="32"/>
      <c r="F430" s="43"/>
      <c r="K430" s="3" t="s">
        <v>1032</v>
      </c>
      <c r="AA430" s="36" t="s">
        <v>292</v>
      </c>
      <c r="AB430" s="6">
        <v>0.56000000000000005</v>
      </c>
      <c r="AC430" s="36" t="s">
        <v>292</v>
      </c>
      <c r="AD430" s="7">
        <f>$AB430</f>
        <v>0.56000000000000005</v>
      </c>
    </row>
    <row r="431" spans="1:34" ht="18.399999999999999" customHeight="1" x14ac:dyDescent="0.15">
      <c r="A431" s="40" t="str">
        <f>CONCATENATE("    재 료 비 :  ",TEXT($AB431,"#,##0.00")," HR /6.0 m * _x001D_19,652_x001D_ =",TEXT($AF431,"#,##0.00"))</f>
        <v xml:space="preserve">    재 료 비 :  0.56 HR /6.0 m * _x001D_19,652_x001D_ =1,834.00</v>
      </c>
      <c r="B431" s="32">
        <f>SUM($C431,$D431,$E431)</f>
        <v>1834</v>
      </c>
      <c r="C431" s="32">
        <f>$AF431</f>
        <v>1834</v>
      </c>
      <c r="D431" s="32"/>
      <c r="E431" s="32"/>
      <c r="F431" s="43" t="s">
        <v>2450</v>
      </c>
      <c r="K431" s="3" t="s">
        <v>738</v>
      </c>
      <c r="AA431" s="36" t="s">
        <v>216</v>
      </c>
      <c r="AB431" s="8">
        <f>$AD430</f>
        <v>0.56000000000000005</v>
      </c>
      <c r="AC431" s="36" t="s">
        <v>321</v>
      </c>
      <c r="AD431" s="7">
        <f>$AB431</f>
        <v>0.56000000000000005</v>
      </c>
      <c r="AE431" s="37" t="s">
        <v>1805</v>
      </c>
      <c r="AF431" s="8">
        <f>TRUNC($AD431/6*중기사용료목록!E20,0)</f>
        <v>1834</v>
      </c>
      <c r="AG431" s="37" t="s">
        <v>2029</v>
      </c>
      <c r="AH431" s="7">
        <f>$AF431</f>
        <v>1834</v>
      </c>
    </row>
    <row r="432" spans="1:34" ht="18.399999999999999" customHeight="1" x14ac:dyDescent="0.15">
      <c r="A432" s="38" t="s">
        <v>2450</v>
      </c>
      <c r="B432" s="32"/>
      <c r="C432" s="32"/>
      <c r="D432" s="32"/>
      <c r="E432" s="32"/>
      <c r="F432" s="43"/>
      <c r="K432" s="3" t="s">
        <v>2450</v>
      </c>
    </row>
    <row r="433" spans="1:34" ht="18.399999999999999" customHeight="1" x14ac:dyDescent="0.15">
      <c r="A433" s="40" t="str">
        <f>CONCATENATE("    노 무 비 :  ",TEXT($AB433,"#,##0.00")," HR /6.0 m * _x001D_49,778_x001D_ =",TEXT($AF433,"#,##0.00"))</f>
        <v xml:space="preserve">    노 무 비 :  0.56 HR /6.0 m * _x001D_49,778_x001D_ =4,645.00</v>
      </c>
      <c r="B433" s="32">
        <f>SUM($C433,$D433,$E433)</f>
        <v>4645</v>
      </c>
      <c r="C433" s="32"/>
      <c r="D433" s="32">
        <f>$AF433</f>
        <v>4645</v>
      </c>
      <c r="E433" s="32"/>
      <c r="F433" s="43" t="s">
        <v>2450</v>
      </c>
      <c r="K433" s="3" t="s">
        <v>2191</v>
      </c>
      <c r="AA433" s="36" t="s">
        <v>1369</v>
      </c>
      <c r="AB433" s="8">
        <f>$AD430</f>
        <v>0.56000000000000005</v>
      </c>
      <c r="AC433" s="36" t="s">
        <v>911</v>
      </c>
      <c r="AD433" s="7">
        <f>$AB433</f>
        <v>0.56000000000000005</v>
      </c>
      <c r="AE433" s="37" t="s">
        <v>265</v>
      </c>
      <c r="AF433" s="8">
        <f>TRUNC($AD433/6*중기사용료목록!F20,0)</f>
        <v>4645</v>
      </c>
      <c r="AG433" s="37" t="s">
        <v>972</v>
      </c>
      <c r="AH433" s="7">
        <f>$AD425+$AF433</f>
        <v>19555</v>
      </c>
    </row>
    <row r="434" spans="1:34" ht="18.399999999999999" customHeight="1" x14ac:dyDescent="0.15">
      <c r="A434" s="38" t="s">
        <v>2450</v>
      </c>
      <c r="B434" s="32"/>
      <c r="C434" s="32"/>
      <c r="D434" s="32"/>
      <c r="E434" s="32"/>
      <c r="F434" s="43"/>
      <c r="K434" s="3" t="s">
        <v>2450</v>
      </c>
    </row>
    <row r="435" spans="1:34" ht="18.399999999999999" customHeight="1" x14ac:dyDescent="0.15">
      <c r="A435" s="40" t="str">
        <f>CONCATENATE("    경    비 :  ",TEXT($AB435,"#,##0.00")," HR /6.0 m * _x001D_23,795_x001D_ =",TEXT($AF435,"#,##0.00"))</f>
        <v xml:space="preserve">    경    비 :  0.56 HR /6.0 m * _x001D_23,795_x001D_ =2,220.00</v>
      </c>
      <c r="B435" s="32">
        <f>SUM($C435,$D435,$E435)</f>
        <v>2220</v>
      </c>
      <c r="C435" s="32"/>
      <c r="D435" s="32"/>
      <c r="E435" s="32">
        <f>$AF435</f>
        <v>2220</v>
      </c>
      <c r="F435" s="43" t="s">
        <v>2450</v>
      </c>
      <c r="K435" s="3" t="s">
        <v>1196</v>
      </c>
      <c r="AA435" s="36" t="s">
        <v>252</v>
      </c>
      <c r="AB435" s="8">
        <f>$AD430</f>
        <v>0.56000000000000005</v>
      </c>
      <c r="AC435" s="36" t="s">
        <v>2095</v>
      </c>
      <c r="AD435" s="7">
        <f>$AB435</f>
        <v>0.56000000000000005</v>
      </c>
      <c r="AE435" s="37" t="s">
        <v>815</v>
      </c>
      <c r="AF435" s="8">
        <f>TRUNC($AD435/6*중기사용료목록!G20,0)</f>
        <v>2220</v>
      </c>
      <c r="AG435" s="37" t="s">
        <v>1302</v>
      </c>
      <c r="AH435" s="7">
        <f>$AF435</f>
        <v>2220</v>
      </c>
    </row>
    <row r="436" spans="1:34" ht="18.399999999999999" customHeight="1" x14ac:dyDescent="0.15">
      <c r="A436" s="38" t="s">
        <v>2450</v>
      </c>
      <c r="B436" s="32"/>
      <c r="C436" s="32"/>
      <c r="D436" s="32"/>
      <c r="E436" s="32"/>
      <c r="F436" s="43"/>
      <c r="K436" s="3" t="s">
        <v>2450</v>
      </c>
    </row>
    <row r="437" spans="1:34" ht="18.399999999999999" customHeight="1" x14ac:dyDescent="0.15">
      <c r="A437" s="38" t="s">
        <v>1381</v>
      </c>
      <c r="B437" s="33">
        <f>SUM($C437,$D437,$E437)</f>
        <v>8699</v>
      </c>
      <c r="C437" s="33">
        <f>$AB437</f>
        <v>1834</v>
      </c>
      <c r="D437" s="33">
        <f>$AD437</f>
        <v>4645</v>
      </c>
      <c r="E437" s="33">
        <f>$AF437</f>
        <v>2220</v>
      </c>
      <c r="F437" s="44"/>
      <c r="K437" s="3" t="s">
        <v>2310</v>
      </c>
      <c r="AA437" s="36" t="s">
        <v>1729</v>
      </c>
      <c r="AB437" s="7">
        <f>$AH431</f>
        <v>1834</v>
      </c>
      <c r="AC437" s="36" t="s">
        <v>71</v>
      </c>
      <c r="AD437" s="7">
        <f>$AH433-$AD425</f>
        <v>4645</v>
      </c>
      <c r="AE437" s="36" t="s">
        <v>2236</v>
      </c>
      <c r="AF437" s="7">
        <f>$AH435</f>
        <v>2220</v>
      </c>
    </row>
    <row r="438" spans="1:34" ht="18.399999999999999" customHeight="1" x14ac:dyDescent="0.15">
      <c r="A438" s="38" t="s">
        <v>2450</v>
      </c>
      <c r="B438" s="32"/>
      <c r="C438" s="32"/>
      <c r="D438" s="32"/>
      <c r="E438" s="32"/>
      <c r="F438" s="43"/>
      <c r="K438" s="3" t="s">
        <v>2450</v>
      </c>
    </row>
    <row r="439" spans="1:34" ht="18.399999999999999" customHeight="1" x14ac:dyDescent="0.15">
      <c r="A439" s="38" t="s">
        <v>1777</v>
      </c>
      <c r="B439" s="32"/>
      <c r="C439" s="32"/>
      <c r="D439" s="32"/>
      <c r="E439" s="32"/>
      <c r="F439" s="43"/>
      <c r="K439" s="3" t="s">
        <v>1777</v>
      </c>
    </row>
    <row r="440" spans="1:34" ht="18.399999999999999" customHeight="1" x14ac:dyDescent="0.15">
      <c r="A440" s="38" t="s">
        <v>2450</v>
      </c>
      <c r="B440" s="32"/>
      <c r="C440" s="32"/>
      <c r="D440" s="32"/>
      <c r="E440" s="32"/>
      <c r="F440" s="43"/>
      <c r="K440" s="3" t="s">
        <v>2450</v>
      </c>
    </row>
    <row r="441" spans="1:34" ht="18.399999999999999" customHeight="1" x14ac:dyDescent="0.15">
      <c r="A441" s="40" t="str">
        <f>CONCATENATE("  _x001D_19,555_x001D_ * 0.02 =",TEXT($AB441,"#,##0.00"))</f>
        <v xml:space="preserve">  _x001D_19,555_x001D_ * 0.02 =391.00</v>
      </c>
      <c r="B441" s="32">
        <f>SUM($C441,$D441,$E441)</f>
        <v>391</v>
      </c>
      <c r="C441" s="32"/>
      <c r="D441" s="32"/>
      <c r="E441" s="32">
        <f>$AB441</f>
        <v>391</v>
      </c>
      <c r="F441" s="43" t="s">
        <v>2450</v>
      </c>
      <c r="K441" s="3" t="s">
        <v>1892</v>
      </c>
      <c r="AA441" s="37" t="s">
        <v>815</v>
      </c>
      <c r="AB441" s="8">
        <f>TRUNC($AH433*0.02,0)</f>
        <v>391</v>
      </c>
      <c r="AC441" s="37" t="s">
        <v>1302</v>
      </c>
      <c r="AD441" s="7">
        <f>$AH435+$AB441</f>
        <v>2611</v>
      </c>
    </row>
    <row r="442" spans="1:34" ht="18.399999999999999" customHeight="1" x14ac:dyDescent="0.15">
      <c r="A442" s="38" t="s">
        <v>2450</v>
      </c>
      <c r="B442" s="32"/>
      <c r="C442" s="32"/>
      <c r="D442" s="32"/>
      <c r="E442" s="32"/>
      <c r="F442" s="43"/>
      <c r="K442" s="3" t="s">
        <v>2450</v>
      </c>
    </row>
    <row r="443" spans="1:34" ht="18.399999999999999" customHeight="1" x14ac:dyDescent="0.15">
      <c r="A443" s="38" t="s">
        <v>104</v>
      </c>
      <c r="B443" s="33">
        <f>SUM($C443,$D443,$E443)</f>
        <v>391</v>
      </c>
      <c r="C443" s="33">
        <f>$AB443</f>
        <v>0</v>
      </c>
      <c r="D443" s="33">
        <f>$AD443</f>
        <v>0</v>
      </c>
      <c r="E443" s="33">
        <f>$AF443</f>
        <v>391</v>
      </c>
      <c r="F443" s="44"/>
      <c r="K443" s="3" t="s">
        <v>1671</v>
      </c>
      <c r="AA443" s="36" t="s">
        <v>1729</v>
      </c>
      <c r="AB443" s="7">
        <f>$AH431-$AH431</f>
        <v>0</v>
      </c>
      <c r="AC443" s="36" t="s">
        <v>71</v>
      </c>
      <c r="AD443" s="7">
        <f>$AH433-$AH433</f>
        <v>0</v>
      </c>
      <c r="AE443" s="36" t="s">
        <v>2236</v>
      </c>
      <c r="AF443" s="7">
        <f>$AD441-$AH435</f>
        <v>391</v>
      </c>
    </row>
    <row r="444" spans="1:34" ht="18.399999999999999" customHeight="1" x14ac:dyDescent="0.15">
      <c r="A444" s="38" t="s">
        <v>2450</v>
      </c>
      <c r="B444" s="32"/>
      <c r="C444" s="32"/>
      <c r="D444" s="32"/>
      <c r="E444" s="32"/>
      <c r="F444" s="43"/>
      <c r="K444" s="3" t="s">
        <v>2450</v>
      </c>
    </row>
    <row r="445" spans="1:34" ht="18.399999999999999" customHeight="1" x14ac:dyDescent="0.15">
      <c r="A445" s="38" t="s">
        <v>2020</v>
      </c>
      <c r="B445" s="33">
        <f>SUM($C445,$D445,$E445)</f>
        <v>0</v>
      </c>
      <c r="C445" s="33">
        <f>$AB445</f>
        <v>0</v>
      </c>
      <c r="D445" s="33">
        <f>$AD445</f>
        <v>0</v>
      </c>
      <c r="E445" s="33">
        <f>$AF445</f>
        <v>0</v>
      </c>
      <c r="F445" s="44"/>
      <c r="K445" s="3" t="s">
        <v>2391</v>
      </c>
      <c r="AA445" s="36" t="s">
        <v>1729</v>
      </c>
      <c r="AB445" s="7">
        <f>$AH431-$AH431</f>
        <v>0</v>
      </c>
      <c r="AC445" s="36" t="s">
        <v>71</v>
      </c>
      <c r="AD445" s="7">
        <f>$AH433-$AH433</f>
        <v>0</v>
      </c>
      <c r="AE445" s="36" t="s">
        <v>2236</v>
      </c>
      <c r="AF445" s="7">
        <f>$AD441-$AD441</f>
        <v>0</v>
      </c>
    </row>
    <row r="446" spans="1:34" ht="18.399999999999999" customHeight="1" x14ac:dyDescent="0.15">
      <c r="A446" s="38"/>
      <c r="B446" s="3"/>
      <c r="C446" s="3"/>
      <c r="D446" s="3"/>
      <c r="E446" s="3"/>
      <c r="F446" s="42"/>
    </row>
    <row r="447" spans="1:34" ht="18.399999999999999" customHeight="1" x14ac:dyDescent="0.15">
      <c r="A447" s="41" t="s">
        <v>1388</v>
      </c>
      <c r="B447" s="35">
        <f>SUM($C447,$D447,$E447)</f>
        <v>24000</v>
      </c>
      <c r="C447" s="35">
        <f>TRUNC(SUM($AH431),0)</f>
        <v>1834</v>
      </c>
      <c r="D447" s="35">
        <f>TRUNC(SUM($AH433),0)</f>
        <v>19555</v>
      </c>
      <c r="E447" s="35">
        <f>TRUNC(SUM($AD441),0)</f>
        <v>2611</v>
      </c>
      <c r="F447" s="47"/>
    </row>
    <row r="448" spans="1:34" ht="18.399999999999999" customHeight="1" x14ac:dyDescent="0.15">
      <c r="A448" s="38"/>
      <c r="B448" s="3"/>
      <c r="C448" s="3"/>
      <c r="D448" s="3"/>
      <c r="E448" s="3"/>
      <c r="F448" s="42"/>
    </row>
    <row r="449" spans="1:30" ht="18.399999999999999" customHeight="1" x14ac:dyDescent="0.15">
      <c r="A449" s="38" t="s">
        <v>1747</v>
      </c>
      <c r="B449" s="32">
        <f>$B482</f>
        <v>88596</v>
      </c>
      <c r="C449" s="32">
        <f>$C482</f>
        <v>6092</v>
      </c>
      <c r="D449" s="32">
        <f>$D482</f>
        <v>73655</v>
      </c>
      <c r="E449" s="32">
        <f>$E482</f>
        <v>8849</v>
      </c>
      <c r="F449" s="42" t="s">
        <v>2450</v>
      </c>
      <c r="G449" t="s">
        <v>2450</v>
      </c>
      <c r="H449" t="s">
        <v>1645</v>
      </c>
      <c r="K449">
        <v>1</v>
      </c>
      <c r="Y449" s="7" t="b">
        <f>EXACT($Z449,$B482)</f>
        <v>1</v>
      </c>
      <c r="Z449" s="35">
        <v>88596</v>
      </c>
    </row>
    <row r="450" spans="1:30" ht="18.399999999999999" customHeight="1" x14ac:dyDescent="0.15">
      <c r="A450" s="39"/>
      <c r="B450" s="3"/>
      <c r="C450" s="3"/>
      <c r="D450" s="3"/>
      <c r="E450" s="3"/>
      <c r="F450" s="42"/>
    </row>
    <row r="451" spans="1:30" ht="18.399999999999999" customHeight="1" x14ac:dyDescent="0.15">
      <c r="A451" s="38" t="s">
        <v>2450</v>
      </c>
      <c r="B451" s="3"/>
      <c r="C451" s="3"/>
      <c r="D451" s="3"/>
      <c r="E451" s="3"/>
      <c r="F451" s="42"/>
      <c r="G451" t="s">
        <v>2450</v>
      </c>
      <c r="I451" t="s">
        <v>289</v>
      </c>
      <c r="J451" t="s">
        <v>2450</v>
      </c>
      <c r="K451" t="s">
        <v>2053</v>
      </c>
    </row>
    <row r="452" spans="1:30" ht="18.399999999999999" customHeight="1" x14ac:dyDescent="0.15">
      <c r="A452" s="38" t="s">
        <v>930</v>
      </c>
      <c r="B452" s="32"/>
      <c r="C452" s="32"/>
      <c r="D452" s="32"/>
      <c r="E452" s="32"/>
      <c r="F452" s="43"/>
      <c r="K452" s="3" t="s">
        <v>930</v>
      </c>
    </row>
    <row r="453" spans="1:30" ht="18.399999999999999" customHeight="1" x14ac:dyDescent="0.15">
      <c r="A453" s="38" t="s">
        <v>2450</v>
      </c>
      <c r="B453" s="32"/>
      <c r="C453" s="32"/>
      <c r="D453" s="32"/>
      <c r="E453" s="32"/>
      <c r="F453" s="43"/>
      <c r="K453" s="3" t="s">
        <v>2450</v>
      </c>
    </row>
    <row r="454" spans="1:30" ht="18.399999999999999" customHeight="1" x14ac:dyDescent="0.15">
      <c r="A454" s="38" t="s">
        <v>1185</v>
      </c>
      <c r="B454" s="32"/>
      <c r="C454" s="32"/>
      <c r="D454" s="32"/>
      <c r="E454" s="32"/>
      <c r="F454" s="43"/>
      <c r="K454" s="3" t="s">
        <v>1185</v>
      </c>
    </row>
    <row r="455" spans="1:30" ht="18.399999999999999" customHeight="1" x14ac:dyDescent="0.15">
      <c r="A455" s="38" t="s">
        <v>2450</v>
      </c>
      <c r="B455" s="32"/>
      <c r="C455" s="32"/>
      <c r="D455" s="32"/>
      <c r="E455" s="32"/>
      <c r="F455" s="43"/>
      <c r="K455" s="3" t="s">
        <v>2450</v>
      </c>
    </row>
    <row r="456" spans="1:30" ht="18.399999999999999" customHeight="1" x14ac:dyDescent="0.15">
      <c r="A456" s="38" t="s">
        <v>2381</v>
      </c>
      <c r="B456" s="32"/>
      <c r="C456" s="32"/>
      <c r="D456" s="32"/>
      <c r="E456" s="32"/>
      <c r="F456" s="43"/>
      <c r="K456" s="3" t="s">
        <v>2381</v>
      </c>
    </row>
    <row r="457" spans="1:30" ht="18.399999999999999" customHeight="1" x14ac:dyDescent="0.15">
      <c r="A457" s="38" t="s">
        <v>2450</v>
      </c>
      <c r="B457" s="32"/>
      <c r="C457" s="32"/>
      <c r="D457" s="32"/>
      <c r="E457" s="32"/>
      <c r="F457" s="43"/>
      <c r="K457" s="3" t="s">
        <v>2450</v>
      </c>
    </row>
    <row r="458" spans="1:30" ht="18.399999999999999" customHeight="1" x14ac:dyDescent="0.15">
      <c r="A458" s="40" t="str">
        <f>CONCATENATE("   배 관 공 : 0.13 인  * _x001D_262,580_x001D_ =",TEXT($AB458,"#,##0.00"))</f>
        <v xml:space="preserve">   배 관 공 : 0.13 인  * _x001D_262,580_x001D_ =34,135.00</v>
      </c>
      <c r="B458" s="32">
        <f>SUM($C458,$D458,$E458)</f>
        <v>34135</v>
      </c>
      <c r="C458" s="32"/>
      <c r="D458" s="32">
        <f>$AB458</f>
        <v>34135</v>
      </c>
      <c r="E458" s="32"/>
      <c r="F458" s="43" t="s">
        <v>2450</v>
      </c>
      <c r="K458" s="3" t="s">
        <v>337</v>
      </c>
      <c r="AA458" s="37" t="s">
        <v>265</v>
      </c>
      <c r="AB458" s="8">
        <f>TRUNC(0.13*노임!D11,0)</f>
        <v>34135</v>
      </c>
      <c r="AC458" s="37" t="s">
        <v>972</v>
      </c>
      <c r="AD458" s="7">
        <f>$AB458</f>
        <v>34135</v>
      </c>
    </row>
    <row r="459" spans="1:30" ht="18.399999999999999" customHeight="1" x14ac:dyDescent="0.15">
      <c r="A459" s="38" t="s">
        <v>2450</v>
      </c>
      <c r="B459" s="32"/>
      <c r="C459" s="32"/>
      <c r="D459" s="32"/>
      <c r="E459" s="32"/>
      <c r="F459" s="43"/>
      <c r="K459" s="3" t="s">
        <v>2450</v>
      </c>
    </row>
    <row r="460" spans="1:30" ht="18.399999999999999" customHeight="1" x14ac:dyDescent="0.15">
      <c r="A460" s="40" t="str">
        <f>CONCATENATE("   보통인부 : 0.14 인  * _x001D_172,068_x001D_ =",TEXT($AB460,"#,##0.00"))</f>
        <v xml:space="preserve">   보통인부 : 0.14 인  * _x001D_172,068_x001D_ =24,089.00</v>
      </c>
      <c r="B460" s="32">
        <f>SUM($C460,$D460,$E460)</f>
        <v>24089</v>
      </c>
      <c r="C460" s="32"/>
      <c r="D460" s="32">
        <f>$AB460</f>
        <v>24089</v>
      </c>
      <c r="E460" s="32"/>
      <c r="F460" s="43" t="s">
        <v>2450</v>
      </c>
      <c r="K460" s="3" t="s">
        <v>1155</v>
      </c>
      <c r="AA460" s="37" t="s">
        <v>265</v>
      </c>
      <c r="AB460" s="8">
        <f>TRUNC(0.14*노임!D10,0)</f>
        <v>24089</v>
      </c>
      <c r="AC460" s="37" t="s">
        <v>972</v>
      </c>
      <c r="AD460" s="7">
        <f>$AD458+$AB460</f>
        <v>58224</v>
      </c>
    </row>
    <row r="461" spans="1:30" ht="18.399999999999999" customHeight="1" x14ac:dyDescent="0.15">
      <c r="A461" s="38" t="s">
        <v>2450</v>
      </c>
      <c r="B461" s="32"/>
      <c r="C461" s="32"/>
      <c r="D461" s="32"/>
      <c r="E461" s="32"/>
      <c r="F461" s="43"/>
      <c r="K461" s="3" t="s">
        <v>2450</v>
      </c>
    </row>
    <row r="462" spans="1:30" ht="18.399999999999999" customHeight="1" x14ac:dyDescent="0.15">
      <c r="A462" s="38" t="s">
        <v>104</v>
      </c>
      <c r="B462" s="33">
        <f>SUM($C462,$D462,$E462)</f>
        <v>58224</v>
      </c>
      <c r="C462" s="33">
        <f>$AB462</f>
        <v>0</v>
      </c>
      <c r="D462" s="33">
        <f>$AD462</f>
        <v>58224</v>
      </c>
      <c r="E462" s="33">
        <f>$AF462</f>
        <v>0</v>
      </c>
      <c r="F462" s="44"/>
      <c r="K462" s="3" t="s">
        <v>1671</v>
      </c>
      <c r="AC462" s="36" t="s">
        <v>71</v>
      </c>
      <c r="AD462" s="7">
        <f>$AD460</f>
        <v>58224</v>
      </c>
    </row>
    <row r="463" spans="1:30" ht="18.399999999999999" customHeight="1" x14ac:dyDescent="0.15">
      <c r="A463" s="38" t="s">
        <v>2450</v>
      </c>
      <c r="B463" s="32"/>
      <c r="C463" s="32"/>
      <c r="D463" s="32"/>
      <c r="E463" s="32"/>
      <c r="F463" s="43"/>
      <c r="K463" s="3" t="s">
        <v>2450</v>
      </c>
    </row>
    <row r="464" spans="1:30" ht="18.399999999999999" customHeight="1" x14ac:dyDescent="0.15">
      <c r="A464" s="38" t="s">
        <v>1788</v>
      </c>
      <c r="B464" s="32"/>
      <c r="C464" s="32"/>
      <c r="D464" s="32"/>
      <c r="E464" s="32"/>
      <c r="F464" s="43"/>
      <c r="K464" s="3" t="s">
        <v>1788</v>
      </c>
    </row>
    <row r="465" spans="1:34" ht="18.399999999999999" customHeight="1" x14ac:dyDescent="0.15">
      <c r="A465" s="38" t="s">
        <v>2450</v>
      </c>
      <c r="B465" s="32"/>
      <c r="C465" s="32"/>
      <c r="D465" s="32"/>
      <c r="E465" s="32"/>
      <c r="F465" s="43"/>
      <c r="K465" s="3" t="s">
        <v>771</v>
      </c>
      <c r="AA465" s="36" t="s">
        <v>292</v>
      </c>
      <c r="AB465" s="6">
        <v>0.31</v>
      </c>
      <c r="AC465" s="36" t="s">
        <v>292</v>
      </c>
      <c r="AD465" s="7">
        <f>$AB465</f>
        <v>0.31</v>
      </c>
    </row>
    <row r="466" spans="1:34" ht="18.399999999999999" customHeight="1" x14ac:dyDescent="0.15">
      <c r="A466" s="40" t="str">
        <f>CONCATENATE("    재 료 비 :  ",TEXT($AB466,"#,##0.00")," HR * _x001D_19,652_x001D_ =",TEXT($AF466,"#,##0.00"))</f>
        <v xml:space="preserve">    재 료 비 :  0.31 HR * _x001D_19,652_x001D_ =6,092.00</v>
      </c>
      <c r="B466" s="32">
        <f>SUM($C466,$D466,$E466)</f>
        <v>6092</v>
      </c>
      <c r="C466" s="32">
        <f>$AF466</f>
        <v>6092</v>
      </c>
      <c r="D466" s="32"/>
      <c r="E466" s="32"/>
      <c r="F466" s="43" t="s">
        <v>2450</v>
      </c>
      <c r="K466" s="3" t="s">
        <v>1794</v>
      </c>
      <c r="AA466" s="36" t="s">
        <v>1483</v>
      </c>
      <c r="AB466" s="8">
        <f>$AD465</f>
        <v>0.31</v>
      </c>
      <c r="AC466" s="36" t="s">
        <v>1154</v>
      </c>
      <c r="AD466" s="7">
        <f>$AB466</f>
        <v>0.31</v>
      </c>
      <c r="AE466" s="37" t="s">
        <v>1805</v>
      </c>
      <c r="AF466" s="8">
        <f>TRUNC($AD466*중기사용료목록!E20,0)</f>
        <v>6092</v>
      </c>
      <c r="AG466" s="37" t="s">
        <v>2029</v>
      </c>
      <c r="AH466" s="7">
        <f>$AF466</f>
        <v>6092</v>
      </c>
    </row>
    <row r="467" spans="1:34" ht="18.399999999999999" customHeight="1" x14ac:dyDescent="0.15">
      <c r="A467" s="38" t="s">
        <v>2450</v>
      </c>
      <c r="B467" s="32"/>
      <c r="C467" s="32"/>
      <c r="D467" s="32"/>
      <c r="E467" s="32"/>
      <c r="F467" s="43"/>
      <c r="K467" s="3" t="s">
        <v>2450</v>
      </c>
    </row>
    <row r="468" spans="1:34" ht="18.399999999999999" customHeight="1" x14ac:dyDescent="0.15">
      <c r="A468" s="40" t="str">
        <f>CONCATENATE("    노 무 비 :  ",TEXT($AB468,"#,##0.00")," HR * _x001D_49,778_x001D_ =",TEXT($AF468,"#,##0.00"))</f>
        <v xml:space="preserve">    노 무 비 :  0.31 HR * _x001D_49,778_x001D_ =15,431.00</v>
      </c>
      <c r="B468" s="32">
        <f>SUM($C468,$D468,$E468)</f>
        <v>15431</v>
      </c>
      <c r="C468" s="32"/>
      <c r="D468" s="32">
        <f>$AF468</f>
        <v>15431</v>
      </c>
      <c r="E468" s="32"/>
      <c r="F468" s="43" t="s">
        <v>2450</v>
      </c>
      <c r="K468" s="3" t="s">
        <v>1854</v>
      </c>
      <c r="AA468" s="36" t="s">
        <v>86</v>
      </c>
      <c r="AB468" s="8">
        <f>$AD465</f>
        <v>0.31</v>
      </c>
      <c r="AC468" s="36" t="s">
        <v>682</v>
      </c>
      <c r="AD468" s="7">
        <f>$AB468</f>
        <v>0.31</v>
      </c>
      <c r="AE468" s="37" t="s">
        <v>265</v>
      </c>
      <c r="AF468" s="8">
        <f>TRUNC($AD468*중기사용료목록!F20,0)</f>
        <v>15431</v>
      </c>
      <c r="AG468" s="37" t="s">
        <v>972</v>
      </c>
      <c r="AH468" s="7">
        <f>$AD460+$AF468</f>
        <v>73655</v>
      </c>
    </row>
    <row r="469" spans="1:34" ht="18.399999999999999" customHeight="1" x14ac:dyDescent="0.15">
      <c r="A469" s="38" t="s">
        <v>2450</v>
      </c>
      <c r="B469" s="32"/>
      <c r="C469" s="32"/>
      <c r="D469" s="32"/>
      <c r="E469" s="32"/>
      <c r="F469" s="43"/>
      <c r="K469" s="3" t="s">
        <v>2450</v>
      </c>
    </row>
    <row r="470" spans="1:34" ht="18.399999999999999" customHeight="1" x14ac:dyDescent="0.15">
      <c r="A470" s="40" t="str">
        <f>CONCATENATE("    경    비 :  ",TEXT($AB470,"#,##0.00")," HR * _x001D_23,795_x001D_ =",TEXT($AF470,"#,##0.00"))</f>
        <v xml:space="preserve">    경    비 :  0.31 HR * _x001D_23,795_x001D_ =7,376.00</v>
      </c>
      <c r="B470" s="32">
        <f>SUM($C470,$D470,$E470)</f>
        <v>7376</v>
      </c>
      <c r="C470" s="32"/>
      <c r="D470" s="32"/>
      <c r="E470" s="32">
        <f>$AF470</f>
        <v>7376</v>
      </c>
      <c r="F470" s="43" t="s">
        <v>2450</v>
      </c>
      <c r="K470" s="3" t="s">
        <v>513</v>
      </c>
      <c r="AA470" s="36" t="s">
        <v>457</v>
      </c>
      <c r="AB470" s="8">
        <f>$AD465</f>
        <v>0.31</v>
      </c>
      <c r="AC470" s="36" t="s">
        <v>1691</v>
      </c>
      <c r="AD470" s="7">
        <f>$AB470</f>
        <v>0.31</v>
      </c>
      <c r="AE470" s="37" t="s">
        <v>815</v>
      </c>
      <c r="AF470" s="8">
        <f>TRUNC($AD470*중기사용료목록!G20,0)</f>
        <v>7376</v>
      </c>
      <c r="AG470" s="37" t="s">
        <v>1302</v>
      </c>
      <c r="AH470" s="7">
        <f>$AF470</f>
        <v>7376</v>
      </c>
    </row>
    <row r="471" spans="1:34" ht="18.399999999999999" customHeight="1" x14ac:dyDescent="0.15">
      <c r="A471" s="38" t="s">
        <v>2450</v>
      </c>
      <c r="B471" s="32"/>
      <c r="C471" s="32"/>
      <c r="D471" s="32"/>
      <c r="E471" s="32"/>
      <c r="F471" s="43"/>
      <c r="K471" s="3" t="s">
        <v>2450</v>
      </c>
    </row>
    <row r="472" spans="1:34" ht="18.399999999999999" customHeight="1" x14ac:dyDescent="0.15">
      <c r="A472" s="38" t="s">
        <v>1381</v>
      </c>
      <c r="B472" s="33">
        <f>SUM($C472,$D472,$E472)</f>
        <v>28899</v>
      </c>
      <c r="C472" s="33">
        <f>$AB472</f>
        <v>6092</v>
      </c>
      <c r="D472" s="33">
        <f>$AD472</f>
        <v>15431</v>
      </c>
      <c r="E472" s="33">
        <f>$AF472</f>
        <v>7376</v>
      </c>
      <c r="F472" s="44"/>
      <c r="K472" s="3" t="s">
        <v>2310</v>
      </c>
      <c r="AA472" s="36" t="s">
        <v>1729</v>
      </c>
      <c r="AB472" s="7">
        <f>$AH466</f>
        <v>6092</v>
      </c>
      <c r="AC472" s="36" t="s">
        <v>71</v>
      </c>
      <c r="AD472" s="7">
        <f>$AH468-$AD460</f>
        <v>15431</v>
      </c>
      <c r="AE472" s="36" t="s">
        <v>2236</v>
      </c>
      <c r="AF472" s="7">
        <f>$AH470</f>
        <v>7376</v>
      </c>
    </row>
    <row r="473" spans="1:34" ht="18.399999999999999" customHeight="1" x14ac:dyDescent="0.15">
      <c r="A473" s="38" t="s">
        <v>2450</v>
      </c>
      <c r="B473" s="32"/>
      <c r="C473" s="32"/>
      <c r="D473" s="32"/>
      <c r="E473" s="32"/>
      <c r="F473" s="43"/>
      <c r="K473" s="3" t="s">
        <v>2450</v>
      </c>
    </row>
    <row r="474" spans="1:34" ht="18.399999999999999" customHeight="1" x14ac:dyDescent="0.15">
      <c r="A474" s="38" t="s">
        <v>1777</v>
      </c>
      <c r="B474" s="32"/>
      <c r="C474" s="32"/>
      <c r="D474" s="32"/>
      <c r="E474" s="32"/>
      <c r="F474" s="43"/>
      <c r="K474" s="3" t="s">
        <v>1777</v>
      </c>
    </row>
    <row r="475" spans="1:34" ht="18.399999999999999" customHeight="1" x14ac:dyDescent="0.15">
      <c r="A475" s="38" t="s">
        <v>2450</v>
      </c>
      <c r="B475" s="32"/>
      <c r="C475" s="32"/>
      <c r="D475" s="32"/>
      <c r="E475" s="32"/>
      <c r="F475" s="43"/>
      <c r="K475" s="3" t="s">
        <v>2450</v>
      </c>
    </row>
    <row r="476" spans="1:34" ht="18.399999999999999" customHeight="1" x14ac:dyDescent="0.15">
      <c r="A476" s="40" t="str">
        <f>CONCATENATE("  _x001D_73,655_x001D_ * 0.02 =",TEXT($AB476,"#,##0.00"))</f>
        <v xml:space="preserve">  _x001D_73,655_x001D_ * 0.02 =1,473.00</v>
      </c>
      <c r="B476" s="32">
        <f>SUM($C476,$D476,$E476)</f>
        <v>1473</v>
      </c>
      <c r="C476" s="32"/>
      <c r="D476" s="32"/>
      <c r="E476" s="32">
        <f>$AB476</f>
        <v>1473</v>
      </c>
      <c r="F476" s="43" t="s">
        <v>2450</v>
      </c>
      <c r="K476" s="3" t="s">
        <v>1892</v>
      </c>
      <c r="AA476" s="37" t="s">
        <v>815</v>
      </c>
      <c r="AB476" s="8">
        <f>TRUNC($AH468*0.02,0)</f>
        <v>1473</v>
      </c>
      <c r="AC476" s="37" t="s">
        <v>1302</v>
      </c>
      <c r="AD476" s="7">
        <f>$AH470+$AB476</f>
        <v>8849</v>
      </c>
    </row>
    <row r="477" spans="1:34" ht="18.399999999999999" customHeight="1" x14ac:dyDescent="0.15">
      <c r="A477" s="38" t="s">
        <v>2450</v>
      </c>
      <c r="B477" s="32"/>
      <c r="C477" s="32"/>
      <c r="D477" s="32"/>
      <c r="E477" s="32"/>
      <c r="F477" s="43"/>
      <c r="K477" s="3" t="s">
        <v>2450</v>
      </c>
    </row>
    <row r="478" spans="1:34" ht="18.399999999999999" customHeight="1" x14ac:dyDescent="0.15">
      <c r="A478" s="38" t="s">
        <v>104</v>
      </c>
      <c r="B478" s="33">
        <f>SUM($C478,$D478,$E478)</f>
        <v>1473</v>
      </c>
      <c r="C478" s="33">
        <f>$AB478</f>
        <v>0</v>
      </c>
      <c r="D478" s="33">
        <f>$AD478</f>
        <v>0</v>
      </c>
      <c r="E478" s="33">
        <f>$AF478</f>
        <v>1473</v>
      </c>
      <c r="F478" s="44"/>
      <c r="K478" s="3" t="s">
        <v>1671</v>
      </c>
      <c r="AA478" s="36" t="s">
        <v>1729</v>
      </c>
      <c r="AB478" s="7">
        <f>$AH466-$AH466</f>
        <v>0</v>
      </c>
      <c r="AC478" s="36" t="s">
        <v>71</v>
      </c>
      <c r="AD478" s="7">
        <f>$AH468-$AH468</f>
        <v>0</v>
      </c>
      <c r="AE478" s="36" t="s">
        <v>2236</v>
      </c>
      <c r="AF478" s="7">
        <f>$AD476-$AH470</f>
        <v>1473</v>
      </c>
    </row>
    <row r="479" spans="1:34" ht="18.399999999999999" customHeight="1" x14ac:dyDescent="0.15">
      <c r="A479" s="38" t="s">
        <v>2450</v>
      </c>
      <c r="B479" s="32"/>
      <c r="C479" s="32"/>
      <c r="D479" s="32"/>
      <c r="E479" s="32"/>
      <c r="F479" s="43"/>
      <c r="K479" s="3" t="s">
        <v>2450</v>
      </c>
    </row>
    <row r="480" spans="1:34" ht="18.399999999999999" customHeight="1" x14ac:dyDescent="0.15">
      <c r="A480" s="38" t="s">
        <v>2020</v>
      </c>
      <c r="B480" s="33">
        <f>SUM($C480,$D480,$E480)</f>
        <v>0</v>
      </c>
      <c r="C480" s="33">
        <f>$AB480</f>
        <v>0</v>
      </c>
      <c r="D480" s="33">
        <f>$AD480</f>
        <v>0</v>
      </c>
      <c r="E480" s="33">
        <f>$AF480</f>
        <v>0</v>
      </c>
      <c r="F480" s="44"/>
      <c r="K480" s="3" t="s">
        <v>2391</v>
      </c>
      <c r="AA480" s="36" t="s">
        <v>1729</v>
      </c>
      <c r="AB480" s="7">
        <f>$AH466-$AH466</f>
        <v>0</v>
      </c>
      <c r="AC480" s="36" t="s">
        <v>71</v>
      </c>
      <c r="AD480" s="7">
        <f>$AH468-$AH468</f>
        <v>0</v>
      </c>
      <c r="AE480" s="36" t="s">
        <v>2236</v>
      </c>
      <c r="AF480" s="7">
        <f>$AD476-$AD476</f>
        <v>0</v>
      </c>
    </row>
    <row r="481" spans="1:38" ht="18.399999999999999" customHeight="1" x14ac:dyDescent="0.15">
      <c r="A481" s="38"/>
      <c r="B481" s="3"/>
      <c r="C481" s="3"/>
      <c r="D481" s="3"/>
      <c r="E481" s="3"/>
      <c r="F481" s="42"/>
    </row>
    <row r="482" spans="1:38" ht="18.399999999999999" customHeight="1" x14ac:dyDescent="0.15">
      <c r="A482" s="41" t="s">
        <v>1388</v>
      </c>
      <c r="B482" s="35">
        <f>SUM($C482,$D482,$E482)</f>
        <v>88596</v>
      </c>
      <c r="C482" s="35">
        <f>TRUNC(SUM($AH466),0)</f>
        <v>6092</v>
      </c>
      <c r="D482" s="35">
        <f>TRUNC(SUM($AH468),0)</f>
        <v>73655</v>
      </c>
      <c r="E482" s="35">
        <f>TRUNC(SUM($AD476),0)</f>
        <v>8849</v>
      </c>
      <c r="F482" s="47"/>
    </row>
    <row r="483" spans="1:38" ht="18.399999999999999" customHeight="1" x14ac:dyDescent="0.15">
      <c r="A483" s="38"/>
      <c r="B483" s="3"/>
      <c r="C483" s="3"/>
      <c r="D483" s="3"/>
      <c r="E483" s="3"/>
      <c r="F483" s="42"/>
    </row>
    <row r="484" spans="1:38" ht="18.399999999999999" customHeight="1" x14ac:dyDescent="0.15">
      <c r="A484" s="38" t="s">
        <v>2034</v>
      </c>
      <c r="B484" s="32">
        <f>$B523</f>
        <v>29530</v>
      </c>
      <c r="C484" s="32">
        <f>$C523</f>
        <v>3170</v>
      </c>
      <c r="D484" s="32">
        <f>$D523</f>
        <v>23245</v>
      </c>
      <c r="E484" s="32">
        <f>$E523</f>
        <v>3115</v>
      </c>
      <c r="F484" s="42" t="s">
        <v>2450</v>
      </c>
      <c r="G484" t="s">
        <v>2450</v>
      </c>
      <c r="H484" t="s">
        <v>1138</v>
      </c>
      <c r="K484">
        <v>1</v>
      </c>
      <c r="Y484" s="7" t="b">
        <f>EXACT($Z484,$B523)</f>
        <v>1</v>
      </c>
      <c r="Z484" s="35">
        <v>29530</v>
      </c>
    </row>
    <row r="485" spans="1:38" ht="18.399999999999999" customHeight="1" x14ac:dyDescent="0.15">
      <c r="A485" s="39"/>
      <c r="B485" s="3"/>
      <c r="C485" s="3"/>
      <c r="D485" s="3"/>
      <c r="E485" s="3"/>
      <c r="F485" s="42"/>
    </row>
    <row r="486" spans="1:38" ht="18.399999999999999" customHeight="1" x14ac:dyDescent="0.15">
      <c r="A486" s="38" t="s">
        <v>2450</v>
      </c>
      <c r="B486" s="3"/>
      <c r="C486" s="3"/>
      <c r="D486" s="3"/>
      <c r="E486" s="3"/>
      <c r="F486" s="42"/>
      <c r="G486" t="s">
        <v>2450</v>
      </c>
      <c r="I486" t="s">
        <v>289</v>
      </c>
      <c r="J486" t="s">
        <v>2450</v>
      </c>
      <c r="K486" t="s">
        <v>2053</v>
      </c>
    </row>
    <row r="487" spans="1:38" ht="18.399999999999999" customHeight="1" x14ac:dyDescent="0.15">
      <c r="A487" s="38" t="s">
        <v>596</v>
      </c>
      <c r="B487" s="32"/>
      <c r="C487" s="32"/>
      <c r="D487" s="32"/>
      <c r="E487" s="32"/>
      <c r="F487" s="43"/>
      <c r="K487" s="3" t="s">
        <v>596</v>
      </c>
    </row>
    <row r="488" spans="1:38" ht="18.399999999999999" customHeight="1" x14ac:dyDescent="0.15">
      <c r="A488" s="38" t="s">
        <v>2450</v>
      </c>
      <c r="B488" s="32"/>
      <c r="C488" s="32"/>
      <c r="D488" s="32"/>
      <c r="E488" s="32"/>
      <c r="F488" s="43"/>
      <c r="K488" s="3" t="s">
        <v>2450</v>
      </c>
    </row>
    <row r="489" spans="1:38" ht="18.399999999999999" customHeight="1" x14ac:dyDescent="0.15">
      <c r="A489" s="40" t="str">
        <f>CONCATENATE("  ○ 1일 시공량 :  A=",TEXT($AB489,"#,##0.00")," ㎥/일")</f>
        <v xml:space="preserve">  ○ 1일 시공량 :  A=63.00 ㎥/일</v>
      </c>
      <c r="B489" s="32"/>
      <c r="C489" s="32"/>
      <c r="D489" s="32"/>
      <c r="E489" s="32"/>
      <c r="F489" s="43"/>
      <c r="K489" s="10" t="str">
        <f>SUBSTITUTE(SUBSTITUTE(" _x001D_○ 1일 시공량 :_x001D_ A = 63_x001D_㎥/일_x001D_","63",TEXT($AB489,"#,##0"),1),"_x001D_","'")</f>
        <v xml:space="preserve"> '○ 1일 시공량 :' A = 63'㎥/일'</v>
      </c>
      <c r="AA489" s="36" t="s">
        <v>430</v>
      </c>
      <c r="AB489" s="6">
        <v>63</v>
      </c>
      <c r="AC489" s="36" t="s">
        <v>430</v>
      </c>
      <c r="AD489" s="7">
        <f>$AB489</f>
        <v>63</v>
      </c>
    </row>
    <row r="490" spans="1:38" ht="18.399999999999999" customHeight="1" x14ac:dyDescent="0.15">
      <c r="A490" s="38" t="s">
        <v>2450</v>
      </c>
      <c r="B490" s="32"/>
      <c r="C490" s="32"/>
      <c r="D490" s="32"/>
      <c r="E490" s="32"/>
      <c r="F490" s="43"/>
      <c r="K490" s="3" t="s">
        <v>2450</v>
      </c>
    </row>
    <row r="491" spans="1:38" ht="18.399999999999999" customHeight="1" x14ac:dyDescent="0.15">
      <c r="A491" s="40" t="str">
        <f>CONCATENATE("  ○ 1시간 작업량 :  Q = ",TEXT($AB491,"#,##0.00")," / 8 hr  =",TEXT($AJ491,"#,##0.00")," 주/hr ")</f>
        <v xml:space="preserve">  ○ 1시간 작업량 :  Q = 63.00 / 8 hr  =7.88 주/hr </v>
      </c>
      <c r="B491" s="32">
        <f>SUM($C491,$D491,$E491)</f>
        <v>0</v>
      </c>
      <c r="C491" s="32"/>
      <c r="D491" s="32"/>
      <c r="E491" s="32"/>
      <c r="F491" s="43"/>
      <c r="K491" s="3" t="s">
        <v>1167</v>
      </c>
      <c r="AA491" s="36" t="s">
        <v>2135</v>
      </c>
      <c r="AB491" s="8">
        <f>$AD489</f>
        <v>63</v>
      </c>
      <c r="AC491" s="36" t="s">
        <v>1811</v>
      </c>
      <c r="AD491" s="7">
        <f>$AB491</f>
        <v>63</v>
      </c>
      <c r="AE491" s="36" t="s">
        <v>461</v>
      </c>
      <c r="AF491" s="8">
        <f>ROUND($AD491/8,2)</f>
        <v>7.88</v>
      </c>
      <c r="AG491" s="36" t="s">
        <v>1686</v>
      </c>
      <c r="AH491" s="7">
        <f>$AF491</f>
        <v>7.88</v>
      </c>
      <c r="AI491" s="36" t="s">
        <v>150</v>
      </c>
      <c r="AJ491" s="8">
        <f>ROUND(ROUND($AD491/8,2),2)</f>
        <v>7.88</v>
      </c>
      <c r="AK491" s="36" t="s">
        <v>814</v>
      </c>
      <c r="AL491" s="7">
        <f>$AJ491</f>
        <v>7.88</v>
      </c>
    </row>
    <row r="492" spans="1:38" ht="18.399999999999999" customHeight="1" x14ac:dyDescent="0.15">
      <c r="A492" s="38" t="s">
        <v>2450</v>
      </c>
      <c r="B492" s="32"/>
      <c r="C492" s="32"/>
      <c r="D492" s="32"/>
      <c r="E492" s="32"/>
      <c r="F492" s="43"/>
      <c r="K492" s="3" t="s">
        <v>2450</v>
      </c>
    </row>
    <row r="493" spans="1:38" ht="18.399999999999999" customHeight="1" x14ac:dyDescent="0.15">
      <c r="A493" s="38" t="s">
        <v>1706</v>
      </c>
      <c r="B493" s="32"/>
      <c r="C493" s="32"/>
      <c r="D493" s="32"/>
      <c r="E493" s="32"/>
      <c r="F493" s="43"/>
      <c r="K493" s="3" t="s">
        <v>1706</v>
      </c>
    </row>
    <row r="494" spans="1:38" ht="18.399999999999999" customHeight="1" x14ac:dyDescent="0.15">
      <c r="A494" s="38" t="s">
        <v>2450</v>
      </c>
      <c r="B494" s="32"/>
      <c r="C494" s="32"/>
      <c r="D494" s="32"/>
      <c r="E494" s="32"/>
      <c r="F494" s="43"/>
      <c r="K494" s="3" t="s">
        <v>2450</v>
      </c>
    </row>
    <row r="495" spans="1:38" ht="18.399999999999999" customHeight="1" x14ac:dyDescent="0.15">
      <c r="A495" s="38" t="s">
        <v>2231</v>
      </c>
      <c r="B495" s="32"/>
      <c r="C495" s="32"/>
      <c r="D495" s="32"/>
      <c r="E495" s="32"/>
      <c r="F495" s="43"/>
      <c r="K495" s="3" t="s">
        <v>2231</v>
      </c>
    </row>
    <row r="496" spans="1:38" ht="18.399999999999999" customHeight="1" x14ac:dyDescent="0.15">
      <c r="A496" s="38" t="s">
        <v>2450</v>
      </c>
      <c r="B496" s="32"/>
      <c r="C496" s="32"/>
      <c r="D496" s="32"/>
      <c r="E496" s="32"/>
      <c r="F496" s="43"/>
      <c r="K496" s="3" t="s">
        <v>2450</v>
      </c>
    </row>
    <row r="497" spans="1:38" ht="18.399999999999999" customHeight="1" x14ac:dyDescent="0.15">
      <c r="A497" s="38" t="s">
        <v>1132</v>
      </c>
      <c r="B497" s="32"/>
      <c r="C497" s="32"/>
      <c r="D497" s="32"/>
      <c r="E497" s="32"/>
      <c r="F497" s="43"/>
      <c r="K497" s="3" t="s">
        <v>1132</v>
      </c>
    </row>
    <row r="498" spans="1:38" ht="18.399999999999999" customHeight="1" x14ac:dyDescent="0.15">
      <c r="A498" s="38" t="s">
        <v>2450</v>
      </c>
      <c r="B498" s="32"/>
      <c r="C498" s="32"/>
      <c r="D498" s="32"/>
      <c r="E498" s="32"/>
      <c r="F498" s="43"/>
      <c r="K498" s="3" t="s">
        <v>2450</v>
      </c>
    </row>
    <row r="499" spans="1:38" ht="18.399999999999999" customHeight="1" x14ac:dyDescent="0.15">
      <c r="A499" s="40" t="str">
        <f>CONCATENATE("     콘크리트공 :  3  인  / ",TEXT($AB499,"#,##0.00"),"  ㎡  * _x001D_273,540_x001D_ =","LA+ "," :S1")</f>
        <v xml:space="preserve">     콘크리트공 :  3  인  / 63.00  ㎡  * _x001D_273,540_x001D_ =LA+  :S1</v>
      </c>
      <c r="B499" s="32">
        <f>SUM($C499,$D499,$E499)</f>
        <v>13025</v>
      </c>
      <c r="C499" s="32"/>
      <c r="D499" s="32">
        <f>$AF499</f>
        <v>13025</v>
      </c>
      <c r="E499" s="32"/>
      <c r="F499" s="43" t="s">
        <v>2450</v>
      </c>
      <c r="K499" s="3" t="s">
        <v>2200</v>
      </c>
      <c r="AA499" s="36" t="s">
        <v>1894</v>
      </c>
      <c r="AB499" s="8">
        <f>$AD489</f>
        <v>63</v>
      </c>
      <c r="AC499" s="36" t="s">
        <v>94</v>
      </c>
      <c r="AD499" s="7">
        <f>$AB499</f>
        <v>63</v>
      </c>
      <c r="AE499" s="37" t="s">
        <v>265</v>
      </c>
      <c r="AF499" s="8">
        <f>TRUNC(3/$AD499*노임!D4,0)</f>
        <v>13025</v>
      </c>
      <c r="AG499" s="37" t="s">
        <v>972</v>
      </c>
      <c r="AH499" s="7">
        <f>$AF499</f>
        <v>13025</v>
      </c>
      <c r="AI499" s="36" t="s">
        <v>1466</v>
      </c>
      <c r="AJ499" s="8">
        <f>$AF499</f>
        <v>13025</v>
      </c>
      <c r="AK499" s="36" t="s">
        <v>1631</v>
      </c>
      <c r="AL499" s="7">
        <f>$AJ499</f>
        <v>13025</v>
      </c>
    </row>
    <row r="500" spans="1:38" ht="18.399999999999999" customHeight="1" x14ac:dyDescent="0.15">
      <c r="A500" s="38" t="s">
        <v>2450</v>
      </c>
      <c r="B500" s="32"/>
      <c r="C500" s="32"/>
      <c r="D500" s="32"/>
      <c r="E500" s="32"/>
      <c r="F500" s="43"/>
      <c r="K500" s="3" t="s">
        <v>2450</v>
      </c>
    </row>
    <row r="501" spans="1:38" ht="18.399999999999999" customHeight="1" x14ac:dyDescent="0.15">
      <c r="A501" s="40" t="str">
        <f>CONCATENATE("     보통인부 :  1  인  / ",TEXT($AB501,"#,##0.00"),"  ㎡ * _x001D_172,068_x001D_ =","LA+ "," :S2")</f>
        <v xml:space="preserve">     보통인부 :  1  인  / 63.00  ㎡ * _x001D_172,068_x001D_ =LA+  :S2</v>
      </c>
      <c r="B501" s="32">
        <f>SUM($C501,$D501,$E501)</f>
        <v>2731</v>
      </c>
      <c r="C501" s="32"/>
      <c r="D501" s="32">
        <f>$AF501</f>
        <v>2731</v>
      </c>
      <c r="E501" s="32"/>
      <c r="F501" s="43" t="s">
        <v>2450</v>
      </c>
      <c r="K501" s="3" t="s">
        <v>2097</v>
      </c>
      <c r="AA501" s="36" t="s">
        <v>2033</v>
      </c>
      <c r="AB501" s="8">
        <f>$AD489</f>
        <v>63</v>
      </c>
      <c r="AC501" s="36" t="s">
        <v>2083</v>
      </c>
      <c r="AD501" s="7">
        <f>$AB501</f>
        <v>63</v>
      </c>
      <c r="AE501" s="37" t="s">
        <v>265</v>
      </c>
      <c r="AF501" s="8">
        <f>TRUNC(1/$AD501*노임!D10,0)</f>
        <v>2731</v>
      </c>
      <c r="AG501" s="37" t="s">
        <v>972</v>
      </c>
      <c r="AH501" s="7">
        <f>$AH499+$AF501</f>
        <v>15756</v>
      </c>
      <c r="AI501" s="36" t="s">
        <v>737</v>
      </c>
      <c r="AJ501" s="8">
        <f>$AF501</f>
        <v>2731</v>
      </c>
      <c r="AK501" s="36" t="s">
        <v>691</v>
      </c>
      <c r="AL501" s="7">
        <f>$AJ501</f>
        <v>2731</v>
      </c>
    </row>
    <row r="502" spans="1:38" ht="18.399999999999999" customHeight="1" x14ac:dyDescent="0.15">
      <c r="A502" s="38" t="s">
        <v>2450</v>
      </c>
      <c r="B502" s="32"/>
      <c r="C502" s="32"/>
      <c r="D502" s="32"/>
      <c r="E502" s="32"/>
      <c r="F502" s="43"/>
      <c r="K502" s="3" t="s">
        <v>2450</v>
      </c>
    </row>
    <row r="503" spans="1:38" ht="18.399999999999999" customHeight="1" x14ac:dyDescent="0.15">
      <c r="A503" s="38" t="s">
        <v>2408</v>
      </c>
      <c r="B503" s="32"/>
      <c r="C503" s="32"/>
      <c r="D503" s="32"/>
      <c r="E503" s="32"/>
      <c r="F503" s="43"/>
      <c r="K503" s="3" t="s">
        <v>2408</v>
      </c>
    </row>
    <row r="504" spans="1:38" ht="18.399999999999999" customHeight="1" x14ac:dyDescent="0.15">
      <c r="A504" s="38" t="s">
        <v>2450</v>
      </c>
      <c r="B504" s="32"/>
      <c r="C504" s="32"/>
      <c r="D504" s="32"/>
      <c r="E504" s="32"/>
      <c r="F504" s="43"/>
      <c r="K504" s="3" t="s">
        <v>2450</v>
      </c>
    </row>
    <row r="505" spans="1:38" ht="18.399999999999999" customHeight="1" x14ac:dyDescent="0.15">
      <c r="A505" s="38" t="s">
        <v>1601</v>
      </c>
      <c r="B505" s="32"/>
      <c r="C505" s="32"/>
      <c r="D505" s="32"/>
      <c r="E505" s="32"/>
      <c r="F505" s="43"/>
      <c r="K505" s="3" t="s">
        <v>839</v>
      </c>
    </row>
    <row r="506" spans="1:38" ht="18.399999999999999" customHeight="1" x14ac:dyDescent="0.15">
      <c r="A506" s="38" t="s">
        <v>2450</v>
      </c>
      <c r="B506" s="32"/>
      <c r="C506" s="32"/>
      <c r="D506" s="32"/>
      <c r="E506" s="32"/>
      <c r="F506" s="43"/>
      <c r="K506" s="3" t="s">
        <v>2450</v>
      </c>
    </row>
    <row r="507" spans="1:38" ht="18.399999999999999" customHeight="1" x14ac:dyDescent="0.15">
      <c r="A507" s="40" t="str">
        <f>CONCATENATE("     재 료 비: _x001D_22,501_x001D_ / ",TEXT($AB507,"#,##0.00"),"  &lt;HR&gt;  = ",TEXT($AF507,"#,##0.00"))</f>
        <v xml:space="preserve">     재 료 비: _x001D_22,501_x001D_ / 7.88  &lt;HR&gt;  = 2,855.00</v>
      </c>
      <c r="B507" s="32">
        <f>SUM($C507,$D507,$E507)</f>
        <v>2855</v>
      </c>
      <c r="C507" s="32">
        <f>$AF507</f>
        <v>2855</v>
      </c>
      <c r="D507" s="32"/>
      <c r="E507" s="32"/>
      <c r="F507" s="43" t="s">
        <v>2450</v>
      </c>
      <c r="K507" s="3" t="s">
        <v>1046</v>
      </c>
      <c r="AA507" s="36" t="s">
        <v>937</v>
      </c>
      <c r="AB507" s="8">
        <f>$AH491</f>
        <v>7.88</v>
      </c>
      <c r="AC507" s="36" t="s">
        <v>915</v>
      </c>
      <c r="AD507" s="7">
        <f>$AB507</f>
        <v>7.88</v>
      </c>
      <c r="AE507" s="37" t="s">
        <v>1805</v>
      </c>
      <c r="AF507" s="8">
        <f>TRUNC(중기사용료목록!E5/$AD507,0)</f>
        <v>2855</v>
      </c>
      <c r="AG507" s="37" t="s">
        <v>2029</v>
      </c>
      <c r="AH507" s="7">
        <f>$AF507</f>
        <v>2855</v>
      </c>
    </row>
    <row r="508" spans="1:38" ht="18.399999999999999" customHeight="1" x14ac:dyDescent="0.15">
      <c r="A508" s="38" t="s">
        <v>2450</v>
      </c>
      <c r="B508" s="32"/>
      <c r="C508" s="32"/>
      <c r="D508" s="32"/>
      <c r="E508" s="32"/>
      <c r="F508" s="43"/>
      <c r="K508" s="3" t="s">
        <v>2450</v>
      </c>
    </row>
    <row r="509" spans="1:38" ht="18.399999999999999" customHeight="1" x14ac:dyDescent="0.15">
      <c r="A509" s="40" t="str">
        <f>CONCATENATE("     노 무 비: _x001D_59,020_x001D_ / ",TEXT($AB509,"#,##0.00"),"  &lt;HR&gt;  = ",TEXT($AF509,"#,##0.00"))</f>
        <v xml:space="preserve">     노 무 비: _x001D_59,020_x001D_ / 7.88  &lt;HR&gt;  = 7,489.00</v>
      </c>
      <c r="B509" s="32">
        <f>SUM($C509,$D509,$E509)</f>
        <v>7489</v>
      </c>
      <c r="C509" s="32"/>
      <c r="D509" s="32">
        <f>$AF509</f>
        <v>7489</v>
      </c>
      <c r="E509" s="32"/>
      <c r="F509" s="43" t="s">
        <v>2450</v>
      </c>
      <c r="K509" s="3" t="s">
        <v>1888</v>
      </c>
      <c r="AA509" s="36" t="s">
        <v>1958</v>
      </c>
      <c r="AB509" s="8">
        <f>$AH491</f>
        <v>7.88</v>
      </c>
      <c r="AC509" s="36" t="s">
        <v>1071</v>
      </c>
      <c r="AD509" s="7">
        <f>$AB509</f>
        <v>7.88</v>
      </c>
      <c r="AE509" s="37" t="s">
        <v>265</v>
      </c>
      <c r="AF509" s="8">
        <f>TRUNC(중기사용료목록!F5/$AD509,0)</f>
        <v>7489</v>
      </c>
      <c r="AG509" s="37" t="s">
        <v>972</v>
      </c>
      <c r="AH509" s="7">
        <f>$AH501+$AF509</f>
        <v>23245</v>
      </c>
    </row>
    <row r="510" spans="1:38" ht="18.399999999999999" customHeight="1" x14ac:dyDescent="0.15">
      <c r="A510" s="38" t="s">
        <v>2450</v>
      </c>
      <c r="B510" s="32"/>
      <c r="C510" s="32"/>
      <c r="D510" s="32"/>
      <c r="E510" s="32"/>
      <c r="F510" s="43"/>
      <c r="K510" s="3" t="s">
        <v>2450</v>
      </c>
    </row>
    <row r="511" spans="1:38" ht="18.399999999999999" customHeight="1" x14ac:dyDescent="0.15">
      <c r="A511" s="40" t="str">
        <f>CONCATENATE("     경    비: _x001D_24,554_x001D_ / ",TEXT($AB511,"#,##0.00"),"  &lt;HR&gt;  =",TEXT($AF511,"#,##0.00"))</f>
        <v xml:space="preserve">     경    비: _x001D_24,554_x001D_ / 7.88  &lt;HR&gt;  =3,115.00</v>
      </c>
      <c r="B511" s="32">
        <f>SUM($C511,$D511,$E511)</f>
        <v>3115</v>
      </c>
      <c r="C511" s="32"/>
      <c r="D511" s="32"/>
      <c r="E511" s="32">
        <f>$AF511</f>
        <v>3115</v>
      </c>
      <c r="F511" s="43" t="s">
        <v>2450</v>
      </c>
      <c r="K511" s="3" t="s">
        <v>323</v>
      </c>
      <c r="AA511" s="36" t="s">
        <v>2258</v>
      </c>
      <c r="AB511" s="8">
        <f>$AH491</f>
        <v>7.88</v>
      </c>
      <c r="AC511" s="36" t="s">
        <v>1459</v>
      </c>
      <c r="AD511" s="7">
        <f>$AB511</f>
        <v>7.88</v>
      </c>
      <c r="AE511" s="37" t="s">
        <v>815</v>
      </c>
      <c r="AF511" s="8">
        <f>TRUNC(중기사용료목록!G5/$AD511,0)</f>
        <v>3115</v>
      </c>
      <c r="AG511" s="37" t="s">
        <v>1302</v>
      </c>
      <c r="AH511" s="7">
        <f>$AF511</f>
        <v>3115</v>
      </c>
    </row>
    <row r="512" spans="1:38" ht="18.399999999999999" customHeight="1" x14ac:dyDescent="0.15">
      <c r="A512" s="38" t="s">
        <v>2450</v>
      </c>
      <c r="B512" s="32"/>
      <c r="C512" s="32"/>
      <c r="D512" s="32"/>
      <c r="E512" s="32"/>
      <c r="F512" s="43"/>
      <c r="K512" s="3" t="s">
        <v>2450</v>
      </c>
    </row>
    <row r="513" spans="1:38" ht="18.399999999999999" customHeight="1" x14ac:dyDescent="0.15">
      <c r="A513" s="38" t="s">
        <v>1569</v>
      </c>
      <c r="B513" s="33">
        <f>SUM($C513,$D513,$E513)</f>
        <v>29215</v>
      </c>
      <c r="C513" s="33">
        <f>$AB513</f>
        <v>2855</v>
      </c>
      <c r="D513" s="33">
        <f>$AD513</f>
        <v>23245</v>
      </c>
      <c r="E513" s="33">
        <f>$AF513</f>
        <v>3115</v>
      </c>
      <c r="F513" s="44"/>
      <c r="K513" s="3" t="s">
        <v>1244</v>
      </c>
      <c r="AA513" s="36" t="s">
        <v>1729</v>
      </c>
      <c r="AB513" s="7">
        <f>$AH507</f>
        <v>2855</v>
      </c>
      <c r="AC513" s="36" t="s">
        <v>71</v>
      </c>
      <c r="AD513" s="7">
        <f>$AH509</f>
        <v>23245</v>
      </c>
      <c r="AE513" s="36" t="s">
        <v>2236</v>
      </c>
      <c r="AF513" s="7">
        <f>$AH511</f>
        <v>3115</v>
      </c>
    </row>
    <row r="514" spans="1:38" ht="18.399999999999999" customHeight="1" x14ac:dyDescent="0.15">
      <c r="A514" s="38" t="s">
        <v>2450</v>
      </c>
      <c r="B514" s="32"/>
      <c r="C514" s="32"/>
      <c r="D514" s="32"/>
      <c r="E514" s="32"/>
      <c r="F514" s="43"/>
      <c r="K514" s="3" t="s">
        <v>2450</v>
      </c>
    </row>
    <row r="515" spans="1:38" ht="18.399999999999999" customHeight="1" x14ac:dyDescent="0.15">
      <c r="A515" s="38" t="s">
        <v>218</v>
      </c>
      <c r="B515" s="32"/>
      <c r="C515" s="32"/>
      <c r="D515" s="32"/>
      <c r="E515" s="32"/>
      <c r="F515" s="43"/>
      <c r="K515" s="3" t="s">
        <v>218</v>
      </c>
    </row>
    <row r="516" spans="1:38" ht="18.399999999999999" customHeight="1" x14ac:dyDescent="0.15">
      <c r="A516" s="38" t="s">
        <v>2450</v>
      </c>
      <c r="B516" s="32"/>
      <c r="C516" s="32"/>
      <c r="D516" s="32"/>
      <c r="E516" s="32"/>
      <c r="F516" s="43"/>
      <c r="K516" s="3" t="s">
        <v>2450</v>
      </c>
    </row>
    <row r="517" spans="1:38" ht="18.399999999999999" customHeight="1" x14ac:dyDescent="0.15">
      <c r="A517" s="40" t="str">
        <f>CONCATENATE("   (",TEXT($AB517,"#,##0.00")," + ",TEXT($AF517,"#,##0.00"),")* 0.02 =",TEXT($AJ517,"#,##0.00"))</f>
        <v xml:space="preserve">   (13,025.00 + 2,731.00)* 0.02 =315.00</v>
      </c>
      <c r="B517" s="32">
        <f>SUM($C517,$D517,$E517)</f>
        <v>315</v>
      </c>
      <c r="C517" s="32">
        <f>$AJ517</f>
        <v>315</v>
      </c>
      <c r="D517" s="32"/>
      <c r="E517" s="32"/>
      <c r="F517" s="43"/>
      <c r="K517" s="3" t="s">
        <v>1600</v>
      </c>
      <c r="AA517" s="36" t="s">
        <v>954</v>
      </c>
      <c r="AB517" s="8">
        <f>$AL499</f>
        <v>13025</v>
      </c>
      <c r="AC517" s="36" t="s">
        <v>285</v>
      </c>
      <c r="AD517" s="7">
        <f>$AB517</f>
        <v>13025</v>
      </c>
      <c r="AE517" s="36" t="s">
        <v>1677</v>
      </c>
      <c r="AF517" s="8">
        <f>$AL501</f>
        <v>2731</v>
      </c>
      <c r="AG517" s="36" t="s">
        <v>2299</v>
      </c>
      <c r="AH517" s="7">
        <f>$AF517</f>
        <v>2731</v>
      </c>
      <c r="AI517" s="37" t="s">
        <v>1805</v>
      </c>
      <c r="AJ517" s="8">
        <f>TRUNC(($AD517+$AH517)*0.02,0)</f>
        <v>315</v>
      </c>
      <c r="AK517" s="37" t="s">
        <v>2029</v>
      </c>
      <c r="AL517" s="7">
        <f>$AH507+$AJ517</f>
        <v>3170</v>
      </c>
    </row>
    <row r="518" spans="1:38" ht="18.399999999999999" customHeight="1" x14ac:dyDescent="0.15">
      <c r="A518" s="38" t="s">
        <v>2450</v>
      </c>
      <c r="B518" s="32"/>
      <c r="C518" s="32"/>
      <c r="D518" s="32"/>
      <c r="E518" s="32"/>
      <c r="F518" s="43"/>
      <c r="K518" s="3" t="s">
        <v>2450</v>
      </c>
    </row>
    <row r="519" spans="1:38" ht="18.399999999999999" customHeight="1" x14ac:dyDescent="0.15">
      <c r="A519" s="38" t="s">
        <v>231</v>
      </c>
      <c r="B519" s="33">
        <f>SUM($C519,$D519,$E519)</f>
        <v>315</v>
      </c>
      <c r="C519" s="33">
        <f>$AB519</f>
        <v>315</v>
      </c>
      <c r="D519" s="33">
        <f>$AD519</f>
        <v>0</v>
      </c>
      <c r="E519" s="33">
        <f>$AF519</f>
        <v>0</v>
      </c>
      <c r="F519" s="44"/>
      <c r="K519" s="3" t="s">
        <v>226</v>
      </c>
      <c r="AA519" s="36" t="s">
        <v>1729</v>
      </c>
      <c r="AB519" s="7">
        <f>$AL517-$AH507</f>
        <v>315</v>
      </c>
      <c r="AC519" s="36" t="s">
        <v>71</v>
      </c>
      <c r="AD519" s="7">
        <f>$AH509-$AH509</f>
        <v>0</v>
      </c>
      <c r="AE519" s="36" t="s">
        <v>2236</v>
      </c>
      <c r="AF519" s="7">
        <f>$AH511-$AH511</f>
        <v>0</v>
      </c>
    </row>
    <row r="520" spans="1:38" ht="18.399999999999999" customHeight="1" x14ac:dyDescent="0.15">
      <c r="A520" s="38" t="s">
        <v>2450</v>
      </c>
      <c r="B520" s="32"/>
      <c r="C520" s="32"/>
      <c r="D520" s="32"/>
      <c r="E520" s="32"/>
      <c r="F520" s="43"/>
      <c r="K520" s="3" t="s">
        <v>2450</v>
      </c>
    </row>
    <row r="521" spans="1:38" ht="18.399999999999999" customHeight="1" x14ac:dyDescent="0.15">
      <c r="A521" s="38" t="s">
        <v>2345</v>
      </c>
      <c r="B521" s="34">
        <f>SUM($C521,$D521,$E521)</f>
        <v>29530</v>
      </c>
      <c r="C521" s="34">
        <f>$AB521</f>
        <v>3170</v>
      </c>
      <c r="D521" s="34">
        <f>$AD521</f>
        <v>23245</v>
      </c>
      <c r="E521" s="34">
        <f>$AF521</f>
        <v>3115</v>
      </c>
      <c r="F521" s="45"/>
      <c r="K521" s="3" t="s">
        <v>726</v>
      </c>
      <c r="AA521" s="36" t="s">
        <v>989</v>
      </c>
      <c r="AB521" s="7">
        <f>$AL517</f>
        <v>3170</v>
      </c>
      <c r="AC521" s="36" t="s">
        <v>2036</v>
      </c>
      <c r="AD521" s="7">
        <f>$AH509</f>
        <v>23245</v>
      </c>
      <c r="AE521" s="36" t="s">
        <v>585</v>
      </c>
      <c r="AF521" s="7">
        <f>$AH511</f>
        <v>3115</v>
      </c>
    </row>
    <row r="522" spans="1:38" ht="18.399999999999999" customHeight="1" x14ac:dyDescent="0.15">
      <c r="A522" s="38"/>
      <c r="B522" s="3"/>
      <c r="C522" s="3"/>
      <c r="D522" s="3"/>
      <c r="E522" s="3"/>
      <c r="F522" s="42"/>
    </row>
    <row r="523" spans="1:38" ht="18.399999999999999" customHeight="1" x14ac:dyDescent="0.15">
      <c r="A523" s="41" t="s">
        <v>1388</v>
      </c>
      <c r="B523" s="35">
        <f>SUM($C523,$D523,$E523)</f>
        <v>29530</v>
      </c>
      <c r="C523" s="35">
        <f>TRUNC(SUM($AL517),0)</f>
        <v>3170</v>
      </c>
      <c r="D523" s="35">
        <f>TRUNC(SUM($AH509),0)</f>
        <v>23245</v>
      </c>
      <c r="E523" s="35">
        <f>TRUNC(SUM($AH511),0)</f>
        <v>3115</v>
      </c>
      <c r="F523" s="47"/>
    </row>
    <row r="524" spans="1:38" ht="18.399999999999999" customHeight="1" x14ac:dyDescent="0.15">
      <c r="A524" s="38"/>
      <c r="B524" s="3"/>
      <c r="C524" s="3"/>
      <c r="D524" s="3"/>
      <c r="E524" s="3"/>
      <c r="F524" s="42"/>
    </row>
    <row r="525" spans="1:38" ht="18.399999999999999" customHeight="1" x14ac:dyDescent="0.15">
      <c r="A525" s="38" t="s">
        <v>2018</v>
      </c>
      <c r="B525" s="32">
        <f>$B560</f>
        <v>36328</v>
      </c>
      <c r="C525" s="32">
        <f>$C560</f>
        <v>4448</v>
      </c>
      <c r="D525" s="32">
        <f>$D560</f>
        <v>31880</v>
      </c>
      <c r="E525" s="32">
        <v>0</v>
      </c>
      <c r="F525" s="42" t="s">
        <v>2450</v>
      </c>
      <c r="G525" t="s">
        <v>2450</v>
      </c>
      <c r="H525" t="s">
        <v>2</v>
      </c>
      <c r="K525">
        <v>1</v>
      </c>
      <c r="Y525" s="7" t="b">
        <f>EXACT($Z525,$B560)</f>
        <v>1</v>
      </c>
      <c r="Z525" s="35">
        <v>36328</v>
      </c>
    </row>
    <row r="526" spans="1:38" ht="18.399999999999999" customHeight="1" x14ac:dyDescent="0.15">
      <c r="A526" s="39"/>
      <c r="B526" s="3"/>
      <c r="C526" s="3"/>
      <c r="D526" s="3"/>
      <c r="E526" s="3"/>
      <c r="F526" s="42"/>
    </row>
    <row r="527" spans="1:38" ht="18.399999999999999" customHeight="1" x14ac:dyDescent="0.15">
      <c r="A527" s="38" t="s">
        <v>2450</v>
      </c>
      <c r="B527" s="3"/>
      <c r="C527" s="3"/>
      <c r="D527" s="3"/>
      <c r="E527" s="3"/>
      <c r="F527" s="42"/>
      <c r="G527" t="s">
        <v>2450</v>
      </c>
      <c r="I527" t="s">
        <v>289</v>
      </c>
      <c r="J527" t="s">
        <v>2450</v>
      </c>
      <c r="K527" t="s">
        <v>2053</v>
      </c>
    </row>
    <row r="528" spans="1:38" ht="18.399999999999999" customHeight="1" x14ac:dyDescent="0.15">
      <c r="A528" s="38" t="s">
        <v>1672</v>
      </c>
      <c r="B528" s="32"/>
      <c r="C528" s="32"/>
      <c r="D528" s="32"/>
      <c r="E528" s="32"/>
      <c r="F528" s="43"/>
      <c r="K528" s="3" t="s">
        <v>1672</v>
      </c>
    </row>
    <row r="529" spans="1:34" ht="18.399999999999999" customHeight="1" x14ac:dyDescent="0.15">
      <c r="A529" s="38" t="s">
        <v>2450</v>
      </c>
      <c r="B529" s="32"/>
      <c r="C529" s="32"/>
      <c r="D529" s="32"/>
      <c r="E529" s="32"/>
      <c r="F529" s="43"/>
      <c r="K529" s="3" t="s">
        <v>2450</v>
      </c>
    </row>
    <row r="530" spans="1:34" ht="18.399999999999999" customHeight="1" x14ac:dyDescent="0.15">
      <c r="A530" s="38" t="s">
        <v>108</v>
      </c>
      <c r="B530" s="32"/>
      <c r="C530" s="32"/>
      <c r="D530" s="32"/>
      <c r="E530" s="32"/>
      <c r="F530" s="43"/>
      <c r="K530" s="3" t="s">
        <v>108</v>
      </c>
    </row>
    <row r="531" spans="1:34" ht="18.399999999999999" customHeight="1" x14ac:dyDescent="0.15">
      <c r="A531" s="38" t="s">
        <v>2450</v>
      </c>
      <c r="B531" s="32"/>
      <c r="C531" s="32"/>
      <c r="D531" s="32"/>
      <c r="E531" s="32"/>
      <c r="F531" s="43"/>
      <c r="K531" s="3" t="s">
        <v>2450</v>
      </c>
    </row>
    <row r="532" spans="1:34" ht="18.399999999999999" customHeight="1" x14ac:dyDescent="0.15">
      <c r="A532" s="40" t="str">
        <f>CONCATENATE("  패널(600*1200) :  0.095 매  * _x001D_28,500_x001D_=","ma+ "," :A")</f>
        <v xml:space="preserve">  패널(600*1200) :  0.095 매  * _x001D_28,500_x001D_=ma+  :A</v>
      </c>
      <c r="B532" s="32">
        <f>SUM($C532,$D532,$E532)</f>
        <v>2707</v>
      </c>
      <c r="C532" s="32">
        <f>$AB532</f>
        <v>2707</v>
      </c>
      <c r="D532" s="32"/>
      <c r="E532" s="32"/>
      <c r="F532" s="43" t="s">
        <v>2450</v>
      </c>
      <c r="K532" s="3" t="s">
        <v>1843</v>
      </c>
      <c r="AA532" s="37" t="s">
        <v>1805</v>
      </c>
      <c r="AB532" s="8">
        <f>TRUNC(0.095*자재!D3,0)</f>
        <v>2707</v>
      </c>
      <c r="AC532" s="37" t="s">
        <v>2029</v>
      </c>
      <c r="AD532" s="7">
        <f>$AB532</f>
        <v>2707</v>
      </c>
      <c r="AE532" s="36" t="s">
        <v>1684</v>
      </c>
      <c r="AF532" s="8">
        <f>$AB532</f>
        <v>2707</v>
      </c>
      <c r="AG532" s="36" t="s">
        <v>430</v>
      </c>
      <c r="AH532" s="7">
        <f>$AF532</f>
        <v>2707</v>
      </c>
    </row>
    <row r="533" spans="1:34" ht="18.399999999999999" customHeight="1" x14ac:dyDescent="0.15">
      <c r="A533" s="38" t="s">
        <v>2450</v>
      </c>
      <c r="B533" s="32"/>
      <c r="C533" s="32"/>
      <c r="D533" s="32"/>
      <c r="E533" s="32"/>
      <c r="F533" s="43"/>
      <c r="K533" s="3" t="s">
        <v>2450</v>
      </c>
    </row>
    <row r="534" spans="1:34" ht="18.399999999999999" customHeight="1" x14ac:dyDescent="0.15">
      <c r="A534" s="38" t="s">
        <v>328</v>
      </c>
      <c r="B534" s="33">
        <f>SUM($C534,$D534,$E534)</f>
        <v>2707</v>
      </c>
      <c r="C534" s="33">
        <f>$AB534</f>
        <v>2707</v>
      </c>
      <c r="D534" s="33">
        <f>$AD534</f>
        <v>0</v>
      </c>
      <c r="E534" s="33">
        <f>$AF534</f>
        <v>0</v>
      </c>
      <c r="F534" s="44"/>
      <c r="K534" s="3" t="s">
        <v>1519</v>
      </c>
      <c r="AA534" s="36" t="s">
        <v>1729</v>
      </c>
      <c r="AB534" s="7">
        <f>$AD532</f>
        <v>2707</v>
      </c>
    </row>
    <row r="535" spans="1:34" ht="18.399999999999999" customHeight="1" x14ac:dyDescent="0.15">
      <c r="A535" s="38" t="s">
        <v>2450</v>
      </c>
      <c r="B535" s="32"/>
      <c r="C535" s="32"/>
      <c r="D535" s="32"/>
      <c r="E535" s="32"/>
      <c r="F535" s="43"/>
      <c r="K535" s="3" t="s">
        <v>2450</v>
      </c>
    </row>
    <row r="536" spans="1:34" ht="18.399999999999999" customHeight="1" x14ac:dyDescent="0.15">
      <c r="A536" s="38" t="s">
        <v>2275</v>
      </c>
      <c r="B536" s="32"/>
      <c r="C536" s="32"/>
      <c r="D536" s="32"/>
      <c r="E536" s="32"/>
      <c r="F536" s="43"/>
      <c r="K536" s="3" t="s">
        <v>2275</v>
      </c>
    </row>
    <row r="537" spans="1:34" ht="18.399999999999999" customHeight="1" x14ac:dyDescent="0.15">
      <c r="A537" s="38" t="s">
        <v>2450</v>
      </c>
      <c r="B537" s="32"/>
      <c r="C537" s="32"/>
      <c r="D537" s="32"/>
      <c r="E537" s="32"/>
      <c r="F537" s="43"/>
      <c r="K537" s="3" t="s">
        <v>2450</v>
      </c>
    </row>
    <row r="538" spans="1:34" ht="18.399999999999999" customHeight="1" x14ac:dyDescent="0.15">
      <c r="A538" s="40" t="str">
        <f>CONCATENATE(TEXT($AB538,"#,##0.00")," * 0.29 =",TEXT($AF538,"#,##0.00"))</f>
        <v>2,707.00 * 0.29 =785.00</v>
      </c>
      <c r="B538" s="32">
        <f>SUM($C538,$D538,$E538)</f>
        <v>785</v>
      </c>
      <c r="C538" s="32">
        <f>$AF538</f>
        <v>785</v>
      </c>
      <c r="D538" s="32"/>
      <c r="E538" s="32"/>
      <c r="F538" s="43"/>
      <c r="K538" s="3" t="s">
        <v>1094</v>
      </c>
      <c r="AA538" s="36" t="s">
        <v>1338</v>
      </c>
      <c r="AB538" s="8">
        <f>$AH532</f>
        <v>2707</v>
      </c>
      <c r="AC538" s="36" t="s">
        <v>508</v>
      </c>
      <c r="AD538" s="7">
        <f>$AB538</f>
        <v>2707</v>
      </c>
      <c r="AE538" s="37" t="s">
        <v>1805</v>
      </c>
      <c r="AF538" s="8">
        <f>TRUNC($AD538*0.29,0)</f>
        <v>785</v>
      </c>
      <c r="AG538" s="37" t="s">
        <v>2029</v>
      </c>
      <c r="AH538" s="7">
        <f>$AD532+$AF538</f>
        <v>3492</v>
      </c>
    </row>
    <row r="539" spans="1:34" ht="18.399999999999999" customHeight="1" x14ac:dyDescent="0.15">
      <c r="A539" s="38" t="s">
        <v>2450</v>
      </c>
      <c r="B539" s="32"/>
      <c r="C539" s="32"/>
      <c r="D539" s="32"/>
      <c r="E539" s="32"/>
      <c r="F539" s="43"/>
      <c r="K539" s="3" t="s">
        <v>2450</v>
      </c>
    </row>
    <row r="540" spans="1:34" ht="18.399999999999999" customHeight="1" x14ac:dyDescent="0.15">
      <c r="A540" s="38" t="s">
        <v>328</v>
      </c>
      <c r="B540" s="33">
        <f>SUM($C540,$D540,$E540)</f>
        <v>785</v>
      </c>
      <c r="C540" s="33">
        <f>$AB540</f>
        <v>785</v>
      </c>
      <c r="D540" s="33">
        <f>$AD540</f>
        <v>0</v>
      </c>
      <c r="E540" s="33">
        <f>$AF540</f>
        <v>0</v>
      </c>
      <c r="F540" s="44"/>
      <c r="K540" s="3" t="s">
        <v>1519</v>
      </c>
      <c r="AA540" s="36" t="s">
        <v>1729</v>
      </c>
      <c r="AB540" s="7">
        <f>$AH538-$AD532</f>
        <v>785</v>
      </c>
    </row>
    <row r="541" spans="1:34" ht="18.399999999999999" customHeight="1" x14ac:dyDescent="0.15">
      <c r="A541" s="38" t="s">
        <v>2450</v>
      </c>
      <c r="B541" s="32"/>
      <c r="C541" s="32"/>
      <c r="D541" s="32"/>
      <c r="E541" s="32"/>
      <c r="F541" s="43"/>
      <c r="K541" s="3" t="s">
        <v>2450</v>
      </c>
    </row>
    <row r="542" spans="1:34" ht="18.399999999999999" customHeight="1" x14ac:dyDescent="0.15">
      <c r="A542" s="38" t="s">
        <v>1262</v>
      </c>
      <c r="B542" s="32"/>
      <c r="C542" s="32"/>
      <c r="D542" s="32"/>
      <c r="E542" s="32"/>
      <c r="F542" s="43"/>
      <c r="K542" s="3" t="s">
        <v>1262</v>
      </c>
    </row>
    <row r="543" spans="1:34" ht="18.399999999999999" customHeight="1" x14ac:dyDescent="0.15">
      <c r="A543" s="38" t="s">
        <v>2450</v>
      </c>
      <c r="B543" s="32"/>
      <c r="C543" s="32"/>
      <c r="D543" s="32"/>
      <c r="E543" s="32"/>
      <c r="F543" s="43"/>
      <c r="K543" s="3" t="s">
        <v>2450</v>
      </c>
    </row>
    <row r="544" spans="1:34" ht="18.399999999999999" customHeight="1" x14ac:dyDescent="0.15">
      <c r="A544" s="40" t="str">
        <f>CONCATENATE("  ○ 1일 시공량 :  A=",TEXT($AB544,"#,##0.00")," ㎡/일")</f>
        <v xml:space="preserve">  ○ 1일 시공량 :  A=40.00 ㎡/일</v>
      </c>
      <c r="B544" s="32"/>
      <c r="C544" s="32"/>
      <c r="D544" s="32"/>
      <c r="E544" s="32"/>
      <c r="F544" s="43"/>
      <c r="K544" s="10" t="str">
        <f>SUBSTITUTE(SUBSTITUTE(" _x001D_○ 1일 시공량 :_x001D_ A = 40_x001D_㎡/일_x001D_","40",TEXT($AB544,"#,##0"),1),"_x001D_","'")</f>
        <v xml:space="preserve"> '○ 1일 시공량 :' A = 40'㎡/일'</v>
      </c>
      <c r="AA544" s="36" t="s">
        <v>430</v>
      </c>
      <c r="AB544" s="6">
        <v>40</v>
      </c>
      <c r="AC544" s="36" t="s">
        <v>430</v>
      </c>
      <c r="AD544" s="7">
        <f>$AB544</f>
        <v>40</v>
      </c>
    </row>
    <row r="545" spans="1:34" ht="18.399999999999999" customHeight="1" x14ac:dyDescent="0.15">
      <c r="A545" s="38" t="s">
        <v>2450</v>
      </c>
      <c r="B545" s="32"/>
      <c r="C545" s="32"/>
      <c r="D545" s="32"/>
      <c r="E545" s="32"/>
      <c r="F545" s="43"/>
      <c r="K545" s="3" t="s">
        <v>2450</v>
      </c>
    </row>
    <row r="546" spans="1:34" ht="18.399999999999999" customHeight="1" x14ac:dyDescent="0.15">
      <c r="A546" s="40" t="str">
        <f>CONCATENATE("   형틀목공 :  4  인  / ",TEXT($AB546,"#,##0.00"),"  ㎡  * _x001D_275,790_x001D_ =",TEXT($AF546,"#,##0.00"))</f>
        <v xml:space="preserve">   형틀목공 :  4  인  / 40.00  ㎡  * _x001D_275,790_x001D_ =27,579.00</v>
      </c>
      <c r="B546" s="32">
        <f>SUM($C546,$D546,$E546)</f>
        <v>27579</v>
      </c>
      <c r="C546" s="32"/>
      <c r="D546" s="32">
        <f>$AF546</f>
        <v>27579</v>
      </c>
      <c r="E546" s="32"/>
      <c r="F546" s="43" t="s">
        <v>2450</v>
      </c>
      <c r="K546" s="3" t="s">
        <v>1891</v>
      </c>
      <c r="AA546" s="36" t="s">
        <v>1004</v>
      </c>
      <c r="AB546" s="8">
        <f>$AD544</f>
        <v>40</v>
      </c>
      <c r="AC546" s="36" t="s">
        <v>1974</v>
      </c>
      <c r="AD546" s="7">
        <f>$AB546</f>
        <v>40</v>
      </c>
      <c r="AE546" s="37" t="s">
        <v>265</v>
      </c>
      <c r="AF546" s="8">
        <f>TRUNC(4/$AD546*노임!D3,0)</f>
        <v>27579</v>
      </c>
      <c r="AG546" s="37" t="s">
        <v>972</v>
      </c>
      <c r="AH546" s="7">
        <f>$AF546</f>
        <v>27579</v>
      </c>
    </row>
    <row r="547" spans="1:34" ht="18.399999999999999" customHeight="1" x14ac:dyDescent="0.15">
      <c r="A547" s="38" t="s">
        <v>2450</v>
      </c>
      <c r="B547" s="32"/>
      <c r="C547" s="32"/>
      <c r="D547" s="32"/>
      <c r="E547" s="32"/>
      <c r="F547" s="43"/>
      <c r="K547" s="3" t="s">
        <v>2450</v>
      </c>
    </row>
    <row r="548" spans="1:34" ht="18.399999999999999" customHeight="1" x14ac:dyDescent="0.15">
      <c r="A548" s="40" t="str">
        <f>CONCATENATE("   보통인부 :  1  인  / ",TEXT($AB548,"#,##0.00"),"  ㎡ * _x001D_172,068_x001D_ =",TEXT($AF548,"#,##0.00"))</f>
        <v xml:space="preserve">   보통인부 :  1  인  / 40.00  ㎡ * _x001D_172,068_x001D_ =4,301.00</v>
      </c>
      <c r="B548" s="32">
        <f>SUM($C548,$D548,$E548)</f>
        <v>4301</v>
      </c>
      <c r="C548" s="32"/>
      <c r="D548" s="32">
        <f>$AF548</f>
        <v>4301</v>
      </c>
      <c r="E548" s="32"/>
      <c r="F548" s="43" t="s">
        <v>2450</v>
      </c>
      <c r="K548" s="3" t="s">
        <v>2436</v>
      </c>
      <c r="AA548" s="36" t="s">
        <v>2340</v>
      </c>
      <c r="AB548" s="8">
        <f>$AD544</f>
        <v>40</v>
      </c>
      <c r="AC548" s="36" t="s">
        <v>2424</v>
      </c>
      <c r="AD548" s="7">
        <f>$AB548</f>
        <v>40</v>
      </c>
      <c r="AE548" s="37" t="s">
        <v>265</v>
      </c>
      <c r="AF548" s="8">
        <f>TRUNC(1/$AD548*노임!D10,0)</f>
        <v>4301</v>
      </c>
      <c r="AG548" s="37" t="s">
        <v>972</v>
      </c>
      <c r="AH548" s="7">
        <f>$AH546+$AF548</f>
        <v>31880</v>
      </c>
    </row>
    <row r="549" spans="1:34" ht="18.399999999999999" customHeight="1" x14ac:dyDescent="0.15">
      <c r="A549" s="38" t="s">
        <v>2450</v>
      </c>
      <c r="B549" s="32"/>
      <c r="C549" s="32"/>
      <c r="D549" s="32"/>
      <c r="E549" s="32"/>
      <c r="F549" s="43"/>
      <c r="K549" s="3" t="s">
        <v>2450</v>
      </c>
    </row>
    <row r="550" spans="1:34" ht="18.399999999999999" customHeight="1" x14ac:dyDescent="0.15">
      <c r="A550" s="38" t="s">
        <v>328</v>
      </c>
      <c r="B550" s="33">
        <f>SUM($C550,$D550,$E550)</f>
        <v>31880</v>
      </c>
      <c r="C550" s="33">
        <f>$AB550</f>
        <v>0</v>
      </c>
      <c r="D550" s="33">
        <f>$AD550</f>
        <v>31880</v>
      </c>
      <c r="E550" s="33">
        <f>$AF550</f>
        <v>0</v>
      </c>
      <c r="F550" s="44"/>
      <c r="K550" s="3" t="s">
        <v>1519</v>
      </c>
      <c r="AA550" s="36" t="s">
        <v>1729</v>
      </c>
      <c r="AB550" s="7">
        <f>$AH538-$AH538</f>
        <v>0</v>
      </c>
      <c r="AC550" s="36" t="s">
        <v>71</v>
      </c>
      <c r="AD550" s="7">
        <f>$AH548</f>
        <v>31880</v>
      </c>
    </row>
    <row r="551" spans="1:34" ht="18.399999999999999" customHeight="1" x14ac:dyDescent="0.15">
      <c r="A551" s="38" t="s">
        <v>2450</v>
      </c>
      <c r="B551" s="32"/>
      <c r="C551" s="32"/>
      <c r="D551" s="32"/>
      <c r="E551" s="32"/>
      <c r="F551" s="43"/>
      <c r="K551" s="3" t="s">
        <v>2450</v>
      </c>
    </row>
    <row r="552" spans="1:34" ht="18.399999999999999" customHeight="1" x14ac:dyDescent="0.15">
      <c r="A552" s="38" t="s">
        <v>533</v>
      </c>
      <c r="B552" s="32"/>
      <c r="C552" s="32"/>
      <c r="D552" s="32"/>
      <c r="E552" s="32"/>
      <c r="F552" s="43"/>
      <c r="K552" s="3" t="s">
        <v>533</v>
      </c>
    </row>
    <row r="553" spans="1:34" ht="18.399999999999999" customHeight="1" x14ac:dyDescent="0.15">
      <c r="A553" s="38" t="s">
        <v>2450</v>
      </c>
      <c r="B553" s="32"/>
      <c r="C553" s="32"/>
      <c r="D553" s="32"/>
      <c r="E553" s="32"/>
      <c r="F553" s="43"/>
      <c r="K553" s="3" t="s">
        <v>2450</v>
      </c>
    </row>
    <row r="554" spans="1:34" ht="18.399999999999999" customHeight="1" x14ac:dyDescent="0.15">
      <c r="A554" s="40" t="str">
        <f>CONCATENATE("   _x001D_31,880_x001D_ * 0.03 =",TEXT($AB554,"#,##0.00"))</f>
        <v xml:space="preserve">   _x001D_31,880_x001D_ * 0.03 =956.00</v>
      </c>
      <c r="B554" s="32">
        <f>SUM($C554,$D554,$E554)</f>
        <v>956</v>
      </c>
      <c r="C554" s="32">
        <f>$AB554</f>
        <v>956</v>
      </c>
      <c r="D554" s="32"/>
      <c r="E554" s="32"/>
      <c r="F554" s="43" t="s">
        <v>2450</v>
      </c>
      <c r="K554" s="3" t="s">
        <v>2347</v>
      </c>
      <c r="AA554" s="37" t="s">
        <v>1805</v>
      </c>
      <c r="AB554" s="8">
        <f>TRUNC($AH548*0.03,0)</f>
        <v>956</v>
      </c>
      <c r="AC554" s="37" t="s">
        <v>2029</v>
      </c>
      <c r="AD554" s="7">
        <f>$AH538+$AB554</f>
        <v>4448</v>
      </c>
    </row>
    <row r="555" spans="1:34" ht="18.399999999999999" customHeight="1" x14ac:dyDescent="0.15">
      <c r="A555" s="38" t="s">
        <v>2450</v>
      </c>
      <c r="B555" s="32"/>
      <c r="C555" s="32"/>
      <c r="D555" s="32"/>
      <c r="E555" s="32"/>
      <c r="F555" s="43"/>
      <c r="K555" s="3" t="s">
        <v>2450</v>
      </c>
    </row>
    <row r="556" spans="1:34" ht="18.399999999999999" customHeight="1" x14ac:dyDescent="0.15">
      <c r="A556" s="38" t="s">
        <v>328</v>
      </c>
      <c r="B556" s="33">
        <f>SUM($C556,$D556,$E556)</f>
        <v>956</v>
      </c>
      <c r="C556" s="33">
        <f>$AB556</f>
        <v>956</v>
      </c>
      <c r="D556" s="33">
        <f>$AD556</f>
        <v>0</v>
      </c>
      <c r="E556" s="33">
        <f>$AF556</f>
        <v>0</v>
      </c>
      <c r="F556" s="44"/>
      <c r="K556" s="3" t="s">
        <v>1519</v>
      </c>
      <c r="AA556" s="36" t="s">
        <v>1729</v>
      </c>
      <c r="AB556" s="7">
        <f>$AD554-$AH538</f>
        <v>956</v>
      </c>
      <c r="AC556" s="36" t="s">
        <v>71</v>
      </c>
      <c r="AD556" s="7">
        <f>$AH548-$AH548</f>
        <v>0</v>
      </c>
    </row>
    <row r="557" spans="1:34" ht="18.399999999999999" customHeight="1" x14ac:dyDescent="0.15">
      <c r="A557" s="38" t="s">
        <v>2450</v>
      </c>
      <c r="B557" s="32"/>
      <c r="C557" s="32"/>
      <c r="D557" s="32"/>
      <c r="E557" s="32"/>
      <c r="F557" s="43"/>
      <c r="K557" s="3" t="s">
        <v>2450</v>
      </c>
    </row>
    <row r="558" spans="1:34" ht="18.399999999999999" customHeight="1" x14ac:dyDescent="0.15">
      <c r="A558" s="38" t="s">
        <v>2345</v>
      </c>
      <c r="B558" s="34">
        <f>SUM($C558,$D558,$E558)</f>
        <v>36328</v>
      </c>
      <c r="C558" s="34">
        <f>$AB558</f>
        <v>4448</v>
      </c>
      <c r="D558" s="34">
        <f>$AD558</f>
        <v>31880</v>
      </c>
      <c r="E558" s="34">
        <f>$AF558</f>
        <v>0</v>
      </c>
      <c r="F558" s="45"/>
      <c r="K558" s="3" t="s">
        <v>726</v>
      </c>
      <c r="AA558" s="36" t="s">
        <v>989</v>
      </c>
      <c r="AB558" s="7">
        <f>$AD554</f>
        <v>4448</v>
      </c>
      <c r="AC558" s="36" t="s">
        <v>2036</v>
      </c>
      <c r="AD558" s="7">
        <f>$AH548</f>
        <v>31880</v>
      </c>
    </row>
    <row r="559" spans="1:34" ht="18.399999999999999" customHeight="1" x14ac:dyDescent="0.15">
      <c r="A559" s="38"/>
      <c r="B559" s="3"/>
      <c r="C559" s="3"/>
      <c r="D559" s="3"/>
      <c r="E559" s="3"/>
      <c r="F559" s="42"/>
    </row>
    <row r="560" spans="1:34" ht="18.399999999999999" customHeight="1" x14ac:dyDescent="0.15">
      <c r="A560" s="41" t="s">
        <v>1388</v>
      </c>
      <c r="B560" s="35">
        <f>SUM($C560,$D560,$E560)</f>
        <v>36328</v>
      </c>
      <c r="C560" s="35">
        <f>TRUNC(SUM($AD554),0)</f>
        <v>4448</v>
      </c>
      <c r="D560" s="35">
        <f>TRUNC(SUM($AH548),0)</f>
        <v>31880</v>
      </c>
      <c r="E560" s="35">
        <v>0</v>
      </c>
      <c r="F560" s="47"/>
    </row>
    <row r="561" spans="1:34" ht="18.399999999999999" customHeight="1" x14ac:dyDescent="0.15">
      <c r="A561" s="38"/>
      <c r="B561" s="3"/>
      <c r="C561" s="3"/>
      <c r="D561" s="3"/>
      <c r="E561" s="3"/>
      <c r="F561" s="42"/>
    </row>
    <row r="562" spans="1:34" ht="18.399999999999999" customHeight="1" x14ac:dyDescent="0.15">
      <c r="A562" s="38" t="s">
        <v>1801</v>
      </c>
      <c r="B562" s="32">
        <f>$B595</f>
        <v>38069</v>
      </c>
      <c r="C562" s="32">
        <f>$C595</f>
        <v>12594</v>
      </c>
      <c r="D562" s="32">
        <f>$D595</f>
        <v>24713</v>
      </c>
      <c r="E562" s="32">
        <f>$E595</f>
        <v>762</v>
      </c>
      <c r="F562" s="42" t="s">
        <v>2450</v>
      </c>
      <c r="G562" t="s">
        <v>2450</v>
      </c>
      <c r="H562" t="s">
        <v>2353</v>
      </c>
      <c r="K562">
        <v>1</v>
      </c>
      <c r="Y562" s="7" t="b">
        <f>EXACT($Z562,$B595)</f>
        <v>1</v>
      </c>
      <c r="Z562" s="35">
        <v>38069</v>
      </c>
    </row>
    <row r="563" spans="1:34" ht="18.399999999999999" customHeight="1" x14ac:dyDescent="0.15">
      <c r="A563" s="39"/>
      <c r="B563" s="3"/>
      <c r="C563" s="3"/>
      <c r="D563" s="3"/>
      <c r="E563" s="3"/>
      <c r="F563" s="42"/>
    </row>
    <row r="564" spans="1:34" ht="18.399999999999999" customHeight="1" x14ac:dyDescent="0.15">
      <c r="A564" s="38" t="s">
        <v>2450</v>
      </c>
      <c r="B564" s="3"/>
      <c r="C564" s="3"/>
      <c r="D564" s="3"/>
      <c r="E564" s="3"/>
      <c r="F564" s="42"/>
      <c r="G564" t="s">
        <v>2450</v>
      </c>
      <c r="I564" t="s">
        <v>289</v>
      </c>
      <c r="J564" t="s">
        <v>2450</v>
      </c>
      <c r="K564" t="s">
        <v>2053</v>
      </c>
    </row>
    <row r="565" spans="1:34" ht="18.399999999999999" customHeight="1" x14ac:dyDescent="0.15">
      <c r="A565" s="38" t="s">
        <v>2220</v>
      </c>
      <c r="B565" s="32"/>
      <c r="C565" s="32"/>
      <c r="D565" s="32"/>
      <c r="E565" s="32"/>
      <c r="F565" s="43"/>
      <c r="K565" s="3" t="s">
        <v>2220</v>
      </c>
    </row>
    <row r="566" spans="1:34" ht="18.399999999999999" customHeight="1" x14ac:dyDescent="0.15">
      <c r="A566" s="38" t="s">
        <v>2450</v>
      </c>
      <c r="B566" s="32"/>
      <c r="C566" s="32"/>
      <c r="D566" s="32"/>
      <c r="E566" s="32"/>
      <c r="F566" s="43"/>
      <c r="K566" s="3" t="s">
        <v>2450</v>
      </c>
    </row>
    <row r="567" spans="1:34" ht="18.399999999999999" customHeight="1" x14ac:dyDescent="0.15">
      <c r="A567" s="38" t="s">
        <v>1590</v>
      </c>
      <c r="B567" s="32"/>
      <c r="C567" s="32"/>
      <c r="D567" s="32"/>
      <c r="E567" s="32"/>
      <c r="F567" s="43"/>
      <c r="K567" s="3" t="s">
        <v>1590</v>
      </c>
    </row>
    <row r="568" spans="1:34" ht="18.399999999999999" customHeight="1" x14ac:dyDescent="0.15">
      <c r="A568" s="38" t="s">
        <v>2450</v>
      </c>
      <c r="B568" s="32">
        <f>SUM($C568,$D568,$E568)</f>
        <v>0</v>
      </c>
      <c r="C568" s="32"/>
      <c r="D568" s="32"/>
      <c r="E568" s="32"/>
      <c r="F568" s="43"/>
      <c r="K568" s="3" t="s">
        <v>1336</v>
      </c>
      <c r="AA568" s="36" t="s">
        <v>1684</v>
      </c>
      <c r="AB568" s="8">
        <f>ROUND(0.8*0.8*3.14/4*0.2,2)</f>
        <v>0.1</v>
      </c>
      <c r="AC568" s="36" t="s">
        <v>430</v>
      </c>
      <c r="AD568" s="7">
        <f>$AB568</f>
        <v>0.1</v>
      </c>
      <c r="AE568" s="36" t="s">
        <v>1905</v>
      </c>
      <c r="AF568" s="8">
        <f>ROUND(ROUND(0.8*0.8*3.14/4*0.2,2),2)</f>
        <v>0.1</v>
      </c>
      <c r="AG568" s="36" t="s">
        <v>1186</v>
      </c>
      <c r="AH568" s="7">
        <f>$AF568</f>
        <v>0.1</v>
      </c>
    </row>
    <row r="569" spans="1:34" ht="18.399999999999999" customHeight="1" x14ac:dyDescent="0.15">
      <c r="A569" s="40" t="str">
        <f>CONCATENATE("   노 무 비:   _x001D_219,889_x001D_ * ",TEXT($AB569,"#,##0.00")," ㎥   =",TEXT($AF569,"#,##0.00"))</f>
        <v xml:space="preserve">   노 무 비:   _x001D_219,889_x001D_ * 0.10 ㎥   =21,988.00</v>
      </c>
      <c r="B569" s="32">
        <f>SUM($C569,$D569,$E569)</f>
        <v>21988</v>
      </c>
      <c r="C569" s="32"/>
      <c r="D569" s="32">
        <f>$AF569</f>
        <v>21988</v>
      </c>
      <c r="E569" s="32"/>
      <c r="F569" s="43" t="s">
        <v>2450</v>
      </c>
      <c r="K569" s="3" t="s">
        <v>556</v>
      </c>
      <c r="AA569" s="36" t="s">
        <v>1300</v>
      </c>
      <c r="AB569" s="8">
        <f>$AD568</f>
        <v>0.1</v>
      </c>
      <c r="AC569" s="36" t="s">
        <v>2205</v>
      </c>
      <c r="AD569" s="7">
        <f>$AB569</f>
        <v>0.1</v>
      </c>
      <c r="AE569" s="37" t="s">
        <v>265</v>
      </c>
      <c r="AF569" s="8">
        <f>TRUNC(일위대가목록!G45*$AD569,0)</f>
        <v>21988</v>
      </c>
      <c r="AG569" s="37" t="s">
        <v>972</v>
      </c>
      <c r="AH569" s="7">
        <f>$AF569</f>
        <v>21988</v>
      </c>
    </row>
    <row r="570" spans="1:34" ht="18.399999999999999" customHeight="1" x14ac:dyDescent="0.15">
      <c r="A570" s="38" t="s">
        <v>2450</v>
      </c>
      <c r="B570" s="32"/>
      <c r="C570" s="32"/>
      <c r="D570" s="32"/>
      <c r="E570" s="32"/>
      <c r="F570" s="43"/>
      <c r="K570" s="3" t="s">
        <v>2450</v>
      </c>
    </row>
    <row r="571" spans="1:34" ht="18.399999999999999" customHeight="1" x14ac:dyDescent="0.15">
      <c r="A571" s="40" t="str">
        <f>CONCATENATE("   재 료 비 :  _x001D_7,620_x001D_ * ",TEXT($AB571,"#,##0.00")," ㎥   =",TEXT($AF571,"#,##0.00"))</f>
        <v xml:space="preserve">   재 료 비 :  _x001D_7,620_x001D_ * 0.10 ㎥   =762.00</v>
      </c>
      <c r="B571" s="32">
        <f>SUM($C571,$D571,$E571)</f>
        <v>762</v>
      </c>
      <c r="C571" s="32">
        <f>$AF571</f>
        <v>762</v>
      </c>
      <c r="D571" s="32"/>
      <c r="E571" s="32"/>
      <c r="F571" s="43" t="s">
        <v>2450</v>
      </c>
      <c r="K571" s="3" t="s">
        <v>1411</v>
      </c>
      <c r="AA571" s="36" t="s">
        <v>1635</v>
      </c>
      <c r="AB571" s="8">
        <f>$AD568</f>
        <v>0.1</v>
      </c>
      <c r="AC571" s="36" t="s">
        <v>186</v>
      </c>
      <c r="AD571" s="7">
        <f>$AB571</f>
        <v>0.1</v>
      </c>
      <c r="AE571" s="37" t="s">
        <v>1805</v>
      </c>
      <c r="AF571" s="8">
        <f>TRUNC(일위대가목록!F45*$AD571,0)</f>
        <v>762</v>
      </c>
      <c r="AG571" s="37" t="s">
        <v>2029</v>
      </c>
      <c r="AH571" s="7">
        <f>$AF571</f>
        <v>762</v>
      </c>
    </row>
    <row r="572" spans="1:34" ht="18.399999999999999" customHeight="1" x14ac:dyDescent="0.15">
      <c r="A572" s="38" t="s">
        <v>2450</v>
      </c>
      <c r="B572" s="32"/>
      <c r="C572" s="32"/>
      <c r="D572" s="32"/>
      <c r="E572" s="32"/>
      <c r="F572" s="43"/>
      <c r="K572" s="3" t="s">
        <v>2450</v>
      </c>
    </row>
    <row r="573" spans="1:34" ht="18.399999999999999" customHeight="1" x14ac:dyDescent="0.15">
      <c r="A573" s="40" t="str">
        <f>CONCATENATE("   경    비 :  _x001D_7,620_x001D_ * ",TEXT($AB573,"#,##0.00")," ㎥   =",TEXT($AF573,"#,##0.00"))</f>
        <v xml:space="preserve">   경    비 :  _x001D_7,620_x001D_ * 0.10 ㎥   =762.00</v>
      </c>
      <c r="B573" s="32">
        <f>SUM($C573,$D573,$E573)</f>
        <v>762</v>
      </c>
      <c r="C573" s="32"/>
      <c r="D573" s="32"/>
      <c r="E573" s="32">
        <f>$AF573</f>
        <v>762</v>
      </c>
      <c r="F573" s="43" t="s">
        <v>2450</v>
      </c>
      <c r="K573" s="3" t="s">
        <v>1849</v>
      </c>
      <c r="AA573" s="36" t="s">
        <v>412</v>
      </c>
      <c r="AB573" s="8">
        <f>$AD568</f>
        <v>0.1</v>
      </c>
      <c r="AC573" s="36" t="s">
        <v>1065</v>
      </c>
      <c r="AD573" s="7">
        <f>$AB573</f>
        <v>0.1</v>
      </c>
      <c r="AE573" s="37" t="s">
        <v>815</v>
      </c>
      <c r="AF573" s="8">
        <f>TRUNC(일위대가목록!F45*$AD573,0)</f>
        <v>762</v>
      </c>
      <c r="AG573" s="37" t="s">
        <v>1302</v>
      </c>
      <c r="AH573" s="7">
        <f>$AF573</f>
        <v>762</v>
      </c>
    </row>
    <row r="574" spans="1:34" ht="18.399999999999999" customHeight="1" x14ac:dyDescent="0.15">
      <c r="A574" s="38" t="s">
        <v>2450</v>
      </c>
      <c r="B574" s="32"/>
      <c r="C574" s="32"/>
      <c r="D574" s="32"/>
      <c r="E574" s="32"/>
      <c r="F574" s="43"/>
      <c r="K574" s="3" t="s">
        <v>2450</v>
      </c>
    </row>
    <row r="575" spans="1:34" ht="18.399999999999999" customHeight="1" x14ac:dyDescent="0.15">
      <c r="A575" s="38" t="s">
        <v>2071</v>
      </c>
      <c r="B575" s="33">
        <f>SUM($C575,$D575,$E575)</f>
        <v>23512</v>
      </c>
      <c r="C575" s="33">
        <f>$AB575</f>
        <v>762</v>
      </c>
      <c r="D575" s="33">
        <f>$AD575</f>
        <v>21988</v>
      </c>
      <c r="E575" s="33">
        <f>$AF575</f>
        <v>762</v>
      </c>
      <c r="F575" s="44"/>
      <c r="K575" s="3" t="s">
        <v>1424</v>
      </c>
      <c r="AA575" s="36" t="s">
        <v>1729</v>
      </c>
      <c r="AB575" s="7">
        <f>$AH571</f>
        <v>762</v>
      </c>
      <c r="AC575" s="36" t="s">
        <v>71</v>
      </c>
      <c r="AD575" s="7">
        <f>$AH569</f>
        <v>21988</v>
      </c>
      <c r="AE575" s="36" t="s">
        <v>2236</v>
      </c>
      <c r="AF575" s="7">
        <f>$AH573</f>
        <v>762</v>
      </c>
    </row>
    <row r="576" spans="1:34" ht="18.399999999999999" customHeight="1" x14ac:dyDescent="0.15">
      <c r="A576" s="38" t="s">
        <v>2450</v>
      </c>
      <c r="B576" s="32"/>
      <c r="C576" s="32"/>
      <c r="D576" s="32"/>
      <c r="E576" s="32"/>
      <c r="F576" s="43"/>
      <c r="K576" s="3" t="s">
        <v>2450</v>
      </c>
    </row>
    <row r="577" spans="1:34" ht="18.399999999999999" customHeight="1" x14ac:dyDescent="0.15">
      <c r="A577" s="38" t="s">
        <v>1579</v>
      </c>
      <c r="B577" s="32"/>
      <c r="C577" s="32"/>
      <c r="D577" s="32"/>
      <c r="E577" s="32"/>
      <c r="F577" s="43"/>
      <c r="K577" s="3" t="s">
        <v>1579</v>
      </c>
    </row>
    <row r="578" spans="1:34" ht="18.399999999999999" customHeight="1" x14ac:dyDescent="0.15">
      <c r="A578" s="38" t="s">
        <v>2450</v>
      </c>
      <c r="B578" s="32"/>
      <c r="C578" s="32"/>
      <c r="D578" s="32"/>
      <c r="E578" s="32"/>
      <c r="F578" s="43"/>
      <c r="K578" s="3" t="s">
        <v>2450</v>
      </c>
    </row>
    <row r="579" spans="1:34" ht="18.399999999999999" customHeight="1" x14ac:dyDescent="0.15">
      <c r="A579" s="40" t="str">
        <f>CONCATENATE("     S=",TEXT($AB579,"#,##0.000"),"  ㎥")</f>
        <v xml:space="preserve">     S=0.024  ㎥</v>
      </c>
      <c r="B579" s="32"/>
      <c r="C579" s="32"/>
      <c r="D579" s="32"/>
      <c r="E579" s="32"/>
      <c r="F579" s="43"/>
      <c r="K579" s="10" t="str">
        <f>SUBSTITUTE(SUBSTITUTE("     S = 0.024 _x001D_㎥_x001D_","0.024",TEXT($AB579,"#,##0.000"),1),"_x001D_","'")</f>
        <v xml:space="preserve">     S = 0.024 '㎥'</v>
      </c>
      <c r="AA579" s="36" t="s">
        <v>560</v>
      </c>
      <c r="AB579" s="6">
        <v>2.4E-2</v>
      </c>
      <c r="AC579" s="36" t="s">
        <v>560</v>
      </c>
      <c r="AD579" s="7">
        <f>$AB579</f>
        <v>2.4E-2</v>
      </c>
    </row>
    <row r="580" spans="1:34" ht="18.399999999999999" customHeight="1" x14ac:dyDescent="0.15">
      <c r="A580" s="38" t="s">
        <v>2450</v>
      </c>
      <c r="B580" s="32"/>
      <c r="C580" s="32"/>
      <c r="D580" s="32"/>
      <c r="E580" s="32"/>
      <c r="F580" s="43"/>
      <c r="K580" s="3" t="s">
        <v>2450</v>
      </c>
    </row>
    <row r="581" spans="1:34" ht="18.399999999999999" customHeight="1" x14ac:dyDescent="0.15">
      <c r="A581" s="40" t="str">
        <f>CONCATENATE("     노무비 :  ",TEXT($AB581,"#,##0.00")," ㎥  * _x001D_113,564_x001D_ =",TEXT($AF581,"#,##0.00"))</f>
        <v xml:space="preserve">     노무비 :  0.02 ㎥  * _x001D_113,564_x001D_ =2,725.00</v>
      </c>
      <c r="B581" s="32">
        <f>SUM($C581,$D581,$E581)</f>
        <v>2725</v>
      </c>
      <c r="C581" s="32"/>
      <c r="D581" s="32">
        <f>$AF581</f>
        <v>2725</v>
      </c>
      <c r="E581" s="32"/>
      <c r="F581" s="43" t="s">
        <v>2450</v>
      </c>
      <c r="K581" s="3" t="s">
        <v>492</v>
      </c>
      <c r="AA581" s="36" t="s">
        <v>326</v>
      </c>
      <c r="AB581" s="8">
        <f>$AD579</f>
        <v>2.4E-2</v>
      </c>
      <c r="AC581" s="36" t="s">
        <v>1841</v>
      </c>
      <c r="AD581" s="7">
        <f>$AB581</f>
        <v>2.4E-2</v>
      </c>
      <c r="AE581" s="37" t="s">
        <v>265</v>
      </c>
      <c r="AF581" s="8">
        <f>TRUNC($AD581*일위대가목록!G46,0)</f>
        <v>2725</v>
      </c>
      <c r="AG581" s="37" t="s">
        <v>972</v>
      </c>
      <c r="AH581" s="7">
        <f>$AH569+$AF581</f>
        <v>24713</v>
      </c>
    </row>
    <row r="582" spans="1:34" ht="18.399999999999999" customHeight="1" x14ac:dyDescent="0.15">
      <c r="A582" s="38" t="s">
        <v>2450</v>
      </c>
      <c r="B582" s="32"/>
      <c r="C582" s="32"/>
      <c r="D582" s="32"/>
      <c r="E582" s="32"/>
      <c r="F582" s="43"/>
      <c r="K582" s="3" t="s">
        <v>2450</v>
      </c>
    </row>
    <row r="583" spans="1:34" ht="18.399999999999999" customHeight="1" x14ac:dyDescent="0.15">
      <c r="A583" s="40" t="str">
        <f>CONCATENATE("     재료비 :  ",TEXT($AB583,"#,##0.00")," ㎥  * _x001D_128,417_x001D_ =",TEXT($AF583,"#,##0.00"))</f>
        <v xml:space="preserve">     재료비 :  0.02 ㎥  * _x001D_128,417_x001D_ =3,082.00</v>
      </c>
      <c r="B583" s="32">
        <f>SUM($C583,$D583,$E583)</f>
        <v>3082</v>
      </c>
      <c r="C583" s="32">
        <f>$AF583</f>
        <v>3082</v>
      </c>
      <c r="D583" s="32"/>
      <c r="E583" s="32"/>
      <c r="F583" s="43" t="s">
        <v>2450</v>
      </c>
      <c r="K583" s="3" t="s">
        <v>54</v>
      </c>
      <c r="AA583" s="36" t="s">
        <v>1597</v>
      </c>
      <c r="AB583" s="8">
        <f>$AD579</f>
        <v>2.4E-2</v>
      </c>
      <c r="AC583" s="36" t="s">
        <v>1810</v>
      </c>
      <c r="AD583" s="7">
        <f>$AB583</f>
        <v>2.4E-2</v>
      </c>
      <c r="AE583" s="37" t="s">
        <v>1805</v>
      </c>
      <c r="AF583" s="8">
        <f>TRUNC($AD583*일위대가목록!F46,0)</f>
        <v>3082</v>
      </c>
      <c r="AG583" s="37" t="s">
        <v>2029</v>
      </c>
      <c r="AH583" s="7">
        <f>$AH571+$AF583</f>
        <v>3844</v>
      </c>
    </row>
    <row r="584" spans="1:34" ht="18.399999999999999" customHeight="1" x14ac:dyDescent="0.15">
      <c r="A584" s="38" t="s">
        <v>2450</v>
      </c>
      <c r="B584" s="32"/>
      <c r="C584" s="32"/>
      <c r="D584" s="32"/>
      <c r="E584" s="32"/>
      <c r="F584" s="43"/>
      <c r="K584" s="3" t="s">
        <v>2450</v>
      </c>
    </row>
    <row r="585" spans="1:34" ht="18.399999999999999" customHeight="1" x14ac:dyDescent="0.15">
      <c r="A585" s="38" t="s">
        <v>2071</v>
      </c>
      <c r="B585" s="33">
        <f>SUM($C585,$D585,$E585)</f>
        <v>5807</v>
      </c>
      <c r="C585" s="33">
        <f>$AB585</f>
        <v>3082</v>
      </c>
      <c r="D585" s="33">
        <f>$AD585</f>
        <v>2725</v>
      </c>
      <c r="E585" s="33">
        <f>$AF585</f>
        <v>0</v>
      </c>
      <c r="F585" s="44"/>
      <c r="K585" s="3" t="s">
        <v>1424</v>
      </c>
      <c r="AA585" s="36" t="s">
        <v>1729</v>
      </c>
      <c r="AB585" s="7">
        <f>$AH583-$AH571</f>
        <v>3082</v>
      </c>
      <c r="AC585" s="36" t="s">
        <v>71</v>
      </c>
      <c r="AD585" s="7">
        <f>$AH581-$AH569</f>
        <v>2725</v>
      </c>
      <c r="AE585" s="36" t="s">
        <v>2236</v>
      </c>
      <c r="AF585" s="7">
        <f>$AH573-$AH573</f>
        <v>0</v>
      </c>
    </row>
    <row r="586" spans="1:34" ht="18.399999999999999" customHeight="1" x14ac:dyDescent="0.15">
      <c r="A586" s="38" t="s">
        <v>2450</v>
      </c>
      <c r="B586" s="32"/>
      <c r="C586" s="32"/>
      <c r="D586" s="32"/>
      <c r="E586" s="32"/>
      <c r="F586" s="43"/>
      <c r="K586" s="3" t="s">
        <v>2450</v>
      </c>
    </row>
    <row r="587" spans="1:34" ht="18.399999999999999" customHeight="1" x14ac:dyDescent="0.15">
      <c r="A587" s="38" t="s">
        <v>384</v>
      </c>
      <c r="B587" s="32"/>
      <c r="C587" s="32"/>
      <c r="D587" s="32"/>
      <c r="E587" s="32"/>
      <c r="F587" s="43"/>
      <c r="K587" s="3" t="s">
        <v>384</v>
      </c>
    </row>
    <row r="588" spans="1:34" ht="18.399999999999999" customHeight="1" x14ac:dyDescent="0.15">
      <c r="A588" s="38" t="s">
        <v>2450</v>
      </c>
      <c r="B588" s="32"/>
      <c r="C588" s="32"/>
      <c r="D588" s="32"/>
      <c r="E588" s="32"/>
      <c r="F588" s="43"/>
      <c r="K588" s="3" t="s">
        <v>2450</v>
      </c>
    </row>
    <row r="589" spans="1:34" ht="18.399999999999999" customHeight="1" x14ac:dyDescent="0.15">
      <c r="A589" s="40" t="str">
        <f>CONCATENATE("     재 료 비:  2.5 m  * 3500 =",TEXT($AB589,"#,##0.00"))</f>
        <v xml:space="preserve">     재 료 비:  2.5 m  * 3500 =8,750.00</v>
      </c>
      <c r="B589" s="32">
        <f>SUM($C589,$D589,$E589)</f>
        <v>8750</v>
      </c>
      <c r="C589" s="32">
        <f>$AB589</f>
        <v>8750</v>
      </c>
      <c r="D589" s="32"/>
      <c r="E589" s="32"/>
      <c r="F589" s="43"/>
      <c r="K589" s="3" t="s">
        <v>2256</v>
      </c>
      <c r="AA589" s="37" t="s">
        <v>1805</v>
      </c>
      <c r="AB589" s="8">
        <f>TRUNC(2.5*3500,0)</f>
        <v>8750</v>
      </c>
      <c r="AC589" s="37" t="s">
        <v>2029</v>
      </c>
      <c r="AD589" s="7">
        <f>$AH583+$AB589</f>
        <v>12594</v>
      </c>
    </row>
    <row r="590" spans="1:34" ht="18.399999999999999" customHeight="1" x14ac:dyDescent="0.15">
      <c r="A590" s="38" t="s">
        <v>2450</v>
      </c>
      <c r="B590" s="32"/>
      <c r="C590" s="32"/>
      <c r="D590" s="32"/>
      <c r="E590" s="32"/>
      <c r="F590" s="43"/>
      <c r="K590" s="3" t="s">
        <v>2450</v>
      </c>
    </row>
    <row r="591" spans="1:34" ht="18.399999999999999" customHeight="1" x14ac:dyDescent="0.15">
      <c r="A591" s="38" t="s">
        <v>2071</v>
      </c>
      <c r="B591" s="33">
        <f>SUM($C591,$D591,$E591)</f>
        <v>8750</v>
      </c>
      <c r="C591" s="33">
        <f>$AB591</f>
        <v>8750</v>
      </c>
      <c r="D591" s="33">
        <f>$AD591</f>
        <v>0</v>
      </c>
      <c r="E591" s="33">
        <f>$AF591</f>
        <v>0</v>
      </c>
      <c r="F591" s="44"/>
      <c r="K591" s="3" t="s">
        <v>1424</v>
      </c>
      <c r="AA591" s="36" t="s">
        <v>1729</v>
      </c>
      <c r="AB591" s="7">
        <f>$AD589-$AH583</f>
        <v>8750</v>
      </c>
      <c r="AC591" s="36" t="s">
        <v>71</v>
      </c>
      <c r="AD591" s="7">
        <f>$AH581-$AH581</f>
        <v>0</v>
      </c>
      <c r="AE591" s="36" t="s">
        <v>2236</v>
      </c>
      <c r="AF591" s="7">
        <f>$AH573-$AH573</f>
        <v>0</v>
      </c>
    </row>
    <row r="592" spans="1:34" ht="18.399999999999999" customHeight="1" x14ac:dyDescent="0.15">
      <c r="A592" s="38" t="s">
        <v>2450</v>
      </c>
      <c r="B592" s="32"/>
      <c r="C592" s="32"/>
      <c r="D592" s="32"/>
      <c r="E592" s="32"/>
      <c r="F592" s="43"/>
      <c r="K592" s="3" t="s">
        <v>2450</v>
      </c>
    </row>
    <row r="593" spans="1:34" ht="18.399999999999999" customHeight="1" x14ac:dyDescent="0.15">
      <c r="A593" s="38" t="s">
        <v>1865</v>
      </c>
      <c r="B593" s="34">
        <f>SUM($C593,$D593,$E593)</f>
        <v>38069</v>
      </c>
      <c r="C593" s="34">
        <f>$AB593</f>
        <v>12594</v>
      </c>
      <c r="D593" s="34">
        <f>$AD593</f>
        <v>24713</v>
      </c>
      <c r="E593" s="34">
        <f>$AF593</f>
        <v>762</v>
      </c>
      <c r="F593" s="45"/>
      <c r="K593" s="3" t="s">
        <v>1617</v>
      </c>
      <c r="AA593" s="36" t="s">
        <v>989</v>
      </c>
      <c r="AB593" s="7">
        <f>$AD589</f>
        <v>12594</v>
      </c>
      <c r="AC593" s="36" t="s">
        <v>2036</v>
      </c>
      <c r="AD593" s="7">
        <f>$AH581</f>
        <v>24713</v>
      </c>
      <c r="AE593" s="36" t="s">
        <v>585</v>
      </c>
      <c r="AF593" s="7">
        <f>$AH573</f>
        <v>762</v>
      </c>
    </row>
    <row r="594" spans="1:34" ht="18.399999999999999" customHeight="1" x14ac:dyDescent="0.15">
      <c r="A594" s="38"/>
      <c r="B594" s="3"/>
      <c r="C594" s="3"/>
      <c r="D594" s="3"/>
      <c r="E594" s="3"/>
      <c r="F594" s="42"/>
    </row>
    <row r="595" spans="1:34" ht="18.399999999999999" customHeight="1" x14ac:dyDescent="0.15">
      <c r="A595" s="41" t="s">
        <v>1388</v>
      </c>
      <c r="B595" s="35">
        <f>SUM($C595,$D595,$E595)</f>
        <v>38069</v>
      </c>
      <c r="C595" s="35">
        <f>TRUNC(SUM($AD589),0)</f>
        <v>12594</v>
      </c>
      <c r="D595" s="35">
        <f>TRUNC(SUM($AH581),0)</f>
        <v>24713</v>
      </c>
      <c r="E595" s="35">
        <f>TRUNC(SUM($AH573),0)</f>
        <v>762</v>
      </c>
      <c r="F595" s="47"/>
    </row>
    <row r="596" spans="1:34" ht="18.399999999999999" customHeight="1" x14ac:dyDescent="0.15">
      <c r="A596" s="38"/>
      <c r="B596" s="3"/>
      <c r="C596" s="3"/>
      <c r="D596" s="3"/>
      <c r="E596" s="3"/>
      <c r="F596" s="42"/>
    </row>
    <row r="597" spans="1:34" ht="18.399999999999999" customHeight="1" x14ac:dyDescent="0.15">
      <c r="A597" s="38" t="s">
        <v>1504</v>
      </c>
      <c r="B597" s="32">
        <f>$B741</f>
        <v>517093</v>
      </c>
      <c r="C597" s="32">
        <f>$C741</f>
        <v>146660</v>
      </c>
      <c r="D597" s="32">
        <f>$D741</f>
        <v>332396</v>
      </c>
      <c r="E597" s="32">
        <f>$E741</f>
        <v>38037</v>
      </c>
      <c r="F597" s="42" t="s">
        <v>2450</v>
      </c>
      <c r="G597" t="s">
        <v>2450</v>
      </c>
      <c r="H597" t="s">
        <v>2405</v>
      </c>
      <c r="K597">
        <v>1</v>
      </c>
      <c r="Y597" s="7" t="b">
        <f>EXACT($Z597,$B741)</f>
        <v>1</v>
      </c>
      <c r="Z597" s="35">
        <v>517093</v>
      </c>
    </row>
    <row r="598" spans="1:34" ht="18.399999999999999" customHeight="1" x14ac:dyDescent="0.15">
      <c r="A598" s="39"/>
      <c r="B598" s="3"/>
      <c r="C598" s="3"/>
      <c r="D598" s="3"/>
      <c r="E598" s="3"/>
      <c r="F598" s="42"/>
    </row>
    <row r="599" spans="1:34" ht="18.399999999999999" customHeight="1" x14ac:dyDescent="0.15">
      <c r="A599" s="38" t="s">
        <v>2450</v>
      </c>
      <c r="B599" s="3"/>
      <c r="C599" s="3"/>
      <c r="D599" s="3"/>
      <c r="E599" s="3"/>
      <c r="F599" s="42"/>
      <c r="G599" t="s">
        <v>2450</v>
      </c>
      <c r="I599" t="s">
        <v>289</v>
      </c>
      <c r="J599" t="s">
        <v>2450</v>
      </c>
      <c r="K599" t="s">
        <v>2053</v>
      </c>
    </row>
    <row r="600" spans="1:34" ht="18.399999999999999" customHeight="1" x14ac:dyDescent="0.15">
      <c r="A600" s="38" t="s">
        <v>505</v>
      </c>
      <c r="B600" s="32"/>
      <c r="C600" s="32"/>
      <c r="D600" s="32"/>
      <c r="E600" s="32"/>
      <c r="F600" s="43"/>
      <c r="K600" s="3" t="s">
        <v>1312</v>
      </c>
    </row>
    <row r="601" spans="1:34" ht="18.399999999999999" customHeight="1" x14ac:dyDescent="0.15">
      <c r="A601" s="38" t="s">
        <v>2450</v>
      </c>
      <c r="B601" s="32"/>
      <c r="C601" s="32"/>
      <c r="D601" s="32"/>
      <c r="E601" s="32"/>
      <c r="F601" s="43"/>
      <c r="K601" s="3" t="s">
        <v>2450</v>
      </c>
    </row>
    <row r="602" spans="1:34" ht="18.399999999999999" customHeight="1" x14ac:dyDescent="0.15">
      <c r="A602" s="40" t="str">
        <f>CONCATENATE("   B=",TEXT($AB602,"#,##0.00")," m ,    H=",TEXT($AF602,"#,##0.00")," m")</f>
        <v xml:space="preserve">   B=2.84 m ,    H=3.80 m</v>
      </c>
      <c r="B602" s="32"/>
      <c r="C602" s="32"/>
      <c r="D602" s="32"/>
      <c r="E602" s="32"/>
      <c r="F602" s="43"/>
      <c r="K602" s="10" t="str">
        <f>SUBSTITUTE(SUBSTITUTE(SUBSTITUTE("   B=2.84_x001D_m_x001D_,    H=3.80_x001D_m_x001D_","2.84",TEXT($AB602,"#,##0.00"),1),"3.80",TEXT($AF602,"#,##0.00"),1),"_x001D_","'")</f>
        <v xml:space="preserve">   B=2.84'm',    H=3.80'm'</v>
      </c>
      <c r="AA602" s="36" t="s">
        <v>1853</v>
      </c>
      <c r="AB602" s="6">
        <v>2.84</v>
      </c>
      <c r="AC602" s="36" t="s">
        <v>1853</v>
      </c>
      <c r="AD602" s="7">
        <f>$AB602</f>
        <v>2.84</v>
      </c>
      <c r="AE602" s="36" t="s">
        <v>1591</v>
      </c>
      <c r="AF602" s="6">
        <v>3.8</v>
      </c>
      <c r="AG602" s="36" t="s">
        <v>1591</v>
      </c>
      <c r="AH602" s="7">
        <f>$AF602</f>
        <v>3.8</v>
      </c>
    </row>
    <row r="603" spans="1:34" ht="18.399999999999999" customHeight="1" x14ac:dyDescent="0.15">
      <c r="A603" s="38" t="s">
        <v>2450</v>
      </c>
      <c r="B603" s="32"/>
      <c r="C603" s="32"/>
      <c r="D603" s="32"/>
      <c r="E603" s="32"/>
      <c r="F603" s="43"/>
      <c r="K603" s="3" t="s">
        <v>2450</v>
      </c>
    </row>
    <row r="604" spans="1:34" ht="18.399999999999999" customHeight="1" x14ac:dyDescent="0.15">
      <c r="A604" s="40" t="str">
        <f>CONCATENATE("   Wt=",TEXT($AB604,"#,##0.0")," TON ,  L=",TEXT($AF604,"#,##0.0")," m")</f>
        <v xml:space="preserve">   Wt=38.1 TON ,  L=28.0 m</v>
      </c>
      <c r="B604" s="32"/>
      <c r="C604" s="32"/>
      <c r="D604" s="32"/>
      <c r="E604" s="32"/>
      <c r="F604" s="43"/>
      <c r="K604" s="10" t="str">
        <f>SUBSTITUTE(SUBSTITUTE(SUBSTITUTE("   Wt=38.1_x001D_TON_x001D_,  L=28.0_x001D_m_x001D_","38.1",TEXT($AB604,"#,##0.0"),1),"28.0",TEXT($AF604,"#,##0.0"),1),"_x001D_","'")</f>
        <v xml:space="preserve">   Wt=38.1'TON',  L=28.0'm'</v>
      </c>
      <c r="AA604" s="36" t="s">
        <v>893</v>
      </c>
      <c r="AB604" s="6">
        <v>38.1</v>
      </c>
      <c r="AC604" s="36" t="s">
        <v>893</v>
      </c>
      <c r="AD604" s="7">
        <f>$AB604</f>
        <v>38.1</v>
      </c>
      <c r="AE604" s="36" t="s">
        <v>2295</v>
      </c>
      <c r="AF604" s="6">
        <v>28</v>
      </c>
      <c r="AG604" s="36" t="s">
        <v>2295</v>
      </c>
      <c r="AH604" s="7">
        <f>$AF604</f>
        <v>28</v>
      </c>
    </row>
    <row r="605" spans="1:34" ht="18.399999999999999" customHeight="1" x14ac:dyDescent="0.15">
      <c r="A605" s="38" t="s">
        <v>2450</v>
      </c>
      <c r="B605" s="32"/>
      <c r="C605" s="32"/>
      <c r="D605" s="32"/>
      <c r="E605" s="32"/>
      <c r="F605" s="43"/>
      <c r="K605" s="3" t="s">
        <v>2450</v>
      </c>
    </row>
    <row r="606" spans="1:34" ht="18.399999999999999" customHeight="1" x14ac:dyDescent="0.15">
      <c r="A606" s="38" t="s">
        <v>773</v>
      </c>
      <c r="B606" s="32"/>
      <c r="C606" s="32"/>
      <c r="D606" s="32"/>
      <c r="E606" s="32"/>
      <c r="F606" s="43"/>
      <c r="K606" s="3" t="s">
        <v>28</v>
      </c>
    </row>
    <row r="607" spans="1:34" ht="18.399999999999999" customHeight="1" x14ac:dyDescent="0.15">
      <c r="A607" s="38" t="s">
        <v>2450</v>
      </c>
      <c r="B607" s="32"/>
      <c r="C607" s="32"/>
      <c r="D607" s="32"/>
      <c r="E607" s="32"/>
      <c r="F607" s="43"/>
      <c r="K607" s="3" t="s">
        <v>2450</v>
      </c>
    </row>
    <row r="608" spans="1:34" ht="18.399999999999999" customHeight="1" x14ac:dyDescent="0.15">
      <c r="A608" s="38" t="s">
        <v>601</v>
      </c>
      <c r="B608" s="32"/>
      <c r="C608" s="32"/>
      <c r="D608" s="32"/>
      <c r="E608" s="32"/>
      <c r="F608" s="43"/>
      <c r="K608" s="3" t="s">
        <v>60</v>
      </c>
    </row>
    <row r="609" spans="1:30" ht="18.399999999999999" customHeight="1" x14ac:dyDescent="0.15">
      <c r="A609" s="38" t="s">
        <v>2450</v>
      </c>
      <c r="B609" s="32"/>
      <c r="C609" s="32"/>
      <c r="D609" s="32"/>
      <c r="E609" s="32"/>
      <c r="F609" s="43"/>
      <c r="K609" s="3" t="s">
        <v>2450</v>
      </c>
    </row>
    <row r="610" spans="1:30" ht="18.399999999999999" customHeight="1" x14ac:dyDescent="0.15">
      <c r="A610" s="38" t="s">
        <v>1398</v>
      </c>
      <c r="B610" s="32"/>
      <c r="C610" s="32"/>
      <c r="D610" s="32"/>
      <c r="E610" s="32"/>
      <c r="F610" s="43"/>
      <c r="K610" s="3" t="s">
        <v>1224</v>
      </c>
    </row>
    <row r="611" spans="1:30" ht="18.399999999999999" customHeight="1" x14ac:dyDescent="0.15">
      <c r="A611" s="38" t="s">
        <v>2450</v>
      </c>
      <c r="B611" s="32"/>
      <c r="C611" s="32"/>
      <c r="D611" s="32"/>
      <c r="E611" s="32"/>
      <c r="F611" s="43"/>
      <c r="K611" s="3" t="s">
        <v>2450</v>
      </c>
    </row>
    <row r="612" spans="1:30" ht="18.399999999999999" customHeight="1" x14ac:dyDescent="0.15">
      <c r="A612" s="38" t="s">
        <v>632</v>
      </c>
      <c r="B612" s="32"/>
      <c r="C612" s="32"/>
      <c r="D612" s="32"/>
      <c r="E612" s="32"/>
      <c r="F612" s="43"/>
      <c r="K612" s="3" t="s">
        <v>232</v>
      </c>
    </row>
    <row r="613" spans="1:30" ht="18.399999999999999" customHeight="1" x14ac:dyDescent="0.15">
      <c r="A613" s="38" t="s">
        <v>2450</v>
      </c>
      <c r="B613" s="32"/>
      <c r="C613" s="32"/>
      <c r="D613" s="32"/>
      <c r="E613" s="32"/>
      <c r="F613" s="43"/>
      <c r="K613" s="3" t="s">
        <v>2450</v>
      </c>
    </row>
    <row r="614" spans="1:30" ht="18.399999999999999" customHeight="1" x14ac:dyDescent="0.15">
      <c r="A614" s="38" t="s">
        <v>1390</v>
      </c>
      <c r="B614" s="32"/>
      <c r="C614" s="32"/>
      <c r="D614" s="32"/>
      <c r="E614" s="32"/>
      <c r="F614" s="43"/>
      <c r="K614" s="3" t="s">
        <v>681</v>
      </c>
    </row>
    <row r="615" spans="1:30" ht="18.399999999999999" customHeight="1" x14ac:dyDescent="0.15">
      <c r="A615" s="38" t="s">
        <v>2450</v>
      </c>
      <c r="B615" s="32"/>
      <c r="C615" s="32"/>
      <c r="D615" s="32"/>
      <c r="E615" s="32"/>
      <c r="F615" s="43"/>
      <c r="K615" s="3" t="s">
        <v>2450</v>
      </c>
    </row>
    <row r="616" spans="1:30" ht="18.399999999999999" customHeight="1" x14ac:dyDescent="0.15">
      <c r="A616" s="38" t="s">
        <v>591</v>
      </c>
      <c r="B616" s="32"/>
      <c r="C616" s="32"/>
      <c r="D616" s="32"/>
      <c r="E616" s="32"/>
      <c r="F616" s="43"/>
      <c r="K616" s="3" t="s">
        <v>1860</v>
      </c>
    </row>
    <row r="617" spans="1:30" ht="18.399999999999999" customHeight="1" x14ac:dyDescent="0.15">
      <c r="A617" s="38" t="s">
        <v>2450</v>
      </c>
      <c r="B617" s="32"/>
      <c r="C617" s="32"/>
      <c r="D617" s="32"/>
      <c r="E617" s="32"/>
      <c r="F617" s="43"/>
      <c r="K617" s="3" t="s">
        <v>2450</v>
      </c>
    </row>
    <row r="618" spans="1:30" ht="18.399999999999999" customHeight="1" x14ac:dyDescent="0.15">
      <c r="A618" s="38" t="s">
        <v>255</v>
      </c>
      <c r="B618" s="32"/>
      <c r="C618" s="32"/>
      <c r="D618" s="32"/>
      <c r="E618" s="32"/>
      <c r="F618" s="43"/>
      <c r="K618" s="3" t="s">
        <v>1830</v>
      </c>
    </row>
    <row r="619" spans="1:30" ht="18.399999999999999" customHeight="1" x14ac:dyDescent="0.15">
      <c r="A619" s="38" t="s">
        <v>2450</v>
      </c>
      <c r="B619" s="32"/>
      <c r="C619" s="32"/>
      <c r="D619" s="32"/>
      <c r="E619" s="32"/>
      <c r="F619" s="43"/>
      <c r="K619" s="3" t="s">
        <v>2450</v>
      </c>
    </row>
    <row r="620" spans="1:30" ht="18.399999999999999" customHeight="1" x14ac:dyDescent="0.15">
      <c r="A620" s="40" t="str">
        <f>CONCATENATE("      t4=",TEXT($AB620,"#,##0.00")," 분/㎡(판넬압입계수)")</f>
        <v xml:space="preserve">      t4=6.25 분/㎡(판넬압입계수)</v>
      </c>
      <c r="B620" s="32"/>
      <c r="C620" s="32"/>
      <c r="D620" s="32"/>
      <c r="E620" s="32"/>
      <c r="F620" s="43"/>
      <c r="K620" s="10" t="str">
        <f>SUBSTITUTE(SUBSTITUTE("      t4=6.25_x001D_분/㎡(판넬압입계수)_x001D_","6.25",TEXT($AB620,"#,##0.00"),1),"_x001D_","'")</f>
        <v xml:space="preserve">      t4=6.25'분/㎡(판넬압입계수)'</v>
      </c>
      <c r="AA620" s="36" t="s">
        <v>1293</v>
      </c>
      <c r="AB620" s="6">
        <v>6.25</v>
      </c>
      <c r="AC620" s="36" t="s">
        <v>1293</v>
      </c>
      <c r="AD620" s="7">
        <f>$AB620</f>
        <v>6.25</v>
      </c>
    </row>
    <row r="621" spans="1:30" ht="18.399999999999999" customHeight="1" x14ac:dyDescent="0.15">
      <c r="A621" s="38" t="s">
        <v>2450</v>
      </c>
      <c r="B621" s="32"/>
      <c r="C621" s="32"/>
      <c r="D621" s="32"/>
      <c r="E621" s="32"/>
      <c r="F621" s="43"/>
      <c r="K621" s="3" t="s">
        <v>2450</v>
      </c>
    </row>
    <row r="622" spans="1:30" ht="18.399999999999999" customHeight="1" x14ac:dyDescent="0.15">
      <c r="A622" s="40" t="str">
        <f>CONCATENATE("      t5=",TEXT($AB622,"#,##0.0")," 분/㎡(판넬준비계수)")</f>
        <v xml:space="preserve">      t5=0.5 분/㎡(판넬준비계수)</v>
      </c>
      <c r="B622" s="32"/>
      <c r="C622" s="32"/>
      <c r="D622" s="32"/>
      <c r="E622" s="32"/>
      <c r="F622" s="43"/>
      <c r="K622" s="10" t="str">
        <f>SUBSTITUTE(SUBSTITUTE("      t5=0.5_x001D_분/㎡(판넬준비계수)_x001D_","0.5",TEXT($AB622,"#,##0.0"),1),"_x001D_","'")</f>
        <v xml:space="preserve">      t5=0.5'분/㎡(판넬준비계수)'</v>
      </c>
      <c r="AA622" s="36" t="s">
        <v>2261</v>
      </c>
      <c r="AB622" s="6">
        <v>0.5</v>
      </c>
      <c r="AC622" s="36" t="s">
        <v>2261</v>
      </c>
      <c r="AD622" s="7">
        <f>$AB622</f>
        <v>0.5</v>
      </c>
    </row>
    <row r="623" spans="1:30" ht="18.399999999999999" customHeight="1" x14ac:dyDescent="0.15">
      <c r="A623" s="38" t="s">
        <v>2450</v>
      </c>
      <c r="B623" s="32"/>
      <c r="C623" s="32"/>
      <c r="D623" s="32"/>
      <c r="E623" s="32"/>
      <c r="F623" s="43"/>
      <c r="K623" s="3" t="s">
        <v>2450</v>
      </c>
    </row>
    <row r="624" spans="1:30" ht="18.399999999999999" customHeight="1" x14ac:dyDescent="0.15">
      <c r="A624" s="40" t="str">
        <f>CONCATENATE("      t6=",TEXT($AB624,"#,##0.00")," 분/㎡(판넬인발계수)")</f>
        <v xml:space="preserve">      t6=5.25 분/㎡(판넬인발계수)</v>
      </c>
      <c r="B624" s="32"/>
      <c r="C624" s="32"/>
      <c r="D624" s="32"/>
      <c r="E624" s="32"/>
      <c r="F624" s="43"/>
      <c r="K624" s="10" t="str">
        <f>SUBSTITUTE(SUBSTITUTE("      t6=5.25_x001D_분/㎡(판넬인발계수)_x001D_","5.25",TEXT($AB624,"#,##0.00"),1),"_x001D_","'")</f>
        <v xml:space="preserve">      t6=5.25'분/㎡(판넬인발계수)'</v>
      </c>
      <c r="AA624" s="36" t="s">
        <v>20</v>
      </c>
      <c r="AB624" s="6">
        <v>5.25</v>
      </c>
      <c r="AC624" s="36" t="s">
        <v>20</v>
      </c>
      <c r="AD624" s="7">
        <f>$AB624</f>
        <v>5.25</v>
      </c>
    </row>
    <row r="625" spans="1:46" ht="18.399999999999999" customHeight="1" x14ac:dyDescent="0.15">
      <c r="A625" s="38" t="s">
        <v>2450</v>
      </c>
      <c r="B625" s="32"/>
      <c r="C625" s="32"/>
      <c r="D625" s="32"/>
      <c r="E625" s="32"/>
      <c r="F625" s="43"/>
      <c r="K625" s="3" t="s">
        <v>2450</v>
      </c>
    </row>
    <row r="626" spans="1:46" ht="18.399999999999999" customHeight="1" x14ac:dyDescent="0.15">
      <c r="A626" s="40" t="str">
        <f>CONCATENATE("      q=",TEXT($AB626,"#,##0.0"),",  K=",TEXT($AF626,"#,##0.0"))</f>
        <v xml:space="preserve">      q=0.7,  K=0.9</v>
      </c>
      <c r="B626" s="32"/>
      <c r="C626" s="32"/>
      <c r="D626" s="32"/>
      <c r="E626" s="32"/>
      <c r="F626" s="43"/>
      <c r="K626" s="10" t="str">
        <f>SUBSTITUTE(SUBSTITUTE(SUBSTITUTE("      q=0.7,  K=0.9","0.7",TEXT($AB626,"#,##0.0"),1),"0.9",TEXT($AF626,"#,##0.0"),1),"_x001D_","'")</f>
        <v xml:space="preserve">      q=0.7,  K=0.9</v>
      </c>
      <c r="AA626" s="36" t="s">
        <v>1686</v>
      </c>
      <c r="AB626" s="6">
        <v>0.7</v>
      </c>
      <c r="AC626" s="36" t="s">
        <v>1686</v>
      </c>
      <c r="AD626" s="7">
        <f>$AB626</f>
        <v>0.7</v>
      </c>
      <c r="AE626" s="36" t="s">
        <v>725</v>
      </c>
      <c r="AF626" s="6">
        <v>0.9</v>
      </c>
      <c r="AG626" s="36" t="s">
        <v>725</v>
      </c>
      <c r="AH626" s="7">
        <f>$AF626</f>
        <v>0.9</v>
      </c>
    </row>
    <row r="627" spans="1:46" ht="18.399999999999999" customHeight="1" x14ac:dyDescent="0.15">
      <c r="A627" s="38" t="s">
        <v>2450</v>
      </c>
      <c r="B627" s="32"/>
      <c r="C627" s="32"/>
      <c r="D627" s="32"/>
      <c r="E627" s="32"/>
      <c r="F627" s="43"/>
      <c r="K627" s="3" t="s">
        <v>2450</v>
      </c>
    </row>
    <row r="628" spans="1:46" ht="18.399999999999999" customHeight="1" x14ac:dyDescent="0.15">
      <c r="A628" s="40" t="str">
        <f>CONCATENATE("      E=",TEXT($AB628,"#,##0.00"),",  f=1/1.25= ",TEXT($AJ628,"#,##0.00"))</f>
        <v xml:space="preserve">      E=0.65,  f=1/1.25= 0.80</v>
      </c>
      <c r="B628" s="32">
        <f>SUM($C628,$D628,$E628)</f>
        <v>0</v>
      </c>
      <c r="C628" s="32"/>
      <c r="D628" s="32"/>
      <c r="E628" s="32"/>
      <c r="F628" s="43"/>
      <c r="K628" s="10" t="str">
        <f>SUBSTITUTE(SUBSTITUTE("      E=0.65,  f=1/1.25= ?","0.65",TEXT($AB628,"#,##0.00"),1),"_x001D_","'")</f>
        <v xml:space="preserve">      E=0.65,  f=1/1.25= ?</v>
      </c>
      <c r="AA628" s="36" t="s">
        <v>1179</v>
      </c>
      <c r="AB628" s="6">
        <v>0.65</v>
      </c>
      <c r="AC628" s="36" t="s">
        <v>1179</v>
      </c>
      <c r="AD628" s="7">
        <f>$AB628</f>
        <v>0.65</v>
      </c>
      <c r="AE628" s="36" t="s">
        <v>1551</v>
      </c>
      <c r="AF628" s="8">
        <f>ROUND(1/1.25,2)</f>
        <v>0.8</v>
      </c>
      <c r="AG628" s="36" t="s">
        <v>1406</v>
      </c>
      <c r="AH628" s="7">
        <f>$AF628</f>
        <v>0.8</v>
      </c>
      <c r="AI628" s="36" t="s">
        <v>458</v>
      </c>
      <c r="AJ628" s="8">
        <f>ROUND(ROUND(1/1.25,2),2)</f>
        <v>0.8</v>
      </c>
      <c r="AK628" s="36" t="s">
        <v>2084</v>
      </c>
      <c r="AL628" s="7">
        <f>$AJ628</f>
        <v>0.8</v>
      </c>
    </row>
    <row r="629" spans="1:46" ht="18.399999999999999" customHeight="1" x14ac:dyDescent="0.15">
      <c r="A629" s="38" t="s">
        <v>2450</v>
      </c>
      <c r="B629" s="32"/>
      <c r="C629" s="32"/>
      <c r="D629" s="32"/>
      <c r="E629" s="32"/>
      <c r="F629" s="43"/>
      <c r="K629" s="3" t="s">
        <v>2450</v>
      </c>
    </row>
    <row r="630" spans="1:46" ht="18.399999999999999" customHeight="1" x14ac:dyDescent="0.15">
      <c r="A630" s="40" t="str">
        <f>CONCATENATE("      Cm=",TEXT($AB630,"#,##0.00")," Sec(135)")</f>
        <v xml:space="preserve">      Cm=20.00 Sec(135)</v>
      </c>
      <c r="B630" s="32"/>
      <c r="C630" s="32"/>
      <c r="D630" s="32"/>
      <c r="E630" s="32"/>
      <c r="F630" s="43"/>
      <c r="K630" s="10" t="str">
        <f>SUBSTITUTE(SUBSTITUTE("      Cm=20_x001D_Sec(135)_x001D_","20",TEXT($AB630,"#,##0"),1),"_x001D_","'")</f>
        <v xml:space="preserve">      Cm=20'Sec(135)'</v>
      </c>
      <c r="AA630" s="36" t="s">
        <v>120</v>
      </c>
      <c r="AB630" s="6">
        <v>20</v>
      </c>
      <c r="AC630" s="36" t="s">
        <v>120</v>
      </c>
      <c r="AD630" s="7">
        <f>$AB630</f>
        <v>20</v>
      </c>
    </row>
    <row r="631" spans="1:46" ht="18.399999999999999" customHeight="1" x14ac:dyDescent="0.15">
      <c r="A631" s="38" t="s">
        <v>2450</v>
      </c>
      <c r="B631" s="32"/>
      <c r="C631" s="32"/>
      <c r="D631" s="32"/>
      <c r="E631" s="32"/>
      <c r="F631" s="43"/>
      <c r="K631" s="3" t="s">
        <v>2450</v>
      </c>
    </row>
    <row r="632" spans="1:46" ht="18.399999999999999" customHeight="1" x14ac:dyDescent="0.15">
      <c r="A632" s="40" t="str">
        <f>CONCATENATE("      Q=3600*q*K*f*E/Cm=",TEXT($AF632,"#,##0.00")," ㎥/Hr ")</f>
        <v xml:space="preserve">      Q=3600*q*K*f*E/Cm=58.97 ㎥/Hr </v>
      </c>
      <c r="B632" s="32">
        <f>SUM($C632,$D632,$E632)</f>
        <v>0</v>
      </c>
      <c r="C632" s="32"/>
      <c r="D632" s="32"/>
      <c r="E632" s="32"/>
      <c r="F632" s="43"/>
      <c r="K632" s="3" t="s">
        <v>258</v>
      </c>
      <c r="AA632" s="36" t="s">
        <v>461</v>
      </c>
      <c r="AB632" s="8">
        <f>ROUND(3600*$AD626*$AH626*$AH628*$AD628/$AD630,2)</f>
        <v>58.97</v>
      </c>
      <c r="AC632" s="36" t="s">
        <v>1686</v>
      </c>
      <c r="AD632" s="7">
        <f>$AB632</f>
        <v>58.97</v>
      </c>
      <c r="AE632" s="36" t="s">
        <v>174</v>
      </c>
      <c r="AF632" s="8">
        <f>ROUND(ROUND(3600*$AD626*$AH626*$AH628*$AD628/$AD630,2),2)</f>
        <v>58.97</v>
      </c>
      <c r="AG632" s="36" t="s">
        <v>2446</v>
      </c>
      <c r="AH632" s="7">
        <f>$AF632</f>
        <v>58.97</v>
      </c>
    </row>
    <row r="633" spans="1:46" ht="18.399999999999999" customHeight="1" x14ac:dyDescent="0.15">
      <c r="A633" s="38" t="s">
        <v>2450</v>
      </c>
      <c r="B633" s="32"/>
      <c r="C633" s="32"/>
      <c r="D633" s="32"/>
      <c r="E633" s="32"/>
      <c r="F633" s="43"/>
      <c r="K633" s="3" t="s">
        <v>2450</v>
      </c>
    </row>
    <row r="634" spans="1:46" ht="18.399999999999999" customHeight="1" x14ac:dyDescent="0.15">
      <c r="A634" s="40" t="str">
        <f>CONCATENATE("      T0=",TEXT($AB634,"#,##0.00"),"*",TEXT($AF634,"#,##0.00"),"*",TEXT($AJ634,"#,##0.00"),"/Q= ",TEXT($AR634,"#,##0.00"))</f>
        <v xml:space="preserve">      T0=28.00*2.84*3.80/Q= 5.12</v>
      </c>
      <c r="B634" s="32">
        <f>SUM($C634,$D634,$E634)</f>
        <v>0</v>
      </c>
      <c r="C634" s="32"/>
      <c r="D634" s="32"/>
      <c r="E634" s="32"/>
      <c r="F634" s="43"/>
      <c r="K634" s="3" t="s">
        <v>1475</v>
      </c>
      <c r="AA634" s="36" t="s">
        <v>1452</v>
      </c>
      <c r="AB634" s="8">
        <f>$AH604</f>
        <v>28</v>
      </c>
      <c r="AC634" s="36" t="s">
        <v>1169</v>
      </c>
      <c r="AD634" s="7">
        <f>$AB634</f>
        <v>28</v>
      </c>
      <c r="AE634" s="36" t="s">
        <v>723</v>
      </c>
      <c r="AF634" s="8">
        <f>$AD602</f>
        <v>2.84</v>
      </c>
      <c r="AG634" s="36" t="s">
        <v>1431</v>
      </c>
      <c r="AH634" s="7">
        <f>$AF634</f>
        <v>2.84</v>
      </c>
      <c r="AI634" s="36" t="s">
        <v>2380</v>
      </c>
      <c r="AJ634" s="8">
        <f>$AH602</f>
        <v>3.8</v>
      </c>
      <c r="AK634" s="36" t="s">
        <v>2328</v>
      </c>
      <c r="AL634" s="7">
        <f>$AJ634</f>
        <v>3.8</v>
      </c>
      <c r="AM634" s="36" t="s">
        <v>1386</v>
      </c>
      <c r="AN634" s="8">
        <f>ROUND($AD634*$AH634*$AL634/$AD632,2)</f>
        <v>5.12</v>
      </c>
      <c r="AO634" s="36" t="s">
        <v>2124</v>
      </c>
      <c r="AP634" s="7">
        <f>$AN634</f>
        <v>5.12</v>
      </c>
      <c r="AQ634" s="36" t="s">
        <v>2227</v>
      </c>
      <c r="AR634" s="8">
        <f>ROUND(ROUND($AD634*$AH634*$AL634/$AD632,2),2)</f>
        <v>5.12</v>
      </c>
      <c r="AS634" s="36" t="s">
        <v>740</v>
      </c>
      <c r="AT634" s="7">
        <f>$AR634</f>
        <v>5.12</v>
      </c>
    </row>
    <row r="635" spans="1:46" ht="18.399999999999999" customHeight="1" x14ac:dyDescent="0.15">
      <c r="A635" s="38" t="s">
        <v>2450</v>
      </c>
      <c r="B635" s="32"/>
      <c r="C635" s="32"/>
      <c r="D635" s="32"/>
      <c r="E635" s="32"/>
      <c r="F635" s="43"/>
      <c r="K635" s="3" t="s">
        <v>2450</v>
      </c>
    </row>
    <row r="636" spans="1:46" ht="18.399999999999999" customHeight="1" x14ac:dyDescent="0.15">
      <c r="A636" s="40" t="str">
        <f>CONCATENATE("      T1=(2*L*H*t4)/60= ",TEXT($AF636,"#,##0.00"))</f>
        <v xml:space="preserve">      T1=(2*L*H*t4)/60= 22.17</v>
      </c>
      <c r="B636" s="32">
        <f>SUM($C636,$D636,$E636)</f>
        <v>0</v>
      </c>
      <c r="C636" s="32"/>
      <c r="D636" s="32"/>
      <c r="E636" s="32"/>
      <c r="F636" s="43"/>
      <c r="K636" s="3" t="s">
        <v>1533</v>
      </c>
      <c r="AA636" s="36" t="s">
        <v>331</v>
      </c>
      <c r="AB636" s="8">
        <f>ROUND((2*$AH604*$AH602*$AD620)/60,2)</f>
        <v>22.17</v>
      </c>
      <c r="AC636" s="36" t="s">
        <v>1767</v>
      </c>
      <c r="AD636" s="7">
        <f>$AB636</f>
        <v>22.17</v>
      </c>
      <c r="AE636" s="36" t="s">
        <v>287</v>
      </c>
      <c r="AF636" s="8">
        <f>ROUND(ROUND((2*$AH604*$AH602*$AD620)/60,2),2)</f>
        <v>22.17</v>
      </c>
      <c r="AG636" s="36" t="s">
        <v>49</v>
      </c>
      <c r="AH636" s="7">
        <f>$AF636</f>
        <v>22.17</v>
      </c>
    </row>
    <row r="637" spans="1:46" ht="18.399999999999999" customHeight="1" x14ac:dyDescent="0.15">
      <c r="A637" s="38" t="s">
        <v>2450</v>
      </c>
      <c r="B637" s="32"/>
      <c r="C637" s="32"/>
      <c r="D637" s="32"/>
      <c r="E637" s="32"/>
      <c r="F637" s="43"/>
      <c r="K637" s="3" t="s">
        <v>2450</v>
      </c>
    </row>
    <row r="638" spans="1:46" ht="18.399999999999999" customHeight="1" x14ac:dyDescent="0.15">
      <c r="A638" s="40" t="str">
        <f>CONCATENATE("      T2=(2*l*H*t5)/60= ",TEXT($AF638,"#,##0.00"))</f>
        <v xml:space="preserve">      T2=(2*l*H*t5)/60= 1.77</v>
      </c>
      <c r="B638" s="32">
        <f>SUM($C638,$D638,$E638)</f>
        <v>0</v>
      </c>
      <c r="C638" s="32"/>
      <c r="D638" s="32"/>
      <c r="E638" s="32"/>
      <c r="F638" s="43"/>
      <c r="K638" s="3" t="s">
        <v>1608</v>
      </c>
      <c r="AA638" s="36" t="s">
        <v>2319</v>
      </c>
      <c r="AB638" s="8">
        <f>ROUND((2*$AH604*$AH602*$AD622)/60,2)</f>
        <v>1.77</v>
      </c>
      <c r="AC638" s="36" t="s">
        <v>849</v>
      </c>
      <c r="AD638" s="7">
        <f>$AB638</f>
        <v>1.77</v>
      </c>
      <c r="AE638" s="36" t="s">
        <v>1328</v>
      </c>
      <c r="AF638" s="8">
        <f>ROUND(ROUND((2*$AH604*$AH602*$AD622)/60,2),2)</f>
        <v>1.77</v>
      </c>
      <c r="AG638" s="36" t="s">
        <v>544</v>
      </c>
      <c r="AH638" s="7">
        <f>$AF638</f>
        <v>1.77</v>
      </c>
    </row>
    <row r="639" spans="1:46" ht="18.399999999999999" customHeight="1" x14ac:dyDescent="0.15">
      <c r="A639" s="38" t="s">
        <v>2450</v>
      </c>
      <c r="B639" s="32"/>
      <c r="C639" s="32"/>
      <c r="D639" s="32"/>
      <c r="E639" s="32"/>
      <c r="F639" s="43"/>
      <c r="K639" s="3" t="s">
        <v>2450</v>
      </c>
    </row>
    <row r="640" spans="1:46" ht="18.399999999999999" customHeight="1" x14ac:dyDescent="0.15">
      <c r="A640" s="40" t="str">
        <f>CONCATENATE("      TA=T0+T1+T2= ",TEXT($AF640,"#,##0.00"),", QA=T1+T2= ",TEXT($AN640,"#,##0.00"))</f>
        <v xml:space="preserve">      TA=T0+T1+T2= 29.06, QA=T1+T2= 23.94</v>
      </c>
      <c r="B640" s="32">
        <f>SUM($C640,$D640,$E640)</f>
        <v>0</v>
      </c>
      <c r="C640" s="32"/>
      <c r="D640" s="32"/>
      <c r="E640" s="32"/>
      <c r="F640" s="43"/>
      <c r="K640" s="3" t="s">
        <v>627</v>
      </c>
      <c r="AA640" s="36" t="s">
        <v>2271</v>
      </c>
      <c r="AB640" s="8">
        <f>ROUND($AP634+$AD636+$AD638,2)</f>
        <v>29.06</v>
      </c>
      <c r="AC640" s="36" t="s">
        <v>379</v>
      </c>
      <c r="AD640" s="7">
        <f>$AB640</f>
        <v>29.06</v>
      </c>
      <c r="AE640" s="36" t="s">
        <v>2270</v>
      </c>
      <c r="AF640" s="8">
        <f>ROUND(ROUND($AP634+$AD636+$AD638,2),2)</f>
        <v>29.06</v>
      </c>
      <c r="AG640" s="36" t="s">
        <v>751</v>
      </c>
      <c r="AH640" s="7">
        <f>$AF640</f>
        <v>29.06</v>
      </c>
      <c r="AI640" s="36" t="s">
        <v>926</v>
      </c>
      <c r="AJ640" s="8">
        <f>ROUND($AD636+$AD638,2)</f>
        <v>23.94</v>
      </c>
      <c r="AK640" s="36" t="s">
        <v>870</v>
      </c>
      <c r="AL640" s="7">
        <f>$AJ640</f>
        <v>23.94</v>
      </c>
      <c r="AM640" s="36" t="s">
        <v>1086</v>
      </c>
      <c r="AN640" s="8">
        <f>ROUND(ROUND($AD636+$AD638,2),2)</f>
        <v>23.94</v>
      </c>
      <c r="AO640" s="36" t="s">
        <v>2204</v>
      </c>
      <c r="AP640" s="7">
        <f>$AN640</f>
        <v>23.94</v>
      </c>
    </row>
    <row r="641" spans="1:32" ht="18.399999999999999" customHeight="1" x14ac:dyDescent="0.15">
      <c r="A641" s="38" t="s">
        <v>2450</v>
      </c>
      <c r="B641" s="32"/>
      <c r="C641" s="32"/>
      <c r="D641" s="32"/>
      <c r="E641" s="32"/>
      <c r="F641" s="43"/>
      <c r="K641" s="3" t="s">
        <v>2450</v>
      </c>
    </row>
    <row r="642" spans="1:32" ht="18.399999999999999" customHeight="1" x14ac:dyDescent="0.15">
      <c r="A642" s="40" t="str">
        <f>CONCATENATE("     노무비: _x001D_59,020_x001D_ * QA / L= ",TEXT($AB642,"#,##0.00"))</f>
        <v xml:space="preserve">     노무비: _x001D_59,020_x001D_ * QA / L= 50,462.00</v>
      </c>
      <c r="B642" s="32">
        <f>SUM($C642,$D642,$E642)</f>
        <v>50462</v>
      </c>
      <c r="C642" s="32"/>
      <c r="D642" s="32">
        <f>$AB642</f>
        <v>50462</v>
      </c>
      <c r="E642" s="32"/>
      <c r="F642" s="43" t="s">
        <v>2450</v>
      </c>
      <c r="K642" s="3" t="s">
        <v>237</v>
      </c>
      <c r="AA642" s="37" t="s">
        <v>265</v>
      </c>
      <c r="AB642" s="8">
        <f>TRUNC(중기사용료목록!F5*$AL640/$AH604,0)</f>
        <v>50462</v>
      </c>
      <c r="AC642" s="37" t="s">
        <v>972</v>
      </c>
      <c r="AD642" s="7">
        <f>$AB642</f>
        <v>50462</v>
      </c>
    </row>
    <row r="643" spans="1:32" ht="18.399999999999999" customHeight="1" x14ac:dyDescent="0.15">
      <c r="A643" s="38" t="s">
        <v>2450</v>
      </c>
      <c r="B643" s="32"/>
      <c r="C643" s="32"/>
      <c r="D643" s="32"/>
      <c r="E643" s="32"/>
      <c r="F643" s="43"/>
      <c r="K643" s="3" t="s">
        <v>2450</v>
      </c>
    </row>
    <row r="644" spans="1:32" ht="18.399999999999999" customHeight="1" x14ac:dyDescent="0.15">
      <c r="A644" s="40" t="str">
        <f>CONCATENATE("     재료비: _x001D_22,501_x001D_ * QA / L= ",TEXT($AB644,"#,##0.00"))</f>
        <v xml:space="preserve">     재료비: _x001D_22,501_x001D_ * QA / L= 19,238.00</v>
      </c>
      <c r="B644" s="32">
        <f>SUM($C644,$D644,$E644)</f>
        <v>19238</v>
      </c>
      <c r="C644" s="32">
        <f>$AB644</f>
        <v>19238</v>
      </c>
      <c r="D644" s="32"/>
      <c r="E644" s="32"/>
      <c r="F644" s="43" t="s">
        <v>2450</v>
      </c>
      <c r="K644" s="3" t="s">
        <v>2183</v>
      </c>
      <c r="AA644" s="37" t="s">
        <v>1805</v>
      </c>
      <c r="AB644" s="8">
        <f>TRUNC(중기사용료목록!E5*$AL640/$AH604,0)</f>
        <v>19238</v>
      </c>
      <c r="AC644" s="37" t="s">
        <v>2029</v>
      </c>
      <c r="AD644" s="7">
        <f>$AB644</f>
        <v>19238</v>
      </c>
    </row>
    <row r="645" spans="1:32" ht="18.399999999999999" customHeight="1" x14ac:dyDescent="0.15">
      <c r="A645" s="38" t="s">
        <v>2450</v>
      </c>
      <c r="B645" s="32"/>
      <c r="C645" s="32"/>
      <c r="D645" s="32"/>
      <c r="E645" s="32"/>
      <c r="F645" s="43"/>
      <c r="K645" s="3" t="s">
        <v>2450</v>
      </c>
    </row>
    <row r="646" spans="1:32" ht="18.399999999999999" customHeight="1" x14ac:dyDescent="0.15">
      <c r="A646" s="40" t="str">
        <f>CONCATENATE("     경  비: _x001D_24,554_x001D_ * QA / L= ",TEXT($AB646,"#,##0.00"))</f>
        <v xml:space="preserve">     경  비: _x001D_24,554_x001D_ * QA / L= 20,993.00</v>
      </c>
      <c r="B646" s="32">
        <f>SUM($C646,$D646,$E646)</f>
        <v>20993</v>
      </c>
      <c r="C646" s="32"/>
      <c r="D646" s="32"/>
      <c r="E646" s="32">
        <f>$AB646</f>
        <v>20993</v>
      </c>
      <c r="F646" s="43" t="s">
        <v>2450</v>
      </c>
      <c r="K646" s="3" t="s">
        <v>1950</v>
      </c>
      <c r="AA646" s="37" t="s">
        <v>815</v>
      </c>
      <c r="AB646" s="8">
        <f>TRUNC(중기사용료목록!G5*$AL640/$AH604,0)</f>
        <v>20993</v>
      </c>
      <c r="AC646" s="37" t="s">
        <v>1302</v>
      </c>
      <c r="AD646" s="7">
        <f>$AB646</f>
        <v>20993</v>
      </c>
    </row>
    <row r="647" spans="1:32" ht="18.399999999999999" customHeight="1" x14ac:dyDescent="0.15">
      <c r="A647" s="38" t="s">
        <v>2450</v>
      </c>
      <c r="B647" s="32"/>
      <c r="C647" s="32"/>
      <c r="D647" s="32"/>
      <c r="E647" s="32"/>
      <c r="F647" s="43"/>
      <c r="K647" s="3" t="s">
        <v>2450</v>
      </c>
    </row>
    <row r="648" spans="1:32" ht="18.399999999999999" customHeight="1" x14ac:dyDescent="0.15">
      <c r="A648" s="38" t="s">
        <v>1078</v>
      </c>
      <c r="B648" s="33">
        <f>SUM($C648,$D648,$E648)</f>
        <v>90693</v>
      </c>
      <c r="C648" s="33">
        <f>$AB648</f>
        <v>19238</v>
      </c>
      <c r="D648" s="33">
        <f>$AD648</f>
        <v>50462</v>
      </c>
      <c r="E648" s="33">
        <f>$AF648</f>
        <v>20993</v>
      </c>
      <c r="F648" s="44"/>
      <c r="K648" s="3" t="s">
        <v>1358</v>
      </c>
      <c r="AA648" s="36" t="s">
        <v>1729</v>
      </c>
      <c r="AB648" s="7">
        <f>$AD644</f>
        <v>19238</v>
      </c>
      <c r="AC648" s="36" t="s">
        <v>71</v>
      </c>
      <c r="AD648" s="7">
        <f>$AD642</f>
        <v>50462</v>
      </c>
      <c r="AE648" s="36" t="s">
        <v>2236</v>
      </c>
      <c r="AF648" s="7">
        <f>$AD646</f>
        <v>20993</v>
      </c>
    </row>
    <row r="649" spans="1:32" ht="18.399999999999999" customHeight="1" x14ac:dyDescent="0.15">
      <c r="A649" s="38" t="s">
        <v>2450</v>
      </c>
      <c r="B649" s="32"/>
      <c r="C649" s="32"/>
      <c r="D649" s="32"/>
      <c r="E649" s="32"/>
      <c r="F649" s="43"/>
      <c r="K649" s="3" t="s">
        <v>2450</v>
      </c>
    </row>
    <row r="650" spans="1:32" ht="18.399999999999999" customHeight="1" x14ac:dyDescent="0.15">
      <c r="A650" s="38" t="s">
        <v>631</v>
      </c>
      <c r="B650" s="32"/>
      <c r="C650" s="32"/>
      <c r="D650" s="32"/>
      <c r="E650" s="32"/>
      <c r="F650" s="43"/>
      <c r="K650" s="3" t="s">
        <v>1469</v>
      </c>
    </row>
    <row r="651" spans="1:32" ht="18.399999999999999" customHeight="1" x14ac:dyDescent="0.15">
      <c r="A651" s="38" t="s">
        <v>2450</v>
      </c>
      <c r="B651" s="32"/>
      <c r="C651" s="32"/>
      <c r="D651" s="32"/>
      <c r="E651" s="32"/>
      <c r="F651" s="43"/>
      <c r="K651" s="3" t="s">
        <v>2450</v>
      </c>
    </row>
    <row r="652" spans="1:32" ht="18.399999999999999" customHeight="1" x14ac:dyDescent="0.15">
      <c r="A652" s="40" t="str">
        <f>CONCATENATE("     작업반장:  _x001D_215,907_x001D_ * QA * 0.6 / 8 / L= ",TEXT($AB652,"#,##0.00"))</f>
        <v xml:space="preserve">     작업반장:  _x001D_215,907_x001D_ * QA * 0.6 / 8 / L= 13,845.00</v>
      </c>
      <c r="B652" s="32">
        <f>SUM($C652,$D652,$E652)</f>
        <v>13845</v>
      </c>
      <c r="C652" s="32"/>
      <c r="D652" s="32">
        <f>$AB652</f>
        <v>13845</v>
      </c>
      <c r="E652" s="32"/>
      <c r="F652" s="43" t="s">
        <v>2450</v>
      </c>
      <c r="K652" s="3" t="s">
        <v>1637</v>
      </c>
      <c r="AA652" s="37" t="s">
        <v>265</v>
      </c>
      <c r="AB652" s="8">
        <f>TRUNC(노임!D8*$AL640*0.6/8/$AH604,0)</f>
        <v>13845</v>
      </c>
      <c r="AC652" s="37" t="s">
        <v>972</v>
      </c>
      <c r="AD652" s="7">
        <f>$AD642+$AB652</f>
        <v>64307</v>
      </c>
    </row>
    <row r="653" spans="1:32" ht="18.399999999999999" customHeight="1" x14ac:dyDescent="0.15">
      <c r="A653" s="38" t="s">
        <v>2450</v>
      </c>
      <c r="B653" s="32"/>
      <c r="C653" s="32"/>
      <c r="D653" s="32"/>
      <c r="E653" s="32"/>
      <c r="F653" s="43"/>
      <c r="K653" s="3" t="s">
        <v>2450</v>
      </c>
    </row>
    <row r="654" spans="1:32" ht="18.399999999999999" customHeight="1" x14ac:dyDescent="0.15">
      <c r="A654" s="40" t="str">
        <f>CONCATENATE("     보통인부:  _x001D_172,068_x001D_ * QA * 2.0 / 8 / L= ",TEXT($AB654,"#,##0.00"))</f>
        <v xml:space="preserve">     보통인부:  _x001D_172,068_x001D_ * QA * 2.0 / 8 / L= 36,779.00</v>
      </c>
      <c r="B654" s="32">
        <f>SUM($C654,$D654,$E654)</f>
        <v>36779</v>
      </c>
      <c r="C654" s="32"/>
      <c r="D654" s="32">
        <f>$AB654</f>
        <v>36779</v>
      </c>
      <c r="E654" s="32"/>
      <c r="F654" s="43" t="s">
        <v>2450</v>
      </c>
      <c r="K654" s="3" t="s">
        <v>2005</v>
      </c>
      <c r="AA654" s="37" t="s">
        <v>265</v>
      </c>
      <c r="AB654" s="8">
        <f>TRUNC(노임!D10*$AL640*2/8/$AH604,0)</f>
        <v>36779</v>
      </c>
      <c r="AC654" s="37" t="s">
        <v>972</v>
      </c>
      <c r="AD654" s="7">
        <f>$AD652+$AB654</f>
        <v>101086</v>
      </c>
    </row>
    <row r="655" spans="1:32" ht="18.399999999999999" customHeight="1" x14ac:dyDescent="0.15">
      <c r="A655" s="38" t="s">
        <v>2450</v>
      </c>
      <c r="B655" s="32"/>
      <c r="C655" s="32"/>
      <c r="D655" s="32"/>
      <c r="E655" s="32"/>
      <c r="F655" s="43"/>
      <c r="K655" s="3" t="s">
        <v>2450</v>
      </c>
    </row>
    <row r="656" spans="1:32" ht="18.399999999999999" customHeight="1" x14ac:dyDescent="0.15">
      <c r="A656" s="40" t="str">
        <f>CONCATENATE("     특별인부:  _x001D_226,122_x001D_ * QA * 4.0 / 8 / L= ",TEXT($AB656,"#,##0.00"))</f>
        <v xml:space="preserve">     특별인부:  _x001D_226,122_x001D_ * QA * 4.0 / 8 / L= 96,667.00</v>
      </c>
      <c r="B656" s="32">
        <f>SUM($C656,$D656,$E656)</f>
        <v>96667</v>
      </c>
      <c r="C656" s="32"/>
      <c r="D656" s="32">
        <f>$AB656</f>
        <v>96667</v>
      </c>
      <c r="E656" s="32"/>
      <c r="F656" s="43" t="s">
        <v>2450</v>
      </c>
      <c r="K656" s="3" t="s">
        <v>1584</v>
      </c>
      <c r="AA656" s="37" t="s">
        <v>265</v>
      </c>
      <c r="AB656" s="8">
        <f>TRUNC(노임!D9*$AL640*4/8/$AH604,0)</f>
        <v>96667</v>
      </c>
      <c r="AC656" s="37" t="s">
        <v>972</v>
      </c>
      <c r="AD656" s="7">
        <f>$AD654+$AB656</f>
        <v>197753</v>
      </c>
    </row>
    <row r="657" spans="1:34" ht="18.399999999999999" customHeight="1" x14ac:dyDescent="0.15">
      <c r="A657" s="38" t="s">
        <v>2450</v>
      </c>
      <c r="B657" s="32"/>
      <c r="C657" s="32"/>
      <c r="D657" s="32"/>
      <c r="E657" s="32"/>
      <c r="F657" s="43"/>
      <c r="K657" s="3" t="s">
        <v>2450</v>
      </c>
    </row>
    <row r="658" spans="1:34" ht="18.399999999999999" customHeight="1" x14ac:dyDescent="0.15">
      <c r="A658" s="38" t="s">
        <v>1078</v>
      </c>
      <c r="B658" s="33">
        <f>SUM($C658,$D658,$E658)</f>
        <v>147291</v>
      </c>
      <c r="C658" s="33">
        <f>$AB658</f>
        <v>0</v>
      </c>
      <c r="D658" s="33">
        <f>$AD658</f>
        <v>147291</v>
      </c>
      <c r="E658" s="33">
        <f>$AF658</f>
        <v>0</v>
      </c>
      <c r="F658" s="44"/>
      <c r="K658" s="3" t="s">
        <v>1358</v>
      </c>
      <c r="AA658" s="36" t="s">
        <v>1729</v>
      </c>
      <c r="AB658" s="7">
        <f>$AD644-$AD644</f>
        <v>0</v>
      </c>
      <c r="AC658" s="36" t="s">
        <v>71</v>
      </c>
      <c r="AD658" s="7">
        <f>$AD656-$AD642</f>
        <v>147291</v>
      </c>
      <c r="AE658" s="36" t="s">
        <v>2236</v>
      </c>
      <c r="AF658" s="7">
        <f>$AD646-$AD646</f>
        <v>0</v>
      </c>
    </row>
    <row r="659" spans="1:34" ht="18.399999999999999" customHeight="1" x14ac:dyDescent="0.15">
      <c r="A659" s="38" t="s">
        <v>2450</v>
      </c>
      <c r="B659" s="32"/>
      <c r="C659" s="32"/>
      <c r="D659" s="32"/>
      <c r="E659" s="32"/>
      <c r="F659" s="43"/>
      <c r="K659" s="3" t="s">
        <v>2450</v>
      </c>
    </row>
    <row r="660" spans="1:34" ht="18.399999999999999" customHeight="1" x14ac:dyDescent="0.15">
      <c r="A660" s="38" t="s">
        <v>649</v>
      </c>
      <c r="B660" s="34">
        <f>SUM($C660,$D660,$E660)</f>
        <v>237984</v>
      </c>
      <c r="C660" s="34">
        <f>$AB660</f>
        <v>19238</v>
      </c>
      <c r="D660" s="34">
        <f>$AD660</f>
        <v>197753</v>
      </c>
      <c r="E660" s="34">
        <f>$AF660</f>
        <v>20993</v>
      </c>
      <c r="F660" s="45"/>
      <c r="K660" s="3" t="s">
        <v>2335</v>
      </c>
      <c r="AA660" s="36" t="s">
        <v>989</v>
      </c>
      <c r="AB660" s="7">
        <f>$AD644</f>
        <v>19238</v>
      </c>
      <c r="AC660" s="36" t="s">
        <v>2036</v>
      </c>
      <c r="AD660" s="7">
        <f>$AD656</f>
        <v>197753</v>
      </c>
      <c r="AE660" s="36" t="s">
        <v>579</v>
      </c>
      <c r="AF660" s="7">
        <f>$AD646</f>
        <v>20993</v>
      </c>
    </row>
    <row r="661" spans="1:34" ht="18.399999999999999" customHeight="1" x14ac:dyDescent="0.15">
      <c r="A661" s="38" t="s">
        <v>2450</v>
      </c>
      <c r="B661" s="32"/>
      <c r="C661" s="32"/>
      <c r="D661" s="32"/>
      <c r="E661" s="32"/>
      <c r="F661" s="43"/>
      <c r="K661" s="3" t="s">
        <v>2450</v>
      </c>
    </row>
    <row r="662" spans="1:34" ht="18.399999999999999" customHeight="1" x14ac:dyDescent="0.15">
      <c r="A662" s="38" t="s">
        <v>626</v>
      </c>
      <c r="B662" s="32"/>
      <c r="C662" s="32"/>
      <c r="D662" s="32"/>
      <c r="E662" s="32"/>
      <c r="F662" s="43"/>
      <c r="K662" s="3" t="s">
        <v>1623</v>
      </c>
    </row>
    <row r="663" spans="1:34" ht="18.399999999999999" customHeight="1" x14ac:dyDescent="0.15">
      <c r="A663" s="38" t="s">
        <v>2450</v>
      </c>
      <c r="B663" s="32"/>
      <c r="C663" s="32"/>
      <c r="D663" s="32"/>
      <c r="E663" s="32"/>
      <c r="F663" s="43"/>
      <c r="K663" s="3" t="s">
        <v>2450</v>
      </c>
    </row>
    <row r="664" spans="1:34" ht="18.399999999999999" customHeight="1" x14ac:dyDescent="0.15">
      <c r="A664" s="38" t="s">
        <v>1317</v>
      </c>
      <c r="B664" s="32"/>
      <c r="C664" s="32"/>
      <c r="D664" s="32"/>
      <c r="E664" s="32"/>
      <c r="F664" s="43"/>
      <c r="K664" s="3" t="s">
        <v>1088</v>
      </c>
    </row>
    <row r="665" spans="1:34" ht="18.399999999999999" customHeight="1" x14ac:dyDescent="0.15">
      <c r="A665" s="38" t="s">
        <v>2450</v>
      </c>
      <c r="B665" s="32"/>
      <c r="C665" s="32"/>
      <c r="D665" s="32"/>
      <c r="E665" s="32"/>
      <c r="F665" s="43"/>
      <c r="K665" s="3" t="s">
        <v>2450</v>
      </c>
    </row>
    <row r="666" spans="1:34" ht="18.399999999999999" customHeight="1" x14ac:dyDescent="0.15">
      <c r="A666" s="40" t="str">
        <f>CONCATENATE("      TB = L * H * 2 * t6 / 60= ",TEXT($AF666,"#,##0.00"))</f>
        <v xml:space="preserve">      TB = L * H * 2 * t6 / 60= 18.62</v>
      </c>
      <c r="B666" s="32">
        <f>SUM($C666,$D666,$E666)</f>
        <v>0</v>
      </c>
      <c r="C666" s="32"/>
      <c r="D666" s="32"/>
      <c r="E666" s="32"/>
      <c r="F666" s="43"/>
      <c r="K666" s="3" t="s">
        <v>522</v>
      </c>
      <c r="AA666" s="36" t="s">
        <v>602</v>
      </c>
      <c r="AB666" s="8">
        <f>ROUND($AH604*$AH602*2*$AD624/60,2)</f>
        <v>18.62</v>
      </c>
      <c r="AC666" s="36" t="s">
        <v>1904</v>
      </c>
      <c r="AD666" s="7">
        <f>$AB666</f>
        <v>18.62</v>
      </c>
      <c r="AE666" s="36" t="s">
        <v>898</v>
      </c>
      <c r="AF666" s="8">
        <f>ROUND(ROUND($AH604*$AH602*2*$AD624/60,2),2)</f>
        <v>18.62</v>
      </c>
      <c r="AG666" s="36" t="s">
        <v>741</v>
      </c>
      <c r="AH666" s="7">
        <f>$AF666</f>
        <v>18.62</v>
      </c>
    </row>
    <row r="667" spans="1:34" ht="18.399999999999999" customHeight="1" x14ac:dyDescent="0.15">
      <c r="A667" s="38" t="s">
        <v>2450</v>
      </c>
      <c r="B667" s="32"/>
      <c r="C667" s="32"/>
      <c r="D667" s="32"/>
      <c r="E667" s="32"/>
      <c r="F667" s="43"/>
      <c r="K667" s="3" t="s">
        <v>2450</v>
      </c>
    </row>
    <row r="668" spans="1:34" ht="18.399999999999999" customHeight="1" x14ac:dyDescent="0.15">
      <c r="A668" s="40" t="str">
        <f>CONCATENATE("     노무비: _x001D_59,020_x001D_ * TB / L= ",TEXT($AB668,"#,##0.00"))</f>
        <v xml:space="preserve">     노무비: _x001D_59,020_x001D_ * TB / L= 39,248.00</v>
      </c>
      <c r="B668" s="32">
        <f>SUM($C668,$D668,$E668)</f>
        <v>39248</v>
      </c>
      <c r="C668" s="32"/>
      <c r="D668" s="32">
        <f>$AB668</f>
        <v>39248</v>
      </c>
      <c r="E668" s="32"/>
      <c r="F668" s="43" t="s">
        <v>2450</v>
      </c>
      <c r="K668" s="3" t="s">
        <v>327</v>
      </c>
      <c r="AA668" s="37" t="s">
        <v>265</v>
      </c>
      <c r="AB668" s="8">
        <f>TRUNC(중기사용료목록!F5*$AD666/$AH604,0)</f>
        <v>39248</v>
      </c>
      <c r="AC668" s="37" t="s">
        <v>972</v>
      </c>
      <c r="AD668" s="7">
        <f>$AD656+$AB668</f>
        <v>237001</v>
      </c>
    </row>
    <row r="669" spans="1:34" ht="18.399999999999999" customHeight="1" x14ac:dyDescent="0.15">
      <c r="A669" s="38" t="s">
        <v>2450</v>
      </c>
      <c r="B669" s="32"/>
      <c r="C669" s="32"/>
      <c r="D669" s="32"/>
      <c r="E669" s="32"/>
      <c r="F669" s="43"/>
      <c r="K669" s="3" t="s">
        <v>2450</v>
      </c>
    </row>
    <row r="670" spans="1:34" ht="18.399999999999999" customHeight="1" x14ac:dyDescent="0.15">
      <c r="A670" s="40" t="str">
        <f>CONCATENATE("     재료비: _x001D_22,501_x001D_ * TB / L= ",TEXT($AB670,"#,##0.00"))</f>
        <v xml:space="preserve">     재료비: _x001D_22,501_x001D_ * TB / L= 14,963.00</v>
      </c>
      <c r="B670" s="32">
        <f>SUM($C670,$D670,$E670)</f>
        <v>14963</v>
      </c>
      <c r="C670" s="32">
        <f>$AB670</f>
        <v>14963</v>
      </c>
      <c r="D670" s="32"/>
      <c r="E670" s="32"/>
      <c r="F670" s="43" t="s">
        <v>2450</v>
      </c>
      <c r="K670" s="3" t="s">
        <v>2098</v>
      </c>
      <c r="AA670" s="37" t="s">
        <v>1805</v>
      </c>
      <c r="AB670" s="8">
        <f>TRUNC(중기사용료목록!E5*$AD666/$AH604,0)</f>
        <v>14963</v>
      </c>
      <c r="AC670" s="37" t="s">
        <v>2029</v>
      </c>
      <c r="AD670" s="7">
        <f>$AD644+$AB670</f>
        <v>34201</v>
      </c>
    </row>
    <row r="671" spans="1:34" ht="18.399999999999999" customHeight="1" x14ac:dyDescent="0.15">
      <c r="A671" s="38" t="s">
        <v>2450</v>
      </c>
      <c r="B671" s="32"/>
      <c r="C671" s="32"/>
      <c r="D671" s="32"/>
      <c r="E671" s="32"/>
      <c r="F671" s="43"/>
      <c r="K671" s="3" t="s">
        <v>2450</v>
      </c>
    </row>
    <row r="672" spans="1:34" ht="18.399999999999999" customHeight="1" x14ac:dyDescent="0.15">
      <c r="A672" s="40" t="str">
        <f>CONCATENATE("     경  비: _x001D_24,554_x001D_ * TB / L= ",TEXT($AB672,"#,##0.00"))</f>
        <v xml:space="preserve">     경  비: _x001D_24,554_x001D_ * TB / L= 16,328.00</v>
      </c>
      <c r="B672" s="32">
        <f>SUM($C672,$D672,$E672)</f>
        <v>16328</v>
      </c>
      <c r="C672" s="32"/>
      <c r="D672" s="32"/>
      <c r="E672" s="32">
        <f>$AB672</f>
        <v>16328</v>
      </c>
      <c r="F672" s="43" t="s">
        <v>2450</v>
      </c>
      <c r="K672" s="3" t="s">
        <v>2350</v>
      </c>
      <c r="AA672" s="37" t="s">
        <v>815</v>
      </c>
      <c r="AB672" s="8">
        <f>TRUNC(중기사용료목록!G5*$AD666/$AH604,0)</f>
        <v>16328</v>
      </c>
      <c r="AC672" s="37" t="s">
        <v>1302</v>
      </c>
      <c r="AD672" s="7">
        <f>$AD646+$AB672</f>
        <v>37321</v>
      </c>
    </row>
    <row r="673" spans="1:32" ht="18.399999999999999" customHeight="1" x14ac:dyDescent="0.15">
      <c r="A673" s="38" t="s">
        <v>2450</v>
      </c>
      <c r="B673" s="32"/>
      <c r="C673" s="32"/>
      <c r="D673" s="32"/>
      <c r="E673" s="32"/>
      <c r="F673" s="43"/>
      <c r="K673" s="3" t="s">
        <v>2450</v>
      </c>
    </row>
    <row r="674" spans="1:32" ht="18.399999999999999" customHeight="1" x14ac:dyDescent="0.15">
      <c r="A674" s="38" t="s">
        <v>1078</v>
      </c>
      <c r="B674" s="33">
        <f>SUM($C674,$D674,$E674)</f>
        <v>70539</v>
      </c>
      <c r="C674" s="33">
        <f>$AB674</f>
        <v>14963</v>
      </c>
      <c r="D674" s="33">
        <f>$AD674</f>
        <v>39248</v>
      </c>
      <c r="E674" s="33">
        <f>$AF674</f>
        <v>16328</v>
      </c>
      <c r="F674" s="44"/>
      <c r="K674" s="3" t="s">
        <v>1358</v>
      </c>
      <c r="AA674" s="36" t="s">
        <v>1729</v>
      </c>
      <c r="AB674" s="7">
        <f>$AD670-$AD644</f>
        <v>14963</v>
      </c>
      <c r="AC674" s="36" t="s">
        <v>71</v>
      </c>
      <c r="AD674" s="7">
        <f>$AD668-$AD656</f>
        <v>39248</v>
      </c>
      <c r="AE674" s="36" t="s">
        <v>2236</v>
      </c>
      <c r="AF674" s="7">
        <f>$AD672-$AD646</f>
        <v>16328</v>
      </c>
    </row>
    <row r="675" spans="1:32" ht="18.399999999999999" customHeight="1" x14ac:dyDescent="0.15">
      <c r="A675" s="38" t="s">
        <v>2450</v>
      </c>
      <c r="B675" s="32"/>
      <c r="C675" s="32"/>
      <c r="D675" s="32"/>
      <c r="E675" s="32"/>
      <c r="F675" s="43"/>
      <c r="K675" s="3" t="s">
        <v>2450</v>
      </c>
    </row>
    <row r="676" spans="1:32" ht="18.399999999999999" customHeight="1" x14ac:dyDescent="0.15">
      <c r="A676" s="38" t="s">
        <v>631</v>
      </c>
      <c r="B676" s="32"/>
      <c r="C676" s="32"/>
      <c r="D676" s="32"/>
      <c r="E676" s="32"/>
      <c r="F676" s="43"/>
      <c r="K676" s="3" t="s">
        <v>1469</v>
      </c>
    </row>
    <row r="677" spans="1:32" ht="18.399999999999999" customHeight="1" x14ac:dyDescent="0.15">
      <c r="A677" s="38" t="s">
        <v>2450</v>
      </c>
      <c r="B677" s="32"/>
      <c r="C677" s="32"/>
      <c r="D677" s="32"/>
      <c r="E677" s="32"/>
      <c r="F677" s="43"/>
      <c r="K677" s="3" t="s">
        <v>2450</v>
      </c>
    </row>
    <row r="678" spans="1:32" ht="18.399999999999999" customHeight="1" x14ac:dyDescent="0.15">
      <c r="A678" s="40" t="str">
        <f>CONCATENATE("     작업반장:  _x001D_215,907_x001D_ * TB * 0.50 / 8 / L= ",TEXT($AB678,"#,##0.00"))</f>
        <v xml:space="preserve">     작업반장:  _x001D_215,907_x001D_ * TB * 0.50 / 8 / L= 8,973.00</v>
      </c>
      <c r="B678" s="32">
        <f>SUM($C678,$D678,$E678)</f>
        <v>8973</v>
      </c>
      <c r="C678" s="32"/>
      <c r="D678" s="32">
        <f>$AB678</f>
        <v>8973</v>
      </c>
      <c r="E678" s="32"/>
      <c r="F678" s="43" t="s">
        <v>2450</v>
      </c>
      <c r="K678" s="3" t="s">
        <v>1713</v>
      </c>
      <c r="AA678" s="37" t="s">
        <v>265</v>
      </c>
      <c r="AB678" s="8">
        <f>TRUNC(노임!D8*$AD666*0.5/8/$AH604,0)</f>
        <v>8973</v>
      </c>
      <c r="AC678" s="37" t="s">
        <v>972</v>
      </c>
      <c r="AD678" s="7">
        <f>$AD668+$AB678</f>
        <v>245974</v>
      </c>
    </row>
    <row r="679" spans="1:32" ht="18.399999999999999" customHeight="1" x14ac:dyDescent="0.15">
      <c r="A679" s="38" t="s">
        <v>2450</v>
      </c>
      <c r="B679" s="32"/>
      <c r="C679" s="32"/>
      <c r="D679" s="32"/>
      <c r="E679" s="32"/>
      <c r="F679" s="43"/>
      <c r="K679" s="3" t="s">
        <v>2450</v>
      </c>
    </row>
    <row r="680" spans="1:32" ht="18.399999999999999" customHeight="1" x14ac:dyDescent="0.15">
      <c r="A680" s="40" t="str">
        <f>CONCATENATE("     보통인부:  _x001D_172,068_x001D_ * TB * 2.00 / 8 / L= ",TEXT($AB680,"#,##0.00"))</f>
        <v xml:space="preserve">     보통인부:  _x001D_172,068_x001D_ * TB * 2.00 / 8 / L= 28,606.00</v>
      </c>
      <c r="B680" s="32">
        <f>SUM($C680,$D680,$E680)</f>
        <v>28606</v>
      </c>
      <c r="C680" s="32"/>
      <c r="D680" s="32">
        <f>$AB680</f>
        <v>28606</v>
      </c>
      <c r="E680" s="32"/>
      <c r="F680" s="43" t="s">
        <v>2450</v>
      </c>
      <c r="K680" s="3" t="s">
        <v>2333</v>
      </c>
      <c r="AA680" s="37" t="s">
        <v>265</v>
      </c>
      <c r="AB680" s="8">
        <f>TRUNC(노임!D10*$AD666*2/8/$AH604,0)</f>
        <v>28606</v>
      </c>
      <c r="AC680" s="37" t="s">
        <v>972</v>
      </c>
      <c r="AD680" s="7">
        <f>$AD678+$AB680</f>
        <v>274580</v>
      </c>
    </row>
    <row r="681" spans="1:32" ht="18.399999999999999" customHeight="1" x14ac:dyDescent="0.15">
      <c r="A681" s="38" t="s">
        <v>2450</v>
      </c>
      <c r="B681" s="32"/>
      <c r="C681" s="32"/>
      <c r="D681" s="32"/>
      <c r="E681" s="32"/>
      <c r="F681" s="43"/>
      <c r="K681" s="3" t="s">
        <v>2450</v>
      </c>
    </row>
    <row r="682" spans="1:32" ht="18.399999999999999" customHeight="1" x14ac:dyDescent="0.15">
      <c r="A682" s="40" t="str">
        <f>CONCATENATE("     특별인부:  _x001D_226,122_x001D_ * TB * 3.00 / 8 / L= ",TEXT($AB682,"#,##0.00"))</f>
        <v xml:space="preserve">     특별인부:  _x001D_226,122_x001D_ * TB * 3.00 / 8 / L= 56,389.00</v>
      </c>
      <c r="B682" s="32">
        <f>SUM($C682,$D682,$E682)</f>
        <v>56389</v>
      </c>
      <c r="C682" s="32"/>
      <c r="D682" s="32">
        <f>$AB682</f>
        <v>56389</v>
      </c>
      <c r="E682" s="32"/>
      <c r="F682" s="43" t="s">
        <v>2450</v>
      </c>
      <c r="K682" s="3" t="s">
        <v>860</v>
      </c>
      <c r="AA682" s="37" t="s">
        <v>265</v>
      </c>
      <c r="AB682" s="8">
        <f>TRUNC(노임!D9*$AD666*3/8/$AH604,0)</f>
        <v>56389</v>
      </c>
      <c r="AC682" s="37" t="s">
        <v>972</v>
      </c>
      <c r="AD682" s="7">
        <f>$AD680+$AB682</f>
        <v>330969</v>
      </c>
    </row>
    <row r="683" spans="1:32" ht="18.399999999999999" customHeight="1" x14ac:dyDescent="0.15">
      <c r="A683" s="38" t="s">
        <v>2450</v>
      </c>
      <c r="B683" s="32"/>
      <c r="C683" s="32"/>
      <c r="D683" s="32"/>
      <c r="E683" s="32"/>
      <c r="F683" s="43"/>
      <c r="K683" s="3" t="s">
        <v>2450</v>
      </c>
    </row>
    <row r="684" spans="1:32" ht="18.399999999999999" customHeight="1" x14ac:dyDescent="0.15">
      <c r="A684" s="38" t="s">
        <v>1078</v>
      </c>
      <c r="B684" s="33">
        <f>SUM($C684,$D684,$E684)</f>
        <v>93968</v>
      </c>
      <c r="C684" s="33">
        <f>$AB684</f>
        <v>0</v>
      </c>
      <c r="D684" s="33">
        <f>$AD684</f>
        <v>93968</v>
      </c>
      <c r="E684" s="33">
        <f>$AF684</f>
        <v>0</v>
      </c>
      <c r="F684" s="44"/>
      <c r="K684" s="3" t="s">
        <v>1358</v>
      </c>
      <c r="AA684" s="36" t="s">
        <v>1729</v>
      </c>
      <c r="AB684" s="7">
        <f>$AD670-$AD670</f>
        <v>0</v>
      </c>
      <c r="AC684" s="36" t="s">
        <v>71</v>
      </c>
      <c r="AD684" s="7">
        <f>$AD682-$AD668</f>
        <v>93968</v>
      </c>
      <c r="AE684" s="36" t="s">
        <v>2236</v>
      </c>
      <c r="AF684" s="7">
        <f>$AD672-$AD672</f>
        <v>0</v>
      </c>
    </row>
    <row r="685" spans="1:32" ht="18.399999999999999" customHeight="1" x14ac:dyDescent="0.15">
      <c r="A685" s="38" t="s">
        <v>2450</v>
      </c>
      <c r="B685" s="32"/>
      <c r="C685" s="32"/>
      <c r="D685" s="32"/>
      <c r="E685" s="32"/>
      <c r="F685" s="43"/>
      <c r="K685" s="3" t="s">
        <v>2450</v>
      </c>
    </row>
    <row r="686" spans="1:32" ht="18.399999999999999" customHeight="1" x14ac:dyDescent="0.15">
      <c r="A686" s="38" t="s">
        <v>649</v>
      </c>
      <c r="B686" s="34">
        <f>SUM($C686,$D686,$E686)</f>
        <v>164507</v>
      </c>
      <c r="C686" s="34">
        <f>$AB686</f>
        <v>14963</v>
      </c>
      <c r="D686" s="34">
        <f>$AD686</f>
        <v>133216</v>
      </c>
      <c r="E686" s="34">
        <f>$AF686</f>
        <v>16328</v>
      </c>
      <c r="F686" s="45"/>
      <c r="K686" s="3" t="s">
        <v>2335</v>
      </c>
      <c r="AA686" s="36" t="s">
        <v>989</v>
      </c>
      <c r="AB686" s="7">
        <f>$AD670-$AD644</f>
        <v>14963</v>
      </c>
      <c r="AC686" s="36" t="s">
        <v>2036</v>
      </c>
      <c r="AD686" s="7">
        <f>$AD682-$AD656</f>
        <v>133216</v>
      </c>
      <c r="AE686" s="36" t="s">
        <v>579</v>
      </c>
      <c r="AF686" s="7">
        <f>$AD672-$AD646</f>
        <v>16328</v>
      </c>
    </row>
    <row r="687" spans="1:32" ht="18.399999999999999" customHeight="1" x14ac:dyDescent="0.15">
      <c r="A687" s="38" t="s">
        <v>2450</v>
      </c>
      <c r="B687" s="32"/>
      <c r="C687" s="32"/>
      <c r="D687" s="32"/>
      <c r="E687" s="32"/>
      <c r="F687" s="43"/>
      <c r="K687" s="3" t="s">
        <v>2450</v>
      </c>
    </row>
    <row r="688" spans="1:32" ht="18.399999999999999" customHeight="1" x14ac:dyDescent="0.15">
      <c r="A688" s="38" t="s">
        <v>834</v>
      </c>
      <c r="B688" s="32"/>
      <c r="C688" s="32"/>
      <c r="D688" s="32"/>
      <c r="E688" s="32"/>
      <c r="F688" s="43"/>
      <c r="K688" s="3" t="s">
        <v>101</v>
      </c>
    </row>
    <row r="689" spans="1:34" ht="18.399999999999999" customHeight="1" x14ac:dyDescent="0.15">
      <c r="A689" s="38" t="s">
        <v>2450</v>
      </c>
      <c r="B689" s="32"/>
      <c r="C689" s="32"/>
      <c r="D689" s="32"/>
      <c r="E689" s="32"/>
      <c r="F689" s="43"/>
      <c r="K689" s="3" t="s">
        <v>2450</v>
      </c>
    </row>
    <row r="690" spans="1:34" ht="18.399999999999999" customHeight="1" x14ac:dyDescent="0.15">
      <c r="A690" s="38" t="s">
        <v>243</v>
      </c>
      <c r="B690" s="32"/>
      <c r="C690" s="32"/>
      <c r="D690" s="32"/>
      <c r="E690" s="32"/>
      <c r="F690" s="43"/>
      <c r="K690" s="3" t="s">
        <v>355</v>
      </c>
    </row>
    <row r="691" spans="1:34" ht="18.399999999999999" customHeight="1" x14ac:dyDescent="0.15">
      <c r="A691" s="38" t="s">
        <v>2450</v>
      </c>
      <c r="B691" s="32"/>
      <c r="C691" s="32"/>
      <c r="D691" s="32"/>
      <c r="E691" s="32"/>
      <c r="F691" s="43"/>
      <c r="K691" s="3" t="s">
        <v>2450</v>
      </c>
    </row>
    <row r="692" spans="1:34" ht="18.399999999999999" customHeight="1" x14ac:dyDescent="0.15">
      <c r="A692" s="40" t="str">
        <f>CONCATENATE("    - 흙막이 압입및인발: D1=(TA+TB)/8= ",TEXT($AF692,"#,##0.00"))</f>
        <v xml:space="preserve">    - 흙막이 압입및인발: D1=(TA+TB)/8= 5.96</v>
      </c>
      <c r="B692" s="32">
        <f>SUM($C692,$D692,$E692)</f>
        <v>0</v>
      </c>
      <c r="C692" s="32"/>
      <c r="D692" s="32"/>
      <c r="E692" s="32"/>
      <c r="F692" s="43"/>
      <c r="K692" s="3" t="s">
        <v>2324</v>
      </c>
      <c r="AA692" s="36" t="s">
        <v>1754</v>
      </c>
      <c r="AB692" s="8">
        <f>ROUND(($AD640+$AD666)/8,2)</f>
        <v>5.96</v>
      </c>
      <c r="AC692" s="36" t="s">
        <v>567</v>
      </c>
      <c r="AD692" s="7">
        <f>$AB692</f>
        <v>5.96</v>
      </c>
      <c r="AE692" s="36" t="s">
        <v>2101</v>
      </c>
      <c r="AF692" s="8">
        <f>ROUND(ROUND(($AD640+$AD666)/8,2),2)</f>
        <v>5.96</v>
      </c>
      <c r="AG692" s="36" t="s">
        <v>953</v>
      </c>
      <c r="AH692" s="7">
        <f>$AF692</f>
        <v>5.96</v>
      </c>
    </row>
    <row r="693" spans="1:34" ht="18.399999999999999" customHeight="1" x14ac:dyDescent="0.15">
      <c r="A693" s="38" t="s">
        <v>2450</v>
      </c>
      <c r="B693" s="32"/>
      <c r="C693" s="32"/>
      <c r="D693" s="32"/>
      <c r="E693" s="32"/>
      <c r="F693" s="43"/>
      <c r="K693" s="3" t="s">
        <v>2450</v>
      </c>
    </row>
    <row r="694" spans="1:34" ht="18.399999999999999" customHeight="1" x14ac:dyDescent="0.15">
      <c r="A694" s="40" t="str">
        <f>CONCATENATE("    - 판넬소운반: D2=",TEXT($AB694,"#,##0.00")," 일")</f>
        <v xml:space="preserve">    - 판넬소운반: D2=0.09 일</v>
      </c>
      <c r="B694" s="32"/>
      <c r="C694" s="32"/>
      <c r="D694" s="32"/>
      <c r="E694" s="32"/>
      <c r="F694" s="43"/>
      <c r="K694" s="10" t="str">
        <f>SUBSTITUTE(SUBSTITUTE("_x001D_   - 판넬소운반:_x001D_D2=0.09_x001D_일_x001D_","0.09",TEXT($AB694,"#,##0.00"),1),"_x001D_","'")</f>
        <v>'   - 판넬소운반:'D2=0.09'일'</v>
      </c>
      <c r="AA694" s="36" t="s">
        <v>2047</v>
      </c>
      <c r="AB694" s="6">
        <v>0.09</v>
      </c>
      <c r="AC694" s="36" t="s">
        <v>2047</v>
      </c>
      <c r="AD694" s="7">
        <f>$AB694</f>
        <v>0.09</v>
      </c>
    </row>
    <row r="695" spans="1:34" ht="18.399999999999999" customHeight="1" x14ac:dyDescent="0.15">
      <c r="A695" s="38" t="s">
        <v>2450</v>
      </c>
      <c r="B695" s="32"/>
      <c r="C695" s="32"/>
      <c r="D695" s="32"/>
      <c r="E695" s="32"/>
      <c r="F695" s="43"/>
      <c r="K695" s="3" t="s">
        <v>2450</v>
      </c>
    </row>
    <row r="696" spans="1:34" ht="18.399999999999999" customHeight="1" x14ac:dyDescent="0.15">
      <c r="A696" s="38" t="s">
        <v>2368</v>
      </c>
      <c r="B696" s="32"/>
      <c r="C696" s="32"/>
      <c r="D696" s="32"/>
      <c r="E696" s="32"/>
      <c r="F696" s="43"/>
      <c r="K696" s="3" t="s">
        <v>1990</v>
      </c>
    </row>
    <row r="697" spans="1:34" ht="18.399999999999999" customHeight="1" x14ac:dyDescent="0.15">
      <c r="A697" s="40" t="str">
        <f>CONCATENATE("   계    :   D=D1+D2= ",TEXT($AF697,"#,##0.00"))</f>
        <v xml:space="preserve">   계    :   D=D1+D2= 6.05</v>
      </c>
      <c r="B697" s="32">
        <f>SUM($C697,$D697,$E697)</f>
        <v>0</v>
      </c>
      <c r="C697" s="32"/>
      <c r="D697" s="32"/>
      <c r="E697" s="32"/>
      <c r="F697" s="43"/>
      <c r="K697" s="3" t="s">
        <v>2173</v>
      </c>
      <c r="AA697" s="36" t="s">
        <v>1847</v>
      </c>
      <c r="AB697" s="8">
        <f>ROUND($AD692+$AD694,2)</f>
        <v>6.05</v>
      </c>
      <c r="AC697" s="36" t="s">
        <v>292</v>
      </c>
      <c r="AD697" s="7">
        <f>$AB697</f>
        <v>6.05</v>
      </c>
      <c r="AE697" s="36" t="s">
        <v>1413</v>
      </c>
      <c r="AF697" s="8">
        <f>ROUND(ROUND($AD692+$AD694,2),2)</f>
        <v>6.05</v>
      </c>
      <c r="AG697" s="36" t="s">
        <v>48</v>
      </c>
      <c r="AH697" s="7">
        <f>$AF697</f>
        <v>6.05</v>
      </c>
    </row>
    <row r="698" spans="1:34" ht="18.399999999999999" customHeight="1" x14ac:dyDescent="0.15">
      <c r="A698" s="38" t="s">
        <v>2450</v>
      </c>
      <c r="B698" s="32"/>
      <c r="C698" s="32"/>
      <c r="D698" s="32"/>
      <c r="E698" s="32"/>
      <c r="F698" s="43"/>
      <c r="K698" s="3" t="s">
        <v>2450</v>
      </c>
    </row>
    <row r="699" spans="1:34" ht="18.399999999999999" customHeight="1" x14ac:dyDescent="0.15">
      <c r="A699" s="38" t="s">
        <v>817</v>
      </c>
      <c r="B699" s="32"/>
      <c r="C699" s="32"/>
      <c r="D699" s="32"/>
      <c r="E699" s="32"/>
      <c r="F699" s="43"/>
      <c r="K699" s="3" t="s">
        <v>1093</v>
      </c>
    </row>
    <row r="700" spans="1:34" ht="18.399999999999999" customHeight="1" x14ac:dyDescent="0.15">
      <c r="A700" s="38" t="s">
        <v>2450</v>
      </c>
      <c r="B700" s="32"/>
      <c r="C700" s="32"/>
      <c r="D700" s="32"/>
      <c r="E700" s="32"/>
      <c r="F700" s="43"/>
      <c r="K700" s="3" t="s">
        <v>2450</v>
      </c>
    </row>
    <row r="701" spans="1:34" ht="18.399999999999999" customHeight="1" x14ac:dyDescent="0.15">
      <c r="A701" s="38" t="s">
        <v>27</v>
      </c>
      <c r="B701" s="32"/>
      <c r="C701" s="32"/>
      <c r="D701" s="32"/>
      <c r="E701" s="32"/>
      <c r="F701" s="43"/>
      <c r="K701" s="3" t="s">
        <v>1804</v>
      </c>
    </row>
    <row r="702" spans="1:34" ht="18.399999999999999" customHeight="1" x14ac:dyDescent="0.15">
      <c r="A702" s="38" t="s">
        <v>2450</v>
      </c>
      <c r="B702" s="32"/>
      <c r="C702" s="32"/>
      <c r="D702" s="32"/>
      <c r="E702" s="32"/>
      <c r="F702" s="43"/>
      <c r="K702" s="3" t="s">
        <v>2450</v>
      </c>
    </row>
    <row r="703" spans="1:34" ht="18.399999999999999" customHeight="1" x14ac:dyDescent="0.15">
      <c r="A703" s="38" t="s">
        <v>823</v>
      </c>
      <c r="B703" s="32"/>
      <c r="C703" s="32"/>
      <c r="D703" s="32"/>
      <c r="E703" s="32"/>
      <c r="F703" s="43"/>
      <c r="K703" s="3" t="s">
        <v>666</v>
      </c>
    </row>
    <row r="704" spans="1:34" ht="18.399999999999999" customHeight="1" x14ac:dyDescent="0.15">
      <c r="A704" s="38" t="s">
        <v>2450</v>
      </c>
      <c r="B704" s="32"/>
      <c r="C704" s="32"/>
      <c r="D704" s="32"/>
      <c r="E704" s="32"/>
      <c r="F704" s="43"/>
      <c r="K704" s="3" t="s">
        <v>2450</v>
      </c>
    </row>
    <row r="705" spans="1:38" ht="18.399999999999999" customHeight="1" x14ac:dyDescent="0.15">
      <c r="A705" s="40" t="str">
        <f>CONCATENATE("   S = ((0.9+0.4)/6000+(0.1/1200)*((1.1*5+0.9)/(2*5)))*8=",TEXT($AF705,"#,##0.00000"))</f>
        <v xml:space="preserve">   S = ((0.9+0.4)/6000+(0.1/1200)*((1.1*5+0.9)/(2*5)))*8=0.00216</v>
      </c>
      <c r="B705" s="32">
        <f>SUM($C705,$D705,$E705)</f>
        <v>0</v>
      </c>
      <c r="C705" s="32"/>
      <c r="D705" s="32"/>
      <c r="E705" s="32"/>
      <c r="F705" s="43"/>
      <c r="K705" s="3" t="s">
        <v>794</v>
      </c>
      <c r="AA705" s="36" t="s">
        <v>808</v>
      </c>
      <c r="AB705" s="8">
        <f>ROUND(((0.9+0.4)/6000+(0.1/1200)*((1.1*5+0.9)/(2*5)))*8,5)</f>
        <v>2.16E-3</v>
      </c>
      <c r="AC705" s="36" t="s">
        <v>560</v>
      </c>
      <c r="AD705" s="7">
        <f>$AB705</f>
        <v>2.16E-3</v>
      </c>
      <c r="AE705" s="36" t="s">
        <v>234</v>
      </c>
      <c r="AF705" s="8">
        <f>ROUND(ROUND(((0.9+0.4)/6000+(0.1/1200)*((1.1*5+0.9)/(2*5)))*8,5),5)</f>
        <v>2.16E-3</v>
      </c>
      <c r="AG705" s="36" t="s">
        <v>278</v>
      </c>
      <c r="AH705" s="7">
        <f>$AF705</f>
        <v>2.16E-3</v>
      </c>
    </row>
    <row r="706" spans="1:38" ht="18.399999999999999" customHeight="1" x14ac:dyDescent="0.15">
      <c r="A706" s="38" t="s">
        <v>2450</v>
      </c>
      <c r="B706" s="32"/>
      <c r="C706" s="32"/>
      <c r="D706" s="32"/>
      <c r="E706" s="32"/>
      <c r="F706" s="43"/>
      <c r="K706" s="3" t="s">
        <v>2450</v>
      </c>
    </row>
    <row r="707" spans="1:38" ht="18.399999999999999" customHeight="1" x14ac:dyDescent="0.15">
      <c r="A707" s="38" t="s">
        <v>342</v>
      </c>
      <c r="B707" s="32"/>
      <c r="C707" s="32"/>
      <c r="D707" s="32"/>
      <c r="E707" s="32"/>
      <c r="F707" s="43"/>
      <c r="K707" s="3" t="s">
        <v>2402</v>
      </c>
    </row>
    <row r="708" spans="1:38" ht="18.399999999999999" customHeight="1" x14ac:dyDescent="0.15">
      <c r="A708" s="38" t="s">
        <v>2450</v>
      </c>
      <c r="B708" s="32"/>
      <c r="C708" s="32"/>
      <c r="D708" s="32"/>
      <c r="E708" s="32"/>
      <c r="F708" s="43"/>
      <c r="K708" s="3" t="s">
        <v>2450</v>
      </c>
    </row>
    <row r="709" spans="1:38" ht="18.399999999999999" customHeight="1" x14ac:dyDescent="0.15">
      <c r="A709" s="38" t="s">
        <v>2187</v>
      </c>
      <c r="B709" s="32"/>
      <c r="C709" s="32"/>
      <c r="D709" s="32"/>
      <c r="E709" s="32"/>
      <c r="F709" s="43"/>
      <c r="K709" s="3" t="s">
        <v>229</v>
      </c>
    </row>
    <row r="710" spans="1:38" ht="18.399999999999999" customHeight="1" x14ac:dyDescent="0.15">
      <c r="A710" s="38" t="s">
        <v>2450</v>
      </c>
      <c r="B710" s="32"/>
      <c r="C710" s="32"/>
      <c r="D710" s="32"/>
      <c r="E710" s="32"/>
      <c r="F710" s="43"/>
      <c r="K710" s="3" t="s">
        <v>2450</v>
      </c>
    </row>
    <row r="711" spans="1:38" ht="18.399999999999999" customHeight="1" x14ac:dyDescent="0.15">
      <c r="A711" s="38" t="s">
        <v>1214</v>
      </c>
      <c r="B711" s="32"/>
      <c r="C711" s="32"/>
      <c r="D711" s="32"/>
      <c r="E711" s="32"/>
      <c r="F711" s="43"/>
      <c r="K711" s="3" t="s">
        <v>435</v>
      </c>
    </row>
    <row r="712" spans="1:38" ht="18.399999999999999" customHeight="1" x14ac:dyDescent="0.15">
      <c r="A712" s="38" t="s">
        <v>2450</v>
      </c>
      <c r="B712" s="32"/>
      <c r="C712" s="32"/>
      <c r="D712" s="32"/>
      <c r="E712" s="32"/>
      <c r="F712" s="43"/>
      <c r="K712" s="3" t="s">
        <v>2450</v>
      </c>
    </row>
    <row r="713" spans="1:38" ht="18.399999999999999" customHeight="1" x14ac:dyDescent="0.15">
      <c r="A713" s="38" t="s">
        <v>1557</v>
      </c>
      <c r="B713" s="32"/>
      <c r="C713" s="32"/>
      <c r="D713" s="32"/>
      <c r="E713" s="32"/>
      <c r="F713" s="43"/>
      <c r="K713" s="3" t="s">
        <v>646</v>
      </c>
    </row>
    <row r="714" spans="1:38" ht="18.399999999999999" customHeight="1" x14ac:dyDescent="0.15">
      <c r="A714" s="38" t="s">
        <v>2450</v>
      </c>
      <c r="B714" s="32"/>
      <c r="C714" s="32"/>
      <c r="D714" s="32"/>
      <c r="E714" s="32"/>
      <c r="F714" s="43"/>
      <c r="K714" s="3" t="s">
        <v>2450</v>
      </c>
    </row>
    <row r="715" spans="1:38" ht="18.399999999999999" customHeight="1" x14ac:dyDescent="0.15">
      <c r="A715" s="40" t="str">
        <f>CONCATENATE("    재 료 비: _x001D_239,000,000_x001D_ * ",TEXT($AB715,"#,##0.00")," * ",TEXT($AF715,"#,##0.00")," / 28 m = ",TEXT($AJ715,"#,##0.00"))</f>
        <v xml:space="preserve">    재 료 비: _x001D_239,000,000_x001D_ * 0.00 * 6.05 / 28 m = 111,544.00</v>
      </c>
      <c r="B715" s="32">
        <f>SUM($C715,$D715,$E715)</f>
        <v>111544</v>
      </c>
      <c r="C715" s="32">
        <f>$AJ715</f>
        <v>111544</v>
      </c>
      <c r="D715" s="32"/>
      <c r="E715" s="32"/>
      <c r="F715" s="43" t="s">
        <v>2450</v>
      </c>
      <c r="K715" s="3" t="s">
        <v>561</v>
      </c>
      <c r="AA715" s="36" t="s">
        <v>371</v>
      </c>
      <c r="AB715" s="8">
        <f>$AD705</f>
        <v>2.16E-3</v>
      </c>
      <c r="AC715" s="36" t="s">
        <v>929</v>
      </c>
      <c r="AD715" s="7">
        <f>$AB715</f>
        <v>2.16E-3</v>
      </c>
      <c r="AE715" s="36" t="s">
        <v>2360</v>
      </c>
      <c r="AF715" s="8">
        <f>$AD697</f>
        <v>6.05</v>
      </c>
      <c r="AG715" s="36" t="s">
        <v>1662</v>
      </c>
      <c r="AH715" s="7">
        <f>$AF715</f>
        <v>6.05</v>
      </c>
      <c r="AI715" s="37" t="s">
        <v>1805</v>
      </c>
      <c r="AJ715" s="8">
        <f>TRUNC(자재!D14*$AD715*$AH715/28,0)</f>
        <v>111544</v>
      </c>
      <c r="AK715" s="37" t="s">
        <v>2029</v>
      </c>
      <c r="AL715" s="7">
        <f>$AD670+$AJ715</f>
        <v>145745</v>
      </c>
    </row>
    <row r="716" spans="1:38" ht="18.399999999999999" customHeight="1" x14ac:dyDescent="0.15">
      <c r="A716" s="38" t="s">
        <v>2450</v>
      </c>
      <c r="B716" s="32"/>
      <c r="C716" s="32"/>
      <c r="D716" s="32"/>
      <c r="E716" s="32"/>
      <c r="F716" s="43"/>
      <c r="K716" s="3" t="s">
        <v>2450</v>
      </c>
    </row>
    <row r="717" spans="1:38" ht="18.399999999999999" customHeight="1" x14ac:dyDescent="0.15">
      <c r="A717" s="38" t="s">
        <v>649</v>
      </c>
      <c r="B717" s="34">
        <f>SUM($C717,$D717,$E717)</f>
        <v>111544</v>
      </c>
      <c r="C717" s="34">
        <f>$AB717</f>
        <v>111544</v>
      </c>
      <c r="D717" s="34">
        <f>$AD717</f>
        <v>0</v>
      </c>
      <c r="E717" s="34">
        <f>$AF717</f>
        <v>0</v>
      </c>
      <c r="F717" s="45"/>
      <c r="K717" s="3" t="s">
        <v>2335</v>
      </c>
      <c r="AA717" s="36" t="s">
        <v>989</v>
      </c>
      <c r="AB717" s="7">
        <f>$AL715-$AD670</f>
        <v>111544</v>
      </c>
      <c r="AC717" s="36" t="s">
        <v>2036</v>
      </c>
      <c r="AD717" s="7">
        <f>$AD682-$AD682</f>
        <v>0</v>
      </c>
      <c r="AE717" s="36" t="s">
        <v>579</v>
      </c>
      <c r="AF717" s="7">
        <f>$AD672-$AD672</f>
        <v>0</v>
      </c>
    </row>
    <row r="718" spans="1:38" ht="18.399999999999999" customHeight="1" x14ac:dyDescent="0.15">
      <c r="A718" s="38" t="s">
        <v>2450</v>
      </c>
      <c r="B718" s="32"/>
      <c r="C718" s="32"/>
      <c r="D718" s="32"/>
      <c r="E718" s="32"/>
      <c r="F718" s="43"/>
      <c r="K718" s="3" t="s">
        <v>2450</v>
      </c>
    </row>
    <row r="719" spans="1:38" ht="18.399999999999999" customHeight="1" x14ac:dyDescent="0.15">
      <c r="A719" s="38" t="s">
        <v>2367</v>
      </c>
      <c r="B719" s="32"/>
      <c r="C719" s="32"/>
      <c r="D719" s="32"/>
      <c r="E719" s="32"/>
      <c r="F719" s="43"/>
      <c r="K719" s="3" t="s">
        <v>2179</v>
      </c>
    </row>
    <row r="720" spans="1:38" ht="18.399999999999999" customHeight="1" x14ac:dyDescent="0.15">
      <c r="A720" s="38" t="s">
        <v>2450</v>
      </c>
      <c r="B720" s="32"/>
      <c r="C720" s="32"/>
      <c r="D720" s="32"/>
      <c r="E720" s="32"/>
      <c r="F720" s="43"/>
      <c r="K720" s="3" t="s">
        <v>2450</v>
      </c>
    </row>
    <row r="721" spans="1:34" ht="18.399999999999999" customHeight="1" x14ac:dyDescent="0.15">
      <c r="A721" s="38" t="s">
        <v>2423</v>
      </c>
      <c r="B721" s="32"/>
      <c r="C721" s="32"/>
      <c r="D721" s="32"/>
      <c r="E721" s="32"/>
      <c r="F721" s="43"/>
      <c r="K721" s="3" t="s">
        <v>2099</v>
      </c>
    </row>
    <row r="722" spans="1:34" ht="18.399999999999999" customHeight="1" x14ac:dyDescent="0.15">
      <c r="A722" s="38" t="s">
        <v>2450</v>
      </c>
      <c r="B722" s="32"/>
      <c r="C722" s="32"/>
      <c r="D722" s="32"/>
      <c r="E722" s="32"/>
      <c r="F722" s="43"/>
      <c r="K722" s="3" t="s">
        <v>2450</v>
      </c>
    </row>
    <row r="723" spans="1:34" ht="18.399999999999999" customHeight="1" x14ac:dyDescent="0.15">
      <c r="A723" s="38" t="s">
        <v>211</v>
      </c>
      <c r="B723" s="32"/>
      <c r="C723" s="32"/>
      <c r="D723" s="32"/>
      <c r="E723" s="32"/>
      <c r="F723" s="43"/>
      <c r="K723" s="3" t="s">
        <v>473</v>
      </c>
    </row>
    <row r="724" spans="1:34" ht="18.399999999999999" customHeight="1" x14ac:dyDescent="0.15">
      <c r="A724" s="38" t="s">
        <v>2450</v>
      </c>
      <c r="B724" s="32"/>
      <c r="C724" s="32"/>
      <c r="D724" s="32"/>
      <c r="E724" s="32"/>
      <c r="F724" s="43"/>
      <c r="K724" s="3" t="s">
        <v>2450</v>
      </c>
    </row>
    <row r="725" spans="1:34" ht="18.399999999999999" customHeight="1" x14ac:dyDescent="0.15">
      <c r="A725" s="40" t="str">
        <f>CONCATENATE("     t8=0.028/25*2*60=",TEXT($AF725,"#,##0.00")," 분 ")</f>
        <v xml:space="preserve">     t8=0.028/25*2*60=0.13 분 </v>
      </c>
      <c r="B725" s="32">
        <f>SUM($C725,$D725,$E725)</f>
        <v>0</v>
      </c>
      <c r="C725" s="32"/>
      <c r="D725" s="32"/>
      <c r="E725" s="32"/>
      <c r="F725" s="43"/>
      <c r="K725" s="3" t="s">
        <v>1439</v>
      </c>
      <c r="AA725" s="36" t="s">
        <v>830</v>
      </c>
      <c r="AB725" s="8">
        <f>ROUND(0.028/25*2*60,2)</f>
        <v>0.13</v>
      </c>
      <c r="AC725" s="36" t="s">
        <v>482</v>
      </c>
      <c r="AD725" s="7">
        <f>$AB725</f>
        <v>0.13</v>
      </c>
      <c r="AE725" s="36" t="s">
        <v>365</v>
      </c>
      <c r="AF725" s="8">
        <f>ROUND(ROUND(0.028/25*2*60,2),2)</f>
        <v>0.13</v>
      </c>
      <c r="AG725" s="36" t="s">
        <v>1479</v>
      </c>
      <c r="AH725" s="7">
        <f>$AF725</f>
        <v>0.13</v>
      </c>
    </row>
    <row r="726" spans="1:34" ht="18.399999999999999" customHeight="1" x14ac:dyDescent="0.15">
      <c r="A726" s="38" t="s">
        <v>2450</v>
      </c>
      <c r="B726" s="32"/>
      <c r="C726" s="32"/>
      <c r="D726" s="32"/>
      <c r="E726" s="32"/>
      <c r="F726" s="43"/>
      <c r="K726" s="3" t="s">
        <v>2450</v>
      </c>
    </row>
    <row r="727" spans="1:34" ht="18.399999999999999" customHeight="1" x14ac:dyDescent="0.15">
      <c r="A727" s="40" t="str">
        <f>CONCATENATE("     t9=",TEXT($AB727,"#,##0.00")," 분(자재적하시간) , t10=",TEXT($AF727,"#,##0.00")," 분(적재대기시간)")</f>
        <v xml:space="preserve">     t9=1.05 분(자재적하시간) , t10=0.42 분(적재대기시간)</v>
      </c>
      <c r="B727" s="32"/>
      <c r="C727" s="32"/>
      <c r="D727" s="32"/>
      <c r="E727" s="32"/>
      <c r="F727" s="43"/>
      <c r="K727" s="10" t="str">
        <f>SUBSTITUTE(SUBSTITUTE(SUBSTITUTE("     t9=1.05_x001D_분(자재적하시간)_x001D_, t10=0.42_x001D_분(적재대기시간)_x001D_","1.05",TEXT($AB727,"#,##0.00"),1),"0.42",TEXT($AF727,"#,##0.00"),1),"_x001D_","'")</f>
        <v xml:space="preserve">     t9=1.05'분(자재적하시간)', t10=0.42'분(적재대기시간)'</v>
      </c>
      <c r="AA727" s="36" t="s">
        <v>838</v>
      </c>
      <c r="AB727" s="6">
        <v>1.05</v>
      </c>
      <c r="AC727" s="36" t="s">
        <v>838</v>
      </c>
      <c r="AD727" s="7">
        <f>$AB727</f>
        <v>1.05</v>
      </c>
      <c r="AE727" s="36" t="s">
        <v>1774</v>
      </c>
      <c r="AF727" s="6">
        <v>0.42</v>
      </c>
      <c r="AG727" s="36" t="s">
        <v>1774</v>
      </c>
      <c r="AH727" s="7">
        <f>$AF727</f>
        <v>0.42</v>
      </c>
    </row>
    <row r="728" spans="1:34" ht="18.399999999999999" customHeight="1" x14ac:dyDescent="0.15">
      <c r="A728" s="38" t="s">
        <v>2450</v>
      </c>
      <c r="B728" s="32"/>
      <c r="C728" s="32"/>
      <c r="D728" s="32"/>
      <c r="E728" s="32"/>
      <c r="F728" s="43"/>
      <c r="K728" s="3" t="s">
        <v>2450</v>
      </c>
    </row>
    <row r="729" spans="1:34" ht="18.399999999999999" customHeight="1" x14ac:dyDescent="0.15">
      <c r="A729" s="40" t="str">
        <f>CONCATENATE("     Cm2=t8+t9+t10=",TEXT($AF729,"#,##0.00")," 분 ")</f>
        <v xml:space="preserve">     Cm2=t8+t9+t10=1.60 분 </v>
      </c>
      <c r="B729" s="32">
        <f>SUM($C729,$D729,$E729)</f>
        <v>0</v>
      </c>
      <c r="C729" s="32"/>
      <c r="D729" s="32"/>
      <c r="E729" s="32"/>
      <c r="F729" s="43"/>
      <c r="K729" s="3" t="s">
        <v>643</v>
      </c>
      <c r="AA729" s="36" t="s">
        <v>1449</v>
      </c>
      <c r="AB729" s="8">
        <f>ROUND($AD725+$AD727+$AH727,2)</f>
        <v>1.6</v>
      </c>
      <c r="AC729" s="36" t="s">
        <v>2077</v>
      </c>
      <c r="AD729" s="7">
        <f>$AB729</f>
        <v>1.6</v>
      </c>
      <c r="AE729" s="36" t="s">
        <v>476</v>
      </c>
      <c r="AF729" s="8">
        <f>ROUND(ROUND($AD725+$AD727+$AH727,2),2)</f>
        <v>1.6</v>
      </c>
      <c r="AG729" s="36" t="s">
        <v>2017</v>
      </c>
      <c r="AH729" s="7">
        <f>$AF729</f>
        <v>1.6</v>
      </c>
    </row>
    <row r="730" spans="1:34" ht="18.399999999999999" customHeight="1" x14ac:dyDescent="0.15">
      <c r="A730" s="38" t="s">
        <v>2450</v>
      </c>
      <c r="B730" s="32"/>
      <c r="C730" s="32"/>
      <c r="D730" s="32"/>
      <c r="E730" s="32"/>
      <c r="F730" s="43"/>
      <c r="K730" s="3" t="s">
        <v>2450</v>
      </c>
    </row>
    <row r="731" spans="1:34" ht="18.399999999999999" customHeight="1" x14ac:dyDescent="0.15">
      <c r="A731" s="40" t="str">
        <f>CONCATENATE("     노무비: _x001D_59,020_x001D_*Cm2/60*(Wt/1.5)/28 m = ",TEXT($AB731,"#,##0.00"))</f>
        <v xml:space="preserve">     노무비: _x001D_59,020_x001D_*Cm2/60*(Wt/1.5)/28 m = 1,427.00</v>
      </c>
      <c r="B731" s="32">
        <f>SUM($C731,$D731,$E731)</f>
        <v>1427</v>
      </c>
      <c r="C731" s="32"/>
      <c r="D731" s="32">
        <f>$AB731</f>
        <v>1427</v>
      </c>
      <c r="E731" s="32"/>
      <c r="F731" s="43" t="s">
        <v>2450</v>
      </c>
      <c r="K731" s="3" t="s">
        <v>1144</v>
      </c>
      <c r="AA731" s="37" t="s">
        <v>265</v>
      </c>
      <c r="AB731" s="8">
        <f>TRUNC(중기사용료목록!F6*$AD729/60*($AD604/1.5)/28,0)</f>
        <v>1427</v>
      </c>
      <c r="AC731" s="37" t="s">
        <v>972</v>
      </c>
      <c r="AD731" s="7">
        <f>$AD682+$AB731</f>
        <v>332396</v>
      </c>
    </row>
    <row r="732" spans="1:34" ht="18.399999999999999" customHeight="1" x14ac:dyDescent="0.15">
      <c r="A732" s="38" t="s">
        <v>2450</v>
      </c>
      <c r="B732" s="32"/>
      <c r="C732" s="32"/>
      <c r="D732" s="32"/>
      <c r="E732" s="32"/>
      <c r="F732" s="43"/>
      <c r="K732" s="3" t="s">
        <v>2450</v>
      </c>
    </row>
    <row r="733" spans="1:34" ht="18.399999999999999" customHeight="1" x14ac:dyDescent="0.15">
      <c r="A733" s="40" t="str">
        <f>CONCATENATE("     재료비: _x001D_37,826_x001D_*Cm2/60*(Wt/1.5)/28 m = ",TEXT($AB733,"#,##0.00"))</f>
        <v xml:space="preserve">     재료비: _x001D_37,826_x001D_*Cm2/60*(Wt/1.5)/28 m = 915.00</v>
      </c>
      <c r="B733" s="32">
        <f>SUM($C733,$D733,$E733)</f>
        <v>915</v>
      </c>
      <c r="C733" s="32">
        <f>$AB733</f>
        <v>915</v>
      </c>
      <c r="D733" s="32"/>
      <c r="E733" s="32"/>
      <c r="F733" s="43" t="s">
        <v>2450</v>
      </c>
      <c r="K733" s="3" t="s">
        <v>279</v>
      </c>
      <c r="AA733" s="37" t="s">
        <v>1805</v>
      </c>
      <c r="AB733" s="8">
        <f>TRUNC(중기사용료목록!E6*$AD729/60*($AD604/1.5)/28,0)</f>
        <v>915</v>
      </c>
      <c r="AC733" s="37" t="s">
        <v>2021</v>
      </c>
      <c r="AD733" s="7">
        <f>$AL715+$AB733</f>
        <v>146660</v>
      </c>
    </row>
    <row r="734" spans="1:34" ht="18.399999999999999" customHeight="1" x14ac:dyDescent="0.15">
      <c r="A734" s="38" t="s">
        <v>2450</v>
      </c>
      <c r="B734" s="32"/>
      <c r="C734" s="32"/>
      <c r="D734" s="32"/>
      <c r="E734" s="32"/>
      <c r="F734" s="43"/>
      <c r="K734" s="3" t="s">
        <v>2450</v>
      </c>
    </row>
    <row r="735" spans="1:34" ht="18.399999999999999" customHeight="1" x14ac:dyDescent="0.15">
      <c r="A735" s="40" t="str">
        <f>CONCATENATE("     경  비: _x001D_29,621_x001D_*Cm2/60*(Wt/1.5)/28 m = ",TEXT($AB735,"#,##0.00"))</f>
        <v xml:space="preserve">     경  비: _x001D_29,621_x001D_*Cm2/60*(Wt/1.5)/28 m = 716.00</v>
      </c>
      <c r="B735" s="32">
        <f>SUM($C735,$D735,$E735)</f>
        <v>716</v>
      </c>
      <c r="C735" s="32"/>
      <c r="D735" s="32"/>
      <c r="E735" s="32">
        <f>$AB735</f>
        <v>716</v>
      </c>
      <c r="F735" s="43" t="s">
        <v>2450</v>
      </c>
      <c r="K735" s="3" t="s">
        <v>2260</v>
      </c>
      <c r="AA735" s="37" t="s">
        <v>815</v>
      </c>
      <c r="AB735" s="8">
        <f>TRUNC(중기사용료목록!G6*$AD729/60*($AD604/1.5)/28,0)</f>
        <v>716</v>
      </c>
      <c r="AC735" s="37" t="s">
        <v>1302</v>
      </c>
      <c r="AD735" s="7">
        <f>$AD672+$AB735</f>
        <v>38037</v>
      </c>
    </row>
    <row r="736" spans="1:34" ht="18.399999999999999" customHeight="1" x14ac:dyDescent="0.15">
      <c r="A736" s="38" t="s">
        <v>2450</v>
      </c>
      <c r="B736" s="32"/>
      <c r="C736" s="32"/>
      <c r="D736" s="32"/>
      <c r="E736" s="32"/>
      <c r="F736" s="43"/>
      <c r="K736" s="3" t="s">
        <v>2450</v>
      </c>
    </row>
    <row r="737" spans="1:38" ht="18.399999999999999" customHeight="1" x14ac:dyDescent="0.15">
      <c r="A737" s="38" t="s">
        <v>649</v>
      </c>
      <c r="B737" s="34">
        <f>SUM($C737,$D737,$E737)</f>
        <v>3058</v>
      </c>
      <c r="C737" s="34">
        <f>$AB737</f>
        <v>915</v>
      </c>
      <c r="D737" s="34">
        <f>$AD737</f>
        <v>1427</v>
      </c>
      <c r="E737" s="34">
        <f>$AF737</f>
        <v>716</v>
      </c>
      <c r="F737" s="45"/>
      <c r="K737" s="3" t="s">
        <v>2335</v>
      </c>
      <c r="AA737" s="36" t="s">
        <v>989</v>
      </c>
      <c r="AB737" s="7">
        <f>$AD733-$AL715</f>
        <v>915</v>
      </c>
      <c r="AC737" s="36" t="s">
        <v>2036</v>
      </c>
      <c r="AD737" s="7">
        <f>$AD731-$AD682</f>
        <v>1427</v>
      </c>
      <c r="AE737" s="36" t="s">
        <v>579</v>
      </c>
      <c r="AF737" s="7">
        <f>$AD735-$AD672</f>
        <v>716</v>
      </c>
    </row>
    <row r="738" spans="1:38" ht="18.399999999999999" customHeight="1" x14ac:dyDescent="0.15">
      <c r="A738" s="38" t="s">
        <v>2450</v>
      </c>
      <c r="B738" s="32"/>
      <c r="C738" s="32"/>
      <c r="D738" s="32"/>
      <c r="E738" s="32"/>
      <c r="F738" s="43"/>
      <c r="K738" s="3" t="s">
        <v>2450</v>
      </c>
    </row>
    <row r="739" spans="1:38" ht="18.399999999999999" customHeight="1" x14ac:dyDescent="0.15">
      <c r="A739" s="38" t="s">
        <v>590</v>
      </c>
      <c r="B739" s="34">
        <f>SUM($C739,$D739,$E739)</f>
        <v>0</v>
      </c>
      <c r="C739" s="34">
        <f>$AB739</f>
        <v>0</v>
      </c>
      <c r="D739" s="34">
        <f>$AD739</f>
        <v>0</v>
      </c>
      <c r="E739" s="34">
        <f>$AF739</f>
        <v>0</v>
      </c>
      <c r="F739" s="45"/>
      <c r="K739" s="3" t="s">
        <v>600</v>
      </c>
      <c r="AA739" s="36" t="s">
        <v>989</v>
      </c>
      <c r="AB739" s="7">
        <f>$AD733-$AD733</f>
        <v>0</v>
      </c>
      <c r="AC739" s="36" t="s">
        <v>2036</v>
      </c>
      <c r="AD739" s="7">
        <f>$AD731-$AD731</f>
        <v>0</v>
      </c>
      <c r="AE739" s="36" t="s">
        <v>579</v>
      </c>
      <c r="AF739" s="7">
        <f>$AD735-$AD735</f>
        <v>0</v>
      </c>
    </row>
    <row r="740" spans="1:38" ht="18.399999999999999" customHeight="1" x14ac:dyDescent="0.15">
      <c r="A740" s="38"/>
      <c r="B740" s="3"/>
      <c r="C740" s="3"/>
      <c r="D740" s="3"/>
      <c r="E740" s="3"/>
      <c r="F740" s="42"/>
    </row>
    <row r="741" spans="1:38" ht="18.399999999999999" customHeight="1" x14ac:dyDescent="0.15">
      <c r="A741" s="41" t="s">
        <v>1388</v>
      </c>
      <c r="B741" s="35">
        <f>SUM($C741,$D741,$E741)</f>
        <v>517093</v>
      </c>
      <c r="C741" s="35">
        <f>TRUNC(SUM($AD733),0)</f>
        <v>146660</v>
      </c>
      <c r="D741" s="35">
        <f>TRUNC(SUM($AD731),0)</f>
        <v>332396</v>
      </c>
      <c r="E741" s="35">
        <f>TRUNC(SUM($AD735),0)</f>
        <v>38037</v>
      </c>
      <c r="F741" s="47"/>
    </row>
    <row r="742" spans="1:38" ht="18.399999999999999" customHeight="1" x14ac:dyDescent="0.15">
      <c r="A742" s="38"/>
      <c r="B742" s="3"/>
      <c r="C742" s="3"/>
      <c r="D742" s="3"/>
      <c r="E742" s="3"/>
      <c r="F742" s="42"/>
    </row>
    <row r="743" spans="1:38" ht="18.399999999999999" customHeight="1" x14ac:dyDescent="0.15">
      <c r="A743" s="38" t="s">
        <v>595</v>
      </c>
      <c r="B743" s="32">
        <f>$B782</f>
        <v>54342</v>
      </c>
      <c r="C743" s="32">
        <f>$C782</f>
        <v>11359</v>
      </c>
      <c r="D743" s="32">
        <f>$D782</f>
        <v>35349</v>
      </c>
      <c r="E743" s="32">
        <f>$E782</f>
        <v>7634</v>
      </c>
      <c r="F743" s="42" t="s">
        <v>2450</v>
      </c>
      <c r="G743" t="s">
        <v>2450</v>
      </c>
      <c r="H743" t="s">
        <v>994</v>
      </c>
      <c r="K743">
        <v>1</v>
      </c>
      <c r="Y743" s="7" t="b">
        <f>EXACT($Z743,$B782)</f>
        <v>1</v>
      </c>
      <c r="Z743" s="35">
        <v>54342</v>
      </c>
    </row>
    <row r="744" spans="1:38" ht="18.399999999999999" customHeight="1" x14ac:dyDescent="0.15">
      <c r="A744" s="39"/>
      <c r="B744" s="3"/>
      <c r="C744" s="3"/>
      <c r="D744" s="3"/>
      <c r="E744" s="3"/>
      <c r="F744" s="42"/>
    </row>
    <row r="745" spans="1:38" ht="18.399999999999999" customHeight="1" x14ac:dyDescent="0.15">
      <c r="A745" s="38" t="s">
        <v>2450</v>
      </c>
      <c r="B745" s="3"/>
      <c r="C745" s="3"/>
      <c r="D745" s="3"/>
      <c r="E745" s="3"/>
      <c r="F745" s="42"/>
      <c r="G745" t="s">
        <v>2450</v>
      </c>
      <c r="I745" t="s">
        <v>289</v>
      </c>
      <c r="J745" t="s">
        <v>2450</v>
      </c>
      <c r="K745" t="s">
        <v>2053</v>
      </c>
    </row>
    <row r="746" spans="1:38" ht="18.399999999999999" customHeight="1" x14ac:dyDescent="0.15">
      <c r="A746" s="38" t="s">
        <v>967</v>
      </c>
      <c r="B746" s="32"/>
      <c r="C746" s="32"/>
      <c r="D746" s="32"/>
      <c r="E746" s="32"/>
      <c r="F746" s="43"/>
      <c r="K746" s="3" t="s">
        <v>967</v>
      </c>
    </row>
    <row r="747" spans="1:38" ht="18.399999999999999" customHeight="1" x14ac:dyDescent="0.15">
      <c r="A747" s="38" t="s">
        <v>2450</v>
      </c>
      <c r="B747" s="32"/>
      <c r="C747" s="32"/>
      <c r="D747" s="32"/>
      <c r="E747" s="32"/>
      <c r="F747" s="43"/>
      <c r="K747" s="3" t="s">
        <v>2450</v>
      </c>
    </row>
    <row r="748" spans="1:38" ht="18.399999999999999" customHeight="1" x14ac:dyDescent="0.15">
      <c r="A748" s="40" t="str">
        <f>CONCATENATE("  ○ 1일 시공량 :  A=",TEXT($AB748,"#,##0.00")," 본/일")</f>
        <v xml:space="preserve">  ○ 1일 시공량 :  A=31.00 본/일</v>
      </c>
      <c r="B748" s="32"/>
      <c r="C748" s="32"/>
      <c r="D748" s="32"/>
      <c r="E748" s="32"/>
      <c r="F748" s="43"/>
      <c r="K748" s="10" t="str">
        <f>SUBSTITUTE(SUBSTITUTE(" _x001D_○ 1일 시공량 :_x001D_ A = 31_x001D_본/일_x001D_","31",TEXT($AB748,"#,##0"),1),"_x001D_","'")</f>
        <v xml:space="preserve"> '○ 1일 시공량 :' A = 31'본/일'</v>
      </c>
      <c r="AA748" s="36" t="s">
        <v>430</v>
      </c>
      <c r="AB748" s="6">
        <v>31</v>
      </c>
      <c r="AC748" s="36" t="s">
        <v>430</v>
      </c>
      <c r="AD748" s="7">
        <f>$AB748</f>
        <v>31</v>
      </c>
    </row>
    <row r="749" spans="1:38" ht="18.399999999999999" customHeight="1" x14ac:dyDescent="0.15">
      <c r="A749" s="38" t="s">
        <v>2450</v>
      </c>
      <c r="B749" s="32"/>
      <c r="C749" s="32"/>
      <c r="D749" s="32"/>
      <c r="E749" s="32"/>
      <c r="F749" s="43"/>
      <c r="K749" s="3" t="s">
        <v>2450</v>
      </c>
    </row>
    <row r="750" spans="1:38" ht="18.399999999999999" customHeight="1" x14ac:dyDescent="0.15">
      <c r="A750" s="40" t="str">
        <f>CONCATENATE("  ○ 1시간 작업량 :  Q = ",TEXT($AB750,"#,##0.00")," / 8 hr  =",TEXT($AJ750,"#,##0.00")," 본/hr ")</f>
        <v xml:space="preserve">  ○ 1시간 작업량 :  Q = 31.00 / 8 hr  =3.88 본/hr </v>
      </c>
      <c r="B750" s="32">
        <f>SUM($C750,$D750,$E750)</f>
        <v>0</v>
      </c>
      <c r="C750" s="32"/>
      <c r="D750" s="32"/>
      <c r="E750" s="32"/>
      <c r="F750" s="43"/>
      <c r="K750" s="3" t="s">
        <v>2094</v>
      </c>
      <c r="AA750" s="36" t="s">
        <v>189</v>
      </c>
      <c r="AB750" s="8">
        <f>$AD748</f>
        <v>31</v>
      </c>
      <c r="AC750" s="36" t="s">
        <v>532</v>
      </c>
      <c r="AD750" s="7">
        <f>$AB750</f>
        <v>31</v>
      </c>
      <c r="AE750" s="36" t="s">
        <v>461</v>
      </c>
      <c r="AF750" s="8">
        <f>ROUND($AD750/8,2)</f>
        <v>3.88</v>
      </c>
      <c r="AG750" s="36" t="s">
        <v>1686</v>
      </c>
      <c r="AH750" s="7">
        <f>$AF750</f>
        <v>3.88</v>
      </c>
      <c r="AI750" s="36" t="s">
        <v>1851</v>
      </c>
      <c r="AJ750" s="8">
        <f>ROUND(ROUND($AD750/8,2),2)</f>
        <v>3.88</v>
      </c>
      <c r="AK750" s="36" t="s">
        <v>2058</v>
      </c>
      <c r="AL750" s="7">
        <f>$AJ750</f>
        <v>3.88</v>
      </c>
    </row>
    <row r="751" spans="1:38" ht="18.399999999999999" customHeight="1" x14ac:dyDescent="0.15">
      <c r="A751" s="38" t="s">
        <v>2450</v>
      </c>
      <c r="B751" s="32"/>
      <c r="C751" s="32"/>
      <c r="D751" s="32"/>
      <c r="E751" s="32"/>
      <c r="F751" s="43"/>
      <c r="K751" s="3" t="s">
        <v>2450</v>
      </c>
    </row>
    <row r="752" spans="1:38" ht="18.399999999999999" customHeight="1" x14ac:dyDescent="0.15">
      <c r="A752" s="38" t="s">
        <v>1485</v>
      </c>
      <c r="B752" s="32"/>
      <c r="C752" s="32"/>
      <c r="D752" s="32"/>
      <c r="E752" s="32"/>
      <c r="F752" s="43"/>
      <c r="K752" s="3" t="s">
        <v>1485</v>
      </c>
    </row>
    <row r="753" spans="1:38" ht="18.399999999999999" customHeight="1" x14ac:dyDescent="0.15">
      <c r="A753" s="38" t="s">
        <v>2450</v>
      </c>
      <c r="B753" s="32"/>
      <c r="C753" s="32"/>
      <c r="D753" s="32"/>
      <c r="E753" s="32"/>
      <c r="F753" s="43"/>
      <c r="K753" s="3" t="s">
        <v>2450</v>
      </c>
    </row>
    <row r="754" spans="1:38" ht="18.399999999999999" customHeight="1" x14ac:dyDescent="0.15">
      <c r="A754" s="38" t="s">
        <v>1903</v>
      </c>
      <c r="B754" s="32"/>
      <c r="C754" s="32"/>
      <c r="D754" s="32"/>
      <c r="E754" s="32"/>
      <c r="F754" s="43"/>
      <c r="K754" s="3" t="s">
        <v>1903</v>
      </c>
    </row>
    <row r="755" spans="1:38" ht="18.399999999999999" customHeight="1" x14ac:dyDescent="0.15">
      <c r="A755" s="38" t="s">
        <v>2450</v>
      </c>
      <c r="B755" s="32"/>
      <c r="C755" s="32"/>
      <c r="D755" s="32"/>
      <c r="E755" s="32"/>
      <c r="F755" s="43"/>
      <c r="K755" s="3" t="s">
        <v>2450</v>
      </c>
    </row>
    <row r="756" spans="1:38" ht="18.399999999999999" customHeight="1" x14ac:dyDescent="0.15">
      <c r="A756" s="38" t="s">
        <v>273</v>
      </c>
      <c r="B756" s="32"/>
      <c r="C756" s="32"/>
      <c r="D756" s="32"/>
      <c r="E756" s="32"/>
      <c r="F756" s="43"/>
      <c r="K756" s="3" t="s">
        <v>273</v>
      </c>
    </row>
    <row r="757" spans="1:38" ht="18.399999999999999" customHeight="1" x14ac:dyDescent="0.15">
      <c r="A757" s="38" t="s">
        <v>2450</v>
      </c>
      <c r="B757" s="32"/>
      <c r="C757" s="32"/>
      <c r="D757" s="32"/>
      <c r="E757" s="32"/>
      <c r="F757" s="43"/>
      <c r="K757" s="3" t="s">
        <v>2450</v>
      </c>
    </row>
    <row r="758" spans="1:38" ht="18.399999999999999" customHeight="1" x14ac:dyDescent="0.15">
      <c r="A758" s="40" t="str">
        <f>CONCATENATE("    특별인부 : 2 인  / ",TEXT($AB758,"#,##0.00")," * _x001D_226,122_x001D_ =",TEXT($AF758,"#,##0.00"))</f>
        <v xml:space="preserve">    특별인부 : 2 인  / 31.00 * _x001D_226,122_x001D_ =14,588.00</v>
      </c>
      <c r="B758" s="32">
        <f>SUM($C758,$D758,$E758)</f>
        <v>14588</v>
      </c>
      <c r="C758" s="32"/>
      <c r="D758" s="32">
        <f>$AF758</f>
        <v>14588</v>
      </c>
      <c r="E758" s="32"/>
      <c r="F758" s="43" t="s">
        <v>2450</v>
      </c>
      <c r="K758" s="3" t="s">
        <v>807</v>
      </c>
      <c r="AA758" s="36" t="s">
        <v>100</v>
      </c>
      <c r="AB758" s="8">
        <f>$AD748</f>
        <v>31</v>
      </c>
      <c r="AC758" s="36" t="s">
        <v>1241</v>
      </c>
      <c r="AD758" s="7">
        <f>$AB758</f>
        <v>31</v>
      </c>
      <c r="AE758" s="37" t="s">
        <v>265</v>
      </c>
      <c r="AF758" s="8">
        <f>TRUNC(2/$AD758*노임!D9,0)</f>
        <v>14588</v>
      </c>
      <c r="AG758" s="37" t="s">
        <v>972</v>
      </c>
      <c r="AH758" s="7">
        <f>$AF758</f>
        <v>14588</v>
      </c>
      <c r="AI758" s="36" t="s">
        <v>2016</v>
      </c>
      <c r="AJ758" s="8">
        <f>$AF758</f>
        <v>14588</v>
      </c>
      <c r="AK758" s="36" t="s">
        <v>2383</v>
      </c>
      <c r="AL758" s="7">
        <f>$AJ758</f>
        <v>14588</v>
      </c>
    </row>
    <row r="759" spans="1:38" ht="18.399999999999999" customHeight="1" x14ac:dyDescent="0.15">
      <c r="A759" s="38" t="s">
        <v>2450</v>
      </c>
      <c r="B759" s="32"/>
      <c r="C759" s="32"/>
      <c r="D759" s="32"/>
      <c r="E759" s="32"/>
      <c r="F759" s="43"/>
      <c r="K759" s="3" t="s">
        <v>2450</v>
      </c>
    </row>
    <row r="760" spans="1:38" ht="18.399999999999999" customHeight="1" x14ac:dyDescent="0.15">
      <c r="A760" s="40" t="str">
        <f>CONCATENATE("    보통인부 : 1 인 / ",TEXT($AB760,"#,##0.00"),"  * _x001D_172,068_x001D_ =",TEXT($AF760,"#,##0.00"))</f>
        <v xml:space="preserve">    보통인부 : 1 인 / 31.00  * _x001D_172,068_x001D_ =5,550.00</v>
      </c>
      <c r="B760" s="32">
        <f>SUM($C760,$D760,$E760)</f>
        <v>5550</v>
      </c>
      <c r="C760" s="32"/>
      <c r="D760" s="32">
        <f>$AF760</f>
        <v>5550</v>
      </c>
      <c r="E760" s="32"/>
      <c r="F760" s="43" t="s">
        <v>2450</v>
      </c>
      <c r="K760" s="3" t="s">
        <v>960</v>
      </c>
      <c r="AA760" s="36" t="s">
        <v>153</v>
      </c>
      <c r="AB760" s="8">
        <f>$AD748</f>
        <v>31</v>
      </c>
      <c r="AC760" s="36" t="s">
        <v>2329</v>
      </c>
      <c r="AD760" s="7">
        <f>$AB760</f>
        <v>31</v>
      </c>
      <c r="AE760" s="37" t="s">
        <v>265</v>
      </c>
      <c r="AF760" s="8">
        <f>TRUNC(1/$AD760*노임!D10,0)</f>
        <v>5550</v>
      </c>
      <c r="AG760" s="37" t="s">
        <v>972</v>
      </c>
      <c r="AH760" s="7">
        <f>$AH758+$AF760</f>
        <v>20138</v>
      </c>
      <c r="AI760" s="36" t="s">
        <v>32</v>
      </c>
      <c r="AJ760" s="8">
        <f>$AF760</f>
        <v>5550</v>
      </c>
      <c r="AK760" s="36" t="s">
        <v>212</v>
      </c>
      <c r="AL760" s="7">
        <f>$AJ760</f>
        <v>5550</v>
      </c>
    </row>
    <row r="761" spans="1:38" ht="18.399999999999999" customHeight="1" x14ac:dyDescent="0.15">
      <c r="A761" s="38" t="s">
        <v>2450</v>
      </c>
      <c r="B761" s="32"/>
      <c r="C761" s="32"/>
      <c r="D761" s="32"/>
      <c r="E761" s="32"/>
      <c r="F761" s="43"/>
      <c r="K761" s="3" t="s">
        <v>2450</v>
      </c>
    </row>
    <row r="762" spans="1:38" ht="18.399999999999999" customHeight="1" x14ac:dyDescent="0.15">
      <c r="A762" s="38" t="s">
        <v>328</v>
      </c>
      <c r="B762" s="33">
        <f>SUM($C762,$D762,$E762)</f>
        <v>20138</v>
      </c>
      <c r="C762" s="33">
        <f>$AB762</f>
        <v>0</v>
      </c>
      <c r="D762" s="33">
        <f>$AD762</f>
        <v>20138</v>
      </c>
      <c r="E762" s="33">
        <f>$AF762</f>
        <v>0</v>
      </c>
      <c r="F762" s="44"/>
      <c r="K762" s="3" t="s">
        <v>1519</v>
      </c>
      <c r="AC762" s="36" t="s">
        <v>71</v>
      </c>
      <c r="AD762" s="7">
        <f>$AH760</f>
        <v>20138</v>
      </c>
    </row>
    <row r="763" spans="1:38" ht="18.399999999999999" customHeight="1" x14ac:dyDescent="0.15">
      <c r="A763" s="38" t="s">
        <v>2450</v>
      </c>
      <c r="B763" s="32"/>
      <c r="C763" s="32"/>
      <c r="D763" s="32"/>
      <c r="E763" s="32"/>
      <c r="F763" s="43"/>
      <c r="K763" s="3" t="s">
        <v>2450</v>
      </c>
    </row>
    <row r="764" spans="1:38" ht="18.399999999999999" customHeight="1" x14ac:dyDescent="0.15">
      <c r="A764" s="38" t="s">
        <v>126</v>
      </c>
      <c r="B764" s="32"/>
      <c r="C764" s="32"/>
      <c r="D764" s="32"/>
      <c r="E764" s="32"/>
      <c r="F764" s="43"/>
      <c r="K764" s="3" t="s">
        <v>126</v>
      </c>
    </row>
    <row r="765" spans="1:38" ht="18.399999999999999" customHeight="1" x14ac:dyDescent="0.15">
      <c r="A765" s="38" t="s">
        <v>2450</v>
      </c>
      <c r="B765" s="32"/>
      <c r="C765" s="32"/>
      <c r="D765" s="32"/>
      <c r="E765" s="32"/>
      <c r="F765" s="43"/>
      <c r="K765" s="3" t="s">
        <v>2450</v>
      </c>
    </row>
    <row r="766" spans="1:38" ht="18.399999999999999" customHeight="1" x14ac:dyDescent="0.15">
      <c r="A766" s="40" t="str">
        <f>CONCATENATE("    재 료 비:  _x001D_37,826_x001D_ / ",TEXT($AB766,"#,##0.00"),"  =",TEXT($AF766,"#,##0.00"))</f>
        <v xml:space="preserve">    재 료 비:  _x001D_37,826_x001D_ / 3.88  =9,748.00</v>
      </c>
      <c r="B766" s="32">
        <f>SUM($C766,$D766,$E766)</f>
        <v>9748</v>
      </c>
      <c r="C766" s="32">
        <f>$AF766</f>
        <v>9748</v>
      </c>
      <c r="D766" s="32"/>
      <c r="E766" s="32"/>
      <c r="F766" s="43" t="s">
        <v>2450</v>
      </c>
      <c r="K766" s="3" t="s">
        <v>401</v>
      </c>
      <c r="AA766" s="36" t="s">
        <v>1472</v>
      </c>
      <c r="AB766" s="8">
        <f>$AH750</f>
        <v>3.88</v>
      </c>
      <c r="AC766" s="36" t="s">
        <v>1120</v>
      </c>
      <c r="AD766" s="7">
        <f>$AB766</f>
        <v>3.88</v>
      </c>
      <c r="AE766" s="37" t="s">
        <v>1805</v>
      </c>
      <c r="AF766" s="8">
        <f>TRUNC(중기사용료목록!E6/$AD766,0)</f>
        <v>9748</v>
      </c>
      <c r="AG766" s="37" t="s">
        <v>2021</v>
      </c>
      <c r="AH766" s="7">
        <f>$AF766</f>
        <v>9748</v>
      </c>
    </row>
    <row r="767" spans="1:38" ht="18.399999999999999" customHeight="1" x14ac:dyDescent="0.15">
      <c r="A767" s="38" t="s">
        <v>2450</v>
      </c>
      <c r="B767" s="32"/>
      <c r="C767" s="32"/>
      <c r="D767" s="32"/>
      <c r="E767" s="32"/>
      <c r="F767" s="43"/>
      <c r="K767" s="3" t="s">
        <v>2450</v>
      </c>
    </row>
    <row r="768" spans="1:38" ht="18.399999999999999" customHeight="1" x14ac:dyDescent="0.15">
      <c r="A768" s="40" t="str">
        <f>CONCATENATE("    노 무 비:  _x001D_59,020_x001D_ / ",TEXT($AB768,"#,##0.00"),"  =",TEXT($AF768,"#,##0.00"))</f>
        <v xml:space="preserve">    노 무 비:  _x001D_59,020_x001D_ / 3.88  =15,211.00</v>
      </c>
      <c r="B768" s="32">
        <f>SUM($C768,$D768,$E768)</f>
        <v>15211</v>
      </c>
      <c r="C768" s="32"/>
      <c r="D768" s="32">
        <f>$AF768</f>
        <v>15211</v>
      </c>
      <c r="E768" s="32"/>
      <c r="F768" s="43" t="s">
        <v>2450</v>
      </c>
      <c r="K768" s="3" t="s">
        <v>1802</v>
      </c>
      <c r="AA768" s="36" t="s">
        <v>76</v>
      </c>
      <c r="AB768" s="8">
        <f>$AH750</f>
        <v>3.88</v>
      </c>
      <c r="AC768" s="36" t="s">
        <v>697</v>
      </c>
      <c r="AD768" s="7">
        <f>$AB768</f>
        <v>3.88</v>
      </c>
      <c r="AE768" s="37" t="s">
        <v>265</v>
      </c>
      <c r="AF768" s="8">
        <f>TRUNC(중기사용료목록!F6/$AD768,0)</f>
        <v>15211</v>
      </c>
      <c r="AG768" s="37" t="s">
        <v>972</v>
      </c>
      <c r="AH768" s="7">
        <f>$AH760+$AF768</f>
        <v>35349</v>
      </c>
    </row>
    <row r="769" spans="1:38" ht="18.399999999999999" customHeight="1" x14ac:dyDescent="0.15">
      <c r="A769" s="38" t="s">
        <v>2450</v>
      </c>
      <c r="B769" s="32"/>
      <c r="C769" s="32"/>
      <c r="D769" s="32"/>
      <c r="E769" s="32"/>
      <c r="F769" s="43"/>
      <c r="K769" s="3" t="s">
        <v>2450</v>
      </c>
    </row>
    <row r="770" spans="1:38" ht="18.399999999999999" customHeight="1" x14ac:dyDescent="0.15">
      <c r="A770" s="40" t="str">
        <f>CONCATENATE("    경    비:  _x001D_29,621_x001D_ / ",TEXT($AB770,"#,##0.00"),"  =",TEXT($AF770,"#,##0.00"))</f>
        <v xml:space="preserve">    경    비:  _x001D_29,621_x001D_ / 3.88  =7,634.00</v>
      </c>
      <c r="B770" s="32">
        <f>SUM($C770,$D770,$E770)</f>
        <v>7634</v>
      </c>
      <c r="C770" s="32"/>
      <c r="D770" s="32"/>
      <c r="E770" s="32">
        <f>$AF770</f>
        <v>7634</v>
      </c>
      <c r="F770" s="43" t="s">
        <v>2450</v>
      </c>
      <c r="K770" s="3" t="s">
        <v>952</v>
      </c>
      <c r="AA770" s="36" t="s">
        <v>442</v>
      </c>
      <c r="AB770" s="8">
        <f>$AH750</f>
        <v>3.88</v>
      </c>
      <c r="AC770" s="36" t="s">
        <v>1663</v>
      </c>
      <c r="AD770" s="7">
        <f>$AB770</f>
        <v>3.88</v>
      </c>
      <c r="AE770" s="37" t="s">
        <v>815</v>
      </c>
      <c r="AF770" s="8">
        <f>TRUNC(중기사용료목록!G6/$AD770,0)</f>
        <v>7634</v>
      </c>
      <c r="AG770" s="37" t="s">
        <v>1302</v>
      </c>
      <c r="AH770" s="7">
        <f>$AF770</f>
        <v>7634</v>
      </c>
    </row>
    <row r="771" spans="1:38" ht="18.399999999999999" customHeight="1" x14ac:dyDescent="0.15">
      <c r="A771" s="38" t="s">
        <v>2450</v>
      </c>
      <c r="B771" s="32"/>
      <c r="C771" s="32"/>
      <c r="D771" s="32"/>
      <c r="E771" s="32"/>
      <c r="F771" s="43"/>
      <c r="K771" s="3" t="s">
        <v>2450</v>
      </c>
    </row>
    <row r="772" spans="1:38" ht="18.399999999999999" customHeight="1" x14ac:dyDescent="0.15">
      <c r="A772" s="38" t="s">
        <v>328</v>
      </c>
      <c r="B772" s="33">
        <f>SUM($C772,$D772,$E772)</f>
        <v>32593</v>
      </c>
      <c r="C772" s="33">
        <f>$AB772</f>
        <v>9748</v>
      </c>
      <c r="D772" s="33">
        <f>$AD772</f>
        <v>15211</v>
      </c>
      <c r="E772" s="33">
        <f>$AF772</f>
        <v>7634</v>
      </c>
      <c r="F772" s="44"/>
      <c r="K772" s="3" t="s">
        <v>1519</v>
      </c>
      <c r="AA772" s="36" t="s">
        <v>1729</v>
      </c>
      <c r="AB772" s="7">
        <f>$AH766</f>
        <v>9748</v>
      </c>
      <c r="AC772" s="36" t="s">
        <v>71</v>
      </c>
      <c r="AD772" s="7">
        <f>$AH768-$AH760</f>
        <v>15211</v>
      </c>
      <c r="AE772" s="36" t="s">
        <v>2236</v>
      </c>
      <c r="AF772" s="7">
        <f>$AH770</f>
        <v>7634</v>
      </c>
    </row>
    <row r="773" spans="1:38" ht="18.399999999999999" customHeight="1" x14ac:dyDescent="0.15">
      <c r="A773" s="38" t="s">
        <v>2450</v>
      </c>
      <c r="B773" s="32"/>
      <c r="C773" s="32"/>
      <c r="D773" s="32"/>
      <c r="E773" s="32"/>
      <c r="F773" s="43"/>
      <c r="K773" s="3" t="s">
        <v>2450</v>
      </c>
    </row>
    <row r="774" spans="1:38" ht="18.399999999999999" customHeight="1" x14ac:dyDescent="0.15">
      <c r="A774" s="38" t="s">
        <v>447</v>
      </c>
      <c r="B774" s="32"/>
      <c r="C774" s="32"/>
      <c r="D774" s="32"/>
      <c r="E774" s="32"/>
      <c r="F774" s="43"/>
      <c r="K774" s="3" t="s">
        <v>447</v>
      </c>
    </row>
    <row r="775" spans="1:38" ht="18.399999999999999" customHeight="1" x14ac:dyDescent="0.15">
      <c r="A775" s="38" t="s">
        <v>2450</v>
      </c>
      <c r="B775" s="32"/>
      <c r="C775" s="32"/>
      <c r="D775" s="32"/>
      <c r="E775" s="32"/>
      <c r="F775" s="43"/>
      <c r="K775" s="3" t="s">
        <v>2450</v>
      </c>
    </row>
    <row r="776" spans="1:38" ht="18.399999999999999" customHeight="1" x14ac:dyDescent="0.15">
      <c r="A776" s="40" t="str">
        <f>CONCATENATE(" ( ",TEXT($AB776,"#,##0.00")," + ",TEXT($AF776,"#,##0.00")," ) * 0.08 = ",TEXT($AJ776,"#,##0.00"))</f>
        <v xml:space="preserve"> ( 14,588.00 + 5,550.00 ) * 0.08 = 1,611.00</v>
      </c>
      <c r="B776" s="32">
        <f>SUM($C776,$D776,$E776)</f>
        <v>1611</v>
      </c>
      <c r="C776" s="32">
        <f>$AJ776</f>
        <v>1611</v>
      </c>
      <c r="D776" s="32"/>
      <c r="E776" s="32"/>
      <c r="F776" s="43"/>
      <c r="K776" s="3" t="s">
        <v>2401</v>
      </c>
      <c r="AA776" s="36" t="s">
        <v>1568</v>
      </c>
      <c r="AB776" s="8">
        <f>$AL758</f>
        <v>14588</v>
      </c>
      <c r="AC776" s="36" t="s">
        <v>541</v>
      </c>
      <c r="AD776" s="7">
        <f>$AB776</f>
        <v>14588</v>
      </c>
      <c r="AE776" s="36" t="s">
        <v>1126</v>
      </c>
      <c r="AF776" s="8">
        <f>$AL760</f>
        <v>5550</v>
      </c>
      <c r="AG776" s="36" t="s">
        <v>2074</v>
      </c>
      <c r="AH776" s="7">
        <f>$AF776</f>
        <v>5550</v>
      </c>
      <c r="AI776" s="37" t="s">
        <v>1805</v>
      </c>
      <c r="AJ776" s="8">
        <f>TRUNC(($AD776+$AH776)*0.08,0)</f>
        <v>1611</v>
      </c>
      <c r="AK776" s="37" t="s">
        <v>2021</v>
      </c>
      <c r="AL776" s="7">
        <f>$AH766+$AJ776</f>
        <v>11359</v>
      </c>
    </row>
    <row r="777" spans="1:38" ht="18.399999999999999" customHeight="1" x14ac:dyDescent="0.15">
      <c r="A777" s="38" t="s">
        <v>2450</v>
      </c>
      <c r="B777" s="32"/>
      <c r="C777" s="32"/>
      <c r="D777" s="32"/>
      <c r="E777" s="32"/>
      <c r="F777" s="43"/>
      <c r="K777" s="3" t="s">
        <v>2450</v>
      </c>
    </row>
    <row r="778" spans="1:38" ht="18.399999999999999" customHeight="1" x14ac:dyDescent="0.15">
      <c r="A778" s="38" t="s">
        <v>328</v>
      </c>
      <c r="B778" s="33">
        <f>SUM($C778,$D778,$E778)</f>
        <v>1611</v>
      </c>
      <c r="C778" s="33">
        <f>$AB778</f>
        <v>1611</v>
      </c>
      <c r="D778" s="33">
        <f>$AD778</f>
        <v>0</v>
      </c>
      <c r="E778" s="33">
        <f>$AF778</f>
        <v>0</v>
      </c>
      <c r="F778" s="44"/>
      <c r="K778" s="3" t="s">
        <v>1519</v>
      </c>
      <c r="AA778" s="36" t="s">
        <v>1729</v>
      </c>
      <c r="AB778" s="7">
        <f>$AL776-$AH766</f>
        <v>1611</v>
      </c>
      <c r="AC778" s="36" t="s">
        <v>71</v>
      </c>
      <c r="AD778" s="7">
        <f>$AH768-$AH768</f>
        <v>0</v>
      </c>
      <c r="AE778" s="36" t="s">
        <v>2236</v>
      </c>
      <c r="AF778" s="7">
        <f>$AH770-$AH770</f>
        <v>0</v>
      </c>
    </row>
    <row r="779" spans="1:38" ht="18.399999999999999" customHeight="1" x14ac:dyDescent="0.15">
      <c r="A779" s="38" t="s">
        <v>2450</v>
      </c>
      <c r="B779" s="32"/>
      <c r="C779" s="32"/>
      <c r="D779" s="32"/>
      <c r="E779" s="32"/>
      <c r="F779" s="43"/>
      <c r="K779" s="3" t="s">
        <v>2450</v>
      </c>
    </row>
    <row r="780" spans="1:38" ht="18.399999999999999" customHeight="1" x14ac:dyDescent="0.15">
      <c r="A780" s="38" t="s">
        <v>2337</v>
      </c>
      <c r="B780" s="34">
        <f>SUM($C780,$D780,$E780)</f>
        <v>54342</v>
      </c>
      <c r="C780" s="34">
        <f>$AB780</f>
        <v>11359</v>
      </c>
      <c r="D780" s="34">
        <f>$AD780</f>
        <v>35349</v>
      </c>
      <c r="E780" s="34">
        <f>$AF780</f>
        <v>7634</v>
      </c>
      <c r="F780" s="45"/>
      <c r="K780" s="3" t="s">
        <v>726</v>
      </c>
      <c r="AA780" s="36" t="s">
        <v>989</v>
      </c>
      <c r="AB780" s="7">
        <f>$AL776</f>
        <v>11359</v>
      </c>
      <c r="AC780" s="36" t="s">
        <v>2036</v>
      </c>
      <c r="AD780" s="7">
        <f>$AH768</f>
        <v>35349</v>
      </c>
      <c r="AE780" s="36" t="s">
        <v>579</v>
      </c>
      <c r="AF780" s="7">
        <f>$AH770</f>
        <v>7634</v>
      </c>
    </row>
    <row r="781" spans="1:38" ht="18.399999999999999" customHeight="1" x14ac:dyDescent="0.15">
      <c r="A781" s="38"/>
      <c r="B781" s="3"/>
      <c r="C781" s="3"/>
      <c r="D781" s="3"/>
      <c r="E781" s="3"/>
      <c r="F781" s="42"/>
    </row>
    <row r="782" spans="1:38" ht="18.399999999999999" customHeight="1" x14ac:dyDescent="0.15">
      <c r="A782" s="41" t="s">
        <v>1388</v>
      </c>
      <c r="B782" s="35">
        <f>SUM($C782,$D782,$E782)</f>
        <v>54342</v>
      </c>
      <c r="C782" s="35">
        <f>TRUNC(SUM($AL776),0)</f>
        <v>11359</v>
      </c>
      <c r="D782" s="35">
        <f>TRUNC(SUM($AH768),0)</f>
        <v>35349</v>
      </c>
      <c r="E782" s="35">
        <f>TRUNC(SUM($AH770),0)</f>
        <v>7634</v>
      </c>
      <c r="F782" s="47"/>
    </row>
    <row r="783" spans="1:38" ht="18.399999999999999" customHeight="1" x14ac:dyDescent="0.15">
      <c r="A783" s="38"/>
      <c r="B783" s="3"/>
      <c r="C783" s="3"/>
      <c r="D783" s="3"/>
      <c r="E783" s="3"/>
      <c r="F783" s="42"/>
    </row>
    <row r="784" spans="1:38" ht="18.399999999999999" customHeight="1" x14ac:dyDescent="0.15">
      <c r="A784" s="38" t="s">
        <v>1541</v>
      </c>
      <c r="B784" s="32">
        <f>$B797</f>
        <v>53550</v>
      </c>
      <c r="C784" s="32">
        <f>$C797</f>
        <v>51000</v>
      </c>
      <c r="D784" s="32">
        <f>$D797</f>
        <v>2550</v>
      </c>
      <c r="E784" s="32">
        <v>0</v>
      </c>
      <c r="F784" s="42" t="s">
        <v>2450</v>
      </c>
      <c r="G784" t="s">
        <v>2450</v>
      </c>
      <c r="H784" t="s">
        <v>879</v>
      </c>
      <c r="K784">
        <v>1</v>
      </c>
      <c r="Y784" s="7" t="b">
        <f>EXACT($Z784,$B797)</f>
        <v>1</v>
      </c>
      <c r="Z784" s="35">
        <v>53550</v>
      </c>
    </row>
    <row r="785" spans="1:30" ht="18.399999999999999" customHeight="1" x14ac:dyDescent="0.15">
      <c r="A785" s="39"/>
      <c r="B785" s="3"/>
      <c r="C785" s="3"/>
      <c r="D785" s="3"/>
      <c r="E785" s="3"/>
      <c r="F785" s="42"/>
    </row>
    <row r="786" spans="1:30" ht="18.399999999999999" customHeight="1" x14ac:dyDescent="0.15">
      <c r="A786" s="38" t="s">
        <v>2450</v>
      </c>
      <c r="B786" s="3"/>
      <c r="C786" s="3"/>
      <c r="D786" s="3"/>
      <c r="E786" s="3"/>
      <c r="F786" s="42"/>
      <c r="G786" t="s">
        <v>2450</v>
      </c>
      <c r="I786" t="s">
        <v>289</v>
      </c>
      <c r="J786" t="s">
        <v>2450</v>
      </c>
      <c r="K786" t="s">
        <v>2053</v>
      </c>
    </row>
    <row r="787" spans="1:30" ht="18.399999999999999" customHeight="1" x14ac:dyDescent="0.15">
      <c r="A787" s="38" t="s">
        <v>134</v>
      </c>
      <c r="B787" s="32"/>
      <c r="C787" s="32"/>
      <c r="D787" s="32"/>
      <c r="E787" s="32"/>
      <c r="F787" s="43"/>
      <c r="K787" s="3" t="s">
        <v>134</v>
      </c>
    </row>
    <row r="788" spans="1:30" ht="18.399999999999999" customHeight="1" x14ac:dyDescent="0.15">
      <c r="A788" s="38" t="s">
        <v>2450</v>
      </c>
      <c r="B788" s="32"/>
      <c r="C788" s="32"/>
      <c r="D788" s="32"/>
      <c r="E788" s="32"/>
      <c r="F788" s="43"/>
      <c r="K788" s="3" t="s">
        <v>2450</v>
      </c>
    </row>
    <row r="789" spans="1:30" ht="18.399999999999999" customHeight="1" x14ac:dyDescent="0.15">
      <c r="A789" s="40" t="str">
        <f>CONCATENATE("    1.0 조  *  _x001D_51,000_x001D_ =",TEXT($AB789,"#,##0.00"))</f>
        <v xml:space="preserve">    1.0 조  *  _x001D_51,000_x001D_ =51,000.00</v>
      </c>
      <c r="B789" s="32">
        <f>SUM($C789,$D789,$E789)</f>
        <v>51000</v>
      </c>
      <c r="C789" s="32">
        <f>$AB789</f>
        <v>51000</v>
      </c>
      <c r="D789" s="32"/>
      <c r="E789" s="32"/>
      <c r="F789" s="43" t="s">
        <v>2450</v>
      </c>
      <c r="K789" s="3" t="s">
        <v>1058</v>
      </c>
      <c r="AA789" s="37" t="s">
        <v>1805</v>
      </c>
      <c r="AB789" s="8">
        <f>TRUNC(1*자재!D13,0)</f>
        <v>51000</v>
      </c>
      <c r="AC789" s="37" t="s">
        <v>2021</v>
      </c>
      <c r="AD789" s="7">
        <f>$AB789</f>
        <v>51000</v>
      </c>
    </row>
    <row r="790" spans="1:30" ht="18.399999999999999" customHeight="1" x14ac:dyDescent="0.15">
      <c r="A790" s="38" t="s">
        <v>2450</v>
      </c>
      <c r="B790" s="32"/>
      <c r="C790" s="32"/>
      <c r="D790" s="32"/>
      <c r="E790" s="32"/>
      <c r="F790" s="43"/>
      <c r="K790" s="3" t="s">
        <v>2450</v>
      </c>
    </row>
    <row r="791" spans="1:30" ht="18.399999999999999" customHeight="1" x14ac:dyDescent="0.15">
      <c r="A791" s="38" t="s">
        <v>2253</v>
      </c>
      <c r="B791" s="32"/>
      <c r="C791" s="32"/>
      <c r="D791" s="32"/>
      <c r="E791" s="32"/>
      <c r="F791" s="43"/>
      <c r="K791" s="3" t="s">
        <v>2253</v>
      </c>
    </row>
    <row r="792" spans="1:30" ht="18.399999999999999" customHeight="1" x14ac:dyDescent="0.15">
      <c r="A792" s="38" t="s">
        <v>2450</v>
      </c>
      <c r="B792" s="32"/>
      <c r="C792" s="32"/>
      <c r="D792" s="32"/>
      <c r="E792" s="32"/>
      <c r="F792" s="43"/>
      <c r="K792" s="3" t="s">
        <v>2450</v>
      </c>
    </row>
    <row r="793" spans="1:30" ht="18.399999999999999" customHeight="1" x14ac:dyDescent="0.15">
      <c r="A793" s="40" t="str">
        <f>CONCATENATE("    _x001D_51,000_x001D_* 0.05 =",TEXT($AB793,"#,##0.00"))</f>
        <v xml:space="preserve">    _x001D_51,000_x001D_* 0.05 =2,550.00</v>
      </c>
      <c r="B793" s="32">
        <f>SUM($C793,$D793,$E793)</f>
        <v>2550</v>
      </c>
      <c r="C793" s="32"/>
      <c r="D793" s="32">
        <f>$AB793</f>
        <v>2550</v>
      </c>
      <c r="E793" s="32"/>
      <c r="F793" s="43" t="s">
        <v>2450</v>
      </c>
      <c r="K793" s="3" t="s">
        <v>2407</v>
      </c>
      <c r="AA793" s="37" t="s">
        <v>265</v>
      </c>
      <c r="AB793" s="8">
        <f>TRUNC($AD789*0.05,0)</f>
        <v>2550</v>
      </c>
      <c r="AC793" s="37" t="s">
        <v>972</v>
      </c>
      <c r="AD793" s="7">
        <f>$AB793</f>
        <v>2550</v>
      </c>
    </row>
    <row r="794" spans="1:30" ht="18.399999999999999" customHeight="1" x14ac:dyDescent="0.15">
      <c r="A794" s="38" t="s">
        <v>2450</v>
      </c>
      <c r="B794" s="32"/>
      <c r="C794" s="32"/>
      <c r="D794" s="32"/>
      <c r="E794" s="32"/>
      <c r="F794" s="43"/>
      <c r="K794" s="3" t="s">
        <v>2450</v>
      </c>
    </row>
    <row r="795" spans="1:30" ht="18.399999999999999" customHeight="1" x14ac:dyDescent="0.15">
      <c r="A795" s="38" t="s">
        <v>2184</v>
      </c>
      <c r="B795" s="33">
        <f>SUM($C795,$D795,$E795)</f>
        <v>53550</v>
      </c>
      <c r="C795" s="33">
        <f>$AB795</f>
        <v>51000</v>
      </c>
      <c r="D795" s="33">
        <f>$AD795</f>
        <v>2550</v>
      </c>
      <c r="E795" s="33">
        <f>$AF795</f>
        <v>0</v>
      </c>
      <c r="F795" s="44"/>
      <c r="K795" s="3" t="s">
        <v>2039</v>
      </c>
      <c r="AA795" s="36" t="s">
        <v>1729</v>
      </c>
      <c r="AB795" s="7">
        <f>$AD789</f>
        <v>51000</v>
      </c>
      <c r="AC795" s="36" t="s">
        <v>71</v>
      </c>
      <c r="AD795" s="7">
        <f>$AD793</f>
        <v>2550</v>
      </c>
    </row>
    <row r="796" spans="1:30" ht="18.399999999999999" customHeight="1" x14ac:dyDescent="0.15">
      <c r="A796" s="38"/>
      <c r="B796" s="3"/>
      <c r="C796" s="3"/>
      <c r="D796" s="3"/>
      <c r="E796" s="3"/>
      <c r="F796" s="42"/>
    </row>
    <row r="797" spans="1:30" ht="18.399999999999999" customHeight="1" x14ac:dyDescent="0.15">
      <c r="A797" s="41" t="s">
        <v>1388</v>
      </c>
      <c r="B797" s="35">
        <f>SUM($C797,$D797,$E797)</f>
        <v>53550</v>
      </c>
      <c r="C797" s="35">
        <f>TRUNC(SUM($AD789),0)</f>
        <v>51000</v>
      </c>
      <c r="D797" s="35">
        <f>TRUNC(SUM($AD793),0)</f>
        <v>2550</v>
      </c>
      <c r="E797" s="35">
        <v>0</v>
      </c>
      <c r="F797" s="47"/>
    </row>
    <row r="798" spans="1:30" ht="18.399999999999999" customHeight="1" x14ac:dyDescent="0.15">
      <c r="A798" s="38"/>
      <c r="B798" s="3"/>
      <c r="C798" s="3"/>
      <c r="D798" s="3"/>
      <c r="E798" s="3"/>
      <c r="F798" s="42"/>
    </row>
    <row r="799" spans="1:30" ht="18.399999999999999" customHeight="1" x14ac:dyDescent="0.15">
      <c r="A799" s="38" t="s">
        <v>2154</v>
      </c>
      <c r="B799" s="32">
        <f>$B822</f>
        <v>8865</v>
      </c>
      <c r="C799" s="32">
        <v>0</v>
      </c>
      <c r="D799" s="32">
        <f>$D822</f>
        <v>8692</v>
      </c>
      <c r="E799" s="32">
        <f>$E822</f>
        <v>173</v>
      </c>
      <c r="F799" s="42" t="s">
        <v>2450</v>
      </c>
      <c r="G799" t="s">
        <v>2450</v>
      </c>
      <c r="H799" t="s">
        <v>760</v>
      </c>
      <c r="K799">
        <v>1</v>
      </c>
      <c r="Y799" s="7" t="b">
        <f>EXACT($Z799,$B822)</f>
        <v>1</v>
      </c>
      <c r="Z799" s="35">
        <v>8865</v>
      </c>
    </row>
    <row r="800" spans="1:30" ht="18.399999999999999" customHeight="1" x14ac:dyDescent="0.15">
      <c r="A800" s="39"/>
      <c r="B800" s="3"/>
      <c r="C800" s="3"/>
      <c r="D800" s="3"/>
      <c r="E800" s="3"/>
      <c r="F800" s="42"/>
    </row>
    <row r="801" spans="1:30" ht="18.399999999999999" customHeight="1" x14ac:dyDescent="0.15">
      <c r="A801" s="38" t="s">
        <v>2450</v>
      </c>
      <c r="B801" s="3"/>
      <c r="C801" s="3"/>
      <c r="D801" s="3"/>
      <c r="E801" s="3"/>
      <c r="F801" s="42"/>
      <c r="G801" t="s">
        <v>2450</v>
      </c>
      <c r="I801" t="s">
        <v>289</v>
      </c>
      <c r="J801" t="s">
        <v>2450</v>
      </c>
      <c r="K801" t="s">
        <v>2053</v>
      </c>
    </row>
    <row r="802" spans="1:30" ht="18.399999999999999" customHeight="1" x14ac:dyDescent="0.15">
      <c r="A802" s="38" t="s">
        <v>930</v>
      </c>
      <c r="B802" s="32"/>
      <c r="C802" s="32"/>
      <c r="D802" s="32"/>
      <c r="E802" s="32"/>
      <c r="F802" s="43"/>
      <c r="K802" s="3" t="s">
        <v>930</v>
      </c>
    </row>
    <row r="803" spans="1:30" ht="18.399999999999999" customHeight="1" x14ac:dyDescent="0.15">
      <c r="A803" s="38" t="s">
        <v>2450</v>
      </c>
      <c r="B803" s="32"/>
      <c r="C803" s="32"/>
      <c r="D803" s="32"/>
      <c r="E803" s="32"/>
      <c r="F803" s="43"/>
      <c r="K803" s="3" t="s">
        <v>2450</v>
      </c>
    </row>
    <row r="804" spans="1:30" ht="18.399999999999999" customHeight="1" x14ac:dyDescent="0.15">
      <c r="A804" s="38" t="s">
        <v>1903</v>
      </c>
      <c r="B804" s="32"/>
      <c r="C804" s="32"/>
      <c r="D804" s="32"/>
      <c r="E804" s="32"/>
      <c r="F804" s="43"/>
      <c r="K804" s="3" t="s">
        <v>1903</v>
      </c>
    </row>
    <row r="805" spans="1:30" ht="18.399999999999999" customHeight="1" x14ac:dyDescent="0.15">
      <c r="A805" s="38" t="s">
        <v>2450</v>
      </c>
      <c r="B805" s="32"/>
      <c r="C805" s="32"/>
      <c r="D805" s="32"/>
      <c r="E805" s="32"/>
      <c r="F805" s="43"/>
      <c r="K805" s="3" t="s">
        <v>2450</v>
      </c>
    </row>
    <row r="806" spans="1:30" ht="18.399999999999999" customHeight="1" x14ac:dyDescent="0.15">
      <c r="A806" s="38" t="s">
        <v>2381</v>
      </c>
      <c r="B806" s="32"/>
      <c r="C806" s="32"/>
      <c r="D806" s="32"/>
      <c r="E806" s="32"/>
      <c r="F806" s="43"/>
      <c r="K806" s="3" t="s">
        <v>2381</v>
      </c>
    </row>
    <row r="807" spans="1:30" ht="18.399999999999999" customHeight="1" x14ac:dyDescent="0.15">
      <c r="A807" s="38" t="s">
        <v>2450</v>
      </c>
      <c r="B807" s="32"/>
      <c r="C807" s="32"/>
      <c r="D807" s="32"/>
      <c r="E807" s="32"/>
      <c r="F807" s="43"/>
      <c r="K807" s="3" t="s">
        <v>2450</v>
      </c>
    </row>
    <row r="808" spans="1:30" ht="18.399999999999999" customHeight="1" x14ac:dyDescent="0.15">
      <c r="A808" s="40" t="str">
        <f>CONCATENATE("   배 관 공 : (0.12 인 /6.0 m ) * _x001D_262,580_x001D_ =",TEXT($AB808,"#,##0.00"))</f>
        <v xml:space="preserve">   배 관 공 : (0.12 인 /6.0 m ) * _x001D_262,580_x001D_ =5,251.00</v>
      </c>
      <c r="B808" s="32">
        <f>SUM($C808,$D808,$E808)</f>
        <v>5251</v>
      </c>
      <c r="C808" s="32"/>
      <c r="D808" s="32">
        <f>$AB808</f>
        <v>5251</v>
      </c>
      <c r="E808" s="32"/>
      <c r="F808" s="43" t="s">
        <v>2450</v>
      </c>
      <c r="K808" s="3" t="s">
        <v>1753</v>
      </c>
      <c r="AA808" s="37" t="s">
        <v>265</v>
      </c>
      <c r="AB808" s="8">
        <f>TRUNC((0.12/6)*노임!D11,0)</f>
        <v>5251</v>
      </c>
      <c r="AC808" s="37" t="s">
        <v>972</v>
      </c>
      <c r="AD808" s="7">
        <f>$AB808</f>
        <v>5251</v>
      </c>
    </row>
    <row r="809" spans="1:30" ht="18.399999999999999" customHeight="1" x14ac:dyDescent="0.15">
      <c r="A809" s="38" t="s">
        <v>2450</v>
      </c>
      <c r="B809" s="32"/>
      <c r="C809" s="32"/>
      <c r="D809" s="32"/>
      <c r="E809" s="32"/>
      <c r="F809" s="43"/>
      <c r="K809" s="3" t="s">
        <v>2450</v>
      </c>
    </row>
    <row r="810" spans="1:30" ht="18.399999999999999" customHeight="1" x14ac:dyDescent="0.15">
      <c r="A810" s="40" t="str">
        <f>CONCATENATE("   보통인부 : (0.12 인 /6.0 m ) * _x001D_172,068_x001D_ =",TEXT($AB810,"#,##0.00"))</f>
        <v xml:space="preserve">   보통인부 : (0.12 인 /6.0 m ) * _x001D_172,068_x001D_ =3,441.00</v>
      </c>
      <c r="B810" s="32">
        <f>SUM($C810,$D810,$E810)</f>
        <v>3441</v>
      </c>
      <c r="C810" s="32"/>
      <c r="D810" s="32">
        <f>$AB810</f>
        <v>3441</v>
      </c>
      <c r="E810" s="32"/>
      <c r="F810" s="43" t="s">
        <v>2450</v>
      </c>
      <c r="K810" s="3" t="s">
        <v>621</v>
      </c>
      <c r="AA810" s="37" t="s">
        <v>265</v>
      </c>
      <c r="AB810" s="8">
        <f>TRUNC((0.12/6)*노임!D10,0)</f>
        <v>3441</v>
      </c>
      <c r="AC810" s="37" t="s">
        <v>972</v>
      </c>
      <c r="AD810" s="7">
        <f>$AD808+$AB810</f>
        <v>8692</v>
      </c>
    </row>
    <row r="811" spans="1:30" ht="18.399999999999999" customHeight="1" x14ac:dyDescent="0.15">
      <c r="A811" s="38" t="s">
        <v>2450</v>
      </c>
      <c r="B811" s="32"/>
      <c r="C811" s="32"/>
      <c r="D811" s="32"/>
      <c r="E811" s="32"/>
      <c r="F811" s="43"/>
      <c r="K811" s="3" t="s">
        <v>2450</v>
      </c>
    </row>
    <row r="812" spans="1:30" ht="18.399999999999999" customHeight="1" x14ac:dyDescent="0.15">
      <c r="A812" s="38" t="s">
        <v>104</v>
      </c>
      <c r="B812" s="33">
        <f>SUM($C812,$D812,$E812)</f>
        <v>8692</v>
      </c>
      <c r="C812" s="33">
        <f>$AB812</f>
        <v>0</v>
      </c>
      <c r="D812" s="33">
        <f>$AD812</f>
        <v>8692</v>
      </c>
      <c r="E812" s="33">
        <f>$AF812</f>
        <v>0</v>
      </c>
      <c r="F812" s="44"/>
      <c r="K812" s="3" t="s">
        <v>1671</v>
      </c>
      <c r="AC812" s="36" t="s">
        <v>71</v>
      </c>
      <c r="AD812" s="7">
        <f>$AD810</f>
        <v>8692</v>
      </c>
    </row>
    <row r="813" spans="1:30" ht="18.399999999999999" customHeight="1" x14ac:dyDescent="0.15">
      <c r="A813" s="38" t="s">
        <v>2450</v>
      </c>
      <c r="B813" s="32"/>
      <c r="C813" s="32"/>
      <c r="D813" s="32"/>
      <c r="E813" s="32"/>
      <c r="F813" s="43"/>
      <c r="K813" s="3" t="s">
        <v>2450</v>
      </c>
    </row>
    <row r="814" spans="1:30" ht="18.399999999999999" customHeight="1" x14ac:dyDescent="0.15">
      <c r="A814" s="38" t="s">
        <v>1385</v>
      </c>
      <c r="B814" s="32"/>
      <c r="C814" s="32"/>
      <c r="D814" s="32"/>
      <c r="E814" s="32"/>
      <c r="F814" s="43"/>
      <c r="K814" s="3" t="s">
        <v>1385</v>
      </c>
    </row>
    <row r="815" spans="1:30" ht="18.399999999999999" customHeight="1" x14ac:dyDescent="0.15">
      <c r="A815" s="38" t="s">
        <v>2450</v>
      </c>
      <c r="B815" s="32"/>
      <c r="C815" s="32"/>
      <c r="D815" s="32"/>
      <c r="E815" s="32"/>
      <c r="F815" s="43"/>
      <c r="K815" s="3" t="s">
        <v>2450</v>
      </c>
    </row>
    <row r="816" spans="1:30" ht="18.399999999999999" customHeight="1" x14ac:dyDescent="0.15">
      <c r="A816" s="40" t="str">
        <f>CONCATENATE("  _x001D_8,692_x001D_ * 0.02 =",TEXT($AB816,"#,##0.00"))</f>
        <v xml:space="preserve">  _x001D_8,692_x001D_ * 0.02 =173.00</v>
      </c>
      <c r="B816" s="32">
        <f>SUM($C816,$D816,$E816)</f>
        <v>173</v>
      </c>
      <c r="C816" s="32"/>
      <c r="D816" s="32"/>
      <c r="E816" s="32">
        <f>$AB816</f>
        <v>173</v>
      </c>
      <c r="F816" s="43" t="s">
        <v>2450</v>
      </c>
      <c r="K816" s="3" t="s">
        <v>1884</v>
      </c>
      <c r="AA816" s="37" t="s">
        <v>815</v>
      </c>
      <c r="AB816" s="8">
        <f>TRUNC($AD810*0.02,0)</f>
        <v>173</v>
      </c>
      <c r="AC816" s="37" t="s">
        <v>1302</v>
      </c>
      <c r="AD816" s="7">
        <f>$AB816</f>
        <v>173</v>
      </c>
    </row>
    <row r="817" spans="1:32" ht="18.399999999999999" customHeight="1" x14ac:dyDescent="0.15">
      <c r="A817" s="38" t="s">
        <v>2450</v>
      </c>
      <c r="B817" s="32"/>
      <c r="C817" s="32"/>
      <c r="D817" s="32"/>
      <c r="E817" s="32"/>
      <c r="F817" s="43"/>
      <c r="K817" s="3" t="s">
        <v>2450</v>
      </c>
    </row>
    <row r="818" spans="1:32" ht="18.399999999999999" customHeight="1" x14ac:dyDescent="0.15">
      <c r="A818" s="38" t="s">
        <v>104</v>
      </c>
      <c r="B818" s="33">
        <f>SUM($C818,$D818,$E818)</f>
        <v>173</v>
      </c>
      <c r="C818" s="33">
        <f>$AB818</f>
        <v>0</v>
      </c>
      <c r="D818" s="33">
        <f>$AD818</f>
        <v>0</v>
      </c>
      <c r="E818" s="33">
        <f>$AF818</f>
        <v>173</v>
      </c>
      <c r="F818" s="44"/>
      <c r="K818" s="3" t="s">
        <v>1671</v>
      </c>
      <c r="AC818" s="36" t="s">
        <v>71</v>
      </c>
      <c r="AD818" s="7">
        <f>$AD810-$AD810</f>
        <v>0</v>
      </c>
      <c r="AE818" s="36" t="s">
        <v>2236</v>
      </c>
      <c r="AF818" s="7">
        <f>$AD816</f>
        <v>173</v>
      </c>
    </row>
    <row r="819" spans="1:32" ht="18.399999999999999" customHeight="1" x14ac:dyDescent="0.15">
      <c r="A819" s="38" t="s">
        <v>2450</v>
      </c>
      <c r="B819" s="32"/>
      <c r="C819" s="32"/>
      <c r="D819" s="32"/>
      <c r="E819" s="32"/>
      <c r="F819" s="43"/>
      <c r="K819" s="3" t="s">
        <v>2450</v>
      </c>
    </row>
    <row r="820" spans="1:32" ht="18.399999999999999" customHeight="1" x14ac:dyDescent="0.15">
      <c r="A820" s="38" t="s">
        <v>2025</v>
      </c>
      <c r="B820" s="33">
        <f>SUM($C820,$D820,$E820)</f>
        <v>0</v>
      </c>
      <c r="C820" s="33">
        <f>$AB820</f>
        <v>0</v>
      </c>
      <c r="D820" s="33">
        <f>$AD820</f>
        <v>0</v>
      </c>
      <c r="E820" s="33">
        <f>$AF820</f>
        <v>0</v>
      </c>
      <c r="F820" s="44"/>
      <c r="K820" s="3" t="s">
        <v>2391</v>
      </c>
      <c r="AC820" s="36" t="s">
        <v>71</v>
      </c>
      <c r="AD820" s="7">
        <f>$AD810-$AD810</f>
        <v>0</v>
      </c>
      <c r="AE820" s="36" t="s">
        <v>2236</v>
      </c>
      <c r="AF820" s="7">
        <f>$AD816-$AD816</f>
        <v>0</v>
      </c>
    </row>
    <row r="821" spans="1:32" ht="18.399999999999999" customHeight="1" x14ac:dyDescent="0.15">
      <c r="A821" s="38"/>
      <c r="B821" s="3"/>
      <c r="C821" s="3"/>
      <c r="D821" s="3"/>
      <c r="E821" s="3"/>
      <c r="F821" s="42"/>
    </row>
    <row r="822" spans="1:32" ht="18.399999999999999" customHeight="1" x14ac:dyDescent="0.15">
      <c r="A822" s="41" t="s">
        <v>1388</v>
      </c>
      <c r="B822" s="35">
        <f>SUM($C822,$D822,$E822)</f>
        <v>8865</v>
      </c>
      <c r="C822" s="35">
        <v>0</v>
      </c>
      <c r="D822" s="35">
        <f>TRUNC(SUM($AD810),0)</f>
        <v>8692</v>
      </c>
      <c r="E822" s="35">
        <f>TRUNC(SUM($AD816),0)</f>
        <v>173</v>
      </c>
      <c r="F822" s="47"/>
    </row>
    <row r="823" spans="1:32" ht="18.399999999999999" customHeight="1" x14ac:dyDescent="0.15">
      <c r="A823" s="38"/>
      <c r="B823" s="3"/>
      <c r="C823" s="3"/>
      <c r="D823" s="3"/>
      <c r="E823" s="3"/>
      <c r="F823" s="42"/>
    </row>
    <row r="824" spans="1:32" ht="18.399999999999999" customHeight="1" x14ac:dyDescent="0.15">
      <c r="A824" s="38" t="s">
        <v>2134</v>
      </c>
      <c r="B824" s="32">
        <f>$B847</f>
        <v>9605</v>
      </c>
      <c r="C824" s="32">
        <v>0</v>
      </c>
      <c r="D824" s="32">
        <f>$D847</f>
        <v>9417</v>
      </c>
      <c r="E824" s="32">
        <f>$E847</f>
        <v>188</v>
      </c>
      <c r="F824" s="42" t="s">
        <v>2450</v>
      </c>
      <c r="G824" t="s">
        <v>2450</v>
      </c>
      <c r="H824" t="s">
        <v>2364</v>
      </c>
      <c r="K824">
        <v>1</v>
      </c>
      <c r="Y824" s="7" t="b">
        <f>EXACT($Z824,$B847)</f>
        <v>1</v>
      </c>
      <c r="Z824" s="35">
        <v>9605</v>
      </c>
    </row>
    <row r="825" spans="1:32" ht="18.399999999999999" customHeight="1" x14ac:dyDescent="0.15">
      <c r="A825" s="39"/>
      <c r="B825" s="3"/>
      <c r="C825" s="3"/>
      <c r="D825" s="3"/>
      <c r="E825" s="3"/>
      <c r="F825" s="42"/>
    </row>
    <row r="826" spans="1:32" ht="18.399999999999999" customHeight="1" x14ac:dyDescent="0.15">
      <c r="A826" s="38" t="s">
        <v>2450</v>
      </c>
      <c r="B826" s="3"/>
      <c r="C826" s="3"/>
      <c r="D826" s="3"/>
      <c r="E826" s="3"/>
      <c r="F826" s="42"/>
      <c r="G826" t="s">
        <v>2450</v>
      </c>
      <c r="I826" t="s">
        <v>289</v>
      </c>
      <c r="J826" t="s">
        <v>2450</v>
      </c>
      <c r="K826" t="s">
        <v>2053</v>
      </c>
    </row>
    <row r="827" spans="1:32" ht="18.399999999999999" customHeight="1" x14ac:dyDescent="0.15">
      <c r="A827" s="38" t="s">
        <v>930</v>
      </c>
      <c r="B827" s="32"/>
      <c r="C827" s="32"/>
      <c r="D827" s="32"/>
      <c r="E827" s="32"/>
      <c r="F827" s="43"/>
      <c r="K827" s="3" t="s">
        <v>930</v>
      </c>
    </row>
    <row r="828" spans="1:32" ht="18.399999999999999" customHeight="1" x14ac:dyDescent="0.15">
      <c r="A828" s="38" t="s">
        <v>2450</v>
      </c>
      <c r="B828" s="32"/>
      <c r="C828" s="32"/>
      <c r="D828" s="32"/>
      <c r="E828" s="32"/>
      <c r="F828" s="43"/>
      <c r="K828" s="3" t="s">
        <v>2450</v>
      </c>
    </row>
    <row r="829" spans="1:32" ht="18.399999999999999" customHeight="1" x14ac:dyDescent="0.15">
      <c r="A829" s="38" t="s">
        <v>1185</v>
      </c>
      <c r="B829" s="32"/>
      <c r="C829" s="32"/>
      <c r="D829" s="32"/>
      <c r="E829" s="32"/>
      <c r="F829" s="43"/>
      <c r="K829" s="3" t="s">
        <v>1185</v>
      </c>
    </row>
    <row r="830" spans="1:32" ht="18.399999999999999" customHeight="1" x14ac:dyDescent="0.15">
      <c r="A830" s="38" t="s">
        <v>2450</v>
      </c>
      <c r="B830" s="32"/>
      <c r="C830" s="32"/>
      <c r="D830" s="32"/>
      <c r="E830" s="32"/>
      <c r="F830" s="43"/>
      <c r="K830" s="3" t="s">
        <v>2450</v>
      </c>
    </row>
    <row r="831" spans="1:32" ht="18.399999999999999" customHeight="1" x14ac:dyDescent="0.15">
      <c r="A831" s="38" t="s">
        <v>2381</v>
      </c>
      <c r="B831" s="32"/>
      <c r="C831" s="32"/>
      <c r="D831" s="32"/>
      <c r="E831" s="32"/>
      <c r="F831" s="43"/>
      <c r="K831" s="3" t="s">
        <v>2381</v>
      </c>
    </row>
    <row r="832" spans="1:32" ht="18.399999999999999" customHeight="1" x14ac:dyDescent="0.15">
      <c r="A832" s="38" t="s">
        <v>2450</v>
      </c>
      <c r="B832" s="32"/>
      <c r="C832" s="32"/>
      <c r="D832" s="32"/>
      <c r="E832" s="32"/>
      <c r="F832" s="43"/>
      <c r="K832" s="3" t="s">
        <v>2450</v>
      </c>
    </row>
    <row r="833" spans="1:32" ht="18.399999999999999" customHeight="1" x14ac:dyDescent="0.15">
      <c r="A833" s="40" t="str">
        <f>CONCATENATE("   배 관 공 : (0.13 인 /6.0 m ) * _x001D_262,580_x001D_ =",TEXT($AB833,"#,##0.00"))</f>
        <v xml:space="preserve">   배 관 공 : (0.13 인 /6.0 m ) * _x001D_262,580_x001D_ =5,689.00</v>
      </c>
      <c r="B833" s="32">
        <f>SUM($C833,$D833,$E833)</f>
        <v>5689</v>
      </c>
      <c r="C833" s="32"/>
      <c r="D833" s="32">
        <f>$AB833</f>
        <v>5689</v>
      </c>
      <c r="E833" s="32"/>
      <c r="F833" s="43" t="s">
        <v>2450</v>
      </c>
      <c r="K833" s="3" t="s">
        <v>142</v>
      </c>
      <c r="AA833" s="37" t="s">
        <v>265</v>
      </c>
      <c r="AB833" s="8">
        <f>TRUNC((0.13/6)*노임!D11,0)</f>
        <v>5689</v>
      </c>
      <c r="AC833" s="37" t="s">
        <v>972</v>
      </c>
      <c r="AD833" s="7">
        <f>$AB833</f>
        <v>5689</v>
      </c>
    </row>
    <row r="834" spans="1:32" ht="18.399999999999999" customHeight="1" x14ac:dyDescent="0.15">
      <c r="A834" s="38" t="s">
        <v>2450</v>
      </c>
      <c r="B834" s="32"/>
      <c r="C834" s="32"/>
      <c r="D834" s="32"/>
      <c r="E834" s="32"/>
      <c r="F834" s="43"/>
      <c r="K834" s="3" t="s">
        <v>2450</v>
      </c>
    </row>
    <row r="835" spans="1:32" ht="18.399999999999999" customHeight="1" x14ac:dyDescent="0.15">
      <c r="A835" s="40" t="str">
        <f>CONCATENATE("   보통인부 : (0.13 인 /6.0 m ) * _x001D_172,068_x001D_ =",TEXT($AB835,"#,##0.00"))</f>
        <v xml:space="preserve">   보통인부 : (0.13 인 /6.0 m ) * _x001D_172,068_x001D_ =3,728.00</v>
      </c>
      <c r="B835" s="32">
        <f>SUM($C835,$D835,$E835)</f>
        <v>3728</v>
      </c>
      <c r="C835" s="32"/>
      <c r="D835" s="32">
        <f>$AB835</f>
        <v>3728</v>
      </c>
      <c r="E835" s="32"/>
      <c r="F835" s="43" t="s">
        <v>2450</v>
      </c>
      <c r="K835" s="3" t="s">
        <v>1285</v>
      </c>
      <c r="AA835" s="37" t="s">
        <v>265</v>
      </c>
      <c r="AB835" s="8">
        <f>TRUNC((0.13/6)*노임!D10,0)</f>
        <v>3728</v>
      </c>
      <c r="AC835" s="37" t="s">
        <v>972</v>
      </c>
      <c r="AD835" s="7">
        <f>$AD833+$AB835</f>
        <v>9417</v>
      </c>
    </row>
    <row r="836" spans="1:32" ht="18.399999999999999" customHeight="1" x14ac:dyDescent="0.15">
      <c r="A836" s="38" t="s">
        <v>2450</v>
      </c>
      <c r="B836" s="32"/>
      <c r="C836" s="32"/>
      <c r="D836" s="32"/>
      <c r="E836" s="32"/>
      <c r="F836" s="43"/>
      <c r="K836" s="3" t="s">
        <v>2450</v>
      </c>
    </row>
    <row r="837" spans="1:32" ht="18.399999999999999" customHeight="1" x14ac:dyDescent="0.15">
      <c r="A837" s="38" t="s">
        <v>104</v>
      </c>
      <c r="B837" s="33">
        <f>SUM($C837,$D837,$E837)</f>
        <v>9417</v>
      </c>
      <c r="C837" s="33">
        <f>$AB837</f>
        <v>0</v>
      </c>
      <c r="D837" s="33">
        <f>$AD837</f>
        <v>9417</v>
      </c>
      <c r="E837" s="33">
        <f>$AF837</f>
        <v>0</v>
      </c>
      <c r="F837" s="44"/>
      <c r="K837" s="3" t="s">
        <v>1671</v>
      </c>
      <c r="AC837" s="36" t="s">
        <v>71</v>
      </c>
      <c r="AD837" s="7">
        <f>$AD835</f>
        <v>9417</v>
      </c>
    </row>
    <row r="838" spans="1:32" ht="18.399999999999999" customHeight="1" x14ac:dyDescent="0.15">
      <c r="A838" s="38" t="s">
        <v>2450</v>
      </c>
      <c r="B838" s="32"/>
      <c r="C838" s="32"/>
      <c r="D838" s="32"/>
      <c r="E838" s="32"/>
      <c r="F838" s="43"/>
      <c r="K838" s="3" t="s">
        <v>2450</v>
      </c>
    </row>
    <row r="839" spans="1:32" ht="18.399999999999999" customHeight="1" x14ac:dyDescent="0.15">
      <c r="A839" s="38" t="s">
        <v>1385</v>
      </c>
      <c r="B839" s="32"/>
      <c r="C839" s="32"/>
      <c r="D839" s="32"/>
      <c r="E839" s="32"/>
      <c r="F839" s="43"/>
      <c r="K839" s="3" t="s">
        <v>1385</v>
      </c>
    </row>
    <row r="840" spans="1:32" ht="18.399999999999999" customHeight="1" x14ac:dyDescent="0.15">
      <c r="A840" s="38" t="s">
        <v>2450</v>
      </c>
      <c r="B840" s="32"/>
      <c r="C840" s="32"/>
      <c r="D840" s="32"/>
      <c r="E840" s="32"/>
      <c r="F840" s="43"/>
      <c r="K840" s="3" t="s">
        <v>2450</v>
      </c>
    </row>
    <row r="841" spans="1:32" ht="18.399999999999999" customHeight="1" x14ac:dyDescent="0.15">
      <c r="A841" s="40" t="str">
        <f>CONCATENATE("  _x001D_9,417_x001D_ * 0.02 =",TEXT($AB841,"#,##0.00"))</f>
        <v xml:space="preserve">  _x001D_9,417_x001D_ * 0.02 =188.00</v>
      </c>
      <c r="B841" s="32">
        <f>SUM($C841,$D841,$E841)</f>
        <v>188</v>
      </c>
      <c r="C841" s="32"/>
      <c r="D841" s="32"/>
      <c r="E841" s="32">
        <f>$AB841</f>
        <v>188</v>
      </c>
      <c r="F841" s="43" t="s">
        <v>2450</v>
      </c>
      <c r="K841" s="3" t="s">
        <v>1884</v>
      </c>
      <c r="AA841" s="37" t="s">
        <v>815</v>
      </c>
      <c r="AB841" s="8">
        <f>TRUNC($AD835*0.02,0)</f>
        <v>188</v>
      </c>
      <c r="AC841" s="37" t="s">
        <v>1302</v>
      </c>
      <c r="AD841" s="7">
        <f>$AB841</f>
        <v>188</v>
      </c>
    </row>
    <row r="842" spans="1:32" ht="18.399999999999999" customHeight="1" x14ac:dyDescent="0.15">
      <c r="A842" s="38" t="s">
        <v>2450</v>
      </c>
      <c r="B842" s="32"/>
      <c r="C842" s="32"/>
      <c r="D842" s="32"/>
      <c r="E842" s="32"/>
      <c r="F842" s="43"/>
      <c r="K842" s="3" t="s">
        <v>2450</v>
      </c>
    </row>
    <row r="843" spans="1:32" ht="18.399999999999999" customHeight="1" x14ac:dyDescent="0.15">
      <c r="A843" s="38" t="s">
        <v>104</v>
      </c>
      <c r="B843" s="33">
        <f>SUM($C843,$D843,$E843)</f>
        <v>188</v>
      </c>
      <c r="C843" s="33">
        <f>$AB843</f>
        <v>0</v>
      </c>
      <c r="D843" s="33">
        <f>$AD843</f>
        <v>0</v>
      </c>
      <c r="E843" s="33">
        <f>$AF843</f>
        <v>188</v>
      </c>
      <c r="F843" s="44"/>
      <c r="K843" s="3" t="s">
        <v>1671</v>
      </c>
      <c r="AC843" s="36" t="s">
        <v>71</v>
      </c>
      <c r="AD843" s="7">
        <f>$AD835-$AD835</f>
        <v>0</v>
      </c>
      <c r="AE843" s="36" t="s">
        <v>2236</v>
      </c>
      <c r="AF843" s="7">
        <f>$AD841</f>
        <v>188</v>
      </c>
    </row>
    <row r="844" spans="1:32" ht="18.399999999999999" customHeight="1" x14ac:dyDescent="0.15">
      <c r="A844" s="38" t="s">
        <v>2450</v>
      </c>
      <c r="B844" s="32"/>
      <c r="C844" s="32"/>
      <c r="D844" s="32"/>
      <c r="E844" s="32"/>
      <c r="F844" s="43"/>
      <c r="K844" s="3" t="s">
        <v>2450</v>
      </c>
    </row>
    <row r="845" spans="1:32" ht="18.399999999999999" customHeight="1" x14ac:dyDescent="0.15">
      <c r="A845" s="38" t="s">
        <v>2025</v>
      </c>
      <c r="B845" s="33">
        <f>SUM($C845,$D845,$E845)</f>
        <v>0</v>
      </c>
      <c r="C845" s="33">
        <f>$AB845</f>
        <v>0</v>
      </c>
      <c r="D845" s="33">
        <f>$AD845</f>
        <v>0</v>
      </c>
      <c r="E845" s="33">
        <f>$AF845</f>
        <v>0</v>
      </c>
      <c r="F845" s="44"/>
      <c r="K845" s="3" t="s">
        <v>2391</v>
      </c>
      <c r="AC845" s="36" t="s">
        <v>71</v>
      </c>
      <c r="AD845" s="7">
        <f>$AD835-$AD835</f>
        <v>0</v>
      </c>
      <c r="AE845" s="36" t="s">
        <v>2236</v>
      </c>
      <c r="AF845" s="7">
        <f>$AD841-$AD841</f>
        <v>0</v>
      </c>
    </row>
    <row r="846" spans="1:32" ht="18.399999999999999" customHeight="1" x14ac:dyDescent="0.15">
      <c r="A846" s="38"/>
      <c r="B846" s="3"/>
      <c r="C846" s="3"/>
      <c r="D846" s="3"/>
      <c r="E846" s="3"/>
      <c r="F846" s="42"/>
    </row>
    <row r="847" spans="1:32" ht="18.399999999999999" customHeight="1" x14ac:dyDescent="0.15">
      <c r="A847" s="41" t="s">
        <v>1388</v>
      </c>
      <c r="B847" s="35">
        <f>SUM($C847,$D847,$E847)</f>
        <v>9605</v>
      </c>
      <c r="C847" s="35">
        <v>0</v>
      </c>
      <c r="D847" s="35">
        <f>TRUNC(SUM($AD835),0)</f>
        <v>9417</v>
      </c>
      <c r="E847" s="35">
        <f>TRUNC(SUM($AD841),0)</f>
        <v>188</v>
      </c>
      <c r="F847" s="47"/>
    </row>
    <row r="848" spans="1:32" ht="18.399999999999999" customHeight="1" x14ac:dyDescent="0.15">
      <c r="A848" s="38"/>
      <c r="B848" s="3"/>
      <c r="C848" s="3"/>
      <c r="D848" s="3"/>
      <c r="E848" s="3"/>
      <c r="F848" s="42"/>
    </row>
    <row r="849" spans="1:30" ht="18.399999999999999" customHeight="1" x14ac:dyDescent="0.15">
      <c r="A849" s="38" t="s">
        <v>2302</v>
      </c>
      <c r="B849" s="32">
        <f>$B874</f>
        <v>181764</v>
      </c>
      <c r="C849" s="32">
        <f>$C874</f>
        <v>127000</v>
      </c>
      <c r="D849" s="32">
        <f>$D874</f>
        <v>52157</v>
      </c>
      <c r="E849" s="32">
        <f>$E874</f>
        <v>2607</v>
      </c>
      <c r="F849" s="42" t="s">
        <v>2450</v>
      </c>
      <c r="G849" t="s">
        <v>2450</v>
      </c>
      <c r="H849" t="s">
        <v>1775</v>
      </c>
      <c r="K849">
        <v>1</v>
      </c>
      <c r="Y849" s="7" t="b">
        <f>EXACT($Z849,$B874)</f>
        <v>1</v>
      </c>
      <c r="Z849" s="35">
        <v>181764</v>
      </c>
    </row>
    <row r="850" spans="1:30" ht="18.399999999999999" customHeight="1" x14ac:dyDescent="0.15">
      <c r="A850" s="39"/>
      <c r="B850" s="3"/>
      <c r="C850" s="3"/>
      <c r="D850" s="3"/>
      <c r="E850" s="3"/>
      <c r="F850" s="42"/>
    </row>
    <row r="851" spans="1:30" ht="18.399999999999999" customHeight="1" x14ac:dyDescent="0.15">
      <c r="A851" s="38" t="s">
        <v>2450</v>
      </c>
      <c r="B851" s="3"/>
      <c r="C851" s="3"/>
      <c r="D851" s="3"/>
      <c r="E851" s="3"/>
      <c r="F851" s="42"/>
      <c r="G851" t="s">
        <v>2450</v>
      </c>
      <c r="I851" t="s">
        <v>289</v>
      </c>
      <c r="J851" t="s">
        <v>2450</v>
      </c>
      <c r="K851" t="s">
        <v>2053</v>
      </c>
    </row>
    <row r="852" spans="1:30" ht="18.399999999999999" customHeight="1" x14ac:dyDescent="0.15">
      <c r="A852" s="38" t="s">
        <v>930</v>
      </c>
      <c r="B852" s="32"/>
      <c r="C852" s="32"/>
      <c r="D852" s="32"/>
      <c r="E852" s="32"/>
      <c r="F852" s="43"/>
      <c r="K852" s="3" t="s">
        <v>930</v>
      </c>
    </row>
    <row r="853" spans="1:30" ht="18.399999999999999" customHeight="1" x14ac:dyDescent="0.15">
      <c r="A853" s="38" t="s">
        <v>2450</v>
      </c>
      <c r="B853" s="32"/>
      <c r="C853" s="32"/>
      <c r="D853" s="32"/>
      <c r="E853" s="32"/>
      <c r="F853" s="43"/>
      <c r="K853" s="3" t="s">
        <v>2450</v>
      </c>
    </row>
    <row r="854" spans="1:30" ht="18.399999999999999" customHeight="1" x14ac:dyDescent="0.15">
      <c r="A854" s="40" t="str">
        <f>CONCATENATE("    PE분기관 :   1.0 EA  * _x001D_127,000_x001D_ =",TEXT($AB854,"#,##0.00"))</f>
        <v xml:space="preserve">    PE분기관 :   1.0 EA  * _x001D_127,000_x001D_ =127,000.00</v>
      </c>
      <c r="B854" s="32">
        <f>SUM($C854,$D854,$E854)</f>
        <v>127000</v>
      </c>
      <c r="C854" s="32">
        <f>$AB854</f>
        <v>127000</v>
      </c>
      <c r="D854" s="32"/>
      <c r="E854" s="32"/>
      <c r="F854" s="43" t="s">
        <v>2450</v>
      </c>
      <c r="K854" s="3" t="s">
        <v>80</v>
      </c>
      <c r="AA854" s="37" t="s">
        <v>1805</v>
      </c>
      <c r="AB854" s="8">
        <f>TRUNC(1*자재!D27,0)</f>
        <v>127000</v>
      </c>
      <c r="AC854" s="37" t="s">
        <v>2021</v>
      </c>
      <c r="AD854" s="7">
        <f>$AB854</f>
        <v>127000</v>
      </c>
    </row>
    <row r="855" spans="1:30" ht="18.399999999999999" customHeight="1" x14ac:dyDescent="0.15">
      <c r="A855" s="38" t="s">
        <v>2450</v>
      </c>
      <c r="B855" s="32"/>
      <c r="C855" s="32"/>
      <c r="D855" s="32"/>
      <c r="E855" s="32"/>
      <c r="F855" s="43"/>
      <c r="K855" s="3" t="s">
        <v>2450</v>
      </c>
    </row>
    <row r="856" spans="1:30" ht="18.399999999999999" customHeight="1" x14ac:dyDescent="0.15">
      <c r="A856" s="38" t="s">
        <v>104</v>
      </c>
      <c r="B856" s="33">
        <f>SUM($C856,$D856,$E856)</f>
        <v>127000</v>
      </c>
      <c r="C856" s="33">
        <f>$AB856</f>
        <v>127000</v>
      </c>
      <c r="D856" s="33">
        <f>$AD856</f>
        <v>0</v>
      </c>
      <c r="E856" s="33">
        <f>$AF856</f>
        <v>0</v>
      </c>
      <c r="F856" s="44"/>
      <c r="K856" s="3" t="s">
        <v>1671</v>
      </c>
      <c r="AA856" s="36" t="s">
        <v>1729</v>
      </c>
      <c r="AB856" s="7">
        <f>$AD854</f>
        <v>127000</v>
      </c>
    </row>
    <row r="857" spans="1:30" ht="18.399999999999999" customHeight="1" x14ac:dyDescent="0.15">
      <c r="A857" s="38" t="s">
        <v>2450</v>
      </c>
      <c r="B857" s="32"/>
      <c r="C857" s="32"/>
      <c r="D857" s="32"/>
      <c r="E857" s="32"/>
      <c r="F857" s="43"/>
      <c r="K857" s="3" t="s">
        <v>2450</v>
      </c>
    </row>
    <row r="858" spans="1:30" ht="18.399999999999999" customHeight="1" x14ac:dyDescent="0.15">
      <c r="A858" s="38" t="s">
        <v>2381</v>
      </c>
      <c r="B858" s="32"/>
      <c r="C858" s="32"/>
      <c r="D858" s="32"/>
      <c r="E858" s="32"/>
      <c r="F858" s="43"/>
      <c r="K858" s="3" t="s">
        <v>2381</v>
      </c>
    </row>
    <row r="859" spans="1:30" ht="18.399999999999999" customHeight="1" x14ac:dyDescent="0.15">
      <c r="A859" s="38" t="s">
        <v>2450</v>
      </c>
      <c r="B859" s="32"/>
      <c r="C859" s="32"/>
      <c r="D859" s="32"/>
      <c r="E859" s="32"/>
      <c r="F859" s="43"/>
      <c r="K859" s="3" t="s">
        <v>2450</v>
      </c>
    </row>
    <row r="860" spans="1:30" ht="18.399999999999999" customHeight="1" x14ac:dyDescent="0.15">
      <c r="A860" s="40" t="str">
        <f>CONCATENATE("   배 관 공 :  0.12 인  * _x001D_262,580_x001D_ =",TEXT($AB860,"#,##0.00"))</f>
        <v xml:space="preserve">   배 관 공 :  0.12 인  * _x001D_262,580_x001D_ =31,509.00</v>
      </c>
      <c r="B860" s="32">
        <f>SUM($C860,$D860,$E860)</f>
        <v>31509</v>
      </c>
      <c r="C860" s="32"/>
      <c r="D860" s="32">
        <f>$AB860</f>
        <v>31509</v>
      </c>
      <c r="E860" s="32"/>
      <c r="F860" s="43" t="s">
        <v>2450</v>
      </c>
      <c r="K860" s="3" t="s">
        <v>1402</v>
      </c>
      <c r="AA860" s="37" t="s">
        <v>265</v>
      </c>
      <c r="AB860" s="8">
        <f>TRUNC(0.12*노임!D11,0)</f>
        <v>31509</v>
      </c>
      <c r="AC860" s="37" t="s">
        <v>972</v>
      </c>
      <c r="AD860" s="7">
        <f>$AB860</f>
        <v>31509</v>
      </c>
    </row>
    <row r="861" spans="1:30" ht="18.399999999999999" customHeight="1" x14ac:dyDescent="0.15">
      <c r="A861" s="38" t="s">
        <v>2450</v>
      </c>
      <c r="B861" s="32"/>
      <c r="C861" s="32"/>
      <c r="D861" s="32"/>
      <c r="E861" s="32"/>
      <c r="F861" s="43"/>
      <c r="K861" s="3" t="s">
        <v>2450</v>
      </c>
    </row>
    <row r="862" spans="1:30" ht="18.399999999999999" customHeight="1" x14ac:dyDescent="0.15">
      <c r="A862" s="40" t="str">
        <f>CONCATENATE("   보통인부 :  0.12 인  * _x001D_172,068_x001D_ =",TEXT($AB862,"#,##0.00"))</f>
        <v xml:space="preserve">   보통인부 :  0.12 인  * _x001D_172,068_x001D_ =20,648.00</v>
      </c>
      <c r="B862" s="32">
        <f>SUM($C862,$D862,$E862)</f>
        <v>20648</v>
      </c>
      <c r="C862" s="32"/>
      <c r="D862" s="32">
        <f>$AB862</f>
        <v>20648</v>
      </c>
      <c r="E862" s="32"/>
      <c r="F862" s="43" t="s">
        <v>2450</v>
      </c>
      <c r="K862" s="3" t="s">
        <v>1665</v>
      </c>
      <c r="AA862" s="37" t="s">
        <v>265</v>
      </c>
      <c r="AB862" s="8">
        <f>TRUNC(0.12*노임!D10,0)</f>
        <v>20648</v>
      </c>
      <c r="AC862" s="37" t="s">
        <v>972</v>
      </c>
      <c r="AD862" s="7">
        <f>$AD860+$AB862</f>
        <v>52157</v>
      </c>
    </row>
    <row r="863" spans="1:30" ht="18.399999999999999" customHeight="1" x14ac:dyDescent="0.15">
      <c r="A863" s="38" t="s">
        <v>2450</v>
      </c>
      <c r="B863" s="32"/>
      <c r="C863" s="32"/>
      <c r="D863" s="32"/>
      <c r="E863" s="32"/>
      <c r="F863" s="43"/>
      <c r="K863" s="3" t="s">
        <v>2450</v>
      </c>
    </row>
    <row r="864" spans="1:30" ht="18.399999999999999" customHeight="1" x14ac:dyDescent="0.15">
      <c r="A864" s="38" t="s">
        <v>104</v>
      </c>
      <c r="B864" s="33">
        <f>SUM($C864,$D864,$E864)</f>
        <v>52157</v>
      </c>
      <c r="C864" s="33">
        <f>$AB864</f>
        <v>0</v>
      </c>
      <c r="D864" s="33">
        <f>$AD864</f>
        <v>52157</v>
      </c>
      <c r="E864" s="33">
        <f>$AF864</f>
        <v>0</v>
      </c>
      <c r="F864" s="44"/>
      <c r="K864" s="3" t="s">
        <v>1671</v>
      </c>
      <c r="AA864" s="36" t="s">
        <v>1729</v>
      </c>
      <c r="AB864" s="7">
        <f>$AD854-$AD854</f>
        <v>0</v>
      </c>
      <c r="AC864" s="36" t="s">
        <v>71</v>
      </c>
      <c r="AD864" s="7">
        <f>$AD862</f>
        <v>52157</v>
      </c>
    </row>
    <row r="865" spans="1:32" ht="18.399999999999999" customHeight="1" x14ac:dyDescent="0.15">
      <c r="A865" s="38" t="s">
        <v>2450</v>
      </c>
      <c r="B865" s="32"/>
      <c r="C865" s="32"/>
      <c r="D865" s="32"/>
      <c r="E865" s="32"/>
      <c r="F865" s="43"/>
      <c r="K865" s="3" t="s">
        <v>2450</v>
      </c>
    </row>
    <row r="866" spans="1:32" ht="18.399999999999999" customHeight="1" x14ac:dyDescent="0.15">
      <c r="A866" s="38" t="s">
        <v>407</v>
      </c>
      <c r="B866" s="32"/>
      <c r="C866" s="32"/>
      <c r="D866" s="32"/>
      <c r="E866" s="32"/>
      <c r="F866" s="43"/>
      <c r="K866" s="3" t="s">
        <v>407</v>
      </c>
    </row>
    <row r="867" spans="1:32" ht="18.399999999999999" customHeight="1" x14ac:dyDescent="0.15">
      <c r="A867" s="38" t="s">
        <v>2450</v>
      </c>
      <c r="B867" s="32"/>
      <c r="C867" s="32"/>
      <c r="D867" s="32"/>
      <c r="E867" s="32"/>
      <c r="F867" s="43"/>
      <c r="K867" s="3" t="s">
        <v>2450</v>
      </c>
    </row>
    <row r="868" spans="1:32" ht="18.399999999999999" customHeight="1" x14ac:dyDescent="0.15">
      <c r="A868" s="40" t="str">
        <f>CONCATENATE("  _x001D_52,157_x001D_ * 0.05 =",TEXT($AB868,"#,##0.00"))</f>
        <v xml:space="preserve">  _x001D_52,157_x001D_ * 0.05 =2,607.00</v>
      </c>
      <c r="B868" s="32">
        <f>SUM($C868,$D868,$E868)</f>
        <v>2607</v>
      </c>
      <c r="C868" s="32"/>
      <c r="D868" s="32"/>
      <c r="E868" s="32">
        <f>$AB868</f>
        <v>2607</v>
      </c>
      <c r="F868" s="43" t="s">
        <v>2450</v>
      </c>
      <c r="K868" s="3" t="s">
        <v>734</v>
      </c>
      <c r="AA868" s="37" t="s">
        <v>815</v>
      </c>
      <c r="AB868" s="8">
        <f>TRUNC($AD862*0.05,0)</f>
        <v>2607</v>
      </c>
      <c r="AC868" s="37" t="s">
        <v>1302</v>
      </c>
      <c r="AD868" s="7">
        <f>$AB868</f>
        <v>2607</v>
      </c>
    </row>
    <row r="869" spans="1:32" ht="18.399999999999999" customHeight="1" x14ac:dyDescent="0.15">
      <c r="A869" s="38" t="s">
        <v>2450</v>
      </c>
      <c r="B869" s="32"/>
      <c r="C869" s="32"/>
      <c r="D869" s="32"/>
      <c r="E869" s="32"/>
      <c r="F869" s="43"/>
      <c r="K869" s="3" t="s">
        <v>2450</v>
      </c>
    </row>
    <row r="870" spans="1:32" ht="18.399999999999999" customHeight="1" x14ac:dyDescent="0.15">
      <c r="A870" s="38" t="s">
        <v>104</v>
      </c>
      <c r="B870" s="33">
        <f>SUM($C870,$D870,$E870)</f>
        <v>2607</v>
      </c>
      <c r="C870" s="33">
        <f>$AB870</f>
        <v>0</v>
      </c>
      <c r="D870" s="33">
        <f>$AD870</f>
        <v>0</v>
      </c>
      <c r="E870" s="33">
        <f>$AF870</f>
        <v>2607</v>
      </c>
      <c r="F870" s="44"/>
      <c r="K870" s="3" t="s">
        <v>1671</v>
      </c>
      <c r="AA870" s="36" t="s">
        <v>1729</v>
      </c>
      <c r="AB870" s="7">
        <f>$AD854-$AD854</f>
        <v>0</v>
      </c>
      <c r="AC870" s="36" t="s">
        <v>71</v>
      </c>
      <c r="AD870" s="7">
        <f>$AD862-$AD862</f>
        <v>0</v>
      </c>
      <c r="AE870" s="36" t="s">
        <v>2236</v>
      </c>
      <c r="AF870" s="7">
        <f>$AD868</f>
        <v>2607</v>
      </c>
    </row>
    <row r="871" spans="1:32" ht="18.399999999999999" customHeight="1" x14ac:dyDescent="0.15">
      <c r="A871" s="38" t="s">
        <v>2450</v>
      </c>
      <c r="B871" s="32"/>
      <c r="C871" s="32"/>
      <c r="D871" s="32"/>
      <c r="E871" s="32"/>
      <c r="F871" s="43"/>
      <c r="K871" s="3" t="s">
        <v>2450</v>
      </c>
    </row>
    <row r="872" spans="1:32" ht="18.399999999999999" customHeight="1" x14ac:dyDescent="0.15">
      <c r="A872" s="38" t="s">
        <v>2025</v>
      </c>
      <c r="B872" s="33">
        <f>SUM($C872,$D872,$E872)</f>
        <v>0</v>
      </c>
      <c r="C872" s="33">
        <f>$AB872</f>
        <v>0</v>
      </c>
      <c r="D872" s="33">
        <f>$AD872</f>
        <v>0</v>
      </c>
      <c r="E872" s="33">
        <f>$AF872</f>
        <v>0</v>
      </c>
      <c r="F872" s="44"/>
      <c r="K872" s="3" t="s">
        <v>2391</v>
      </c>
      <c r="AA872" s="36" t="s">
        <v>1729</v>
      </c>
      <c r="AB872" s="7">
        <f>$AD854-$AD854</f>
        <v>0</v>
      </c>
      <c r="AC872" s="36" t="s">
        <v>71</v>
      </c>
      <c r="AD872" s="7">
        <f>$AD862-$AD862</f>
        <v>0</v>
      </c>
      <c r="AE872" s="36" t="s">
        <v>2236</v>
      </c>
      <c r="AF872" s="7">
        <f>$AD868-$AD868</f>
        <v>0</v>
      </c>
    </row>
    <row r="873" spans="1:32" ht="18.399999999999999" customHeight="1" x14ac:dyDescent="0.15">
      <c r="A873" s="38"/>
      <c r="B873" s="3"/>
      <c r="C873" s="3"/>
      <c r="D873" s="3"/>
      <c r="E873" s="3"/>
      <c r="F873" s="42"/>
    </row>
    <row r="874" spans="1:32" ht="18.399999999999999" customHeight="1" x14ac:dyDescent="0.15">
      <c r="A874" s="41" t="s">
        <v>1388</v>
      </c>
      <c r="B874" s="35">
        <f>SUM($C874,$D874,$E874)</f>
        <v>181764</v>
      </c>
      <c r="C874" s="35">
        <f>TRUNC(SUM($AD854),0)</f>
        <v>127000</v>
      </c>
      <c r="D874" s="35">
        <f>TRUNC(SUM($AD862),0)</f>
        <v>52157</v>
      </c>
      <c r="E874" s="35">
        <f>TRUNC(SUM($AD868),0)</f>
        <v>2607</v>
      </c>
      <c r="F874" s="47"/>
    </row>
    <row r="875" spans="1:32" ht="18.399999999999999" customHeight="1" x14ac:dyDescent="0.15">
      <c r="A875" s="38"/>
      <c r="B875" s="3"/>
      <c r="C875" s="3"/>
      <c r="D875" s="3"/>
      <c r="E875" s="3"/>
      <c r="F875" s="42"/>
    </row>
    <row r="876" spans="1:32" ht="18.399999999999999" customHeight="1" x14ac:dyDescent="0.15">
      <c r="A876" s="38" t="s">
        <v>1752</v>
      </c>
      <c r="B876" s="32">
        <f>$B901</f>
        <v>213456</v>
      </c>
      <c r="C876" s="32">
        <f>$C901</f>
        <v>145000</v>
      </c>
      <c r="D876" s="32">
        <f>$D901</f>
        <v>65197</v>
      </c>
      <c r="E876" s="32">
        <f>$E901</f>
        <v>3259</v>
      </c>
      <c r="F876" s="42" t="s">
        <v>2450</v>
      </c>
      <c r="G876" t="s">
        <v>2450</v>
      </c>
      <c r="H876" t="s">
        <v>1367</v>
      </c>
      <c r="K876">
        <v>1</v>
      </c>
      <c r="Y876" s="7" t="b">
        <f>EXACT($Z876,$B901)</f>
        <v>1</v>
      </c>
      <c r="Z876" s="35">
        <v>213456</v>
      </c>
    </row>
    <row r="877" spans="1:32" ht="18.399999999999999" customHeight="1" x14ac:dyDescent="0.15">
      <c r="A877" s="39"/>
      <c r="B877" s="3"/>
      <c r="C877" s="3"/>
      <c r="D877" s="3"/>
      <c r="E877" s="3"/>
      <c r="F877" s="42"/>
    </row>
    <row r="878" spans="1:32" ht="18.399999999999999" customHeight="1" x14ac:dyDescent="0.15">
      <c r="A878" s="38" t="s">
        <v>2450</v>
      </c>
      <c r="B878" s="3"/>
      <c r="C878" s="3"/>
      <c r="D878" s="3"/>
      <c r="E878" s="3"/>
      <c r="F878" s="42"/>
      <c r="G878" t="s">
        <v>2450</v>
      </c>
      <c r="I878" t="s">
        <v>289</v>
      </c>
      <c r="J878" t="s">
        <v>2450</v>
      </c>
      <c r="K878" t="s">
        <v>2053</v>
      </c>
    </row>
    <row r="879" spans="1:32" ht="18.399999999999999" customHeight="1" x14ac:dyDescent="0.15">
      <c r="A879" s="38" t="s">
        <v>930</v>
      </c>
      <c r="B879" s="32"/>
      <c r="C879" s="32"/>
      <c r="D879" s="32"/>
      <c r="E879" s="32"/>
      <c r="F879" s="43"/>
      <c r="K879" s="3" t="s">
        <v>930</v>
      </c>
    </row>
    <row r="880" spans="1:32" ht="18.399999999999999" customHeight="1" x14ac:dyDescent="0.15">
      <c r="A880" s="38" t="s">
        <v>2450</v>
      </c>
      <c r="B880" s="32"/>
      <c r="C880" s="32"/>
      <c r="D880" s="32"/>
      <c r="E880" s="32"/>
      <c r="F880" s="43"/>
      <c r="K880" s="3" t="s">
        <v>2450</v>
      </c>
    </row>
    <row r="881" spans="1:30" ht="18.399999999999999" customHeight="1" x14ac:dyDescent="0.15">
      <c r="A881" s="40" t="str">
        <f>CONCATENATE("    PE분기관 :   1.0 EA  * _x001D_145,000_x001D_ =",TEXT($AB881,"#,##0.00"))</f>
        <v xml:space="preserve">    PE분기관 :   1.0 EA  * _x001D_145,000_x001D_ =145,000.00</v>
      </c>
      <c r="B881" s="32">
        <f>SUM($C881,$D881,$E881)</f>
        <v>145000</v>
      </c>
      <c r="C881" s="32">
        <f>$AB881</f>
        <v>145000</v>
      </c>
      <c r="D881" s="32"/>
      <c r="E881" s="32"/>
      <c r="F881" s="43" t="s">
        <v>2450</v>
      </c>
      <c r="K881" s="3" t="s">
        <v>2226</v>
      </c>
      <c r="AA881" s="37" t="s">
        <v>1805</v>
      </c>
      <c r="AB881" s="8">
        <f>TRUNC(1*자재!D28,0)</f>
        <v>145000</v>
      </c>
      <c r="AC881" s="37" t="s">
        <v>2021</v>
      </c>
      <c r="AD881" s="7">
        <f>$AB881</f>
        <v>145000</v>
      </c>
    </row>
    <row r="882" spans="1:30" ht="18.399999999999999" customHeight="1" x14ac:dyDescent="0.15">
      <c r="A882" s="38" t="s">
        <v>2450</v>
      </c>
      <c r="B882" s="32"/>
      <c r="C882" s="32"/>
      <c r="D882" s="32"/>
      <c r="E882" s="32"/>
      <c r="F882" s="43"/>
      <c r="K882" s="3" t="s">
        <v>2450</v>
      </c>
    </row>
    <row r="883" spans="1:30" ht="18.399999999999999" customHeight="1" x14ac:dyDescent="0.15">
      <c r="A883" s="38" t="s">
        <v>104</v>
      </c>
      <c r="B883" s="33">
        <f>SUM($C883,$D883,$E883)</f>
        <v>145000</v>
      </c>
      <c r="C883" s="33">
        <f>$AB883</f>
        <v>145000</v>
      </c>
      <c r="D883" s="33">
        <f>$AD883</f>
        <v>0</v>
      </c>
      <c r="E883" s="33">
        <f>$AF883</f>
        <v>0</v>
      </c>
      <c r="F883" s="44"/>
      <c r="K883" s="3" t="s">
        <v>1671</v>
      </c>
      <c r="AA883" s="36" t="s">
        <v>1729</v>
      </c>
      <c r="AB883" s="7">
        <f>$AD881</f>
        <v>145000</v>
      </c>
    </row>
    <row r="884" spans="1:30" ht="18.399999999999999" customHeight="1" x14ac:dyDescent="0.15">
      <c r="A884" s="38" t="s">
        <v>2450</v>
      </c>
      <c r="B884" s="32"/>
      <c r="C884" s="32"/>
      <c r="D884" s="32"/>
      <c r="E884" s="32"/>
      <c r="F884" s="43"/>
      <c r="K884" s="3" t="s">
        <v>2450</v>
      </c>
    </row>
    <row r="885" spans="1:30" ht="18.399999999999999" customHeight="1" x14ac:dyDescent="0.15">
      <c r="A885" s="38" t="s">
        <v>2381</v>
      </c>
      <c r="B885" s="32"/>
      <c r="C885" s="32"/>
      <c r="D885" s="32"/>
      <c r="E885" s="32"/>
      <c r="F885" s="43"/>
      <c r="K885" s="3" t="s">
        <v>2381</v>
      </c>
    </row>
    <row r="886" spans="1:30" ht="18.399999999999999" customHeight="1" x14ac:dyDescent="0.15">
      <c r="A886" s="38" t="s">
        <v>2450</v>
      </c>
      <c r="B886" s="32"/>
      <c r="C886" s="32"/>
      <c r="D886" s="32"/>
      <c r="E886" s="32"/>
      <c r="F886" s="43"/>
      <c r="K886" s="3" t="s">
        <v>2450</v>
      </c>
    </row>
    <row r="887" spans="1:30" ht="18.399999999999999" customHeight="1" x14ac:dyDescent="0.15">
      <c r="A887" s="40" t="str">
        <f>CONCATENATE("   배 관 공 :  0.15 인  * _x001D_262,580_x001D_ =",TEXT($AB887,"#,##0.00"))</f>
        <v xml:space="preserve">   배 관 공 :  0.15 인  * _x001D_262,580_x001D_ =39,387.00</v>
      </c>
      <c r="B887" s="32">
        <f>SUM($C887,$D887,$E887)</f>
        <v>39387</v>
      </c>
      <c r="C887" s="32"/>
      <c r="D887" s="32">
        <f>$AB887</f>
        <v>39387</v>
      </c>
      <c r="E887" s="32"/>
      <c r="F887" s="43" t="s">
        <v>2450</v>
      </c>
      <c r="K887" s="3" t="s">
        <v>1809</v>
      </c>
      <c r="AA887" s="37" t="s">
        <v>265</v>
      </c>
      <c r="AB887" s="8">
        <f>TRUNC(0.15*노임!D11,0)</f>
        <v>39387</v>
      </c>
      <c r="AC887" s="37" t="s">
        <v>972</v>
      </c>
      <c r="AD887" s="7">
        <f>$AB887</f>
        <v>39387</v>
      </c>
    </row>
    <row r="888" spans="1:30" ht="18.399999999999999" customHeight="1" x14ac:dyDescent="0.15">
      <c r="A888" s="38" t="s">
        <v>2450</v>
      </c>
      <c r="B888" s="32"/>
      <c r="C888" s="32"/>
      <c r="D888" s="32"/>
      <c r="E888" s="32"/>
      <c r="F888" s="43"/>
      <c r="K888" s="3" t="s">
        <v>2450</v>
      </c>
    </row>
    <row r="889" spans="1:30" ht="18.399999999999999" customHeight="1" x14ac:dyDescent="0.15">
      <c r="A889" s="40" t="str">
        <f>CONCATENATE("   보통인부 :  0.15 인  * _x001D_172,068_x001D_ =",TEXT($AB889,"#,##0.00"))</f>
        <v xml:space="preserve">   보통인부 :  0.15 인  * _x001D_172,068_x001D_ =25,810.00</v>
      </c>
      <c r="B889" s="32">
        <f>SUM($C889,$D889,$E889)</f>
        <v>25810</v>
      </c>
      <c r="C889" s="32"/>
      <c r="D889" s="32">
        <f>$AB889</f>
        <v>25810</v>
      </c>
      <c r="E889" s="32"/>
      <c r="F889" s="43" t="s">
        <v>2450</v>
      </c>
      <c r="K889" s="3" t="s">
        <v>1490</v>
      </c>
      <c r="AA889" s="37" t="s">
        <v>265</v>
      </c>
      <c r="AB889" s="8">
        <f>TRUNC(0.15*노임!D10,0)</f>
        <v>25810</v>
      </c>
      <c r="AC889" s="37" t="s">
        <v>972</v>
      </c>
      <c r="AD889" s="7">
        <f>$AD887+$AB889</f>
        <v>65197</v>
      </c>
    </row>
    <row r="890" spans="1:30" ht="18.399999999999999" customHeight="1" x14ac:dyDescent="0.15">
      <c r="A890" s="38" t="s">
        <v>2450</v>
      </c>
      <c r="B890" s="32"/>
      <c r="C890" s="32"/>
      <c r="D890" s="32"/>
      <c r="E890" s="32"/>
      <c r="F890" s="43"/>
      <c r="K890" s="3" t="s">
        <v>2450</v>
      </c>
    </row>
    <row r="891" spans="1:30" ht="18.399999999999999" customHeight="1" x14ac:dyDescent="0.15">
      <c r="A891" s="38" t="s">
        <v>104</v>
      </c>
      <c r="B891" s="33">
        <f>SUM($C891,$D891,$E891)</f>
        <v>65197</v>
      </c>
      <c r="C891" s="33">
        <f>$AB891</f>
        <v>0</v>
      </c>
      <c r="D891" s="33">
        <f>$AD891</f>
        <v>65197</v>
      </c>
      <c r="E891" s="33">
        <f>$AF891</f>
        <v>0</v>
      </c>
      <c r="F891" s="44"/>
      <c r="K891" s="3" t="s">
        <v>1671</v>
      </c>
      <c r="AA891" s="36" t="s">
        <v>1729</v>
      </c>
      <c r="AB891" s="7">
        <f>$AD881-$AD881</f>
        <v>0</v>
      </c>
      <c r="AC891" s="36" t="s">
        <v>71</v>
      </c>
      <c r="AD891" s="7">
        <f>$AD889</f>
        <v>65197</v>
      </c>
    </row>
    <row r="892" spans="1:30" ht="18.399999999999999" customHeight="1" x14ac:dyDescent="0.15">
      <c r="A892" s="38" t="s">
        <v>2450</v>
      </c>
      <c r="B892" s="32"/>
      <c r="C892" s="32"/>
      <c r="D892" s="32"/>
      <c r="E892" s="32"/>
      <c r="F892" s="43"/>
      <c r="K892" s="3" t="s">
        <v>2450</v>
      </c>
    </row>
    <row r="893" spans="1:30" ht="18.399999999999999" customHeight="1" x14ac:dyDescent="0.15">
      <c r="A893" s="38" t="s">
        <v>407</v>
      </c>
      <c r="B893" s="32"/>
      <c r="C893" s="32"/>
      <c r="D893" s="32"/>
      <c r="E893" s="32"/>
      <c r="F893" s="43"/>
      <c r="K893" s="3" t="s">
        <v>407</v>
      </c>
    </row>
    <row r="894" spans="1:30" ht="18.399999999999999" customHeight="1" x14ac:dyDescent="0.15">
      <c r="A894" s="38" t="s">
        <v>2450</v>
      </c>
      <c r="B894" s="32"/>
      <c r="C894" s="32"/>
      <c r="D894" s="32"/>
      <c r="E894" s="32"/>
      <c r="F894" s="43"/>
      <c r="K894" s="3" t="s">
        <v>2450</v>
      </c>
    </row>
    <row r="895" spans="1:30" ht="18.399999999999999" customHeight="1" x14ac:dyDescent="0.15">
      <c r="A895" s="40" t="str">
        <f>CONCATENATE("  _x001D_65,197_x001D_ * 0.05 =",TEXT($AB895,"#,##0.00"))</f>
        <v xml:space="preserve">  _x001D_65,197_x001D_ * 0.05 =3,259.00</v>
      </c>
      <c r="B895" s="32">
        <f>SUM($C895,$D895,$E895)</f>
        <v>3259</v>
      </c>
      <c r="C895" s="32"/>
      <c r="D895" s="32"/>
      <c r="E895" s="32">
        <f>$AB895</f>
        <v>3259</v>
      </c>
      <c r="F895" s="43" t="s">
        <v>2450</v>
      </c>
      <c r="K895" s="3" t="s">
        <v>734</v>
      </c>
      <c r="AA895" s="37" t="s">
        <v>815</v>
      </c>
      <c r="AB895" s="8">
        <f>TRUNC($AD889*0.05,0)</f>
        <v>3259</v>
      </c>
      <c r="AC895" s="37" t="s">
        <v>1302</v>
      </c>
      <c r="AD895" s="7">
        <f>$AB895</f>
        <v>3259</v>
      </c>
    </row>
    <row r="896" spans="1:30" ht="18.399999999999999" customHeight="1" x14ac:dyDescent="0.15">
      <c r="A896" s="38" t="s">
        <v>2450</v>
      </c>
      <c r="B896" s="32"/>
      <c r="C896" s="32"/>
      <c r="D896" s="32"/>
      <c r="E896" s="32"/>
      <c r="F896" s="43"/>
      <c r="K896" s="3" t="s">
        <v>2450</v>
      </c>
    </row>
    <row r="897" spans="1:32" ht="18.399999999999999" customHeight="1" x14ac:dyDescent="0.15">
      <c r="A897" s="38" t="s">
        <v>104</v>
      </c>
      <c r="B897" s="33">
        <f>SUM($C897,$D897,$E897)</f>
        <v>3259</v>
      </c>
      <c r="C897" s="33">
        <f>$AB897</f>
        <v>0</v>
      </c>
      <c r="D897" s="33">
        <f>$AD897</f>
        <v>0</v>
      </c>
      <c r="E897" s="33">
        <f>$AF897</f>
        <v>3259</v>
      </c>
      <c r="F897" s="44"/>
      <c r="K897" s="3" t="s">
        <v>1671</v>
      </c>
      <c r="AA897" s="36" t="s">
        <v>1729</v>
      </c>
      <c r="AB897" s="7">
        <f>$AD881-$AD881</f>
        <v>0</v>
      </c>
      <c r="AC897" s="36" t="s">
        <v>71</v>
      </c>
      <c r="AD897" s="7">
        <f>$AD889-$AD889</f>
        <v>0</v>
      </c>
      <c r="AE897" s="36" t="s">
        <v>2236</v>
      </c>
      <c r="AF897" s="7">
        <f>$AD895</f>
        <v>3259</v>
      </c>
    </row>
    <row r="898" spans="1:32" ht="18.399999999999999" customHeight="1" x14ac:dyDescent="0.15">
      <c r="A898" s="38" t="s">
        <v>2450</v>
      </c>
      <c r="B898" s="32"/>
      <c r="C898" s="32"/>
      <c r="D898" s="32"/>
      <c r="E898" s="32"/>
      <c r="F898" s="43"/>
      <c r="K898" s="3" t="s">
        <v>2450</v>
      </c>
    </row>
    <row r="899" spans="1:32" ht="18.399999999999999" customHeight="1" x14ac:dyDescent="0.15">
      <c r="A899" s="38" t="s">
        <v>2025</v>
      </c>
      <c r="B899" s="33">
        <f>SUM($C899,$D899,$E899)</f>
        <v>0</v>
      </c>
      <c r="C899" s="33">
        <f>$AB899</f>
        <v>0</v>
      </c>
      <c r="D899" s="33">
        <f>$AD899</f>
        <v>0</v>
      </c>
      <c r="E899" s="33">
        <f>$AF899</f>
        <v>0</v>
      </c>
      <c r="F899" s="44"/>
      <c r="K899" s="3" t="s">
        <v>2391</v>
      </c>
      <c r="AA899" s="36" t="s">
        <v>1729</v>
      </c>
      <c r="AB899" s="7">
        <f>$AD881-$AD881</f>
        <v>0</v>
      </c>
      <c r="AC899" s="36" t="s">
        <v>71</v>
      </c>
      <c r="AD899" s="7">
        <f>$AD889-$AD889</f>
        <v>0</v>
      </c>
      <c r="AE899" s="36" t="s">
        <v>2236</v>
      </c>
      <c r="AF899" s="7">
        <f>$AD895-$AD895</f>
        <v>0</v>
      </c>
    </row>
    <row r="900" spans="1:32" ht="18.399999999999999" customHeight="1" x14ac:dyDescent="0.15">
      <c r="A900" s="38"/>
      <c r="B900" s="3"/>
      <c r="C900" s="3"/>
      <c r="D900" s="3"/>
      <c r="E900" s="3"/>
      <c r="F900" s="42"/>
    </row>
    <row r="901" spans="1:32" ht="18.399999999999999" customHeight="1" x14ac:dyDescent="0.15">
      <c r="A901" s="41" t="s">
        <v>1388</v>
      </c>
      <c r="B901" s="35">
        <f>SUM($C901,$D901,$E901)</f>
        <v>213456</v>
      </c>
      <c r="C901" s="35">
        <f>TRUNC(SUM($AD881),0)</f>
        <v>145000</v>
      </c>
      <c r="D901" s="35">
        <f>TRUNC(SUM($AD889),0)</f>
        <v>65197</v>
      </c>
      <c r="E901" s="35">
        <f>TRUNC(SUM($AD895),0)</f>
        <v>3259</v>
      </c>
      <c r="F901" s="47"/>
    </row>
    <row r="902" spans="1:32" ht="18.399999999999999" customHeight="1" x14ac:dyDescent="0.15">
      <c r="A902" s="38"/>
      <c r="B902" s="3"/>
      <c r="C902" s="3"/>
      <c r="D902" s="3"/>
      <c r="E902" s="3"/>
      <c r="F902" s="42"/>
    </row>
    <row r="903" spans="1:32" ht="18.399999999999999" customHeight="1" x14ac:dyDescent="0.15">
      <c r="A903" s="38" t="s">
        <v>2259</v>
      </c>
      <c r="B903" s="32">
        <f>$B930</f>
        <v>358181</v>
      </c>
      <c r="C903" s="32">
        <f>$C930</f>
        <v>10497</v>
      </c>
      <c r="D903" s="32">
        <f>$D930</f>
        <v>308504</v>
      </c>
      <c r="E903" s="32">
        <f>$E930</f>
        <v>39180</v>
      </c>
      <c r="F903" s="42" t="s">
        <v>2450</v>
      </c>
      <c r="G903" t="s">
        <v>2450</v>
      </c>
      <c r="H903" t="s">
        <v>2221</v>
      </c>
      <c r="K903">
        <v>1</v>
      </c>
      <c r="Y903" s="7" t="b">
        <f>EXACT($Z903,$B930)</f>
        <v>1</v>
      </c>
      <c r="Z903" s="35">
        <v>358181</v>
      </c>
    </row>
    <row r="904" spans="1:32" ht="18.399999999999999" customHeight="1" x14ac:dyDescent="0.15">
      <c r="A904" s="39"/>
      <c r="B904" s="3"/>
      <c r="C904" s="3"/>
      <c r="D904" s="3"/>
      <c r="E904" s="3"/>
      <c r="F904" s="42"/>
    </row>
    <row r="905" spans="1:32" ht="18.399999999999999" customHeight="1" x14ac:dyDescent="0.15">
      <c r="A905" s="38" t="s">
        <v>2450</v>
      </c>
      <c r="B905" s="3"/>
      <c r="C905" s="3"/>
      <c r="D905" s="3"/>
      <c r="E905" s="3"/>
      <c r="F905" s="42"/>
      <c r="G905" t="s">
        <v>2450</v>
      </c>
      <c r="I905" t="s">
        <v>289</v>
      </c>
      <c r="J905" t="s">
        <v>2450</v>
      </c>
      <c r="K905" t="s">
        <v>2053</v>
      </c>
    </row>
    <row r="906" spans="1:32" ht="18.399999999999999" customHeight="1" x14ac:dyDescent="0.15">
      <c r="A906" s="38" t="s">
        <v>749</v>
      </c>
      <c r="B906" s="32"/>
      <c r="C906" s="32"/>
      <c r="D906" s="32"/>
      <c r="E906" s="32"/>
      <c r="F906" s="43"/>
      <c r="K906" s="3" t="s">
        <v>749</v>
      </c>
    </row>
    <row r="907" spans="1:32" ht="18.399999999999999" customHeight="1" x14ac:dyDescent="0.15">
      <c r="A907" s="38" t="s">
        <v>2450</v>
      </c>
      <c r="B907" s="32"/>
      <c r="C907" s="32"/>
      <c r="D907" s="32"/>
      <c r="E907" s="32"/>
      <c r="F907" s="43"/>
      <c r="K907" s="3" t="s">
        <v>2450</v>
      </c>
    </row>
    <row r="908" spans="1:32" ht="18.399999999999999" customHeight="1" x14ac:dyDescent="0.15">
      <c r="A908" s="38" t="s">
        <v>203</v>
      </c>
      <c r="B908" s="32"/>
      <c r="C908" s="32"/>
      <c r="D908" s="32"/>
      <c r="E908" s="32"/>
      <c r="F908" s="43"/>
      <c r="K908" s="3" t="s">
        <v>203</v>
      </c>
    </row>
    <row r="909" spans="1:32" ht="18.399999999999999" customHeight="1" x14ac:dyDescent="0.15">
      <c r="A909" s="38" t="s">
        <v>2450</v>
      </c>
      <c r="B909" s="32"/>
      <c r="C909" s="32"/>
      <c r="D909" s="32"/>
      <c r="E909" s="32"/>
      <c r="F909" s="43"/>
      <c r="K909" s="3" t="s">
        <v>2450</v>
      </c>
    </row>
    <row r="910" spans="1:32" ht="18.399999999999999" customHeight="1" x14ac:dyDescent="0.15">
      <c r="A910" s="38" t="s">
        <v>1048</v>
      </c>
      <c r="B910" s="32"/>
      <c r="C910" s="32"/>
      <c r="D910" s="32"/>
      <c r="E910" s="32"/>
      <c r="F910" s="43"/>
      <c r="K910" s="3" t="s">
        <v>1048</v>
      </c>
    </row>
    <row r="911" spans="1:32" ht="18.399999999999999" customHeight="1" x14ac:dyDescent="0.15">
      <c r="A911" s="38" t="s">
        <v>2450</v>
      </c>
      <c r="B911" s="32"/>
      <c r="C911" s="32"/>
      <c r="D911" s="32"/>
      <c r="E911" s="32"/>
      <c r="F911" s="43"/>
      <c r="K911" s="3" t="s">
        <v>2450</v>
      </c>
    </row>
    <row r="912" spans="1:32" ht="18.399999999999999" customHeight="1" x14ac:dyDescent="0.15">
      <c r="A912" s="40" t="str">
        <f>CONCATENATE("   특별인부 :  0.80 * _x001D_226,122_x001D_ =",TEXT($AB912,"#,##0.00"))</f>
        <v xml:space="preserve">   특별인부 :  0.80 * _x001D_226,122_x001D_ =180,897.00</v>
      </c>
      <c r="B912" s="32">
        <f>SUM($C912,$D912,$E912)</f>
        <v>180897</v>
      </c>
      <c r="C912" s="32"/>
      <c r="D912" s="32">
        <f>$AB912</f>
        <v>180897</v>
      </c>
      <c r="E912" s="32"/>
      <c r="F912" s="43" t="s">
        <v>2450</v>
      </c>
      <c r="K912" s="3" t="s">
        <v>498</v>
      </c>
      <c r="AA912" s="37" t="s">
        <v>265</v>
      </c>
      <c r="AB912" s="8">
        <f>TRUNC(0.8*노임!D9,0)</f>
        <v>180897</v>
      </c>
      <c r="AC912" s="37" t="s">
        <v>972</v>
      </c>
      <c r="AD912" s="7">
        <f>$AB912</f>
        <v>180897</v>
      </c>
    </row>
    <row r="913" spans="1:34" ht="18.399999999999999" customHeight="1" x14ac:dyDescent="0.15">
      <c r="A913" s="38" t="s">
        <v>2450</v>
      </c>
      <c r="B913" s="32"/>
      <c r="C913" s="32"/>
      <c r="D913" s="32"/>
      <c r="E913" s="32"/>
      <c r="F913" s="43"/>
      <c r="K913" s="3" t="s">
        <v>2450</v>
      </c>
    </row>
    <row r="914" spans="1:34" ht="18.399999999999999" customHeight="1" x14ac:dyDescent="0.15">
      <c r="A914" s="40" t="str">
        <f>CONCATENATE("   보통인부 :  0.38 * _x001D_172,068_x001D_ =",TEXT($AB914,"#,##0.00"))</f>
        <v xml:space="preserve">   보통인부 :  0.38 * _x001D_172,068_x001D_ =65,385.00</v>
      </c>
      <c r="B914" s="32">
        <f>SUM($C914,$D914,$E914)</f>
        <v>65385</v>
      </c>
      <c r="C914" s="32"/>
      <c r="D914" s="32">
        <f>$AB914</f>
        <v>65385</v>
      </c>
      <c r="E914" s="32"/>
      <c r="F914" s="43" t="s">
        <v>2450</v>
      </c>
      <c r="K914" s="3" t="s">
        <v>1899</v>
      </c>
      <c r="AA914" s="37" t="s">
        <v>265</v>
      </c>
      <c r="AB914" s="8">
        <f>TRUNC(0.38*노임!D10,0)</f>
        <v>65385</v>
      </c>
      <c r="AC914" s="37" t="s">
        <v>972</v>
      </c>
      <c r="AD914" s="7">
        <f>$AD912+$AB914</f>
        <v>246282</v>
      </c>
    </row>
    <row r="915" spans="1:34" ht="18.399999999999999" customHeight="1" x14ac:dyDescent="0.15">
      <c r="A915" s="38" t="s">
        <v>2450</v>
      </c>
      <c r="B915" s="32"/>
      <c r="C915" s="32"/>
      <c r="D915" s="32"/>
      <c r="E915" s="32"/>
      <c r="F915" s="43"/>
      <c r="K915" s="3" t="s">
        <v>2450</v>
      </c>
    </row>
    <row r="916" spans="1:34" ht="18.399999999999999" customHeight="1" x14ac:dyDescent="0.15">
      <c r="A916" s="38" t="s">
        <v>328</v>
      </c>
      <c r="B916" s="33">
        <f>SUM($C916,$D916,$E916)</f>
        <v>246282</v>
      </c>
      <c r="C916" s="33">
        <f>$AB916</f>
        <v>0</v>
      </c>
      <c r="D916" s="33">
        <f>$AD916</f>
        <v>246282</v>
      </c>
      <c r="E916" s="33">
        <f>$AF916</f>
        <v>0</v>
      </c>
      <c r="F916" s="44"/>
      <c r="K916" s="3" t="s">
        <v>1519</v>
      </c>
      <c r="AC916" s="36" t="s">
        <v>71</v>
      </c>
      <c r="AD916" s="7">
        <f>$AD914</f>
        <v>246282</v>
      </c>
    </row>
    <row r="917" spans="1:34" ht="18.399999999999999" customHeight="1" x14ac:dyDescent="0.15">
      <c r="A917" s="38" t="s">
        <v>2450</v>
      </c>
      <c r="B917" s="32"/>
      <c r="C917" s="32"/>
      <c r="D917" s="32"/>
      <c r="E917" s="32"/>
      <c r="F917" s="43"/>
      <c r="K917" s="3" t="s">
        <v>2450</v>
      </c>
    </row>
    <row r="918" spans="1:34" ht="18.399999999999999" customHeight="1" x14ac:dyDescent="0.15">
      <c r="A918" s="38" t="s">
        <v>2225</v>
      </c>
      <c r="B918" s="32"/>
      <c r="C918" s="32"/>
      <c r="D918" s="32"/>
      <c r="E918" s="32"/>
      <c r="F918" s="43"/>
      <c r="K918" s="3" t="s">
        <v>2225</v>
      </c>
    </row>
    <row r="919" spans="1:34" ht="18.399999999999999" customHeight="1" x14ac:dyDescent="0.15">
      <c r="A919" s="38" t="s">
        <v>2450</v>
      </c>
      <c r="B919" s="32"/>
      <c r="C919" s="32"/>
      <c r="D919" s="32"/>
      <c r="E919" s="32"/>
      <c r="F919" s="43"/>
      <c r="K919" s="3" t="s">
        <v>1092</v>
      </c>
      <c r="AA919" s="36" t="s">
        <v>292</v>
      </c>
      <c r="AB919" s="6">
        <v>1.25</v>
      </c>
      <c r="AC919" s="36" t="s">
        <v>292</v>
      </c>
      <c r="AD919" s="7">
        <f>$AB919</f>
        <v>1.25</v>
      </c>
    </row>
    <row r="920" spans="1:34" ht="18.399999999999999" customHeight="1" x14ac:dyDescent="0.15">
      <c r="A920" s="40" t="str">
        <f>CONCATENATE("    재 료 비 :  ",TEXT($AB920,"#,##0.00")," HR  * _x001D_8,398_x001D_ =",TEXT($AF920,"#,##0.00"))</f>
        <v xml:space="preserve">    재 료 비 :  1.25 HR  * _x001D_8,398_x001D_ =10,497.00</v>
      </c>
      <c r="B920" s="32">
        <f>SUM($C920,$D920,$E920)</f>
        <v>10497</v>
      </c>
      <c r="C920" s="32">
        <f>$AF920</f>
        <v>10497</v>
      </c>
      <c r="D920" s="32"/>
      <c r="E920" s="32"/>
      <c r="F920" s="43" t="s">
        <v>2450</v>
      </c>
      <c r="K920" s="3" t="s">
        <v>1163</v>
      </c>
      <c r="AA920" s="36" t="s">
        <v>1057</v>
      </c>
      <c r="AB920" s="8">
        <f>$AD919</f>
        <v>1.25</v>
      </c>
      <c r="AC920" s="36" t="s">
        <v>761</v>
      </c>
      <c r="AD920" s="7">
        <f>$AB920</f>
        <v>1.25</v>
      </c>
      <c r="AE920" s="37" t="s">
        <v>1805</v>
      </c>
      <c r="AF920" s="8">
        <f>TRUNC($AD920*중기사용료목록!E19,0)</f>
        <v>10497</v>
      </c>
      <c r="AG920" s="37" t="s">
        <v>2021</v>
      </c>
      <c r="AH920" s="7">
        <f>$AF920</f>
        <v>10497</v>
      </c>
    </row>
    <row r="921" spans="1:34" ht="18.399999999999999" customHeight="1" x14ac:dyDescent="0.15">
      <c r="A921" s="38" t="s">
        <v>2450</v>
      </c>
      <c r="B921" s="32"/>
      <c r="C921" s="32"/>
      <c r="D921" s="32"/>
      <c r="E921" s="32"/>
      <c r="F921" s="43"/>
      <c r="K921" s="3" t="s">
        <v>2450</v>
      </c>
    </row>
    <row r="922" spans="1:34" ht="18.399999999999999" customHeight="1" x14ac:dyDescent="0.15">
      <c r="A922" s="40" t="str">
        <f>CONCATENATE("    노 무 비 :  ",TEXT($AB922,"#,##0.00")," HR  * _x001D_49,778_x001D_ =",TEXT($AF922,"#,##0.00"))</f>
        <v xml:space="preserve">    노 무 비 :  1.25 HR  * _x001D_49,778_x001D_ =62,222.00</v>
      </c>
      <c r="B922" s="32">
        <f>SUM($C922,$D922,$E922)</f>
        <v>62222</v>
      </c>
      <c r="C922" s="32"/>
      <c r="D922" s="32">
        <f>$AF922</f>
        <v>62222</v>
      </c>
      <c r="E922" s="32"/>
      <c r="F922" s="43" t="s">
        <v>2450</v>
      </c>
      <c r="K922" s="3" t="s">
        <v>1208</v>
      </c>
      <c r="AA922" s="36" t="s">
        <v>2246</v>
      </c>
      <c r="AB922" s="8">
        <f>$AD919</f>
        <v>1.25</v>
      </c>
      <c r="AC922" s="36" t="s">
        <v>471</v>
      </c>
      <c r="AD922" s="7">
        <f>$AB922</f>
        <v>1.25</v>
      </c>
      <c r="AE922" s="37" t="s">
        <v>265</v>
      </c>
      <c r="AF922" s="8">
        <f>TRUNC($AD922*중기사용료목록!F19,0)</f>
        <v>62222</v>
      </c>
      <c r="AG922" s="37" t="s">
        <v>972</v>
      </c>
      <c r="AH922" s="7">
        <f>$AD914+$AF922</f>
        <v>308504</v>
      </c>
    </row>
    <row r="923" spans="1:34" ht="18.399999999999999" customHeight="1" x14ac:dyDescent="0.15">
      <c r="A923" s="38" t="s">
        <v>2450</v>
      </c>
      <c r="B923" s="32"/>
      <c r="C923" s="32"/>
      <c r="D923" s="32"/>
      <c r="E923" s="32"/>
      <c r="F923" s="43"/>
      <c r="K923" s="3" t="s">
        <v>2450</v>
      </c>
    </row>
    <row r="924" spans="1:34" ht="18.399999999999999" customHeight="1" x14ac:dyDescent="0.15">
      <c r="A924" s="40" t="str">
        <f>CONCATENATE("    경    비 :  ",TEXT($AB924,"#,##0.00")," HR  * _x001D_31,344_x001D_ =",TEXT($AF924,"#,##0.00"))</f>
        <v xml:space="preserve">    경    비 :  1.25 HR  * _x001D_31,344_x001D_ =39,180.00</v>
      </c>
      <c r="B924" s="32">
        <f>SUM($C924,$D924,$E924)</f>
        <v>39180</v>
      </c>
      <c r="C924" s="32"/>
      <c r="D924" s="32"/>
      <c r="E924" s="32">
        <f>$AF924</f>
        <v>39180</v>
      </c>
      <c r="F924" s="43" t="s">
        <v>2450</v>
      </c>
      <c r="K924" s="3" t="s">
        <v>555</v>
      </c>
      <c r="AA924" s="36" t="s">
        <v>944</v>
      </c>
      <c r="AB924" s="8">
        <f>$AD919</f>
        <v>1.25</v>
      </c>
      <c r="AC924" s="36" t="s">
        <v>1718</v>
      </c>
      <c r="AD924" s="7">
        <f>$AB924</f>
        <v>1.25</v>
      </c>
      <c r="AE924" s="37" t="s">
        <v>815</v>
      </c>
      <c r="AF924" s="8">
        <f>TRUNC($AD924*중기사용료목록!G19,0)</f>
        <v>39180</v>
      </c>
      <c r="AG924" s="37" t="s">
        <v>1302</v>
      </c>
      <c r="AH924" s="7">
        <f>$AF924</f>
        <v>39180</v>
      </c>
    </row>
    <row r="925" spans="1:34" ht="18.399999999999999" customHeight="1" x14ac:dyDescent="0.15">
      <c r="A925" s="38" t="s">
        <v>2450</v>
      </c>
      <c r="B925" s="32"/>
      <c r="C925" s="32"/>
      <c r="D925" s="32"/>
      <c r="E925" s="32"/>
      <c r="F925" s="43"/>
      <c r="K925" s="3" t="s">
        <v>2450</v>
      </c>
    </row>
    <row r="926" spans="1:34" ht="18.399999999999999" customHeight="1" x14ac:dyDescent="0.15">
      <c r="A926" s="38" t="s">
        <v>328</v>
      </c>
      <c r="B926" s="33">
        <f>SUM($C926,$D926,$E926)</f>
        <v>111899</v>
      </c>
      <c r="C926" s="33">
        <f>$AB926</f>
        <v>10497</v>
      </c>
      <c r="D926" s="33">
        <f>$AD926</f>
        <v>62222</v>
      </c>
      <c r="E926" s="33">
        <f>$AF926</f>
        <v>39180</v>
      </c>
      <c r="F926" s="44"/>
      <c r="K926" s="3" t="s">
        <v>1519</v>
      </c>
      <c r="AA926" s="36" t="s">
        <v>1729</v>
      </c>
      <c r="AB926" s="7">
        <f>$AH920</f>
        <v>10497</v>
      </c>
      <c r="AC926" s="36" t="s">
        <v>71</v>
      </c>
      <c r="AD926" s="7">
        <f>$AH922-$AD914</f>
        <v>62222</v>
      </c>
      <c r="AE926" s="36" t="s">
        <v>2236</v>
      </c>
      <c r="AF926" s="7">
        <f>$AH924</f>
        <v>39180</v>
      </c>
    </row>
    <row r="927" spans="1:34" ht="18.399999999999999" customHeight="1" x14ac:dyDescent="0.15">
      <c r="A927" s="38" t="s">
        <v>2450</v>
      </c>
      <c r="B927" s="32"/>
      <c r="C927" s="32"/>
      <c r="D927" s="32"/>
      <c r="E927" s="32"/>
      <c r="F927" s="43"/>
      <c r="K927" s="3" t="s">
        <v>2450</v>
      </c>
    </row>
    <row r="928" spans="1:34" ht="18.399999999999999" customHeight="1" x14ac:dyDescent="0.15">
      <c r="A928" s="38" t="s">
        <v>2337</v>
      </c>
      <c r="B928" s="34">
        <f>SUM($C928,$D928,$E928)</f>
        <v>358181</v>
      </c>
      <c r="C928" s="34">
        <f>$AB928</f>
        <v>10497</v>
      </c>
      <c r="D928" s="34">
        <f>$AD928</f>
        <v>308504</v>
      </c>
      <c r="E928" s="34">
        <f>$AF928</f>
        <v>39180</v>
      </c>
      <c r="F928" s="45"/>
      <c r="K928" s="3" t="s">
        <v>726</v>
      </c>
      <c r="AA928" s="36" t="s">
        <v>989</v>
      </c>
      <c r="AB928" s="7">
        <f>$AH920</f>
        <v>10497</v>
      </c>
      <c r="AC928" s="36" t="s">
        <v>2036</v>
      </c>
      <c r="AD928" s="7">
        <f>$AH922</f>
        <v>308504</v>
      </c>
      <c r="AE928" s="36" t="s">
        <v>579</v>
      </c>
      <c r="AF928" s="7">
        <f>$AH924</f>
        <v>39180</v>
      </c>
    </row>
    <row r="929" spans="1:30" ht="18.399999999999999" customHeight="1" x14ac:dyDescent="0.15">
      <c r="A929" s="38"/>
      <c r="B929" s="3"/>
      <c r="C929" s="3"/>
      <c r="D929" s="3"/>
      <c r="E929" s="3"/>
      <c r="F929" s="42"/>
    </row>
    <row r="930" spans="1:30" ht="18.399999999999999" customHeight="1" x14ac:dyDescent="0.15">
      <c r="A930" s="41" t="s">
        <v>1388</v>
      </c>
      <c r="B930" s="35">
        <f>SUM($C930,$D930,$E930)</f>
        <v>358181</v>
      </c>
      <c r="C930" s="35">
        <f>TRUNC(SUM($AH920),0)</f>
        <v>10497</v>
      </c>
      <c r="D930" s="35">
        <f>TRUNC(SUM($AH922),0)</f>
        <v>308504</v>
      </c>
      <c r="E930" s="35">
        <f>TRUNC(SUM($AH924),0)</f>
        <v>39180</v>
      </c>
      <c r="F930" s="47"/>
    </row>
    <row r="931" spans="1:30" ht="18.399999999999999" customHeight="1" x14ac:dyDescent="0.15">
      <c r="A931" s="38"/>
      <c r="B931" s="3"/>
      <c r="C931" s="3"/>
      <c r="D931" s="3"/>
      <c r="E931" s="3"/>
      <c r="F931" s="42"/>
    </row>
    <row r="932" spans="1:30" ht="18.399999999999999" customHeight="1" x14ac:dyDescent="0.15">
      <c r="A932" s="38" t="s">
        <v>2241</v>
      </c>
      <c r="B932" s="32">
        <f>$B959</f>
        <v>182693</v>
      </c>
      <c r="C932" s="32">
        <f>$C959</f>
        <v>5374</v>
      </c>
      <c r="D932" s="32">
        <f>$D959</f>
        <v>157259</v>
      </c>
      <c r="E932" s="32">
        <f>$E959</f>
        <v>20060</v>
      </c>
      <c r="F932" s="42" t="s">
        <v>2450</v>
      </c>
      <c r="G932" t="s">
        <v>2450</v>
      </c>
      <c r="H932" t="s">
        <v>2019</v>
      </c>
      <c r="K932">
        <v>1</v>
      </c>
      <c r="Y932" s="7" t="b">
        <f>EXACT($Z932,$B959)</f>
        <v>1</v>
      </c>
      <c r="Z932" s="35">
        <v>182693</v>
      </c>
    </row>
    <row r="933" spans="1:30" ht="18.399999999999999" customHeight="1" x14ac:dyDescent="0.15">
      <c r="A933" s="39"/>
      <c r="B933" s="3"/>
      <c r="C933" s="3"/>
      <c r="D933" s="3"/>
      <c r="E933" s="3"/>
      <c r="F933" s="42"/>
    </row>
    <row r="934" spans="1:30" ht="18.399999999999999" customHeight="1" x14ac:dyDescent="0.15">
      <c r="A934" s="38" t="s">
        <v>2450</v>
      </c>
      <c r="B934" s="3"/>
      <c r="C934" s="3"/>
      <c r="D934" s="3"/>
      <c r="E934" s="3"/>
      <c r="F934" s="42"/>
      <c r="G934" t="s">
        <v>2450</v>
      </c>
      <c r="I934" t="s">
        <v>289</v>
      </c>
      <c r="J934" t="s">
        <v>2450</v>
      </c>
      <c r="K934" t="s">
        <v>2053</v>
      </c>
    </row>
    <row r="935" spans="1:30" ht="18.399999999999999" customHeight="1" x14ac:dyDescent="0.15">
      <c r="A935" s="38" t="s">
        <v>446</v>
      </c>
      <c r="B935" s="32"/>
      <c r="C935" s="32"/>
      <c r="D935" s="32"/>
      <c r="E935" s="32"/>
      <c r="F935" s="43"/>
      <c r="K935" s="3" t="s">
        <v>446</v>
      </c>
    </row>
    <row r="936" spans="1:30" ht="18.399999999999999" customHeight="1" x14ac:dyDescent="0.15">
      <c r="A936" s="38" t="s">
        <v>2450</v>
      </c>
      <c r="B936" s="32"/>
      <c r="C936" s="32"/>
      <c r="D936" s="32"/>
      <c r="E936" s="32"/>
      <c r="F936" s="43"/>
      <c r="K936" s="3" t="s">
        <v>2450</v>
      </c>
    </row>
    <row r="937" spans="1:30" ht="18.399999999999999" customHeight="1" x14ac:dyDescent="0.15">
      <c r="A937" s="38" t="s">
        <v>203</v>
      </c>
      <c r="B937" s="32"/>
      <c r="C937" s="32"/>
      <c r="D937" s="32"/>
      <c r="E937" s="32"/>
      <c r="F937" s="43"/>
      <c r="K937" s="3" t="s">
        <v>203</v>
      </c>
    </row>
    <row r="938" spans="1:30" ht="18.399999999999999" customHeight="1" x14ac:dyDescent="0.15">
      <c r="A938" s="38" t="s">
        <v>2450</v>
      </c>
      <c r="B938" s="32"/>
      <c r="C938" s="32"/>
      <c r="D938" s="32"/>
      <c r="E938" s="32"/>
      <c r="F938" s="43"/>
      <c r="K938" s="3" t="s">
        <v>2450</v>
      </c>
    </row>
    <row r="939" spans="1:30" ht="18.399999999999999" customHeight="1" x14ac:dyDescent="0.15">
      <c r="A939" s="38" t="s">
        <v>1048</v>
      </c>
      <c r="B939" s="32"/>
      <c r="C939" s="32"/>
      <c r="D939" s="32"/>
      <c r="E939" s="32"/>
      <c r="F939" s="43"/>
      <c r="K939" s="3" t="s">
        <v>1048</v>
      </c>
    </row>
    <row r="940" spans="1:30" ht="18.399999999999999" customHeight="1" x14ac:dyDescent="0.15">
      <c r="A940" s="38" t="s">
        <v>2450</v>
      </c>
      <c r="B940" s="32"/>
      <c r="C940" s="32"/>
      <c r="D940" s="32"/>
      <c r="E940" s="32"/>
      <c r="F940" s="43"/>
      <c r="K940" s="3" t="s">
        <v>2450</v>
      </c>
    </row>
    <row r="941" spans="1:30" ht="18.399999999999999" customHeight="1" x14ac:dyDescent="0.15">
      <c r="A941" s="40" t="str">
        <f>CONCATENATE("   특별인부 :  0.41 * _x001D_226,122_x001D_ =",TEXT($AB941,"#,##0.00"))</f>
        <v xml:space="preserve">   특별인부 :  0.41 * _x001D_226,122_x001D_ =92,710.00</v>
      </c>
      <c r="B941" s="32">
        <f>SUM($C941,$D941,$E941)</f>
        <v>92710</v>
      </c>
      <c r="C941" s="32"/>
      <c r="D941" s="32">
        <f>$AB941</f>
        <v>92710</v>
      </c>
      <c r="E941" s="32"/>
      <c r="F941" s="43" t="s">
        <v>2450</v>
      </c>
      <c r="K941" s="3" t="s">
        <v>1661</v>
      </c>
      <c r="AA941" s="37" t="s">
        <v>265</v>
      </c>
      <c r="AB941" s="8">
        <f>TRUNC(0.41*노임!D9,0)</f>
        <v>92710</v>
      </c>
      <c r="AC941" s="37" t="s">
        <v>972</v>
      </c>
      <c r="AD941" s="7">
        <f>$AB941</f>
        <v>92710</v>
      </c>
    </row>
    <row r="942" spans="1:30" ht="18.399999999999999" customHeight="1" x14ac:dyDescent="0.15">
      <c r="A942" s="38" t="s">
        <v>2450</v>
      </c>
      <c r="B942" s="32"/>
      <c r="C942" s="32"/>
      <c r="D942" s="32"/>
      <c r="E942" s="32"/>
      <c r="F942" s="43"/>
      <c r="K942" s="3" t="s">
        <v>2450</v>
      </c>
    </row>
    <row r="943" spans="1:30" ht="18.399999999999999" customHeight="1" x14ac:dyDescent="0.15">
      <c r="A943" s="40" t="str">
        <f>CONCATENATE("   보통인부 :  0.19 * _x001D_172,068_x001D_ =",TEXT($AB943,"#,##0.00"))</f>
        <v xml:space="preserve">   보통인부 :  0.19 * _x001D_172,068_x001D_ =32,692.00</v>
      </c>
      <c r="B943" s="32">
        <f>SUM($C943,$D943,$E943)</f>
        <v>32692</v>
      </c>
      <c r="C943" s="32"/>
      <c r="D943" s="32">
        <f>$AB943</f>
        <v>32692</v>
      </c>
      <c r="E943" s="32"/>
      <c r="F943" s="43" t="s">
        <v>2450</v>
      </c>
      <c r="K943" s="3" t="s">
        <v>138</v>
      </c>
      <c r="AA943" s="37" t="s">
        <v>265</v>
      </c>
      <c r="AB943" s="8">
        <f>TRUNC(0.19*노임!D10,0)</f>
        <v>32692</v>
      </c>
      <c r="AC943" s="37" t="s">
        <v>972</v>
      </c>
      <c r="AD943" s="7">
        <f>$AD941+$AB943</f>
        <v>125402</v>
      </c>
    </row>
    <row r="944" spans="1:30" ht="18.399999999999999" customHeight="1" x14ac:dyDescent="0.15">
      <c r="A944" s="38" t="s">
        <v>2450</v>
      </c>
      <c r="B944" s="32"/>
      <c r="C944" s="32"/>
      <c r="D944" s="32"/>
      <c r="E944" s="32"/>
      <c r="F944" s="43"/>
      <c r="K944" s="3" t="s">
        <v>2450</v>
      </c>
    </row>
    <row r="945" spans="1:34" ht="18.399999999999999" customHeight="1" x14ac:dyDescent="0.15">
      <c r="A945" s="38" t="s">
        <v>328</v>
      </c>
      <c r="B945" s="33">
        <f>SUM($C945,$D945,$E945)</f>
        <v>125402</v>
      </c>
      <c r="C945" s="33">
        <f>$AB945</f>
        <v>0</v>
      </c>
      <c r="D945" s="33">
        <f>$AD945</f>
        <v>125402</v>
      </c>
      <c r="E945" s="33">
        <f>$AF945</f>
        <v>0</v>
      </c>
      <c r="F945" s="44"/>
      <c r="K945" s="3" t="s">
        <v>1519</v>
      </c>
      <c r="AC945" s="36" t="s">
        <v>71</v>
      </c>
      <c r="AD945" s="7">
        <f>$AD943</f>
        <v>125402</v>
      </c>
    </row>
    <row r="946" spans="1:34" ht="18.399999999999999" customHeight="1" x14ac:dyDescent="0.15">
      <c r="A946" s="38" t="s">
        <v>2450</v>
      </c>
      <c r="B946" s="32"/>
      <c r="C946" s="32"/>
      <c r="D946" s="32"/>
      <c r="E946" s="32"/>
      <c r="F946" s="43"/>
      <c r="K946" s="3" t="s">
        <v>2450</v>
      </c>
    </row>
    <row r="947" spans="1:34" ht="18.399999999999999" customHeight="1" x14ac:dyDescent="0.15">
      <c r="A947" s="38" t="s">
        <v>2225</v>
      </c>
      <c r="B947" s="32"/>
      <c r="C947" s="32"/>
      <c r="D947" s="32"/>
      <c r="E947" s="32"/>
      <c r="F947" s="43"/>
      <c r="K947" s="3" t="s">
        <v>2225</v>
      </c>
    </row>
    <row r="948" spans="1:34" ht="18.399999999999999" customHeight="1" x14ac:dyDescent="0.15">
      <c r="A948" s="38" t="s">
        <v>2450</v>
      </c>
      <c r="B948" s="32"/>
      <c r="C948" s="32"/>
      <c r="D948" s="32"/>
      <c r="E948" s="32"/>
      <c r="F948" s="43"/>
      <c r="K948" s="3" t="s">
        <v>1270</v>
      </c>
      <c r="AA948" s="36" t="s">
        <v>292</v>
      </c>
      <c r="AB948" s="6">
        <v>0.64</v>
      </c>
      <c r="AC948" s="36" t="s">
        <v>292</v>
      </c>
      <c r="AD948" s="7">
        <f>$AB948</f>
        <v>0.64</v>
      </c>
    </row>
    <row r="949" spans="1:34" ht="18.399999999999999" customHeight="1" x14ac:dyDescent="0.15">
      <c r="A949" s="40" t="str">
        <f>CONCATENATE("    재 료 비 :  ",TEXT($AB949,"#,##0.00")," HR  * _x001D_8,398_x001D_ =",TEXT($AF949,"#,##0.00"))</f>
        <v xml:space="preserve">    재 료 비 :  0.64 HR  * _x001D_8,398_x001D_ =5,374.00</v>
      </c>
      <c r="B949" s="32">
        <f>SUM($C949,$D949,$E949)</f>
        <v>5374</v>
      </c>
      <c r="C949" s="32">
        <f>$AF949</f>
        <v>5374</v>
      </c>
      <c r="D949" s="32"/>
      <c r="E949" s="32"/>
      <c r="F949" s="43" t="s">
        <v>2450</v>
      </c>
      <c r="K949" s="3" t="s">
        <v>1163</v>
      </c>
      <c r="AA949" s="36" t="s">
        <v>1087</v>
      </c>
      <c r="AB949" s="8">
        <f>$AD948</f>
        <v>0.64</v>
      </c>
      <c r="AC949" s="36" t="s">
        <v>2269</v>
      </c>
      <c r="AD949" s="7">
        <f>$AB949</f>
        <v>0.64</v>
      </c>
      <c r="AE949" s="37" t="s">
        <v>1805</v>
      </c>
      <c r="AF949" s="8">
        <f>TRUNC($AD949*중기사용료목록!E19,0)</f>
        <v>5374</v>
      </c>
      <c r="AG949" s="37" t="s">
        <v>2021</v>
      </c>
      <c r="AH949" s="7">
        <f>$AF949</f>
        <v>5374</v>
      </c>
    </row>
    <row r="950" spans="1:34" ht="18.399999999999999" customHeight="1" x14ac:dyDescent="0.15">
      <c r="A950" s="38" t="s">
        <v>2450</v>
      </c>
      <c r="B950" s="32"/>
      <c r="C950" s="32"/>
      <c r="D950" s="32"/>
      <c r="E950" s="32"/>
      <c r="F950" s="43"/>
      <c r="K950" s="3" t="s">
        <v>2450</v>
      </c>
    </row>
    <row r="951" spans="1:34" ht="18.399999999999999" customHeight="1" x14ac:dyDescent="0.15">
      <c r="A951" s="40" t="str">
        <f>CONCATENATE("    노 무 비 :  ",TEXT($AB951,"#,##0.00")," HR  * _x001D_49,778_x001D_ =",TEXT($AF951,"#,##0.00"))</f>
        <v xml:space="preserve">    노 무 비 :  0.64 HR  * _x001D_49,778_x001D_ =31,857.00</v>
      </c>
      <c r="B951" s="32">
        <f>SUM($C951,$D951,$E951)</f>
        <v>31857</v>
      </c>
      <c r="C951" s="32"/>
      <c r="D951" s="32">
        <f>$AF951</f>
        <v>31857</v>
      </c>
      <c r="E951" s="32"/>
      <c r="F951" s="43" t="s">
        <v>2450</v>
      </c>
      <c r="K951" s="3" t="s">
        <v>1208</v>
      </c>
      <c r="AA951" s="36" t="s">
        <v>855</v>
      </c>
      <c r="AB951" s="8">
        <f>$AD948</f>
        <v>0.64</v>
      </c>
      <c r="AC951" s="36" t="s">
        <v>262</v>
      </c>
      <c r="AD951" s="7">
        <f>$AB951</f>
        <v>0.64</v>
      </c>
      <c r="AE951" s="37" t="s">
        <v>265</v>
      </c>
      <c r="AF951" s="8">
        <f>TRUNC($AD951*중기사용료목록!F19,0)</f>
        <v>31857</v>
      </c>
      <c r="AG951" s="37" t="s">
        <v>972</v>
      </c>
      <c r="AH951" s="7">
        <f>$AD943+$AF951</f>
        <v>157259</v>
      </c>
    </row>
    <row r="952" spans="1:34" ht="18.399999999999999" customHeight="1" x14ac:dyDescent="0.15">
      <c r="A952" s="38" t="s">
        <v>2450</v>
      </c>
      <c r="B952" s="32"/>
      <c r="C952" s="32"/>
      <c r="D952" s="32"/>
      <c r="E952" s="32"/>
      <c r="F952" s="43"/>
      <c r="K952" s="3" t="s">
        <v>2450</v>
      </c>
    </row>
    <row r="953" spans="1:34" ht="18.399999999999999" customHeight="1" x14ac:dyDescent="0.15">
      <c r="A953" s="40" t="str">
        <f>CONCATENATE("    경    비 :  ",TEXT($AB953,"#,##0.00")," HR  * _x001D_31,344_x001D_ =",TEXT($AF953,"#,##0.00"))</f>
        <v xml:space="preserve">    경    비 :  0.64 HR  * _x001D_31,344_x001D_ =20,060.00</v>
      </c>
      <c r="B953" s="32">
        <f>SUM($C953,$D953,$E953)</f>
        <v>20060</v>
      </c>
      <c r="C953" s="32"/>
      <c r="D953" s="32"/>
      <c r="E953" s="32">
        <f>$AF953</f>
        <v>20060</v>
      </c>
      <c r="F953" s="43" t="s">
        <v>2450</v>
      </c>
      <c r="K953" s="3" t="s">
        <v>555</v>
      </c>
      <c r="AA953" s="36" t="s">
        <v>1986</v>
      </c>
      <c r="AB953" s="8">
        <f>$AD948</f>
        <v>0.64</v>
      </c>
      <c r="AC953" s="36" t="s">
        <v>999</v>
      </c>
      <c r="AD953" s="7">
        <f>$AB953</f>
        <v>0.64</v>
      </c>
      <c r="AE953" s="37" t="s">
        <v>815</v>
      </c>
      <c r="AF953" s="8">
        <f>TRUNC($AD953*중기사용료목록!G19,0)</f>
        <v>20060</v>
      </c>
      <c r="AG953" s="37" t="s">
        <v>1302</v>
      </c>
      <c r="AH953" s="7">
        <f>$AF953</f>
        <v>20060</v>
      </c>
    </row>
    <row r="954" spans="1:34" ht="18.399999999999999" customHeight="1" x14ac:dyDescent="0.15">
      <c r="A954" s="38" t="s">
        <v>2450</v>
      </c>
      <c r="B954" s="32"/>
      <c r="C954" s="32"/>
      <c r="D954" s="32"/>
      <c r="E954" s="32"/>
      <c r="F954" s="43"/>
      <c r="K954" s="3" t="s">
        <v>2450</v>
      </c>
    </row>
    <row r="955" spans="1:34" ht="18.399999999999999" customHeight="1" x14ac:dyDescent="0.15">
      <c r="A955" s="38" t="s">
        <v>328</v>
      </c>
      <c r="B955" s="33">
        <f>SUM($C955,$D955,$E955)</f>
        <v>57291</v>
      </c>
      <c r="C955" s="33">
        <f>$AB955</f>
        <v>5374</v>
      </c>
      <c r="D955" s="33">
        <f>$AD955</f>
        <v>31857</v>
      </c>
      <c r="E955" s="33">
        <f>$AF955</f>
        <v>20060</v>
      </c>
      <c r="F955" s="44"/>
      <c r="K955" s="3" t="s">
        <v>1519</v>
      </c>
      <c r="AA955" s="36" t="s">
        <v>1729</v>
      </c>
      <c r="AB955" s="7">
        <f>$AH949</f>
        <v>5374</v>
      </c>
      <c r="AC955" s="36" t="s">
        <v>71</v>
      </c>
      <c r="AD955" s="7">
        <f>$AH951-$AD943</f>
        <v>31857</v>
      </c>
      <c r="AE955" s="36" t="s">
        <v>2236</v>
      </c>
      <c r="AF955" s="7">
        <f>$AH953</f>
        <v>20060</v>
      </c>
    </row>
    <row r="956" spans="1:34" ht="18.399999999999999" customHeight="1" x14ac:dyDescent="0.15">
      <c r="A956" s="38" t="s">
        <v>2450</v>
      </c>
      <c r="B956" s="32"/>
      <c r="C956" s="32"/>
      <c r="D956" s="32"/>
      <c r="E956" s="32"/>
      <c r="F956" s="43"/>
      <c r="K956" s="3" t="s">
        <v>2450</v>
      </c>
    </row>
    <row r="957" spans="1:34" ht="18.399999999999999" customHeight="1" x14ac:dyDescent="0.15">
      <c r="A957" s="38" t="s">
        <v>2337</v>
      </c>
      <c r="B957" s="34">
        <f>SUM($C957,$D957,$E957)</f>
        <v>182693</v>
      </c>
      <c r="C957" s="34">
        <f>$AB957</f>
        <v>5374</v>
      </c>
      <c r="D957" s="34">
        <f>$AD957</f>
        <v>157259</v>
      </c>
      <c r="E957" s="34">
        <f>$AF957</f>
        <v>20060</v>
      </c>
      <c r="F957" s="45"/>
      <c r="K957" s="3" t="s">
        <v>726</v>
      </c>
      <c r="AA957" s="36" t="s">
        <v>989</v>
      </c>
      <c r="AB957" s="7">
        <f>$AH949</f>
        <v>5374</v>
      </c>
      <c r="AC957" s="36" t="s">
        <v>2036</v>
      </c>
      <c r="AD957" s="7">
        <f>$AH951</f>
        <v>157259</v>
      </c>
      <c r="AE957" s="36" t="s">
        <v>579</v>
      </c>
      <c r="AF957" s="7">
        <f>$AH953</f>
        <v>20060</v>
      </c>
    </row>
    <row r="958" spans="1:34" ht="18.399999999999999" customHeight="1" x14ac:dyDescent="0.15">
      <c r="A958" s="38"/>
      <c r="B958" s="3"/>
      <c r="C958" s="3"/>
      <c r="D958" s="3"/>
      <c r="E958" s="3"/>
      <c r="F958" s="42"/>
    </row>
    <row r="959" spans="1:34" ht="18.399999999999999" customHeight="1" x14ac:dyDescent="0.15">
      <c r="A959" s="41" t="s">
        <v>1388</v>
      </c>
      <c r="B959" s="35">
        <f>SUM($C959,$D959,$E959)</f>
        <v>182693</v>
      </c>
      <c r="C959" s="35">
        <f>TRUNC(SUM($AH949),0)</f>
        <v>5374</v>
      </c>
      <c r="D959" s="35">
        <f>TRUNC(SUM($AH951),0)</f>
        <v>157259</v>
      </c>
      <c r="E959" s="35">
        <f>TRUNC(SUM($AH953),0)</f>
        <v>20060</v>
      </c>
      <c r="F959" s="47"/>
    </row>
    <row r="960" spans="1:34" ht="18.399999999999999" customHeight="1" x14ac:dyDescent="0.15">
      <c r="A960" s="38"/>
      <c r="B960" s="3"/>
      <c r="C960" s="3"/>
      <c r="D960" s="3"/>
      <c r="E960" s="3"/>
      <c r="F960" s="42"/>
    </row>
    <row r="961" spans="1:30" ht="18.399999999999999" customHeight="1" x14ac:dyDescent="0.15">
      <c r="A961" s="38" t="s">
        <v>2232</v>
      </c>
      <c r="B961" s="32">
        <f>$B978</f>
        <v>23412</v>
      </c>
      <c r="C961" s="32">
        <f>$C978</f>
        <v>19000</v>
      </c>
      <c r="D961" s="32">
        <f>$D978</f>
        <v>4412</v>
      </c>
      <c r="E961" s="32">
        <v>0</v>
      </c>
      <c r="F961" s="42" t="s">
        <v>2450</v>
      </c>
      <c r="G961" t="s">
        <v>2450</v>
      </c>
      <c r="H961" t="s">
        <v>1084</v>
      </c>
      <c r="K961">
        <v>1</v>
      </c>
      <c r="Y961" s="7" t="b">
        <f>EXACT($Z961,$B978)</f>
        <v>1</v>
      </c>
      <c r="Z961" s="35">
        <v>23412</v>
      </c>
    </row>
    <row r="962" spans="1:30" ht="18.399999999999999" customHeight="1" x14ac:dyDescent="0.15">
      <c r="A962" s="39"/>
      <c r="B962" s="3"/>
      <c r="C962" s="3"/>
      <c r="D962" s="3"/>
      <c r="E962" s="3"/>
      <c r="F962" s="42"/>
    </row>
    <row r="963" spans="1:30" ht="18.399999999999999" customHeight="1" x14ac:dyDescent="0.15">
      <c r="A963" s="38" t="s">
        <v>2450</v>
      </c>
      <c r="B963" s="3"/>
      <c r="C963" s="3"/>
      <c r="D963" s="3"/>
      <c r="E963" s="3"/>
      <c r="F963" s="42"/>
      <c r="G963" t="s">
        <v>2450</v>
      </c>
      <c r="I963" t="s">
        <v>289</v>
      </c>
      <c r="J963" t="s">
        <v>2450</v>
      </c>
      <c r="K963" t="s">
        <v>2053</v>
      </c>
    </row>
    <row r="964" spans="1:30" ht="18.399999999999999" customHeight="1" x14ac:dyDescent="0.15">
      <c r="A964" s="38" t="s">
        <v>1717</v>
      </c>
      <c r="B964" s="32"/>
      <c r="C964" s="32"/>
      <c r="D964" s="32"/>
      <c r="E964" s="32"/>
      <c r="F964" s="43"/>
      <c r="K964" s="3" t="s">
        <v>1717</v>
      </c>
    </row>
    <row r="965" spans="1:30" ht="18.399999999999999" customHeight="1" x14ac:dyDescent="0.15">
      <c r="A965" s="38" t="s">
        <v>2450</v>
      </c>
      <c r="B965" s="32"/>
      <c r="C965" s="32"/>
      <c r="D965" s="32"/>
      <c r="E965" s="32"/>
      <c r="F965" s="43"/>
      <c r="K965" s="3" t="s">
        <v>2450</v>
      </c>
    </row>
    <row r="966" spans="1:30" ht="18.399999999999999" customHeight="1" x14ac:dyDescent="0.15">
      <c r="A966" s="40" t="str">
        <f>CONCATENATE("   1.0 EA  *  _x001D_19,000_x001D_ =",TEXT($AB966,"#,##0.00"))</f>
        <v xml:space="preserve">   1.0 EA  *  _x001D_19,000_x001D_ =19,000.00</v>
      </c>
      <c r="B966" s="32">
        <f>SUM($C966,$D966,$E966)</f>
        <v>19000</v>
      </c>
      <c r="C966" s="32">
        <f>$AB966</f>
        <v>19000</v>
      </c>
      <c r="D966" s="32"/>
      <c r="E966" s="32"/>
      <c r="F966" s="43" t="s">
        <v>2450</v>
      </c>
      <c r="K966" s="3" t="s">
        <v>914</v>
      </c>
      <c r="AA966" s="37" t="s">
        <v>1805</v>
      </c>
      <c r="AB966" s="8">
        <f>TRUNC(1*자재!D16,0)</f>
        <v>19000</v>
      </c>
      <c r="AC966" s="37" t="s">
        <v>2021</v>
      </c>
      <c r="AD966" s="7">
        <f>$AB966</f>
        <v>19000</v>
      </c>
    </row>
    <row r="967" spans="1:30" ht="18.399999999999999" customHeight="1" x14ac:dyDescent="0.15">
      <c r="A967" s="38" t="s">
        <v>2450</v>
      </c>
      <c r="B967" s="32"/>
      <c r="C967" s="32"/>
      <c r="D967" s="32"/>
      <c r="E967" s="32"/>
      <c r="F967" s="43"/>
      <c r="K967" s="3" t="s">
        <v>2450</v>
      </c>
    </row>
    <row r="968" spans="1:30" ht="18.399999999999999" customHeight="1" x14ac:dyDescent="0.15">
      <c r="A968" s="38" t="s">
        <v>569</v>
      </c>
      <c r="B968" s="33">
        <f>SUM($C968,$D968,$E968)</f>
        <v>19000</v>
      </c>
      <c r="C968" s="33">
        <f>$AB968</f>
        <v>19000</v>
      </c>
      <c r="D968" s="33">
        <f>$AD968</f>
        <v>0</v>
      </c>
      <c r="E968" s="33">
        <f>$AF968</f>
        <v>0</v>
      </c>
      <c r="F968" s="44"/>
      <c r="K968" s="3" t="s">
        <v>1529</v>
      </c>
      <c r="AA968" s="36" t="s">
        <v>1729</v>
      </c>
      <c r="AB968" s="7">
        <f>$AD966</f>
        <v>19000</v>
      </c>
    </row>
    <row r="969" spans="1:30" ht="18.399999999999999" customHeight="1" x14ac:dyDescent="0.15">
      <c r="A969" s="38" t="s">
        <v>2450</v>
      </c>
      <c r="B969" s="32"/>
      <c r="C969" s="32"/>
      <c r="D969" s="32"/>
      <c r="E969" s="32"/>
      <c r="F969" s="43"/>
      <c r="K969" s="3" t="s">
        <v>2450</v>
      </c>
    </row>
    <row r="970" spans="1:30" ht="18.399999999999999" customHeight="1" x14ac:dyDescent="0.15">
      <c r="A970" s="38" t="s">
        <v>1281</v>
      </c>
      <c r="B970" s="32"/>
      <c r="C970" s="32"/>
      <c r="D970" s="32"/>
      <c r="E970" s="32"/>
      <c r="F970" s="43"/>
      <c r="K970" s="3" t="s">
        <v>1281</v>
      </c>
    </row>
    <row r="971" spans="1:30" ht="18.399999999999999" customHeight="1" x14ac:dyDescent="0.15">
      <c r="A971" s="38" t="s">
        <v>2450</v>
      </c>
      <c r="B971" s="32"/>
      <c r="C971" s="32"/>
      <c r="D971" s="32"/>
      <c r="E971" s="32"/>
      <c r="F971" s="43"/>
      <c r="K971" s="3" t="s">
        <v>2450</v>
      </c>
    </row>
    <row r="972" spans="1:30" ht="18.399999999999999" customHeight="1" x14ac:dyDescent="0.15">
      <c r="A972" s="40" t="str">
        <f>CONCATENATE("   형틀목공 :  _x001D_275,790_x001D_ * 0.016 =",TEXT($AB972,"#,##0.00"))</f>
        <v xml:space="preserve">   형틀목공 :  _x001D_275,790_x001D_ * 0.016 =4,412.00</v>
      </c>
      <c r="B972" s="32">
        <f>SUM($C972,$D972,$E972)</f>
        <v>4412</v>
      </c>
      <c r="C972" s="32"/>
      <c r="D972" s="32">
        <f>$AB972</f>
        <v>4412</v>
      </c>
      <c r="E972" s="32"/>
      <c r="F972" s="43" t="s">
        <v>2450</v>
      </c>
      <c r="K972" s="3" t="s">
        <v>1981</v>
      </c>
      <c r="AA972" s="37" t="s">
        <v>265</v>
      </c>
      <c r="AB972" s="8">
        <f>TRUNC(노임!D3*0.016,0)</f>
        <v>4412</v>
      </c>
      <c r="AC972" s="37" t="s">
        <v>972</v>
      </c>
      <c r="AD972" s="7">
        <f>$AB972</f>
        <v>4412</v>
      </c>
    </row>
    <row r="973" spans="1:30" ht="18.399999999999999" customHeight="1" x14ac:dyDescent="0.15">
      <c r="A973" s="38" t="s">
        <v>2450</v>
      </c>
      <c r="B973" s="32"/>
      <c r="C973" s="32"/>
      <c r="D973" s="32"/>
      <c r="E973" s="32"/>
      <c r="F973" s="43"/>
      <c r="K973" s="3" t="s">
        <v>2450</v>
      </c>
    </row>
    <row r="974" spans="1:30" ht="18.399999999999999" customHeight="1" x14ac:dyDescent="0.15">
      <c r="A974" s="38" t="s">
        <v>569</v>
      </c>
      <c r="B974" s="33">
        <f>SUM($C974,$D974,$E974)</f>
        <v>4412</v>
      </c>
      <c r="C974" s="33">
        <f>$AB974</f>
        <v>0</v>
      </c>
      <c r="D974" s="33">
        <f>$AD974</f>
        <v>4412</v>
      </c>
      <c r="E974" s="33">
        <f>$AF974</f>
        <v>0</v>
      </c>
      <c r="F974" s="44"/>
      <c r="K974" s="3" t="s">
        <v>1529</v>
      </c>
      <c r="AA974" s="36" t="s">
        <v>1729</v>
      </c>
      <c r="AB974" s="7">
        <f>$AD966-$AD966</f>
        <v>0</v>
      </c>
      <c r="AC974" s="36" t="s">
        <v>71</v>
      </c>
      <c r="AD974" s="7">
        <f>$AD972</f>
        <v>4412</v>
      </c>
    </row>
    <row r="975" spans="1:30" ht="18.399999999999999" customHeight="1" x14ac:dyDescent="0.15">
      <c r="A975" s="38" t="s">
        <v>2450</v>
      </c>
      <c r="B975" s="32"/>
      <c r="C975" s="32"/>
      <c r="D975" s="32"/>
      <c r="E975" s="32"/>
      <c r="F975" s="43"/>
      <c r="K975" s="3" t="s">
        <v>2450</v>
      </c>
    </row>
    <row r="976" spans="1:30" ht="18.399999999999999" customHeight="1" x14ac:dyDescent="0.15">
      <c r="A976" s="38" t="s">
        <v>2297</v>
      </c>
      <c r="B976" s="34">
        <f>SUM($C976,$D976,$E976)</f>
        <v>23412</v>
      </c>
      <c r="C976" s="34">
        <f>$AB976</f>
        <v>19000</v>
      </c>
      <c r="D976" s="34">
        <f>$AD976</f>
        <v>4412</v>
      </c>
      <c r="E976" s="34">
        <f>$AF976</f>
        <v>0</v>
      </c>
      <c r="F976" s="45"/>
      <c r="K976" s="3" t="s">
        <v>1116</v>
      </c>
      <c r="AA976" s="36" t="s">
        <v>989</v>
      </c>
      <c r="AB976" s="7">
        <f>$AD966</f>
        <v>19000</v>
      </c>
      <c r="AC976" s="36" t="s">
        <v>2036</v>
      </c>
      <c r="AD976" s="7">
        <f>$AD972</f>
        <v>4412</v>
      </c>
    </row>
    <row r="977" spans="1:30" ht="18.399999999999999" customHeight="1" x14ac:dyDescent="0.15">
      <c r="A977" s="38"/>
      <c r="B977" s="3"/>
      <c r="C977" s="3"/>
      <c r="D977" s="3"/>
      <c r="E977" s="3"/>
      <c r="F977" s="42"/>
    </row>
    <row r="978" spans="1:30" ht="18.399999999999999" customHeight="1" x14ac:dyDescent="0.15">
      <c r="A978" s="41" t="s">
        <v>1388</v>
      </c>
      <c r="B978" s="35">
        <f>SUM($C978,$D978,$E978)</f>
        <v>23412</v>
      </c>
      <c r="C978" s="35">
        <f>TRUNC(SUM($AD966),0)</f>
        <v>19000</v>
      </c>
      <c r="D978" s="35">
        <f>TRUNC(SUM($AD972),0)</f>
        <v>4412</v>
      </c>
      <c r="E978" s="35">
        <v>0</v>
      </c>
      <c r="F978" s="47"/>
    </row>
    <row r="979" spans="1:30" ht="18.399999999999999" customHeight="1" x14ac:dyDescent="0.15">
      <c r="A979" s="38"/>
      <c r="B979" s="3"/>
      <c r="C979" s="3"/>
      <c r="D979" s="3"/>
      <c r="E979" s="3"/>
      <c r="F979" s="42"/>
    </row>
    <row r="980" spans="1:30" ht="18.399999999999999" customHeight="1" x14ac:dyDescent="0.15">
      <c r="A980" s="38" t="s">
        <v>1768</v>
      </c>
      <c r="B980" s="32">
        <f>$B995</f>
        <v>378000</v>
      </c>
      <c r="C980" s="32">
        <f>$C995</f>
        <v>360000</v>
      </c>
      <c r="D980" s="32">
        <f>$D995</f>
        <v>18000</v>
      </c>
      <c r="E980" s="32">
        <v>0</v>
      </c>
      <c r="F980" s="42" t="s">
        <v>2450</v>
      </c>
      <c r="G980" t="s">
        <v>2450</v>
      </c>
      <c r="H980" t="s">
        <v>966</v>
      </c>
      <c r="K980">
        <v>1</v>
      </c>
      <c r="Y980" s="7" t="b">
        <f>EXACT($Z980,$B995)</f>
        <v>1</v>
      </c>
      <c r="Z980" s="35">
        <v>378000</v>
      </c>
    </row>
    <row r="981" spans="1:30" ht="18.399999999999999" customHeight="1" x14ac:dyDescent="0.15">
      <c r="A981" s="39"/>
      <c r="B981" s="3"/>
      <c r="C981" s="3"/>
      <c r="D981" s="3"/>
      <c r="E981" s="3"/>
      <c r="F981" s="42"/>
    </row>
    <row r="982" spans="1:30" ht="18.399999999999999" customHeight="1" x14ac:dyDescent="0.15">
      <c r="A982" s="38" t="s">
        <v>2450</v>
      </c>
      <c r="B982" s="3"/>
      <c r="C982" s="3"/>
      <c r="D982" s="3"/>
      <c r="E982" s="3"/>
      <c r="F982" s="42"/>
      <c r="G982" t="s">
        <v>2450</v>
      </c>
      <c r="I982" t="s">
        <v>289</v>
      </c>
      <c r="J982" t="s">
        <v>2450</v>
      </c>
      <c r="K982" t="s">
        <v>2053</v>
      </c>
    </row>
    <row r="983" spans="1:30" ht="18.399999999999999" customHeight="1" x14ac:dyDescent="0.15">
      <c r="A983" s="38" t="s">
        <v>680</v>
      </c>
      <c r="B983" s="32"/>
      <c r="C983" s="32"/>
      <c r="D983" s="32"/>
      <c r="E983" s="32"/>
      <c r="F983" s="43"/>
      <c r="K983" s="3" t="s">
        <v>680</v>
      </c>
    </row>
    <row r="984" spans="1:30" ht="18.399999999999999" customHeight="1" x14ac:dyDescent="0.15">
      <c r="A984" s="38" t="s">
        <v>2450</v>
      </c>
      <c r="B984" s="32"/>
      <c r="C984" s="32"/>
      <c r="D984" s="32"/>
      <c r="E984" s="32"/>
      <c r="F984" s="43"/>
      <c r="K984" s="3" t="s">
        <v>2450</v>
      </c>
    </row>
    <row r="985" spans="1:30" ht="18.399999999999999" customHeight="1" x14ac:dyDescent="0.15">
      <c r="A985" s="40" t="str">
        <f>CONCATENATE("  1.0 EA  *  _x001D_360,000_x001D_  =",TEXT($AB985,"#,##0.00"))</f>
        <v xml:space="preserve">  1.0 EA  *  _x001D_360,000_x001D_  =360,000.00</v>
      </c>
      <c r="B985" s="32">
        <f>SUM($C985,$D985,$E985)</f>
        <v>360000</v>
      </c>
      <c r="C985" s="32">
        <f>$AB985</f>
        <v>360000</v>
      </c>
      <c r="D985" s="32"/>
      <c r="E985" s="32"/>
      <c r="F985" s="43" t="s">
        <v>2450</v>
      </c>
      <c r="K985" s="3" t="s">
        <v>934</v>
      </c>
      <c r="AA985" s="37" t="s">
        <v>1805</v>
      </c>
      <c r="AB985" s="8">
        <f>TRUNC(1*자재!D21,0)</f>
        <v>360000</v>
      </c>
      <c r="AC985" s="37" t="s">
        <v>2021</v>
      </c>
      <c r="AD985" s="7">
        <f>$AB985</f>
        <v>360000</v>
      </c>
    </row>
    <row r="986" spans="1:30" ht="18.399999999999999" customHeight="1" x14ac:dyDescent="0.15">
      <c r="A986" s="38" t="s">
        <v>2450</v>
      </c>
      <c r="B986" s="32"/>
      <c r="C986" s="32"/>
      <c r="D986" s="32"/>
      <c r="E986" s="32"/>
      <c r="F986" s="43"/>
      <c r="K986" s="3" t="s">
        <v>2450</v>
      </c>
    </row>
    <row r="987" spans="1:30" ht="18.399999999999999" customHeight="1" x14ac:dyDescent="0.15">
      <c r="A987" s="38" t="s">
        <v>747</v>
      </c>
      <c r="B987" s="33">
        <f>SUM($C987,$D987,$E987)</f>
        <v>360000</v>
      </c>
      <c r="C987" s="33">
        <f>$AB987</f>
        <v>360000</v>
      </c>
      <c r="D987" s="33">
        <f>$AD987</f>
        <v>0</v>
      </c>
      <c r="E987" s="33">
        <f>$AF987</f>
        <v>0</v>
      </c>
      <c r="F987" s="44"/>
      <c r="K987" s="3" t="s">
        <v>1620</v>
      </c>
      <c r="AA987" s="36" t="s">
        <v>1729</v>
      </c>
      <c r="AB987" s="7">
        <f>$AD985</f>
        <v>360000</v>
      </c>
    </row>
    <row r="988" spans="1:30" ht="18.399999999999999" customHeight="1" x14ac:dyDescent="0.15">
      <c r="A988" s="38" t="s">
        <v>2450</v>
      </c>
      <c r="B988" s="32"/>
      <c r="C988" s="32"/>
      <c r="D988" s="32"/>
      <c r="E988" s="32"/>
      <c r="F988" s="43"/>
      <c r="K988" s="3" t="s">
        <v>2450</v>
      </c>
    </row>
    <row r="989" spans="1:30" ht="18.399999999999999" customHeight="1" x14ac:dyDescent="0.15">
      <c r="A989" s="38" t="s">
        <v>2149</v>
      </c>
      <c r="B989" s="32"/>
      <c r="C989" s="32"/>
      <c r="D989" s="32"/>
      <c r="E989" s="32"/>
      <c r="F989" s="43"/>
      <c r="K989" s="3" t="s">
        <v>2149</v>
      </c>
    </row>
    <row r="990" spans="1:30" ht="18.399999999999999" customHeight="1" x14ac:dyDescent="0.15">
      <c r="A990" s="38" t="s">
        <v>2450</v>
      </c>
      <c r="B990" s="32"/>
      <c r="C990" s="32"/>
      <c r="D990" s="32"/>
      <c r="E990" s="32"/>
      <c r="F990" s="43"/>
      <c r="K990" s="3" t="s">
        <v>2450</v>
      </c>
    </row>
    <row r="991" spans="1:30" ht="18.399999999999999" customHeight="1" x14ac:dyDescent="0.15">
      <c r="A991" s="40" t="str">
        <f>CONCATENATE("   _x001D_360,000_x001D_ * 0.05 =",TEXT($AB991,"#,##0.00"))</f>
        <v xml:space="preserve">   _x001D_360,000_x001D_ * 0.05 =18,000.00</v>
      </c>
      <c r="B991" s="32">
        <f>SUM($C991,$D991,$E991)</f>
        <v>18000</v>
      </c>
      <c r="C991" s="32"/>
      <c r="D991" s="32">
        <f>$AB991</f>
        <v>18000</v>
      </c>
      <c r="E991" s="32"/>
      <c r="F991" s="43" t="s">
        <v>2450</v>
      </c>
      <c r="K991" s="3" t="s">
        <v>612</v>
      </c>
      <c r="AA991" s="37" t="s">
        <v>265</v>
      </c>
      <c r="AB991" s="8">
        <f>TRUNC($AD985*0.05,0)</f>
        <v>18000</v>
      </c>
      <c r="AC991" s="37" t="s">
        <v>972</v>
      </c>
      <c r="AD991" s="7">
        <f>$AB991</f>
        <v>18000</v>
      </c>
    </row>
    <row r="992" spans="1:30" ht="18.399999999999999" customHeight="1" x14ac:dyDescent="0.15">
      <c r="A992" s="38" t="s">
        <v>2450</v>
      </c>
      <c r="B992" s="32"/>
      <c r="C992" s="32"/>
      <c r="D992" s="32"/>
      <c r="E992" s="32"/>
      <c r="F992" s="43"/>
      <c r="K992" s="3" t="s">
        <v>2450</v>
      </c>
    </row>
    <row r="993" spans="1:38" ht="18.399999999999999" customHeight="1" x14ac:dyDescent="0.15">
      <c r="A993" s="38" t="s">
        <v>747</v>
      </c>
      <c r="B993" s="33">
        <f>SUM($C993,$D993,$E993)</f>
        <v>18000</v>
      </c>
      <c r="C993" s="33">
        <f>$AB993</f>
        <v>0</v>
      </c>
      <c r="D993" s="33">
        <f>$AD993</f>
        <v>18000</v>
      </c>
      <c r="E993" s="33">
        <f>$AF993</f>
        <v>0</v>
      </c>
      <c r="F993" s="44"/>
      <c r="K993" s="3" t="s">
        <v>1620</v>
      </c>
      <c r="AA993" s="36" t="s">
        <v>1729</v>
      </c>
      <c r="AB993" s="7">
        <f>$AD985-$AD985</f>
        <v>0</v>
      </c>
      <c r="AC993" s="36" t="s">
        <v>71</v>
      </c>
      <c r="AD993" s="7">
        <f>$AD991</f>
        <v>18000</v>
      </c>
    </row>
    <row r="994" spans="1:38" ht="18.399999999999999" customHeight="1" x14ac:dyDescent="0.15">
      <c r="A994" s="38"/>
      <c r="B994" s="3"/>
      <c r="C994" s="3"/>
      <c r="D994" s="3"/>
      <c r="E994" s="3"/>
      <c r="F994" s="42"/>
    </row>
    <row r="995" spans="1:38" ht="18.399999999999999" customHeight="1" x14ac:dyDescent="0.15">
      <c r="A995" s="41" t="s">
        <v>1388</v>
      </c>
      <c r="B995" s="35">
        <f>SUM($C995,$D995,$E995)</f>
        <v>378000</v>
      </c>
      <c r="C995" s="35">
        <f>TRUNC(SUM($AD985),0)</f>
        <v>360000</v>
      </c>
      <c r="D995" s="35">
        <f>TRUNC(SUM($AD991),0)</f>
        <v>18000</v>
      </c>
      <c r="E995" s="35">
        <v>0</v>
      </c>
      <c r="F995" s="47"/>
    </row>
    <row r="996" spans="1:38" ht="18.399999999999999" customHeight="1" x14ac:dyDescent="0.15">
      <c r="A996" s="38"/>
      <c r="B996" s="3"/>
      <c r="C996" s="3"/>
      <c r="D996" s="3"/>
      <c r="E996" s="3"/>
      <c r="F996" s="42"/>
    </row>
    <row r="997" spans="1:38" ht="18.399999999999999" customHeight="1" x14ac:dyDescent="0.15">
      <c r="A997" s="38" t="s">
        <v>1364</v>
      </c>
      <c r="B997" s="32">
        <f>$B1068</f>
        <v>1003</v>
      </c>
      <c r="C997" s="32">
        <f>$C1068</f>
        <v>128</v>
      </c>
      <c r="D997" s="32">
        <f>$D1068</f>
        <v>695</v>
      </c>
      <c r="E997" s="32">
        <f>$E1068</f>
        <v>180</v>
      </c>
      <c r="F997" s="42" t="s">
        <v>2450</v>
      </c>
      <c r="G997" t="s">
        <v>2450</v>
      </c>
      <c r="H997" t="s">
        <v>1926</v>
      </c>
      <c r="K997">
        <v>1</v>
      </c>
      <c r="Y997" s="7" t="b">
        <f>EXACT($Z997,$B1068)</f>
        <v>1</v>
      </c>
      <c r="Z997" s="35">
        <v>1003</v>
      </c>
    </row>
    <row r="998" spans="1:38" ht="18.399999999999999" customHeight="1" x14ac:dyDescent="0.15">
      <c r="A998" s="39"/>
      <c r="B998" s="3"/>
      <c r="C998" s="3"/>
      <c r="D998" s="3"/>
      <c r="E998" s="3"/>
      <c r="F998" s="42"/>
    </row>
    <row r="999" spans="1:38" ht="18.399999999999999" customHeight="1" x14ac:dyDescent="0.15">
      <c r="A999" s="38" t="s">
        <v>2450</v>
      </c>
      <c r="B999" s="3"/>
      <c r="C999" s="3"/>
      <c r="D999" s="3"/>
      <c r="E999" s="3"/>
      <c r="F999" s="42"/>
      <c r="G999" t="s">
        <v>2450</v>
      </c>
      <c r="I999" t="s">
        <v>289</v>
      </c>
      <c r="J999" t="s">
        <v>2450</v>
      </c>
      <c r="K999" t="s">
        <v>2053</v>
      </c>
    </row>
    <row r="1000" spans="1:38" ht="18.399999999999999" customHeight="1" x14ac:dyDescent="0.15">
      <c r="A1000" s="38" t="s">
        <v>2148</v>
      </c>
      <c r="B1000" s="32"/>
      <c r="C1000" s="32"/>
      <c r="D1000" s="32"/>
      <c r="E1000" s="32"/>
      <c r="F1000" s="43"/>
      <c r="K1000" s="3" t="s">
        <v>2148</v>
      </c>
    </row>
    <row r="1001" spans="1:38" ht="18.399999999999999" customHeight="1" x14ac:dyDescent="0.15">
      <c r="A1001" s="38" t="s">
        <v>2450</v>
      </c>
      <c r="B1001" s="32"/>
      <c r="C1001" s="32"/>
      <c r="D1001" s="32"/>
      <c r="E1001" s="32"/>
      <c r="F1001" s="43"/>
      <c r="K1001" s="3" t="s">
        <v>2450</v>
      </c>
    </row>
    <row r="1002" spans="1:38" ht="18.399999999999999" customHeight="1" x14ac:dyDescent="0.15">
      <c r="A1002" s="40" t="str">
        <f>CONCATENATE(" ○ 1일 시공량 :  A=",TEXT($AB1002,"#,##0.00")," ㎡/일")</f>
        <v xml:space="preserve"> ○ 1일 시공량 :  A=4,800.00 ㎡/일</v>
      </c>
      <c r="B1002" s="32"/>
      <c r="C1002" s="32"/>
      <c r="D1002" s="32"/>
      <c r="E1002" s="32"/>
      <c r="F1002" s="43"/>
      <c r="K1002" s="10" t="str">
        <f>SUBSTITUTE(SUBSTITUTE("_x001D_○ 1일 시공량 :_x001D_ A = 4800_x001D_㎡/일_x001D_","4800",TEXT($AB1002,"#,##0"),1),"_x001D_","'")</f>
        <v>'○ 1일 시공량 :' A = 4,800'㎡/일'</v>
      </c>
      <c r="AA1002" s="36" t="s">
        <v>430</v>
      </c>
      <c r="AB1002" s="6">
        <v>4800</v>
      </c>
      <c r="AC1002" s="36" t="s">
        <v>430</v>
      </c>
      <c r="AD1002" s="7">
        <f>$AB1002</f>
        <v>4800</v>
      </c>
    </row>
    <row r="1003" spans="1:38" ht="18.399999999999999" customHeight="1" x14ac:dyDescent="0.15">
      <c r="A1003" s="40" t="str">
        <f>CONCATENATE(" ○ 1시간 작업량 :  Q = ",TEXT($AB1003,"#,##0.00")," / 8 hr  =",TEXT($AJ1003,"#,##0.00")," ㎡/hr ")</f>
        <v xml:space="preserve"> ○ 1시간 작업량 :  Q = 4,800.00 / 8 hr  =600.00 ㎡/hr </v>
      </c>
      <c r="B1003" s="32">
        <f>SUM($C1003,$D1003,$E1003)</f>
        <v>0</v>
      </c>
      <c r="C1003" s="32"/>
      <c r="D1003" s="32"/>
      <c r="E1003" s="32"/>
      <c r="F1003" s="43"/>
      <c r="K1003" s="3" t="s">
        <v>1883</v>
      </c>
      <c r="AA1003" s="36" t="s">
        <v>2387</v>
      </c>
      <c r="AB1003" s="8">
        <f>$AD1002</f>
        <v>4800</v>
      </c>
      <c r="AC1003" s="36" t="s">
        <v>1573</v>
      </c>
      <c r="AD1003" s="7">
        <f>$AB1003</f>
        <v>4800</v>
      </c>
      <c r="AE1003" s="36" t="s">
        <v>461</v>
      </c>
      <c r="AF1003" s="8">
        <f>ROUND($AD1003/8,2)</f>
        <v>600</v>
      </c>
      <c r="AG1003" s="36" t="s">
        <v>1686</v>
      </c>
      <c r="AH1003" s="7">
        <f>$AF1003</f>
        <v>600</v>
      </c>
      <c r="AI1003" s="36" t="s">
        <v>394</v>
      </c>
      <c r="AJ1003" s="8">
        <f>ROUND(ROUND($AD1003/8,2),2)</f>
        <v>600</v>
      </c>
      <c r="AK1003" s="36" t="s">
        <v>757</v>
      </c>
      <c r="AL1003" s="7">
        <f>$AJ1003</f>
        <v>600</v>
      </c>
    </row>
    <row r="1004" spans="1:38" ht="18.399999999999999" customHeight="1" x14ac:dyDescent="0.15">
      <c r="A1004" s="38" t="s">
        <v>2450</v>
      </c>
      <c r="B1004" s="32"/>
      <c r="C1004" s="32"/>
      <c r="D1004" s="32"/>
      <c r="E1004" s="32"/>
      <c r="F1004" s="43"/>
      <c r="K1004" s="3" t="s">
        <v>2450</v>
      </c>
    </row>
    <row r="1005" spans="1:38" ht="18.399999999999999" customHeight="1" x14ac:dyDescent="0.15">
      <c r="A1005" s="38" t="s">
        <v>1033</v>
      </c>
      <c r="B1005" s="32"/>
      <c r="C1005" s="32"/>
      <c r="D1005" s="32"/>
      <c r="E1005" s="32"/>
      <c r="F1005" s="43"/>
      <c r="K1005" s="3" t="s">
        <v>1033</v>
      </c>
    </row>
    <row r="1006" spans="1:38" ht="18.399999999999999" customHeight="1" x14ac:dyDescent="0.15">
      <c r="A1006" s="38" t="s">
        <v>2450</v>
      </c>
      <c r="B1006" s="32"/>
      <c r="C1006" s="32"/>
      <c r="D1006" s="32"/>
      <c r="E1006" s="32"/>
      <c r="F1006" s="43"/>
      <c r="K1006" s="3" t="s">
        <v>2450</v>
      </c>
    </row>
    <row r="1007" spans="1:38" ht="18.399999999999999" customHeight="1" x14ac:dyDescent="0.15">
      <c r="A1007" s="40" t="str">
        <f>CONCATENATE("    포 장 공 :  4.0 인  / ",TEXT($AB1007,"#,##0.00")," * _x001D_273,308_x001D_ =",TEXT($AF1007,"#,##0.00"))</f>
        <v xml:space="preserve">    포 장 공 :  4.0 인  / 4,800.00 * _x001D_273,308_x001D_ =227.00</v>
      </c>
      <c r="B1007" s="32">
        <f>SUM($C1007,$D1007,$E1007)</f>
        <v>227</v>
      </c>
      <c r="C1007" s="32"/>
      <c r="D1007" s="32">
        <f>$AF1007</f>
        <v>227</v>
      </c>
      <c r="E1007" s="32"/>
      <c r="F1007" s="43" t="s">
        <v>2450</v>
      </c>
      <c r="K1007" s="3" t="s">
        <v>2330</v>
      </c>
      <c r="AA1007" s="36" t="s">
        <v>2351</v>
      </c>
      <c r="AB1007" s="8">
        <f>$AD1002</f>
        <v>4800</v>
      </c>
      <c r="AC1007" s="36" t="s">
        <v>936</v>
      </c>
      <c r="AD1007" s="7">
        <f>$AB1007</f>
        <v>4800</v>
      </c>
      <c r="AE1007" s="37" t="s">
        <v>265</v>
      </c>
      <c r="AF1007" s="8">
        <f>TRUNC(4/$AD1007*노임!D6,0)</f>
        <v>227</v>
      </c>
      <c r="AG1007" s="37" t="s">
        <v>972</v>
      </c>
      <c r="AH1007" s="7">
        <f>$AF1007</f>
        <v>227</v>
      </c>
    </row>
    <row r="1008" spans="1:38" ht="18.399999999999999" customHeight="1" x14ac:dyDescent="0.15">
      <c r="A1008" s="40" t="str">
        <f>CONCATENATE("    보통인부 :  1.0 인  / ",TEXT($AB1008,"#,##0.00")," * _x001D_172,068_x001D_ =",TEXT($AF1008,"#,##0.00"))</f>
        <v xml:space="preserve">    보통인부 :  1.0 인  / 4,800.00 * _x001D_172,068_x001D_ =35.00</v>
      </c>
      <c r="B1008" s="32">
        <f>SUM($C1008,$D1008,$E1008)</f>
        <v>35</v>
      </c>
      <c r="C1008" s="32"/>
      <c r="D1008" s="32">
        <f>$AF1008</f>
        <v>35</v>
      </c>
      <c r="E1008" s="32"/>
      <c r="F1008" s="43" t="s">
        <v>2450</v>
      </c>
      <c r="K1008" s="3" t="s">
        <v>789</v>
      </c>
      <c r="AA1008" s="36" t="s">
        <v>349</v>
      </c>
      <c r="AB1008" s="8">
        <f>$AD1002</f>
        <v>4800</v>
      </c>
      <c r="AC1008" s="36" t="s">
        <v>2326</v>
      </c>
      <c r="AD1008" s="7">
        <f>$AB1008</f>
        <v>4800</v>
      </c>
      <c r="AE1008" s="37" t="s">
        <v>265</v>
      </c>
      <c r="AF1008" s="8">
        <f>TRUNC(1/$AD1008*노임!D10,0)</f>
        <v>35</v>
      </c>
      <c r="AG1008" s="37" t="s">
        <v>972</v>
      </c>
      <c r="AH1008" s="7">
        <f>$AH1007+$AF1008</f>
        <v>262</v>
      </c>
    </row>
    <row r="1009" spans="1:34" ht="18.399999999999999" customHeight="1" x14ac:dyDescent="0.15">
      <c r="A1009" s="38" t="s">
        <v>2450</v>
      </c>
      <c r="B1009" s="32"/>
      <c r="C1009" s="32"/>
      <c r="D1009" s="32"/>
      <c r="E1009" s="32"/>
      <c r="F1009" s="43"/>
      <c r="K1009" s="3" t="s">
        <v>2450</v>
      </c>
    </row>
    <row r="1010" spans="1:34" ht="18.399999999999999" customHeight="1" x14ac:dyDescent="0.15">
      <c r="A1010" s="38" t="s">
        <v>293</v>
      </c>
      <c r="B1010" s="34">
        <f>SUM($C1010,$D1010,$E1010)</f>
        <v>262</v>
      </c>
      <c r="C1010" s="34">
        <f>$AB1010</f>
        <v>0</v>
      </c>
      <c r="D1010" s="34">
        <f>$AD1010</f>
        <v>262</v>
      </c>
      <c r="E1010" s="34">
        <f>$AF1010</f>
        <v>0</v>
      </c>
      <c r="F1010" s="45"/>
      <c r="K1010" s="3" t="s">
        <v>317</v>
      </c>
      <c r="AC1010" s="36" t="s">
        <v>2036</v>
      </c>
      <c r="AD1010" s="7">
        <f>$AH1008</f>
        <v>262</v>
      </c>
    </row>
    <row r="1011" spans="1:34" ht="18.399999999999999" customHeight="1" x14ac:dyDescent="0.15">
      <c r="A1011" s="38" t="s">
        <v>2450</v>
      </c>
      <c r="B1011" s="32"/>
      <c r="C1011" s="32"/>
      <c r="D1011" s="32"/>
      <c r="E1011" s="32"/>
      <c r="F1011" s="43"/>
      <c r="K1011" s="3" t="s">
        <v>2450</v>
      </c>
    </row>
    <row r="1012" spans="1:34" ht="18.399999999999999" customHeight="1" x14ac:dyDescent="0.15">
      <c r="A1012" s="38" t="s">
        <v>1</v>
      </c>
      <c r="B1012" s="32"/>
      <c r="C1012" s="32"/>
      <c r="D1012" s="32"/>
      <c r="E1012" s="32"/>
      <c r="F1012" s="43"/>
      <c r="K1012" s="3" t="s">
        <v>1</v>
      </c>
    </row>
    <row r="1013" spans="1:34" ht="18.399999999999999" customHeight="1" x14ac:dyDescent="0.15">
      <c r="A1013" s="38" t="s">
        <v>2450</v>
      </c>
      <c r="B1013" s="32"/>
      <c r="C1013" s="32"/>
      <c r="D1013" s="32"/>
      <c r="E1013" s="32"/>
      <c r="F1013" s="43"/>
      <c r="K1013" s="3" t="s">
        <v>2450</v>
      </c>
    </row>
    <row r="1014" spans="1:34" ht="18.399999999999999" customHeight="1" x14ac:dyDescent="0.15">
      <c r="A1014" s="40" t="str">
        <f>CONCATENATE("    재 료 비 :  _x001D_22,116_x001D_ / ",TEXT($AB1014,"#,##0.00")," =",TEXT($AF1014,"#,##0.00"))</f>
        <v xml:space="preserve">    재 료 비 :  _x001D_22,116_x001D_ / 600.00 =36.00</v>
      </c>
      <c r="B1014" s="32">
        <f>SUM($C1014,$D1014,$E1014)</f>
        <v>36</v>
      </c>
      <c r="C1014" s="32">
        <f>$AF1014</f>
        <v>36</v>
      </c>
      <c r="D1014" s="32"/>
      <c r="E1014" s="32"/>
      <c r="F1014" s="43" t="s">
        <v>2450</v>
      </c>
      <c r="K1014" s="3" t="s">
        <v>170</v>
      </c>
      <c r="AA1014" s="36" t="s">
        <v>128</v>
      </c>
      <c r="AB1014" s="8">
        <f>$AH1003</f>
        <v>600</v>
      </c>
      <c r="AC1014" s="36" t="s">
        <v>2447</v>
      </c>
      <c r="AD1014" s="7">
        <f>$AB1014</f>
        <v>600</v>
      </c>
      <c r="AE1014" s="37" t="s">
        <v>1805</v>
      </c>
      <c r="AF1014" s="8">
        <f>TRUNC(중기사용료목록!E22/$AD1014,0)</f>
        <v>36</v>
      </c>
      <c r="AG1014" s="37" t="s">
        <v>2021</v>
      </c>
      <c r="AH1014" s="7">
        <f>$AF1014</f>
        <v>36</v>
      </c>
    </row>
    <row r="1015" spans="1:34" ht="18.399999999999999" customHeight="1" x14ac:dyDescent="0.15">
      <c r="A1015" s="38" t="s">
        <v>2450</v>
      </c>
      <c r="B1015" s="32"/>
      <c r="C1015" s="32"/>
      <c r="D1015" s="32"/>
      <c r="E1015" s="32"/>
      <c r="F1015" s="43"/>
      <c r="K1015" s="3" t="s">
        <v>2450</v>
      </c>
    </row>
    <row r="1016" spans="1:34" ht="18.399999999999999" customHeight="1" x14ac:dyDescent="0.15">
      <c r="A1016" s="40" t="str">
        <f>CONCATENATE("    노 무 비 :  _x001D_59,020_x001D_ / ",TEXT($AB1016,"#,##0.00")," =",TEXT($AF1016,"#,##0.00"))</f>
        <v xml:space="preserve">    노 무 비 :  _x001D_59,020_x001D_ / 600.00 =98.00</v>
      </c>
      <c r="B1016" s="32">
        <f>SUM($C1016,$D1016,$E1016)</f>
        <v>98</v>
      </c>
      <c r="C1016" s="32"/>
      <c r="D1016" s="32">
        <f>$AF1016</f>
        <v>98</v>
      </c>
      <c r="E1016" s="32"/>
      <c r="F1016" s="43" t="s">
        <v>2450</v>
      </c>
      <c r="K1016" s="3" t="s">
        <v>1372</v>
      </c>
      <c r="AA1016" s="36" t="s">
        <v>1278</v>
      </c>
      <c r="AB1016" s="8">
        <f>$AH1003</f>
        <v>600</v>
      </c>
      <c r="AC1016" s="36" t="s">
        <v>1239</v>
      </c>
      <c r="AD1016" s="7">
        <f>$AB1016</f>
        <v>600</v>
      </c>
      <c r="AE1016" s="37" t="s">
        <v>265</v>
      </c>
      <c r="AF1016" s="8">
        <f>TRUNC(중기사용료목록!F22/$AD1016,0)</f>
        <v>98</v>
      </c>
      <c r="AG1016" s="37" t="s">
        <v>972</v>
      </c>
      <c r="AH1016" s="7">
        <f>$AH1008+$AF1016</f>
        <v>360</v>
      </c>
    </row>
    <row r="1017" spans="1:34" ht="18.399999999999999" customHeight="1" x14ac:dyDescent="0.15">
      <c r="A1017" s="38" t="s">
        <v>2450</v>
      </c>
      <c r="B1017" s="32"/>
      <c r="C1017" s="32"/>
      <c r="D1017" s="32"/>
      <c r="E1017" s="32"/>
      <c r="F1017" s="43"/>
      <c r="K1017" s="3" t="s">
        <v>2450</v>
      </c>
    </row>
    <row r="1018" spans="1:34" ht="18.399999999999999" customHeight="1" x14ac:dyDescent="0.15">
      <c r="A1018" s="40" t="str">
        <f>CONCATENATE("    경    비 :  _x001D_59,141_x001D_ / ",TEXT($AB1018,"#,##0.00")," =",TEXT($AF1018,"#,##0.00"))</f>
        <v xml:space="preserve">    경    비 :  _x001D_59,141_x001D_ / 600.00 =98.00</v>
      </c>
      <c r="B1018" s="32">
        <f>SUM($C1018,$D1018,$E1018)</f>
        <v>98</v>
      </c>
      <c r="C1018" s="32"/>
      <c r="D1018" s="32"/>
      <c r="E1018" s="32">
        <f>$AF1018</f>
        <v>98</v>
      </c>
      <c r="F1018" s="43" t="s">
        <v>2450</v>
      </c>
      <c r="K1018" s="3" t="s">
        <v>1690</v>
      </c>
      <c r="AA1018" s="36" t="s">
        <v>256</v>
      </c>
      <c r="AB1018" s="8">
        <f>$AH1003</f>
        <v>600</v>
      </c>
      <c r="AC1018" s="36" t="s">
        <v>1667</v>
      </c>
      <c r="AD1018" s="7">
        <f>$AB1018</f>
        <v>600</v>
      </c>
      <c r="AE1018" s="37" t="s">
        <v>815</v>
      </c>
      <c r="AF1018" s="8">
        <f>TRUNC(중기사용료목록!G22/$AD1018,0)</f>
        <v>98</v>
      </c>
      <c r="AG1018" s="37" t="s">
        <v>1302</v>
      </c>
      <c r="AH1018" s="7">
        <f>$AF1018</f>
        <v>98</v>
      </c>
    </row>
    <row r="1019" spans="1:34" ht="18.399999999999999" customHeight="1" x14ac:dyDescent="0.15">
      <c r="A1019" s="38" t="s">
        <v>2450</v>
      </c>
      <c r="B1019" s="32"/>
      <c r="C1019" s="32"/>
      <c r="D1019" s="32"/>
      <c r="E1019" s="32"/>
      <c r="F1019" s="43"/>
      <c r="K1019" s="3" t="s">
        <v>2450</v>
      </c>
    </row>
    <row r="1020" spans="1:34" ht="18.399999999999999" customHeight="1" x14ac:dyDescent="0.15">
      <c r="A1020" s="38" t="s">
        <v>293</v>
      </c>
      <c r="B1020" s="34">
        <f>SUM($C1020,$D1020,$E1020)</f>
        <v>232</v>
      </c>
      <c r="C1020" s="34">
        <f>$AB1020</f>
        <v>36</v>
      </c>
      <c r="D1020" s="34">
        <f>$AD1020</f>
        <v>98</v>
      </c>
      <c r="E1020" s="34">
        <f>$AF1020</f>
        <v>98</v>
      </c>
      <c r="F1020" s="45"/>
      <c r="K1020" s="3" t="s">
        <v>317</v>
      </c>
      <c r="AA1020" s="36" t="s">
        <v>989</v>
      </c>
      <c r="AB1020" s="7">
        <f>$AH1014</f>
        <v>36</v>
      </c>
      <c r="AC1020" s="36" t="s">
        <v>2036</v>
      </c>
      <c r="AD1020" s="7">
        <f>$AH1016-$AH1008</f>
        <v>98</v>
      </c>
      <c r="AE1020" s="36" t="s">
        <v>579</v>
      </c>
      <c r="AF1020" s="7">
        <f>$AH1018</f>
        <v>98</v>
      </c>
    </row>
    <row r="1021" spans="1:34" ht="18.399999999999999" customHeight="1" x14ac:dyDescent="0.15">
      <c r="A1021" s="38" t="s">
        <v>2450</v>
      </c>
      <c r="B1021" s="32"/>
      <c r="C1021" s="32"/>
      <c r="D1021" s="32"/>
      <c r="E1021" s="32"/>
      <c r="F1021" s="43"/>
      <c r="K1021" s="3" t="s">
        <v>2450</v>
      </c>
    </row>
    <row r="1022" spans="1:34" ht="18.399999999999999" customHeight="1" x14ac:dyDescent="0.15">
      <c r="A1022" s="38" t="s">
        <v>1082</v>
      </c>
      <c r="B1022" s="32"/>
      <c r="C1022" s="32"/>
      <c r="D1022" s="32"/>
      <c r="E1022" s="32"/>
      <c r="F1022" s="43"/>
      <c r="K1022" s="3" t="s">
        <v>1082</v>
      </c>
    </row>
    <row r="1023" spans="1:34" ht="18.399999999999999" customHeight="1" x14ac:dyDescent="0.15">
      <c r="A1023" s="38" t="s">
        <v>2450</v>
      </c>
      <c r="B1023" s="32"/>
      <c r="C1023" s="32"/>
      <c r="D1023" s="32"/>
      <c r="E1023" s="32"/>
      <c r="F1023" s="43"/>
      <c r="K1023" s="3" t="s">
        <v>2450</v>
      </c>
    </row>
    <row r="1024" spans="1:34" ht="18.399999999999999" customHeight="1" x14ac:dyDescent="0.15">
      <c r="A1024" s="38" t="s">
        <v>1436</v>
      </c>
      <c r="B1024" s="32"/>
      <c r="C1024" s="32"/>
      <c r="D1024" s="32"/>
      <c r="E1024" s="32"/>
      <c r="F1024" s="43"/>
      <c r="K1024" s="3" t="s">
        <v>1436</v>
      </c>
    </row>
    <row r="1025" spans="1:34" ht="18.399999999999999" customHeight="1" x14ac:dyDescent="0.15">
      <c r="A1025" s="38" t="s">
        <v>2450</v>
      </c>
      <c r="B1025" s="32"/>
      <c r="C1025" s="32"/>
      <c r="D1025" s="32"/>
      <c r="E1025" s="32"/>
      <c r="F1025" s="43"/>
      <c r="K1025" s="3" t="s">
        <v>2450</v>
      </c>
    </row>
    <row r="1026" spans="1:34" ht="18.399999999999999" customHeight="1" x14ac:dyDescent="0.15">
      <c r="A1026" s="40" t="str">
        <f>CONCATENATE("    재 료 비 :  _x001D_17,448_x001D_ / ",TEXT($AB1026,"#,##0.00")," =",TEXT($AF1026,"#,##0.00"))</f>
        <v xml:space="preserve">    재 료 비 :  _x001D_17,448_x001D_ / 600.00 =29.00</v>
      </c>
      <c r="B1026" s="32">
        <f>SUM($C1026,$D1026,$E1026)</f>
        <v>29</v>
      </c>
      <c r="C1026" s="32">
        <f>$AF1026</f>
        <v>29</v>
      </c>
      <c r="D1026" s="32"/>
      <c r="E1026" s="32"/>
      <c r="F1026" s="43" t="s">
        <v>2450</v>
      </c>
      <c r="K1026" s="3" t="s">
        <v>882</v>
      </c>
      <c r="AA1026" s="36" t="s">
        <v>1309</v>
      </c>
      <c r="AB1026" s="8">
        <f>$AH1003</f>
        <v>600</v>
      </c>
      <c r="AC1026" s="36" t="s">
        <v>709</v>
      </c>
      <c r="AD1026" s="7">
        <f>$AB1026</f>
        <v>600</v>
      </c>
      <c r="AE1026" s="37" t="s">
        <v>1805</v>
      </c>
      <c r="AF1026" s="8">
        <f>TRUNC(중기사용료목록!E13/$AD1026,0)</f>
        <v>29</v>
      </c>
      <c r="AG1026" s="37" t="s">
        <v>2021</v>
      </c>
      <c r="AH1026" s="7">
        <f>$AH1014+$AF1026</f>
        <v>65</v>
      </c>
    </row>
    <row r="1027" spans="1:34" ht="18.399999999999999" customHeight="1" x14ac:dyDescent="0.15">
      <c r="A1027" s="38" t="s">
        <v>2450</v>
      </c>
      <c r="B1027" s="32"/>
      <c r="C1027" s="32"/>
      <c r="D1027" s="32"/>
      <c r="E1027" s="32"/>
      <c r="F1027" s="43"/>
      <c r="K1027" s="3" t="s">
        <v>2450</v>
      </c>
    </row>
    <row r="1028" spans="1:34" ht="18.399999999999999" customHeight="1" x14ac:dyDescent="0.15">
      <c r="A1028" s="40" t="str">
        <f>CONCATENATE("    노 무 비 :  _x001D_59,020_x001D_ / ",TEXT($AB1028,"#,##0.00")," =",TEXT($AF1028,"#,##0.00"))</f>
        <v xml:space="preserve">    노 무 비 :  _x001D_59,020_x001D_ / 600.00 =98.00</v>
      </c>
      <c r="B1028" s="32">
        <f>SUM($C1028,$D1028,$E1028)</f>
        <v>98</v>
      </c>
      <c r="C1028" s="32"/>
      <c r="D1028" s="32">
        <f>$AF1028</f>
        <v>98</v>
      </c>
      <c r="E1028" s="32"/>
      <c r="F1028" s="43" t="s">
        <v>2450</v>
      </c>
      <c r="K1028" s="3" t="s">
        <v>2090</v>
      </c>
      <c r="AA1028" s="36" t="s">
        <v>239</v>
      </c>
      <c r="AB1028" s="8">
        <f>$AH1003</f>
        <v>600</v>
      </c>
      <c r="AC1028" s="36" t="s">
        <v>1135</v>
      </c>
      <c r="AD1028" s="7">
        <f>$AB1028</f>
        <v>600</v>
      </c>
      <c r="AE1028" s="37" t="s">
        <v>265</v>
      </c>
      <c r="AF1028" s="8">
        <f>TRUNC(중기사용료목록!F13/$AD1028,0)</f>
        <v>98</v>
      </c>
      <c r="AG1028" s="37" t="s">
        <v>972</v>
      </c>
      <c r="AH1028" s="7">
        <f>$AH1016+$AF1028</f>
        <v>458</v>
      </c>
    </row>
    <row r="1029" spans="1:34" ht="18.399999999999999" customHeight="1" x14ac:dyDescent="0.15">
      <c r="A1029" s="38" t="s">
        <v>2450</v>
      </c>
      <c r="B1029" s="32"/>
      <c r="C1029" s="32"/>
      <c r="D1029" s="32"/>
      <c r="E1029" s="32"/>
      <c r="F1029" s="43"/>
      <c r="K1029" s="3" t="s">
        <v>2450</v>
      </c>
    </row>
    <row r="1030" spans="1:34" ht="18.399999999999999" customHeight="1" x14ac:dyDescent="0.15">
      <c r="A1030" s="40" t="str">
        <f>CONCATENATE("    경    비 :  _x001D_12,857_x001D_ / ",TEXT($AB1030,"#,##0.00")," =",TEXT($AF1030,"#,##0.00"))</f>
        <v xml:space="preserve">    경    비 :  _x001D_12,857_x001D_ / 600.00 =21.00</v>
      </c>
      <c r="B1030" s="32">
        <f>SUM($C1030,$D1030,$E1030)</f>
        <v>21</v>
      </c>
      <c r="C1030" s="32"/>
      <c r="D1030" s="32"/>
      <c r="E1030" s="32">
        <f>$AF1030</f>
        <v>21</v>
      </c>
      <c r="F1030" s="43" t="s">
        <v>2450</v>
      </c>
      <c r="K1030" s="3" t="s">
        <v>2382</v>
      </c>
      <c r="AA1030" s="36" t="s">
        <v>625</v>
      </c>
      <c r="AB1030" s="8">
        <f>$AH1003</f>
        <v>600</v>
      </c>
      <c r="AC1030" s="36" t="s">
        <v>1246</v>
      </c>
      <c r="AD1030" s="7">
        <f>$AB1030</f>
        <v>600</v>
      </c>
      <c r="AE1030" s="37" t="s">
        <v>815</v>
      </c>
      <c r="AF1030" s="8">
        <f>TRUNC(중기사용료목록!G13/$AD1030,0)</f>
        <v>21</v>
      </c>
      <c r="AG1030" s="37" t="s">
        <v>1302</v>
      </c>
      <c r="AH1030" s="7">
        <f>$AH1018+$AF1030</f>
        <v>119</v>
      </c>
    </row>
    <row r="1031" spans="1:34" ht="18.399999999999999" customHeight="1" x14ac:dyDescent="0.15">
      <c r="A1031" s="38" t="s">
        <v>2450</v>
      </c>
      <c r="B1031" s="32"/>
      <c r="C1031" s="32"/>
      <c r="D1031" s="32"/>
      <c r="E1031" s="32"/>
      <c r="F1031" s="43"/>
      <c r="K1031" s="3" t="s">
        <v>2450</v>
      </c>
    </row>
    <row r="1032" spans="1:34" ht="18.399999999999999" customHeight="1" x14ac:dyDescent="0.15">
      <c r="A1032" s="38" t="s">
        <v>1325</v>
      </c>
      <c r="B1032" s="33">
        <f>SUM($C1032,$D1032,$E1032)</f>
        <v>148</v>
      </c>
      <c r="C1032" s="33">
        <f>$AB1032</f>
        <v>29</v>
      </c>
      <c r="D1032" s="33">
        <f>$AD1032</f>
        <v>98</v>
      </c>
      <c r="E1032" s="33">
        <f>$AF1032</f>
        <v>21</v>
      </c>
      <c r="F1032" s="44"/>
      <c r="K1032" s="3" t="s">
        <v>1477</v>
      </c>
      <c r="AA1032" s="36" t="s">
        <v>1729</v>
      </c>
      <c r="AB1032" s="7">
        <f>$AH1026-$AH1014</f>
        <v>29</v>
      </c>
      <c r="AC1032" s="36" t="s">
        <v>71</v>
      </c>
      <c r="AD1032" s="7">
        <f>$AH1028-$AH1016</f>
        <v>98</v>
      </c>
      <c r="AE1032" s="36" t="s">
        <v>2236</v>
      </c>
      <c r="AF1032" s="7">
        <f>$AH1030-$AH1018</f>
        <v>21</v>
      </c>
    </row>
    <row r="1033" spans="1:34" ht="18.399999999999999" customHeight="1" x14ac:dyDescent="0.15">
      <c r="A1033" s="38" t="s">
        <v>2450</v>
      </c>
      <c r="B1033" s="32"/>
      <c r="C1033" s="32"/>
      <c r="D1033" s="32"/>
      <c r="E1033" s="32"/>
      <c r="F1033" s="43"/>
      <c r="K1033" s="3" t="s">
        <v>2450</v>
      </c>
    </row>
    <row r="1034" spans="1:34" ht="18.399999999999999" customHeight="1" x14ac:dyDescent="0.15">
      <c r="A1034" s="38" t="s">
        <v>99</v>
      </c>
      <c r="B1034" s="32"/>
      <c r="C1034" s="32"/>
      <c r="D1034" s="32"/>
      <c r="E1034" s="32"/>
      <c r="F1034" s="43"/>
      <c r="K1034" s="3" t="s">
        <v>99</v>
      </c>
    </row>
    <row r="1035" spans="1:34" ht="18.399999999999999" customHeight="1" x14ac:dyDescent="0.15">
      <c r="A1035" s="38" t="s">
        <v>2450</v>
      </c>
      <c r="B1035" s="32"/>
      <c r="C1035" s="32"/>
      <c r="D1035" s="32"/>
      <c r="E1035" s="32"/>
      <c r="F1035" s="43"/>
      <c r="K1035" s="3" t="s">
        <v>2450</v>
      </c>
    </row>
    <row r="1036" spans="1:34" ht="18.399999999999999" customHeight="1" x14ac:dyDescent="0.15">
      <c r="A1036" s="40" t="str">
        <f>CONCATENATE("    재 료 비 :  _x001D_15,645_x001D_ / ",TEXT($AB1036,"#,##0.00")," =",TEXT($AF1036,"#,##0.00"))</f>
        <v xml:space="preserve">    재 료 비 :  _x001D_15,645_x001D_ / 600.00 =26.00</v>
      </c>
      <c r="B1036" s="32">
        <f>SUM($C1036,$D1036,$E1036)</f>
        <v>26</v>
      </c>
      <c r="C1036" s="32">
        <f>$AF1036</f>
        <v>26</v>
      </c>
      <c r="D1036" s="32"/>
      <c r="E1036" s="32"/>
      <c r="F1036" s="43" t="s">
        <v>2450</v>
      </c>
      <c r="K1036" s="3" t="s">
        <v>370</v>
      </c>
      <c r="AA1036" s="36" t="s">
        <v>1708</v>
      </c>
      <c r="AB1036" s="8">
        <f>$AH1003</f>
        <v>600</v>
      </c>
      <c r="AC1036" s="36" t="s">
        <v>36</v>
      </c>
      <c r="AD1036" s="7">
        <f>$AB1036</f>
        <v>600</v>
      </c>
      <c r="AE1036" s="37" t="s">
        <v>1805</v>
      </c>
      <c r="AF1036" s="8">
        <f>TRUNC(중기사용료목록!E18/$AD1036,0)</f>
        <v>26</v>
      </c>
      <c r="AG1036" s="37" t="s">
        <v>2021</v>
      </c>
      <c r="AH1036" s="7">
        <f>$AH1026+$AF1036</f>
        <v>91</v>
      </c>
    </row>
    <row r="1037" spans="1:34" ht="18.399999999999999" customHeight="1" x14ac:dyDescent="0.15">
      <c r="A1037" s="38" t="s">
        <v>2450</v>
      </c>
      <c r="B1037" s="32"/>
      <c r="C1037" s="32"/>
      <c r="D1037" s="32"/>
      <c r="E1037" s="32"/>
      <c r="F1037" s="43"/>
      <c r="K1037" s="3" t="s">
        <v>2450</v>
      </c>
    </row>
    <row r="1038" spans="1:34" ht="18.399999999999999" customHeight="1" x14ac:dyDescent="0.15">
      <c r="A1038" s="40" t="str">
        <f>CONCATENATE("    노 무 비 :  _x001D_59,020_x001D_ / ",TEXT($AB1038,"#,##0.00")," =",TEXT($AF1038,"#,##0.00"))</f>
        <v xml:space="preserve">    노 무 비 :  _x001D_59,020_x001D_ / 600.00 =98.00</v>
      </c>
      <c r="B1038" s="32">
        <f>SUM($C1038,$D1038,$E1038)</f>
        <v>98</v>
      </c>
      <c r="C1038" s="32"/>
      <c r="D1038" s="32">
        <f>$AF1038</f>
        <v>98</v>
      </c>
      <c r="E1038" s="32"/>
      <c r="F1038" s="43" t="s">
        <v>2450</v>
      </c>
      <c r="K1038" s="3" t="s">
        <v>1567</v>
      </c>
      <c r="AA1038" s="36" t="s">
        <v>378</v>
      </c>
      <c r="AB1038" s="8">
        <f>$AH1003</f>
        <v>600</v>
      </c>
      <c r="AC1038" s="36" t="s">
        <v>529</v>
      </c>
      <c r="AD1038" s="7">
        <f>$AB1038</f>
        <v>600</v>
      </c>
      <c r="AE1038" s="37" t="s">
        <v>265</v>
      </c>
      <c r="AF1038" s="8">
        <f>TRUNC(중기사용료목록!F18/$AD1038,0)</f>
        <v>98</v>
      </c>
      <c r="AG1038" s="37" t="s">
        <v>972</v>
      </c>
      <c r="AH1038" s="7">
        <f>$AH1028+$AF1038</f>
        <v>556</v>
      </c>
    </row>
    <row r="1039" spans="1:34" ht="18.399999999999999" customHeight="1" x14ac:dyDescent="0.15">
      <c r="A1039" s="38" t="s">
        <v>2450</v>
      </c>
      <c r="B1039" s="32"/>
      <c r="C1039" s="32"/>
      <c r="D1039" s="32"/>
      <c r="E1039" s="32"/>
      <c r="F1039" s="43"/>
      <c r="K1039" s="3" t="s">
        <v>2450</v>
      </c>
    </row>
    <row r="1040" spans="1:34" ht="18.399999999999999" customHeight="1" x14ac:dyDescent="0.15">
      <c r="A1040" s="40" t="str">
        <f>CONCATENATE("    경    비 :  _x001D_19,136_x001D_ / ",TEXT($AB1040,"#,##0.00")," =",TEXT($AF1040,"#,##0.00"))</f>
        <v xml:space="preserve">    경    비 :  _x001D_19,136_x001D_ / 600.00 =31.00</v>
      </c>
      <c r="B1040" s="32">
        <f>SUM($C1040,$D1040,$E1040)</f>
        <v>31</v>
      </c>
      <c r="C1040" s="32"/>
      <c r="D1040" s="32"/>
      <c r="E1040" s="32">
        <f>$AF1040</f>
        <v>31</v>
      </c>
      <c r="F1040" s="43" t="s">
        <v>2450</v>
      </c>
      <c r="K1040" s="3" t="s">
        <v>1275</v>
      </c>
      <c r="AA1040" s="36" t="s">
        <v>694</v>
      </c>
      <c r="AB1040" s="8">
        <f>$AH1003</f>
        <v>600</v>
      </c>
      <c r="AC1040" s="36" t="s">
        <v>745</v>
      </c>
      <c r="AD1040" s="7">
        <f>$AB1040</f>
        <v>600</v>
      </c>
      <c r="AE1040" s="37" t="s">
        <v>815</v>
      </c>
      <c r="AF1040" s="8">
        <f>TRUNC(중기사용료목록!G18/$AD1040,0)</f>
        <v>31</v>
      </c>
      <c r="AG1040" s="37" t="s">
        <v>1302</v>
      </c>
      <c r="AH1040" s="7">
        <f>$AH1030+$AF1040</f>
        <v>150</v>
      </c>
    </row>
    <row r="1041" spans="1:34" ht="18.399999999999999" customHeight="1" x14ac:dyDescent="0.15">
      <c r="A1041" s="38" t="s">
        <v>2450</v>
      </c>
      <c r="B1041" s="32"/>
      <c r="C1041" s="32"/>
      <c r="D1041" s="32"/>
      <c r="E1041" s="32"/>
      <c r="F1041" s="43"/>
      <c r="K1041" s="3" t="s">
        <v>2450</v>
      </c>
    </row>
    <row r="1042" spans="1:34" ht="18.399999999999999" customHeight="1" x14ac:dyDescent="0.15">
      <c r="A1042" s="38" t="s">
        <v>1325</v>
      </c>
      <c r="B1042" s="33">
        <f>SUM($C1042,$D1042,$E1042)</f>
        <v>155</v>
      </c>
      <c r="C1042" s="33">
        <f>$AB1042</f>
        <v>26</v>
      </c>
      <c r="D1042" s="33">
        <f>$AD1042</f>
        <v>98</v>
      </c>
      <c r="E1042" s="33">
        <f>$AF1042</f>
        <v>31</v>
      </c>
      <c r="F1042" s="44"/>
      <c r="K1042" s="3" t="s">
        <v>1477</v>
      </c>
      <c r="AA1042" s="36" t="s">
        <v>1729</v>
      </c>
      <c r="AB1042" s="7">
        <f>$AH1036-$AH1026</f>
        <v>26</v>
      </c>
      <c r="AC1042" s="36" t="s">
        <v>71</v>
      </c>
      <c r="AD1042" s="7">
        <f>$AH1038-$AH1028</f>
        <v>98</v>
      </c>
      <c r="AE1042" s="36" t="s">
        <v>2236</v>
      </c>
      <c r="AF1042" s="7">
        <f>$AH1040-$AH1030</f>
        <v>31</v>
      </c>
    </row>
    <row r="1043" spans="1:34" ht="18.399999999999999" customHeight="1" x14ac:dyDescent="0.15">
      <c r="A1043" s="38" t="s">
        <v>2450</v>
      </c>
      <c r="B1043" s="32"/>
      <c r="C1043" s="32"/>
      <c r="D1043" s="32"/>
      <c r="E1043" s="32"/>
      <c r="F1043" s="43"/>
      <c r="K1043" s="3" t="s">
        <v>2450</v>
      </c>
    </row>
    <row r="1044" spans="1:34" ht="18.399999999999999" customHeight="1" x14ac:dyDescent="0.15">
      <c r="A1044" s="38" t="s">
        <v>1150</v>
      </c>
      <c r="B1044" s="32"/>
      <c r="C1044" s="32"/>
      <c r="D1044" s="32"/>
      <c r="E1044" s="32"/>
      <c r="F1044" s="43"/>
      <c r="K1044" s="3" t="s">
        <v>1150</v>
      </c>
    </row>
    <row r="1045" spans="1:34" ht="18.399999999999999" customHeight="1" x14ac:dyDescent="0.15">
      <c r="A1045" s="38" t="s">
        <v>2450</v>
      </c>
      <c r="B1045" s="32"/>
      <c r="C1045" s="32"/>
      <c r="D1045" s="32"/>
      <c r="E1045" s="32"/>
      <c r="F1045" s="43"/>
      <c r="K1045" s="3" t="s">
        <v>2450</v>
      </c>
    </row>
    <row r="1046" spans="1:34" ht="18.399999999999999" customHeight="1" x14ac:dyDescent="0.15">
      <c r="A1046" s="40" t="str">
        <f>CONCATENATE("    재 료 비 :  _x001D_9,381_x001D_ / ",TEXT($AB1046,"#,##0.00")," =",TEXT($AF1046,"#,##0.00"))</f>
        <v xml:space="preserve">    재 료 비 :  _x001D_9,381_x001D_ / 600.00 =15.00</v>
      </c>
      <c r="B1046" s="32">
        <f>SUM($C1046,$D1046,$E1046)</f>
        <v>15</v>
      </c>
      <c r="C1046" s="32">
        <f>$AF1046</f>
        <v>15</v>
      </c>
      <c r="D1046" s="32"/>
      <c r="E1046" s="32"/>
      <c r="F1046" s="43" t="s">
        <v>2450</v>
      </c>
      <c r="K1046" s="3" t="s">
        <v>1283</v>
      </c>
      <c r="AA1046" s="36" t="s">
        <v>1937</v>
      </c>
      <c r="AB1046" s="8">
        <f>$AH1003</f>
        <v>600</v>
      </c>
      <c r="AC1046" s="36" t="s">
        <v>1945</v>
      </c>
      <c r="AD1046" s="7">
        <f>$AB1046</f>
        <v>600</v>
      </c>
      <c r="AE1046" s="37" t="s">
        <v>1805</v>
      </c>
      <c r="AF1046" s="8">
        <f>TRUNC(중기사용료목록!E14/$AD1046,0)</f>
        <v>15</v>
      </c>
      <c r="AG1046" s="37" t="s">
        <v>2021</v>
      </c>
      <c r="AH1046" s="7">
        <f>$AH1036+$AF1046</f>
        <v>106</v>
      </c>
    </row>
    <row r="1047" spans="1:34" ht="18.399999999999999" customHeight="1" x14ac:dyDescent="0.15">
      <c r="A1047" s="38" t="s">
        <v>2450</v>
      </c>
      <c r="B1047" s="32"/>
      <c r="C1047" s="32"/>
      <c r="D1047" s="32"/>
      <c r="E1047" s="32"/>
      <c r="F1047" s="43"/>
      <c r="K1047" s="3" t="s">
        <v>2450</v>
      </c>
    </row>
    <row r="1048" spans="1:34" ht="18.399999999999999" customHeight="1" x14ac:dyDescent="0.15">
      <c r="A1048" s="40" t="str">
        <f>CONCATENATE("    노 무 비 :  _x001D_59,020_x001D_ / ",TEXT($AB1048,"#,##0.00")," =",TEXT($AF1048,"#,##0.00"))</f>
        <v xml:space="preserve">    노 무 비 :  _x001D_59,020_x001D_ / 600.00 =98.00</v>
      </c>
      <c r="B1048" s="32">
        <f>SUM($C1048,$D1048,$E1048)</f>
        <v>98</v>
      </c>
      <c r="C1048" s="32"/>
      <c r="D1048" s="32">
        <f>$AF1048</f>
        <v>98</v>
      </c>
      <c r="E1048" s="32"/>
      <c r="F1048" s="43" t="s">
        <v>2450</v>
      </c>
      <c r="K1048" s="3" t="s">
        <v>93</v>
      </c>
      <c r="AA1048" s="36" t="s">
        <v>928</v>
      </c>
      <c r="AB1048" s="8">
        <f>$AH1003</f>
        <v>600</v>
      </c>
      <c r="AC1048" s="36" t="s">
        <v>2448</v>
      </c>
      <c r="AD1048" s="7">
        <f>$AB1048</f>
        <v>600</v>
      </c>
      <c r="AE1048" s="37" t="s">
        <v>265</v>
      </c>
      <c r="AF1048" s="8">
        <f>TRUNC(중기사용료목록!F14/$AD1048,0)</f>
        <v>98</v>
      </c>
      <c r="AG1048" s="37" t="s">
        <v>972</v>
      </c>
      <c r="AH1048" s="7">
        <f>$AH1038+$AF1048</f>
        <v>654</v>
      </c>
    </row>
    <row r="1049" spans="1:34" ht="18.399999999999999" customHeight="1" x14ac:dyDescent="0.15">
      <c r="A1049" s="38" t="s">
        <v>2450</v>
      </c>
      <c r="B1049" s="32"/>
      <c r="C1049" s="32"/>
      <c r="D1049" s="32"/>
      <c r="E1049" s="32"/>
      <c r="F1049" s="43"/>
      <c r="K1049" s="3" t="s">
        <v>2450</v>
      </c>
    </row>
    <row r="1050" spans="1:34" ht="18.399999999999999" customHeight="1" x14ac:dyDescent="0.15">
      <c r="A1050" s="40" t="str">
        <f>CONCATENATE("    경    비 :  _x001D_9,037_x001D_ / ",TEXT($AB1050,"#,##0.00")," =",TEXT($AF1050,"#,##0.00"))</f>
        <v xml:space="preserve">    경    비 :  _x001D_9,037_x001D_ / 600.00 =15.00</v>
      </c>
      <c r="B1050" s="32">
        <f>SUM($C1050,$D1050,$E1050)</f>
        <v>15</v>
      </c>
      <c r="C1050" s="32"/>
      <c r="D1050" s="32"/>
      <c r="E1050" s="32">
        <f>$AF1050</f>
        <v>15</v>
      </c>
      <c r="F1050" s="43" t="s">
        <v>2450</v>
      </c>
      <c r="K1050" s="3" t="s">
        <v>398</v>
      </c>
      <c r="AA1050" s="36" t="s">
        <v>1165</v>
      </c>
      <c r="AB1050" s="8">
        <f>$AH1003</f>
        <v>600</v>
      </c>
      <c r="AC1050" s="36" t="s">
        <v>87</v>
      </c>
      <c r="AD1050" s="7">
        <f>$AB1050</f>
        <v>600</v>
      </c>
      <c r="AE1050" s="37" t="s">
        <v>815</v>
      </c>
      <c r="AF1050" s="8">
        <f>TRUNC(중기사용료목록!G14/$AD1050,0)</f>
        <v>15</v>
      </c>
      <c r="AG1050" s="37" t="s">
        <v>1302</v>
      </c>
      <c r="AH1050" s="7">
        <f>$AH1040+$AF1050</f>
        <v>165</v>
      </c>
    </row>
    <row r="1051" spans="1:34" ht="18.399999999999999" customHeight="1" x14ac:dyDescent="0.15">
      <c r="A1051" s="38" t="s">
        <v>2450</v>
      </c>
      <c r="B1051" s="32"/>
      <c r="C1051" s="32"/>
      <c r="D1051" s="32"/>
      <c r="E1051" s="32"/>
      <c r="F1051" s="43"/>
      <c r="K1051" s="3" t="s">
        <v>2450</v>
      </c>
    </row>
    <row r="1052" spans="1:34" ht="18.399999999999999" customHeight="1" x14ac:dyDescent="0.15">
      <c r="A1052" s="38" t="s">
        <v>1325</v>
      </c>
      <c r="B1052" s="33">
        <f>SUM($C1052,$D1052,$E1052)</f>
        <v>128</v>
      </c>
      <c r="C1052" s="33">
        <f>$AB1052</f>
        <v>15</v>
      </c>
      <c r="D1052" s="33">
        <f>$AD1052</f>
        <v>98</v>
      </c>
      <c r="E1052" s="33">
        <f>$AF1052</f>
        <v>15</v>
      </c>
      <c r="F1052" s="44"/>
      <c r="K1052" s="3" t="s">
        <v>1477</v>
      </c>
      <c r="AA1052" s="36" t="s">
        <v>1729</v>
      </c>
      <c r="AB1052" s="7">
        <f>$AH1046-$AH1036</f>
        <v>15</v>
      </c>
      <c r="AC1052" s="36" t="s">
        <v>71</v>
      </c>
      <c r="AD1052" s="7">
        <f>$AH1048-$AH1038</f>
        <v>98</v>
      </c>
      <c r="AE1052" s="36" t="s">
        <v>2236</v>
      </c>
      <c r="AF1052" s="7">
        <f>$AH1050-$AH1040</f>
        <v>15</v>
      </c>
    </row>
    <row r="1053" spans="1:34" ht="18.399999999999999" customHeight="1" x14ac:dyDescent="0.15">
      <c r="A1053" s="38" t="s">
        <v>2450</v>
      </c>
      <c r="B1053" s="32"/>
      <c r="C1053" s="32"/>
      <c r="D1053" s="32"/>
      <c r="E1053" s="32"/>
      <c r="F1053" s="43"/>
      <c r="K1053" s="3" t="s">
        <v>2450</v>
      </c>
    </row>
    <row r="1054" spans="1:34" ht="18.399999999999999" customHeight="1" x14ac:dyDescent="0.15">
      <c r="A1054" s="38" t="s">
        <v>293</v>
      </c>
      <c r="B1054" s="34">
        <f>SUM($C1054,$D1054,$E1054)</f>
        <v>431</v>
      </c>
      <c r="C1054" s="34">
        <f>$AB1054</f>
        <v>70</v>
      </c>
      <c r="D1054" s="34">
        <f>$AD1054</f>
        <v>294</v>
      </c>
      <c r="E1054" s="34">
        <f>$AF1054</f>
        <v>67</v>
      </c>
      <c r="F1054" s="45"/>
      <c r="K1054" s="3" t="s">
        <v>317</v>
      </c>
      <c r="AA1054" s="36" t="s">
        <v>989</v>
      </c>
      <c r="AB1054" s="7">
        <f>$AH1046-$AH1014</f>
        <v>70</v>
      </c>
      <c r="AC1054" s="36" t="s">
        <v>2036</v>
      </c>
      <c r="AD1054" s="7">
        <f>$AH1048-$AH1016</f>
        <v>294</v>
      </c>
      <c r="AE1054" s="36" t="s">
        <v>579</v>
      </c>
      <c r="AF1054" s="7">
        <f>$AH1050-$AH1018</f>
        <v>67</v>
      </c>
    </row>
    <row r="1055" spans="1:34" ht="18.399999999999999" customHeight="1" x14ac:dyDescent="0.15">
      <c r="A1055" s="38" t="s">
        <v>2450</v>
      </c>
      <c r="B1055" s="32"/>
      <c r="C1055" s="32"/>
      <c r="D1055" s="32"/>
      <c r="E1055" s="32"/>
      <c r="F1055" s="43"/>
      <c r="K1055" s="3" t="s">
        <v>2450</v>
      </c>
    </row>
    <row r="1056" spans="1:34" ht="18.399999999999999" customHeight="1" x14ac:dyDescent="0.15">
      <c r="A1056" s="38" t="s">
        <v>2342</v>
      </c>
      <c r="B1056" s="32"/>
      <c r="C1056" s="32"/>
      <c r="D1056" s="32"/>
      <c r="E1056" s="32"/>
      <c r="F1056" s="43"/>
      <c r="K1056" s="3" t="s">
        <v>2342</v>
      </c>
    </row>
    <row r="1057" spans="1:34" ht="18.399999999999999" customHeight="1" x14ac:dyDescent="0.15">
      <c r="A1057" s="38" t="s">
        <v>2450</v>
      </c>
      <c r="B1057" s="32"/>
      <c r="C1057" s="32"/>
      <c r="D1057" s="32"/>
      <c r="E1057" s="32"/>
      <c r="F1057" s="43"/>
      <c r="K1057" s="3" t="s">
        <v>2450</v>
      </c>
    </row>
    <row r="1058" spans="1:34" ht="18.399999999999999" customHeight="1" x14ac:dyDescent="0.15">
      <c r="A1058" s="40" t="str">
        <f>CONCATENATE("    재 료 비 :  _x001D_26,664_x001D_ / ",TEXT($AB1058,"#,##0.00")," * 0.5 =",TEXT($AF1058,"#,##0.00"))</f>
        <v xml:space="preserve">    재 료 비 :  _x001D_26,664_x001D_ / 600.00 * 0.5 =22.00</v>
      </c>
      <c r="B1058" s="32">
        <f>SUM($C1058,$D1058,$E1058)</f>
        <v>22</v>
      </c>
      <c r="C1058" s="32">
        <f>$AF1058</f>
        <v>22</v>
      </c>
      <c r="D1058" s="32"/>
      <c r="E1058" s="32"/>
      <c r="F1058" s="43" t="s">
        <v>2450</v>
      </c>
      <c r="K1058" s="3" t="s">
        <v>1344</v>
      </c>
      <c r="AA1058" s="36" t="s">
        <v>943</v>
      </c>
      <c r="AB1058" s="8">
        <f>$AH1003</f>
        <v>600</v>
      </c>
      <c r="AC1058" s="36" t="s">
        <v>1780</v>
      </c>
      <c r="AD1058" s="7">
        <f>$AB1058</f>
        <v>600</v>
      </c>
      <c r="AE1058" s="37" t="s">
        <v>1805</v>
      </c>
      <c r="AF1058" s="8">
        <f>TRUNC(중기사용료목록!E28/$AD1058*0.5,0)</f>
        <v>22</v>
      </c>
      <c r="AG1058" s="37" t="s">
        <v>2021</v>
      </c>
      <c r="AH1058" s="7">
        <f>$AH1046+$AF1058</f>
        <v>128</v>
      </c>
    </row>
    <row r="1059" spans="1:34" ht="18.399999999999999" customHeight="1" x14ac:dyDescent="0.15">
      <c r="A1059" s="38" t="s">
        <v>2450</v>
      </c>
      <c r="B1059" s="32"/>
      <c r="C1059" s="32"/>
      <c r="D1059" s="32"/>
      <c r="E1059" s="32"/>
      <c r="F1059" s="43"/>
      <c r="K1059" s="3" t="s">
        <v>2450</v>
      </c>
    </row>
    <row r="1060" spans="1:34" ht="18.399999999999999" customHeight="1" x14ac:dyDescent="0.15">
      <c r="A1060" s="40" t="str">
        <f>CONCATENATE("    노 무 비 :  _x001D_49,778_x001D_ / ",TEXT($AB1060,"#,##0.00")," * 0.5 =",TEXT($AF1060,"#,##0.00"))</f>
        <v xml:space="preserve">    노 무 비 :  _x001D_49,778_x001D_ / 600.00 * 0.5 =41.00</v>
      </c>
      <c r="B1060" s="32">
        <f>SUM($C1060,$D1060,$E1060)</f>
        <v>41</v>
      </c>
      <c r="C1060" s="32"/>
      <c r="D1060" s="32">
        <f>$AF1060</f>
        <v>41</v>
      </c>
      <c r="E1060" s="32"/>
      <c r="F1060" s="43" t="s">
        <v>2450</v>
      </c>
      <c r="K1060" s="3" t="s">
        <v>69</v>
      </c>
      <c r="AA1060" s="36" t="s">
        <v>1184</v>
      </c>
      <c r="AB1060" s="8">
        <f>$AH1003</f>
        <v>600</v>
      </c>
      <c r="AC1060" s="36" t="s">
        <v>1936</v>
      </c>
      <c r="AD1060" s="7">
        <f>$AB1060</f>
        <v>600</v>
      </c>
      <c r="AE1060" s="37" t="s">
        <v>265</v>
      </c>
      <c r="AF1060" s="8">
        <f>TRUNC(중기사용료목록!F28/$AD1060*0.5,0)</f>
        <v>41</v>
      </c>
      <c r="AG1060" s="37" t="s">
        <v>972</v>
      </c>
      <c r="AH1060" s="7">
        <f>$AH1048+$AF1060</f>
        <v>695</v>
      </c>
    </row>
    <row r="1061" spans="1:34" ht="18.399999999999999" customHeight="1" x14ac:dyDescent="0.15">
      <c r="A1061" s="38" t="s">
        <v>2450</v>
      </c>
      <c r="B1061" s="32"/>
      <c r="C1061" s="32"/>
      <c r="D1061" s="32"/>
      <c r="E1061" s="32"/>
      <c r="F1061" s="43"/>
      <c r="K1061" s="3" t="s">
        <v>2450</v>
      </c>
    </row>
    <row r="1062" spans="1:34" ht="18.399999999999999" customHeight="1" x14ac:dyDescent="0.15">
      <c r="A1062" s="40" t="str">
        <f>CONCATENATE("    경    비 :  _x001D_19,154_x001D_ / ",TEXT($AB1062,"#,##0.00")," *0.5 =",TEXT($AF1062,"#,##0.00"))</f>
        <v xml:space="preserve">    경    비 :  _x001D_19,154_x001D_ / 600.00 *0.5 =15.00</v>
      </c>
      <c r="B1062" s="32">
        <f>SUM($C1062,$D1062,$E1062)</f>
        <v>15</v>
      </c>
      <c r="C1062" s="32"/>
      <c r="D1062" s="32"/>
      <c r="E1062" s="32">
        <f>$AF1062</f>
        <v>15</v>
      </c>
      <c r="F1062" s="43" t="s">
        <v>2450</v>
      </c>
      <c r="K1062" s="3" t="s">
        <v>2279</v>
      </c>
      <c r="AA1062" s="36" t="s">
        <v>2421</v>
      </c>
      <c r="AB1062" s="8">
        <f>$AH1003</f>
        <v>600</v>
      </c>
      <c r="AC1062" s="36" t="s">
        <v>1678</v>
      </c>
      <c r="AD1062" s="7">
        <f>$AB1062</f>
        <v>600</v>
      </c>
      <c r="AE1062" s="37" t="s">
        <v>815</v>
      </c>
      <c r="AF1062" s="8">
        <f>TRUNC(중기사용료목록!G28/$AD1062*0.5,0)</f>
        <v>15</v>
      </c>
      <c r="AG1062" s="37" t="s">
        <v>1302</v>
      </c>
      <c r="AH1062" s="7">
        <f>$AH1050+$AF1062</f>
        <v>180</v>
      </c>
    </row>
    <row r="1063" spans="1:34" ht="18.399999999999999" customHeight="1" x14ac:dyDescent="0.15">
      <c r="A1063" s="38" t="s">
        <v>2450</v>
      </c>
      <c r="B1063" s="32"/>
      <c r="C1063" s="32"/>
      <c r="D1063" s="32"/>
      <c r="E1063" s="32"/>
      <c r="F1063" s="43"/>
      <c r="K1063" s="3" t="s">
        <v>2450</v>
      </c>
    </row>
    <row r="1064" spans="1:34" ht="18.399999999999999" customHeight="1" x14ac:dyDescent="0.15">
      <c r="A1064" s="38" t="s">
        <v>293</v>
      </c>
      <c r="B1064" s="34">
        <f>SUM($C1064,$D1064,$E1064)</f>
        <v>78</v>
      </c>
      <c r="C1064" s="34">
        <f>$AB1064</f>
        <v>22</v>
      </c>
      <c r="D1064" s="34">
        <f>$AD1064</f>
        <v>41</v>
      </c>
      <c r="E1064" s="34">
        <f>$AF1064</f>
        <v>15</v>
      </c>
      <c r="F1064" s="45"/>
      <c r="K1064" s="3" t="s">
        <v>317</v>
      </c>
      <c r="AA1064" s="36" t="s">
        <v>989</v>
      </c>
      <c r="AB1064" s="7">
        <f>$AH1058-$AH1046</f>
        <v>22</v>
      </c>
      <c r="AC1064" s="36" t="s">
        <v>2036</v>
      </c>
      <c r="AD1064" s="7">
        <f>$AH1060-$AH1048</f>
        <v>41</v>
      </c>
      <c r="AE1064" s="36" t="s">
        <v>579</v>
      </c>
      <c r="AF1064" s="7">
        <f>$AH1062-$AH1050</f>
        <v>15</v>
      </c>
    </row>
    <row r="1065" spans="1:34" ht="18.399999999999999" customHeight="1" x14ac:dyDescent="0.15">
      <c r="A1065" s="38" t="s">
        <v>2450</v>
      </c>
      <c r="B1065" s="32"/>
      <c r="C1065" s="32"/>
      <c r="D1065" s="32"/>
      <c r="E1065" s="32"/>
      <c r="F1065" s="43"/>
      <c r="K1065" s="3" t="s">
        <v>2450</v>
      </c>
    </row>
    <row r="1066" spans="1:34" ht="18.399999999999999" customHeight="1" x14ac:dyDescent="0.15">
      <c r="A1066" s="38" t="s">
        <v>2064</v>
      </c>
      <c r="B1066" s="35">
        <f>SUM($C1066,$D1066,$E1066)</f>
        <v>1003</v>
      </c>
      <c r="C1066" s="35">
        <f>$AB1066</f>
        <v>128</v>
      </c>
      <c r="D1066" s="35">
        <f>$AD1066</f>
        <v>695</v>
      </c>
      <c r="E1066" s="35">
        <f>$AF1066</f>
        <v>180</v>
      </c>
      <c r="F1066" s="46"/>
      <c r="K1066" s="3" t="s">
        <v>1514</v>
      </c>
      <c r="AA1066" s="36" t="s">
        <v>604</v>
      </c>
      <c r="AB1066" s="7">
        <f>$AH1058</f>
        <v>128</v>
      </c>
      <c r="AC1066" s="36" t="s">
        <v>1332</v>
      </c>
      <c r="AD1066" s="7">
        <f>$AH1060</f>
        <v>695</v>
      </c>
      <c r="AE1066" s="36" t="s">
        <v>963</v>
      </c>
      <c r="AF1066" s="7">
        <f>$AH1062</f>
        <v>180</v>
      </c>
    </row>
    <row r="1067" spans="1:34" ht="18.399999999999999" customHeight="1" x14ac:dyDescent="0.15">
      <c r="A1067" s="38"/>
      <c r="B1067" s="3"/>
      <c r="C1067" s="3"/>
      <c r="D1067" s="3"/>
      <c r="E1067" s="3"/>
      <c r="F1067" s="42"/>
    </row>
    <row r="1068" spans="1:34" ht="18.399999999999999" customHeight="1" x14ac:dyDescent="0.15">
      <c r="A1068" s="41" t="s">
        <v>1388</v>
      </c>
      <c r="B1068" s="35">
        <f>SUM($C1068,$D1068,$E1068)</f>
        <v>1003</v>
      </c>
      <c r="C1068" s="35">
        <f>TRUNC(SUM($AH1058),0)</f>
        <v>128</v>
      </c>
      <c r="D1068" s="35">
        <f>TRUNC(SUM($AH1060),0)</f>
        <v>695</v>
      </c>
      <c r="E1068" s="35">
        <f>TRUNC(SUM($AH1062),0)</f>
        <v>180</v>
      </c>
      <c r="F1068" s="47"/>
    </row>
    <row r="1069" spans="1:34" ht="18.399999999999999" customHeight="1" x14ac:dyDescent="0.15">
      <c r="A1069" s="38"/>
      <c r="B1069" s="3"/>
      <c r="C1069" s="3"/>
      <c r="D1069" s="3"/>
      <c r="E1069" s="3"/>
      <c r="F1069" s="42"/>
    </row>
    <row r="1070" spans="1:34" ht="18.399999999999999" customHeight="1" x14ac:dyDescent="0.15">
      <c r="A1070" s="38" t="s">
        <v>1566</v>
      </c>
      <c r="B1070" s="32">
        <f>$B1097</f>
        <v>45</v>
      </c>
      <c r="C1070" s="32">
        <f>$C1097</f>
        <v>8</v>
      </c>
      <c r="D1070" s="32">
        <f>$D1097</f>
        <v>31</v>
      </c>
      <c r="E1070" s="32">
        <f>$E1097</f>
        <v>6</v>
      </c>
      <c r="F1070" s="42" t="s">
        <v>2450</v>
      </c>
      <c r="G1070" t="s">
        <v>2450</v>
      </c>
      <c r="H1070" t="s">
        <v>546</v>
      </c>
      <c r="K1070">
        <v>1</v>
      </c>
      <c r="Y1070" s="7" t="b">
        <f>EXACT($Z1070,$B1097)</f>
        <v>1</v>
      </c>
      <c r="Z1070" s="35">
        <v>45</v>
      </c>
    </row>
    <row r="1071" spans="1:34" ht="18.399999999999999" customHeight="1" x14ac:dyDescent="0.15">
      <c r="A1071" s="39"/>
      <c r="B1071" s="3"/>
      <c r="C1071" s="3"/>
      <c r="D1071" s="3"/>
      <c r="E1071" s="3"/>
      <c r="F1071" s="42"/>
    </row>
    <row r="1072" spans="1:34" ht="18.399999999999999" customHeight="1" x14ac:dyDescent="0.15">
      <c r="A1072" s="38" t="s">
        <v>2450</v>
      </c>
      <c r="B1072" s="3"/>
      <c r="C1072" s="3"/>
      <c r="D1072" s="3"/>
      <c r="E1072" s="3"/>
      <c r="F1072" s="42"/>
      <c r="G1072" t="s">
        <v>2450</v>
      </c>
      <c r="I1072" t="s">
        <v>289</v>
      </c>
      <c r="J1072" t="s">
        <v>2450</v>
      </c>
      <c r="K1072" t="s">
        <v>2053</v>
      </c>
    </row>
    <row r="1073" spans="1:38" ht="18.399999999999999" customHeight="1" x14ac:dyDescent="0.15">
      <c r="A1073" s="38" t="s">
        <v>594</v>
      </c>
      <c r="B1073" s="32"/>
      <c r="C1073" s="32"/>
      <c r="D1073" s="32"/>
      <c r="E1073" s="32"/>
      <c r="F1073" s="43"/>
      <c r="K1073" s="3" t="s">
        <v>594</v>
      </c>
    </row>
    <row r="1074" spans="1:38" ht="18.399999999999999" customHeight="1" x14ac:dyDescent="0.15">
      <c r="A1074" s="38" t="s">
        <v>2450</v>
      </c>
      <c r="B1074" s="32"/>
      <c r="C1074" s="32"/>
      <c r="D1074" s="32"/>
      <c r="E1074" s="32"/>
      <c r="F1074" s="43"/>
      <c r="K1074" s="3" t="s">
        <v>2450</v>
      </c>
    </row>
    <row r="1075" spans="1:38" ht="18.399999999999999" customHeight="1" x14ac:dyDescent="0.15">
      <c r="A1075" s="40" t="str">
        <f>CONCATENATE(" ○ 1일 시공량 :  A=",TEXT($AB1075,"#,##0.00"),"  ㎡/일")</f>
        <v xml:space="preserve"> ○ 1일 시공량 :  A=20,000.00  ㎡/일</v>
      </c>
      <c r="B1075" s="32"/>
      <c r="C1075" s="32"/>
      <c r="D1075" s="32"/>
      <c r="E1075" s="32"/>
      <c r="F1075" s="43"/>
      <c r="K1075" s="10" t="str">
        <f>SUBSTITUTE(SUBSTITUTE("_x001D_○ 1일 시공량 :_x001D_ A = 20000 _x001D_㎡/일_x001D_","20000",TEXT($AB1075,"#,##0"),1),"_x001D_","'")</f>
        <v>'○ 1일 시공량 :' A = 20,000 '㎡/일'</v>
      </c>
      <c r="AA1075" s="36" t="s">
        <v>430</v>
      </c>
      <c r="AB1075" s="6">
        <v>20000</v>
      </c>
      <c r="AC1075" s="36" t="s">
        <v>430</v>
      </c>
      <c r="AD1075" s="7">
        <f>$AB1075</f>
        <v>20000</v>
      </c>
    </row>
    <row r="1076" spans="1:38" ht="18.399999999999999" customHeight="1" x14ac:dyDescent="0.15">
      <c r="A1076" s="38" t="s">
        <v>2450</v>
      </c>
      <c r="B1076" s="32"/>
      <c r="C1076" s="32"/>
      <c r="D1076" s="32"/>
      <c r="E1076" s="32"/>
      <c r="F1076" s="43"/>
      <c r="K1076" s="3" t="s">
        <v>2450</v>
      </c>
    </row>
    <row r="1077" spans="1:38" ht="18.399999999999999" customHeight="1" x14ac:dyDescent="0.15">
      <c r="A1077" s="40" t="str">
        <f>CONCATENATE(" ○ 1시간 작업량 :  Q = ",TEXT($AB1077,"#,##0.00")," / 8 hr  =",TEXT($AJ1077,"#,##0.00")," ㎡/hr ")</f>
        <v xml:space="preserve"> ○ 1시간 작업량 :  Q = 20,000.00 / 8 hr  =2,500.00 ㎡/hr </v>
      </c>
      <c r="B1077" s="32">
        <f>SUM($C1077,$D1077,$E1077)</f>
        <v>0</v>
      </c>
      <c r="C1077" s="32"/>
      <c r="D1077" s="32"/>
      <c r="E1077" s="32"/>
      <c r="F1077" s="43"/>
      <c r="K1077" s="3" t="s">
        <v>1883</v>
      </c>
      <c r="AA1077" s="36" t="s">
        <v>1323</v>
      </c>
      <c r="AB1077" s="8">
        <f>$AD1075</f>
        <v>20000</v>
      </c>
      <c r="AC1077" s="36" t="s">
        <v>1430</v>
      </c>
      <c r="AD1077" s="7">
        <f>$AB1077</f>
        <v>20000</v>
      </c>
      <c r="AE1077" s="36" t="s">
        <v>461</v>
      </c>
      <c r="AF1077" s="8">
        <f>ROUND($AD1077/8,2)</f>
        <v>2500</v>
      </c>
      <c r="AG1077" s="36" t="s">
        <v>1686</v>
      </c>
      <c r="AH1077" s="7">
        <f>$AF1077</f>
        <v>2500</v>
      </c>
      <c r="AI1077" s="36" t="s">
        <v>910</v>
      </c>
      <c r="AJ1077" s="8">
        <f>ROUND(ROUND($AD1077/8,2),2)</f>
        <v>2500</v>
      </c>
      <c r="AK1077" s="36" t="s">
        <v>1170</v>
      </c>
      <c r="AL1077" s="7">
        <f>$AJ1077</f>
        <v>2500</v>
      </c>
    </row>
    <row r="1078" spans="1:38" ht="18.399999999999999" customHeight="1" x14ac:dyDescent="0.15">
      <c r="A1078" s="38" t="s">
        <v>2450</v>
      </c>
      <c r="B1078" s="32"/>
      <c r="C1078" s="32"/>
      <c r="D1078" s="32"/>
      <c r="E1078" s="32"/>
      <c r="F1078" s="43"/>
      <c r="K1078" s="3" t="s">
        <v>2450</v>
      </c>
    </row>
    <row r="1079" spans="1:38" ht="18.399999999999999" customHeight="1" x14ac:dyDescent="0.15">
      <c r="A1079" s="38" t="s">
        <v>1033</v>
      </c>
      <c r="B1079" s="32"/>
      <c r="C1079" s="32"/>
      <c r="D1079" s="32"/>
      <c r="E1079" s="32"/>
      <c r="F1079" s="43"/>
      <c r="K1079" s="3" t="s">
        <v>1033</v>
      </c>
    </row>
    <row r="1080" spans="1:38" ht="18.399999999999999" customHeight="1" x14ac:dyDescent="0.15">
      <c r="A1080" s="38" t="s">
        <v>2450</v>
      </c>
      <c r="B1080" s="32"/>
      <c r="C1080" s="32"/>
      <c r="D1080" s="32"/>
      <c r="E1080" s="32"/>
      <c r="F1080" s="43"/>
      <c r="K1080" s="3" t="s">
        <v>2450</v>
      </c>
    </row>
    <row r="1081" spans="1:38" ht="18.399999999999999" customHeight="1" x14ac:dyDescent="0.15">
      <c r="A1081" s="40" t="str">
        <f>CONCATENATE("    보통인부 :  1.0 인  / ",TEXT($AB1081,"#,##0.00")," * _x001D_172,068_x001D_ =",TEXT($AF1081,"#,##0.00"))</f>
        <v xml:space="preserve">    보통인부 :  1.0 인  / 20,000.00 * _x001D_172,068_x001D_ =8.00</v>
      </c>
      <c r="B1081" s="32">
        <f>SUM($C1081,$D1081,$E1081)</f>
        <v>8</v>
      </c>
      <c r="C1081" s="32"/>
      <c r="D1081" s="32">
        <f>$AF1081</f>
        <v>8</v>
      </c>
      <c r="E1081" s="32"/>
      <c r="F1081" s="43" t="s">
        <v>2450</v>
      </c>
      <c r="K1081" s="3" t="s">
        <v>789</v>
      </c>
      <c r="AA1081" s="36" t="s">
        <v>1310</v>
      </c>
      <c r="AB1081" s="8">
        <f>$AD1075</f>
        <v>20000</v>
      </c>
      <c r="AC1081" s="36" t="s">
        <v>1822</v>
      </c>
      <c r="AD1081" s="7">
        <f>$AB1081</f>
        <v>20000</v>
      </c>
      <c r="AE1081" s="37" t="s">
        <v>265</v>
      </c>
      <c r="AF1081" s="8">
        <f>TRUNC(1/$AD1081*노임!D10,0)</f>
        <v>8</v>
      </c>
      <c r="AG1081" s="37" t="s">
        <v>972</v>
      </c>
      <c r="AH1081" s="7">
        <f>$AF1081</f>
        <v>8</v>
      </c>
    </row>
    <row r="1082" spans="1:38" ht="18.399999999999999" customHeight="1" x14ac:dyDescent="0.15">
      <c r="A1082" s="38" t="s">
        <v>2450</v>
      </c>
      <c r="B1082" s="32"/>
      <c r="C1082" s="32"/>
      <c r="D1082" s="32"/>
      <c r="E1082" s="32"/>
      <c r="F1082" s="43"/>
      <c r="K1082" s="3" t="s">
        <v>2450</v>
      </c>
    </row>
    <row r="1083" spans="1:38" ht="18.399999999999999" customHeight="1" x14ac:dyDescent="0.15">
      <c r="A1083" s="38" t="s">
        <v>1325</v>
      </c>
      <c r="B1083" s="33">
        <f>SUM($C1083,$D1083,$E1083)</f>
        <v>8</v>
      </c>
      <c r="C1083" s="33">
        <f>$AB1083</f>
        <v>0</v>
      </c>
      <c r="D1083" s="33">
        <f>$AD1083</f>
        <v>8</v>
      </c>
      <c r="E1083" s="33">
        <f>$AF1083</f>
        <v>0</v>
      </c>
      <c r="F1083" s="44"/>
      <c r="K1083" s="3" t="s">
        <v>1477</v>
      </c>
      <c r="AC1083" s="36" t="s">
        <v>71</v>
      </c>
      <c r="AD1083" s="7">
        <f>$AH1081</f>
        <v>8</v>
      </c>
    </row>
    <row r="1084" spans="1:38" ht="18.399999999999999" customHeight="1" x14ac:dyDescent="0.15">
      <c r="A1084" s="38" t="s">
        <v>2450</v>
      </c>
      <c r="B1084" s="32"/>
      <c r="C1084" s="32"/>
      <c r="D1084" s="32"/>
      <c r="E1084" s="32"/>
      <c r="F1084" s="43"/>
      <c r="K1084" s="3" t="s">
        <v>2450</v>
      </c>
    </row>
    <row r="1085" spans="1:38" ht="18.399999999999999" customHeight="1" x14ac:dyDescent="0.15">
      <c r="A1085" s="38" t="s">
        <v>746</v>
      </c>
      <c r="B1085" s="32"/>
      <c r="C1085" s="32"/>
      <c r="D1085" s="32"/>
      <c r="E1085" s="32"/>
      <c r="F1085" s="43"/>
      <c r="K1085" s="3" t="s">
        <v>746</v>
      </c>
    </row>
    <row r="1086" spans="1:38" ht="18.399999999999999" customHeight="1" x14ac:dyDescent="0.15">
      <c r="A1086" s="38" t="s">
        <v>2450</v>
      </c>
      <c r="B1086" s="32"/>
      <c r="C1086" s="32"/>
      <c r="D1086" s="32"/>
      <c r="E1086" s="32"/>
      <c r="F1086" s="43"/>
      <c r="K1086" s="3" t="s">
        <v>2450</v>
      </c>
    </row>
    <row r="1087" spans="1:38" ht="18.399999999999999" customHeight="1" x14ac:dyDescent="0.15">
      <c r="A1087" s="40" t="str">
        <f>CONCATENATE("    재 료 비 :  _x001D_21,663_x001D_ / ",TEXT($AB1087,"#,##0.00")," =",TEXT($AF1087,"#,##0.00"))</f>
        <v xml:space="preserve">    재 료 비 :  _x001D_21,663_x001D_ / 2,500.00 =8.00</v>
      </c>
      <c r="B1087" s="32">
        <f>SUM($C1087,$D1087,$E1087)</f>
        <v>8</v>
      </c>
      <c r="C1087" s="32">
        <f>$AF1087</f>
        <v>8</v>
      </c>
      <c r="D1087" s="32"/>
      <c r="E1087" s="32"/>
      <c r="F1087" s="43" t="s">
        <v>2450</v>
      </c>
      <c r="K1087" s="3" t="s">
        <v>730</v>
      </c>
      <c r="AA1087" s="36" t="s">
        <v>13</v>
      </c>
      <c r="AB1087" s="8">
        <f>$AH1077</f>
        <v>2500</v>
      </c>
      <c r="AC1087" s="36" t="s">
        <v>710</v>
      </c>
      <c r="AD1087" s="7">
        <f>$AB1087</f>
        <v>2500</v>
      </c>
      <c r="AE1087" s="37" t="s">
        <v>1805</v>
      </c>
      <c r="AF1087" s="8">
        <f>TRUNC(중기사용료목록!E23/$AD1087,0)</f>
        <v>8</v>
      </c>
      <c r="AG1087" s="37" t="s">
        <v>2021</v>
      </c>
      <c r="AH1087" s="7">
        <f>$AF1087</f>
        <v>8</v>
      </c>
    </row>
    <row r="1088" spans="1:38" ht="18.399999999999999" customHeight="1" x14ac:dyDescent="0.15">
      <c r="A1088" s="38" t="s">
        <v>2450</v>
      </c>
      <c r="B1088" s="32"/>
      <c r="C1088" s="32"/>
      <c r="D1088" s="32"/>
      <c r="E1088" s="32"/>
      <c r="F1088" s="43"/>
      <c r="K1088" s="3" t="s">
        <v>2450</v>
      </c>
    </row>
    <row r="1089" spans="1:34" ht="18.399999999999999" customHeight="1" x14ac:dyDescent="0.15">
      <c r="A1089" s="40" t="str">
        <f>CONCATENATE("    노 무 비 :  _x001D_59,020_x001D_ / ",TEXT($AB1089,"#,##0.00")," =",TEXT($AF1089,"#,##0.00"))</f>
        <v xml:space="preserve">    노 무 비 :  _x001D_59,020_x001D_ / 2,500.00 =23.00</v>
      </c>
      <c r="B1089" s="32">
        <f>SUM($C1089,$D1089,$E1089)</f>
        <v>23</v>
      </c>
      <c r="C1089" s="32"/>
      <c r="D1089" s="32">
        <f>$AF1089</f>
        <v>23</v>
      </c>
      <c r="E1089" s="32"/>
      <c r="F1089" s="43" t="s">
        <v>2450</v>
      </c>
      <c r="K1089" s="3" t="s">
        <v>1928</v>
      </c>
      <c r="AA1089" s="36" t="s">
        <v>1397</v>
      </c>
      <c r="AB1089" s="8">
        <f>$AH1077</f>
        <v>2500</v>
      </c>
      <c r="AC1089" s="36" t="s">
        <v>1136</v>
      </c>
      <c r="AD1089" s="7">
        <f>$AB1089</f>
        <v>2500</v>
      </c>
      <c r="AE1089" s="37" t="s">
        <v>265</v>
      </c>
      <c r="AF1089" s="8">
        <f>TRUNC(중기사용료목록!F23/$AD1089,0)</f>
        <v>23</v>
      </c>
      <c r="AG1089" s="37" t="s">
        <v>972</v>
      </c>
      <c r="AH1089" s="7">
        <f>$AH1081+$AF1089</f>
        <v>31</v>
      </c>
    </row>
    <row r="1090" spans="1:34" ht="18.399999999999999" customHeight="1" x14ac:dyDescent="0.15">
      <c r="A1090" s="38" t="s">
        <v>2450</v>
      </c>
      <c r="B1090" s="32"/>
      <c r="C1090" s="32"/>
      <c r="D1090" s="32"/>
      <c r="E1090" s="32"/>
      <c r="F1090" s="43"/>
      <c r="K1090" s="3" t="s">
        <v>2450</v>
      </c>
    </row>
    <row r="1091" spans="1:34" ht="18.399999999999999" customHeight="1" x14ac:dyDescent="0.15">
      <c r="A1091" s="40" t="str">
        <f>CONCATENATE("    경    비 :  _x001D_16,470_x001D_ / ",TEXT($AB1091,"#,##0.00")," =",TEXT($AF1091,"#,##0.00"))</f>
        <v xml:space="preserve">    경    비 :  _x001D_16,470_x001D_ / 2,500.00 =6.00</v>
      </c>
      <c r="B1091" s="32">
        <f>SUM($C1091,$D1091,$E1091)</f>
        <v>6</v>
      </c>
      <c r="C1091" s="32"/>
      <c r="D1091" s="32"/>
      <c r="E1091" s="32">
        <f>$AF1091</f>
        <v>6</v>
      </c>
      <c r="F1091" s="43" t="s">
        <v>2450</v>
      </c>
      <c r="K1091" s="3" t="s">
        <v>2224</v>
      </c>
      <c r="AA1091" s="36" t="s">
        <v>1709</v>
      </c>
      <c r="AB1091" s="8">
        <f>$AH1077</f>
        <v>2500</v>
      </c>
      <c r="AC1091" s="36" t="s">
        <v>1247</v>
      </c>
      <c r="AD1091" s="7">
        <f>$AB1091</f>
        <v>2500</v>
      </c>
      <c r="AE1091" s="37" t="s">
        <v>815</v>
      </c>
      <c r="AF1091" s="8">
        <f>TRUNC(중기사용료목록!G23/$AD1091,0)</f>
        <v>6</v>
      </c>
      <c r="AG1091" s="37" t="s">
        <v>1302</v>
      </c>
      <c r="AH1091" s="7">
        <f>$AF1091</f>
        <v>6</v>
      </c>
    </row>
    <row r="1092" spans="1:34" ht="18.399999999999999" customHeight="1" x14ac:dyDescent="0.15">
      <c r="A1092" s="38" t="s">
        <v>2450</v>
      </c>
      <c r="B1092" s="32"/>
      <c r="C1092" s="32"/>
      <c r="D1092" s="32"/>
      <c r="E1092" s="32"/>
      <c r="F1092" s="43"/>
      <c r="K1092" s="3" t="s">
        <v>2450</v>
      </c>
    </row>
    <row r="1093" spans="1:34" ht="18.399999999999999" customHeight="1" x14ac:dyDescent="0.15">
      <c r="A1093" s="38" t="s">
        <v>1325</v>
      </c>
      <c r="B1093" s="33">
        <f>SUM($C1093,$D1093,$E1093)</f>
        <v>37</v>
      </c>
      <c r="C1093" s="33">
        <f>$AB1093</f>
        <v>8</v>
      </c>
      <c r="D1093" s="33">
        <f>$AD1093</f>
        <v>23</v>
      </c>
      <c r="E1093" s="33">
        <f>$AF1093</f>
        <v>6</v>
      </c>
      <c r="F1093" s="44"/>
      <c r="K1093" s="3" t="s">
        <v>1477</v>
      </c>
      <c r="AA1093" s="36" t="s">
        <v>1729</v>
      </c>
      <c r="AB1093" s="7">
        <f>$AH1087</f>
        <v>8</v>
      </c>
      <c r="AC1093" s="36" t="s">
        <v>71</v>
      </c>
      <c r="AD1093" s="7">
        <f>$AH1089-$AH1081</f>
        <v>23</v>
      </c>
      <c r="AE1093" s="36" t="s">
        <v>2236</v>
      </c>
      <c r="AF1093" s="7">
        <f>$AH1091</f>
        <v>6</v>
      </c>
    </row>
    <row r="1094" spans="1:34" ht="18.399999999999999" customHeight="1" x14ac:dyDescent="0.15">
      <c r="A1094" s="38" t="s">
        <v>2450</v>
      </c>
      <c r="B1094" s="32"/>
      <c r="C1094" s="32"/>
      <c r="D1094" s="32"/>
      <c r="E1094" s="32"/>
      <c r="F1094" s="43"/>
      <c r="K1094" s="3" t="s">
        <v>2450</v>
      </c>
    </row>
    <row r="1095" spans="1:34" ht="18.399999999999999" customHeight="1" x14ac:dyDescent="0.15">
      <c r="A1095" s="38" t="s">
        <v>2337</v>
      </c>
      <c r="B1095" s="34">
        <f>SUM($C1095,$D1095,$E1095)</f>
        <v>45</v>
      </c>
      <c r="C1095" s="34">
        <f>$AB1095</f>
        <v>8</v>
      </c>
      <c r="D1095" s="34">
        <f>$AD1095</f>
        <v>31</v>
      </c>
      <c r="E1095" s="34">
        <f>$AF1095</f>
        <v>6</v>
      </c>
      <c r="F1095" s="45"/>
      <c r="K1095" s="3" t="s">
        <v>726</v>
      </c>
      <c r="AA1095" s="36" t="s">
        <v>989</v>
      </c>
      <c r="AB1095" s="7">
        <f>$AH1087</f>
        <v>8</v>
      </c>
      <c r="AC1095" s="36" t="s">
        <v>2036</v>
      </c>
      <c r="AD1095" s="7">
        <f>$AH1089</f>
        <v>31</v>
      </c>
      <c r="AE1095" s="36" t="s">
        <v>579</v>
      </c>
      <c r="AF1095" s="7">
        <f>$AH1091</f>
        <v>6</v>
      </c>
    </row>
    <row r="1096" spans="1:34" ht="18.399999999999999" customHeight="1" x14ac:dyDescent="0.15">
      <c r="A1096" s="38"/>
      <c r="B1096" s="3"/>
      <c r="C1096" s="3"/>
      <c r="D1096" s="3"/>
      <c r="E1096" s="3"/>
      <c r="F1096" s="42"/>
    </row>
    <row r="1097" spans="1:34" ht="18.399999999999999" customHeight="1" x14ac:dyDescent="0.15">
      <c r="A1097" s="41" t="s">
        <v>1388</v>
      </c>
      <c r="B1097" s="35">
        <f>SUM($C1097,$D1097,$E1097)</f>
        <v>45</v>
      </c>
      <c r="C1097" s="35">
        <f>TRUNC(SUM($AH1087),0)</f>
        <v>8</v>
      </c>
      <c r="D1097" s="35">
        <f>TRUNC(SUM($AH1089),0)</f>
        <v>31</v>
      </c>
      <c r="E1097" s="35">
        <f>TRUNC(SUM($AH1091),0)</f>
        <v>6</v>
      </c>
      <c r="F1097" s="47"/>
    </row>
    <row r="1098" spans="1:34" ht="18.399999999999999" customHeight="1" x14ac:dyDescent="0.15">
      <c r="A1098" s="38"/>
      <c r="B1098" s="3"/>
      <c r="C1098" s="3"/>
      <c r="D1098" s="3"/>
      <c r="E1098" s="3"/>
      <c r="F1098" s="42"/>
    </row>
    <row r="1099" spans="1:34" ht="18.399999999999999" customHeight="1" x14ac:dyDescent="0.15">
      <c r="A1099" s="38" t="s">
        <v>1898</v>
      </c>
      <c r="B1099" s="32">
        <f>$B1170</f>
        <v>1070</v>
      </c>
      <c r="C1099" s="32">
        <f>$C1170</f>
        <v>136</v>
      </c>
      <c r="D1099" s="32">
        <f>$D1170</f>
        <v>740</v>
      </c>
      <c r="E1099" s="32">
        <f>$E1170</f>
        <v>194</v>
      </c>
      <c r="F1099" s="42" t="s">
        <v>2450</v>
      </c>
      <c r="G1099" t="s">
        <v>2450</v>
      </c>
      <c r="H1099" t="s">
        <v>307</v>
      </c>
      <c r="K1099">
        <v>1</v>
      </c>
      <c r="Y1099" s="7" t="b">
        <f>EXACT($Z1099,$B1170)</f>
        <v>1</v>
      </c>
      <c r="Z1099" s="35">
        <v>1070</v>
      </c>
    </row>
    <row r="1100" spans="1:34" ht="18.399999999999999" customHeight="1" x14ac:dyDescent="0.15">
      <c r="A1100" s="39"/>
      <c r="B1100" s="3"/>
      <c r="C1100" s="3"/>
      <c r="D1100" s="3"/>
      <c r="E1100" s="3"/>
      <c r="F1100" s="42"/>
    </row>
    <row r="1101" spans="1:34" ht="18.399999999999999" customHeight="1" x14ac:dyDescent="0.15">
      <c r="A1101" s="38" t="s">
        <v>2450</v>
      </c>
      <c r="B1101" s="3"/>
      <c r="C1101" s="3"/>
      <c r="D1101" s="3"/>
      <c r="E1101" s="3"/>
      <c r="F1101" s="42"/>
      <c r="G1101" t="s">
        <v>2450</v>
      </c>
      <c r="I1101" t="s">
        <v>289</v>
      </c>
      <c r="J1101" t="s">
        <v>2450</v>
      </c>
      <c r="K1101" t="s">
        <v>2053</v>
      </c>
    </row>
    <row r="1102" spans="1:34" ht="18.399999999999999" customHeight="1" x14ac:dyDescent="0.15">
      <c r="A1102" s="38" t="s">
        <v>137</v>
      </c>
      <c r="B1102" s="32"/>
      <c r="C1102" s="32"/>
      <c r="D1102" s="32"/>
      <c r="E1102" s="32"/>
      <c r="F1102" s="43"/>
      <c r="K1102" s="3" t="s">
        <v>137</v>
      </c>
    </row>
    <row r="1103" spans="1:34" ht="18.399999999999999" customHeight="1" x14ac:dyDescent="0.15">
      <c r="A1103" s="38" t="s">
        <v>2450</v>
      </c>
      <c r="B1103" s="32"/>
      <c r="C1103" s="32"/>
      <c r="D1103" s="32"/>
      <c r="E1103" s="32"/>
      <c r="F1103" s="43"/>
      <c r="K1103" s="3" t="s">
        <v>2450</v>
      </c>
    </row>
    <row r="1104" spans="1:34" ht="18.399999999999999" customHeight="1" x14ac:dyDescent="0.15">
      <c r="A1104" s="40" t="str">
        <f>CONCATENATE(" ○ 1일 시공량 :  A=",TEXT($AB1104,"#,##0.00")," ㎡/일")</f>
        <v xml:space="preserve"> ○ 1일 시공량 :  A=4,500.00 ㎡/일</v>
      </c>
      <c r="B1104" s="32"/>
      <c r="C1104" s="32"/>
      <c r="D1104" s="32"/>
      <c r="E1104" s="32"/>
      <c r="F1104" s="43"/>
      <c r="K1104" s="10" t="str">
        <f>SUBSTITUTE(SUBSTITUTE("_x001D_○ 1일 시공량 :_x001D_ A = 4500_x001D_㎡/일_x001D_","4500",TEXT($AB1104,"#,##0"),1),"_x001D_","'")</f>
        <v>'○ 1일 시공량 :' A = 4,500'㎡/일'</v>
      </c>
      <c r="AA1104" s="36" t="s">
        <v>430</v>
      </c>
      <c r="AB1104" s="6">
        <v>4500</v>
      </c>
      <c r="AC1104" s="36" t="s">
        <v>430</v>
      </c>
      <c r="AD1104" s="7">
        <f>$AB1104</f>
        <v>4500</v>
      </c>
    </row>
    <row r="1105" spans="1:38" ht="18.399999999999999" customHeight="1" x14ac:dyDescent="0.15">
      <c r="A1105" s="38" t="s">
        <v>2450</v>
      </c>
      <c r="B1105" s="32"/>
      <c r="C1105" s="32"/>
      <c r="D1105" s="32"/>
      <c r="E1105" s="32"/>
      <c r="F1105" s="43"/>
      <c r="K1105" s="3" t="s">
        <v>2450</v>
      </c>
    </row>
    <row r="1106" spans="1:38" ht="18.399999999999999" customHeight="1" x14ac:dyDescent="0.15">
      <c r="A1106" s="40" t="str">
        <f>CONCATENATE(" ○ 1시간 작업량 :  Q = ",TEXT($AB1106,"#,##0.00")," / 8 hr  =",TEXT($AJ1106,"#,##0.00")," ㎡/hr ")</f>
        <v xml:space="preserve"> ○ 1시간 작업량 :  Q = 4,500.00 / 8 hr  =562.50 ㎡/hr </v>
      </c>
      <c r="B1106" s="32">
        <f>SUM($C1106,$D1106,$E1106)</f>
        <v>0</v>
      </c>
      <c r="C1106" s="32"/>
      <c r="D1106" s="32"/>
      <c r="E1106" s="32"/>
      <c r="F1106" s="43"/>
      <c r="K1106" s="3" t="s">
        <v>1883</v>
      </c>
      <c r="AA1106" s="36" t="s">
        <v>1140</v>
      </c>
      <c r="AB1106" s="8">
        <f>$AD1104</f>
        <v>4500</v>
      </c>
      <c r="AC1106" s="36" t="s">
        <v>2449</v>
      </c>
      <c r="AD1106" s="7">
        <f>$AB1106</f>
        <v>4500</v>
      </c>
      <c r="AE1106" s="36" t="s">
        <v>461</v>
      </c>
      <c r="AF1106" s="8">
        <f>ROUND($AD1106/8,2)</f>
        <v>562.5</v>
      </c>
      <c r="AG1106" s="36" t="s">
        <v>1686</v>
      </c>
      <c r="AH1106" s="7">
        <f>$AF1106</f>
        <v>562.5</v>
      </c>
      <c r="AI1106" s="36" t="s">
        <v>1580</v>
      </c>
      <c r="AJ1106" s="8">
        <f>ROUND(ROUND($AD1106/8,2),2)</f>
        <v>562.5</v>
      </c>
      <c r="AK1106" s="36" t="s">
        <v>165</v>
      </c>
      <c r="AL1106" s="7">
        <f>$AJ1106</f>
        <v>562.5</v>
      </c>
    </row>
    <row r="1107" spans="1:38" ht="18.399999999999999" customHeight="1" x14ac:dyDescent="0.15">
      <c r="A1107" s="38" t="s">
        <v>2450</v>
      </c>
      <c r="B1107" s="32"/>
      <c r="C1107" s="32"/>
      <c r="D1107" s="32"/>
      <c r="E1107" s="32"/>
      <c r="F1107" s="43"/>
      <c r="K1107" s="3" t="s">
        <v>2450</v>
      </c>
    </row>
    <row r="1108" spans="1:38" ht="18.399999999999999" customHeight="1" x14ac:dyDescent="0.15">
      <c r="A1108" s="38" t="s">
        <v>1033</v>
      </c>
      <c r="B1108" s="32"/>
      <c r="C1108" s="32"/>
      <c r="D1108" s="32"/>
      <c r="E1108" s="32"/>
      <c r="F1108" s="43"/>
      <c r="K1108" s="3" t="s">
        <v>1033</v>
      </c>
    </row>
    <row r="1109" spans="1:38" ht="18.399999999999999" customHeight="1" x14ac:dyDescent="0.15">
      <c r="A1109" s="38" t="s">
        <v>2450</v>
      </c>
      <c r="B1109" s="32"/>
      <c r="C1109" s="32"/>
      <c r="D1109" s="32"/>
      <c r="E1109" s="32"/>
      <c r="F1109" s="43"/>
      <c r="K1109" s="3" t="s">
        <v>2450</v>
      </c>
    </row>
    <row r="1110" spans="1:38" ht="18.399999999999999" customHeight="1" x14ac:dyDescent="0.15">
      <c r="A1110" s="40" t="str">
        <f>CONCATENATE("    포 장 공 :  4.0 인  / ",TEXT($AB1110,"#,##0.00")," * _x001D_273,308_x001D_ =",TEXT($AF1110,"#,##0.00"))</f>
        <v xml:space="preserve">    포 장 공 :  4.0 인  / 4,500.00 * _x001D_273,308_x001D_ =242.00</v>
      </c>
      <c r="B1110" s="32">
        <f>SUM($C1110,$D1110,$E1110)</f>
        <v>242</v>
      </c>
      <c r="C1110" s="32"/>
      <c r="D1110" s="32">
        <f>$AF1110</f>
        <v>242</v>
      </c>
      <c r="E1110" s="32"/>
      <c r="F1110" s="43" t="s">
        <v>2450</v>
      </c>
      <c r="K1110" s="3" t="s">
        <v>2331</v>
      </c>
      <c r="AA1110" s="36" t="s">
        <v>1839</v>
      </c>
      <c r="AB1110" s="8">
        <f>$AD1104</f>
        <v>4500</v>
      </c>
      <c r="AC1110" s="36" t="s">
        <v>581</v>
      </c>
      <c r="AD1110" s="7">
        <f>$AB1110</f>
        <v>4500</v>
      </c>
      <c r="AE1110" s="37" t="s">
        <v>265</v>
      </c>
      <c r="AF1110" s="8">
        <f>TRUNC(4/$AD1110*노임!D6,0)</f>
        <v>242</v>
      </c>
      <c r="AG1110" s="37" t="s">
        <v>972</v>
      </c>
      <c r="AH1110" s="7">
        <f>$AF1110</f>
        <v>242</v>
      </c>
    </row>
    <row r="1111" spans="1:38" ht="18.399999999999999" customHeight="1" x14ac:dyDescent="0.15">
      <c r="A1111" s="38" t="s">
        <v>2450</v>
      </c>
      <c r="B1111" s="32"/>
      <c r="C1111" s="32"/>
      <c r="D1111" s="32"/>
      <c r="E1111" s="32"/>
      <c r="F1111" s="43"/>
      <c r="K1111" s="3" t="s">
        <v>2450</v>
      </c>
    </row>
    <row r="1112" spans="1:38" ht="18.399999999999999" customHeight="1" x14ac:dyDescent="0.15">
      <c r="A1112" s="40" t="str">
        <f>CONCATENATE("    보통인부 :  1.0 인  / ",TEXT($AB1112,"#,##0.00")," * _x001D_172,068_x001D_ =",TEXT($AF1112,"#,##0.00"))</f>
        <v xml:space="preserve">    보통인부 :  1.0 인  / 4,500.00 * _x001D_172,068_x001D_ =38.00</v>
      </c>
      <c r="B1112" s="32">
        <f>SUM($C1112,$D1112,$E1112)</f>
        <v>38</v>
      </c>
      <c r="C1112" s="32"/>
      <c r="D1112" s="32">
        <f>$AF1112</f>
        <v>38</v>
      </c>
      <c r="E1112" s="32"/>
      <c r="F1112" s="43" t="s">
        <v>2450</v>
      </c>
      <c r="K1112" s="3" t="s">
        <v>789</v>
      </c>
      <c r="AA1112" s="36" t="s">
        <v>676</v>
      </c>
      <c r="AB1112" s="8">
        <f>$AD1104</f>
        <v>4500</v>
      </c>
      <c r="AC1112" s="36" t="s">
        <v>702</v>
      </c>
      <c r="AD1112" s="7">
        <f>$AB1112</f>
        <v>4500</v>
      </c>
      <c r="AE1112" s="37" t="s">
        <v>265</v>
      </c>
      <c r="AF1112" s="8">
        <f>TRUNC(1/$AD1112*노임!D10,0)</f>
        <v>38</v>
      </c>
      <c r="AG1112" s="37" t="s">
        <v>972</v>
      </c>
      <c r="AH1112" s="7">
        <f>$AH1110+$AF1112</f>
        <v>280</v>
      </c>
    </row>
    <row r="1113" spans="1:38" ht="18.399999999999999" customHeight="1" x14ac:dyDescent="0.15">
      <c r="A1113" s="38" t="s">
        <v>2450</v>
      </c>
      <c r="B1113" s="32"/>
      <c r="C1113" s="32"/>
      <c r="D1113" s="32"/>
      <c r="E1113" s="32"/>
      <c r="F1113" s="43"/>
      <c r="K1113" s="3" t="s">
        <v>2450</v>
      </c>
    </row>
    <row r="1114" spans="1:38" ht="18.399999999999999" customHeight="1" x14ac:dyDescent="0.15">
      <c r="A1114" s="38" t="s">
        <v>293</v>
      </c>
      <c r="B1114" s="34">
        <f>SUM($C1114,$D1114,$E1114)</f>
        <v>280</v>
      </c>
      <c r="C1114" s="34">
        <f>$AB1114</f>
        <v>0</v>
      </c>
      <c r="D1114" s="34">
        <f>$AD1114</f>
        <v>280</v>
      </c>
      <c r="E1114" s="34">
        <f>$AF1114</f>
        <v>0</v>
      </c>
      <c r="F1114" s="45"/>
      <c r="K1114" s="3" t="s">
        <v>317</v>
      </c>
      <c r="AC1114" s="36" t="s">
        <v>2036</v>
      </c>
      <c r="AD1114" s="7">
        <f>$AH1112</f>
        <v>280</v>
      </c>
    </row>
    <row r="1115" spans="1:38" ht="18.399999999999999" customHeight="1" x14ac:dyDescent="0.15">
      <c r="A1115" s="38" t="s">
        <v>2450</v>
      </c>
      <c r="B1115" s="32"/>
      <c r="C1115" s="32"/>
      <c r="D1115" s="32"/>
      <c r="E1115" s="32"/>
      <c r="F1115" s="43"/>
      <c r="K1115" s="3" t="s">
        <v>2450</v>
      </c>
    </row>
    <row r="1116" spans="1:38" ht="18.399999999999999" customHeight="1" x14ac:dyDescent="0.15">
      <c r="A1116" s="38" t="s">
        <v>1</v>
      </c>
      <c r="B1116" s="32"/>
      <c r="C1116" s="32"/>
      <c r="D1116" s="32"/>
      <c r="E1116" s="32"/>
      <c r="F1116" s="43"/>
      <c r="K1116" s="3" t="s">
        <v>1</v>
      </c>
    </row>
    <row r="1117" spans="1:38" ht="18.399999999999999" customHeight="1" x14ac:dyDescent="0.15">
      <c r="A1117" s="38" t="s">
        <v>2450</v>
      </c>
      <c r="B1117" s="32"/>
      <c r="C1117" s="32"/>
      <c r="D1117" s="32"/>
      <c r="E1117" s="32"/>
      <c r="F1117" s="43"/>
      <c r="K1117" s="3" t="s">
        <v>2450</v>
      </c>
    </row>
    <row r="1118" spans="1:38" ht="18.399999999999999" customHeight="1" x14ac:dyDescent="0.15">
      <c r="A1118" s="40" t="str">
        <f>CONCATENATE("    재 료 비 :  _x001D_22,116_x001D_ / ",TEXT($AB1118,"#,##0.00")," =",TEXT($AF1118,"#,##0.00"))</f>
        <v xml:space="preserve">    재 료 비 :  _x001D_22,116_x001D_ / 562.50 =39.00</v>
      </c>
      <c r="B1118" s="32">
        <f>SUM($C1118,$D1118,$E1118)</f>
        <v>39</v>
      </c>
      <c r="C1118" s="32">
        <f>$AF1118</f>
        <v>39</v>
      </c>
      <c r="D1118" s="32"/>
      <c r="E1118" s="32"/>
      <c r="F1118" s="43" t="s">
        <v>2450</v>
      </c>
      <c r="K1118" s="3" t="s">
        <v>170</v>
      </c>
      <c r="AA1118" s="36" t="s">
        <v>2080</v>
      </c>
      <c r="AB1118" s="8">
        <f>$AH1106</f>
        <v>562.5</v>
      </c>
      <c r="AC1118" s="36" t="s">
        <v>1350</v>
      </c>
      <c r="AD1118" s="7">
        <f>$AB1118</f>
        <v>562.5</v>
      </c>
      <c r="AE1118" s="37" t="s">
        <v>1805</v>
      </c>
      <c r="AF1118" s="8">
        <f>TRUNC(중기사용료목록!E22/$AD1118,0)</f>
        <v>39</v>
      </c>
      <c r="AG1118" s="37" t="s">
        <v>2021</v>
      </c>
      <c r="AH1118" s="7">
        <f>$AF1118</f>
        <v>39</v>
      </c>
    </row>
    <row r="1119" spans="1:38" ht="18.399999999999999" customHeight="1" x14ac:dyDescent="0.15">
      <c r="A1119" s="38" t="s">
        <v>2450</v>
      </c>
      <c r="B1119" s="32"/>
      <c r="C1119" s="32"/>
      <c r="D1119" s="32"/>
      <c r="E1119" s="32"/>
      <c r="F1119" s="43"/>
      <c r="K1119" s="3" t="s">
        <v>2450</v>
      </c>
    </row>
    <row r="1120" spans="1:38" ht="18.399999999999999" customHeight="1" x14ac:dyDescent="0.15">
      <c r="A1120" s="40" t="str">
        <f>CONCATENATE("    노 무 비 :  _x001D_59,020_x001D_ / ",TEXT($AB1120,"#,##0.00")," =",TEXT($AF1120,"#,##0.00"))</f>
        <v xml:space="preserve">    노 무 비 :  _x001D_59,020_x001D_ / 562.50 =104.00</v>
      </c>
      <c r="B1120" s="32">
        <f>SUM($C1120,$D1120,$E1120)</f>
        <v>104</v>
      </c>
      <c r="C1120" s="32"/>
      <c r="D1120" s="32">
        <f>$AF1120</f>
        <v>104</v>
      </c>
      <c r="E1120" s="32"/>
      <c r="F1120" s="43" t="s">
        <v>2450</v>
      </c>
      <c r="K1120" s="3" t="s">
        <v>1372</v>
      </c>
      <c r="AA1120" s="36" t="s">
        <v>1834</v>
      </c>
      <c r="AB1120" s="8">
        <f>$AH1106</f>
        <v>562.5</v>
      </c>
      <c r="AC1120" s="36" t="s">
        <v>2435</v>
      </c>
      <c r="AD1120" s="7">
        <f>$AB1120</f>
        <v>562.5</v>
      </c>
      <c r="AE1120" s="37" t="s">
        <v>265</v>
      </c>
      <c r="AF1120" s="8">
        <f>TRUNC(중기사용료목록!F22/$AD1120,0)</f>
        <v>104</v>
      </c>
      <c r="AG1120" s="37" t="s">
        <v>972</v>
      </c>
      <c r="AH1120" s="7">
        <f>$AH1112+$AF1120</f>
        <v>384</v>
      </c>
    </row>
    <row r="1121" spans="1:34" ht="18.399999999999999" customHeight="1" x14ac:dyDescent="0.15">
      <c r="A1121" s="38" t="s">
        <v>2450</v>
      </c>
      <c r="B1121" s="32"/>
      <c r="C1121" s="32"/>
      <c r="D1121" s="32"/>
      <c r="E1121" s="32"/>
      <c r="F1121" s="43"/>
      <c r="K1121" s="3" t="s">
        <v>2450</v>
      </c>
    </row>
    <row r="1122" spans="1:34" ht="18.399999999999999" customHeight="1" x14ac:dyDescent="0.15">
      <c r="A1122" s="40" t="str">
        <f>CONCATENATE("    경    비 :  _x001D_59,141_x001D_ / ",TEXT($AB1122,"#,##0.00")," =",TEXT($AF1122,"#,##0.00"))</f>
        <v xml:space="preserve">    경    비 :  _x001D_59,141_x001D_ / 562.50 =105.00</v>
      </c>
      <c r="B1122" s="32">
        <f>SUM($C1122,$D1122,$E1122)</f>
        <v>105</v>
      </c>
      <c r="C1122" s="32"/>
      <c r="D1122" s="32"/>
      <c r="E1122" s="32">
        <f>$AF1122</f>
        <v>105</v>
      </c>
      <c r="F1122" s="43" t="s">
        <v>2450</v>
      </c>
      <c r="K1122" s="3" t="s">
        <v>1690</v>
      </c>
      <c r="AA1122" s="36" t="s">
        <v>704</v>
      </c>
      <c r="AB1122" s="8">
        <f>$AH1106</f>
        <v>562.5</v>
      </c>
      <c r="AC1122" s="36" t="s">
        <v>1248</v>
      </c>
      <c r="AD1122" s="7">
        <f>$AB1122</f>
        <v>562.5</v>
      </c>
      <c r="AE1122" s="37" t="s">
        <v>815</v>
      </c>
      <c r="AF1122" s="8">
        <f>TRUNC(중기사용료목록!G22/$AD1122,0)</f>
        <v>105</v>
      </c>
      <c r="AG1122" s="37" t="s">
        <v>1302</v>
      </c>
      <c r="AH1122" s="7">
        <f>$AF1122</f>
        <v>105</v>
      </c>
    </row>
    <row r="1123" spans="1:34" ht="18.399999999999999" customHeight="1" x14ac:dyDescent="0.15">
      <c r="A1123" s="38" t="s">
        <v>2450</v>
      </c>
      <c r="B1123" s="32"/>
      <c r="C1123" s="32"/>
      <c r="D1123" s="32"/>
      <c r="E1123" s="32"/>
      <c r="F1123" s="43"/>
      <c r="K1123" s="3" t="s">
        <v>2450</v>
      </c>
    </row>
    <row r="1124" spans="1:34" ht="18.399999999999999" customHeight="1" x14ac:dyDescent="0.15">
      <c r="A1124" s="38" t="s">
        <v>293</v>
      </c>
      <c r="B1124" s="34">
        <f>SUM($C1124,$D1124,$E1124)</f>
        <v>248</v>
      </c>
      <c r="C1124" s="34">
        <f>$AB1124</f>
        <v>39</v>
      </c>
      <c r="D1124" s="34">
        <f>$AD1124</f>
        <v>104</v>
      </c>
      <c r="E1124" s="34">
        <f>$AF1124</f>
        <v>105</v>
      </c>
      <c r="F1124" s="45"/>
      <c r="K1124" s="3" t="s">
        <v>317</v>
      </c>
      <c r="AA1124" s="36" t="s">
        <v>989</v>
      </c>
      <c r="AB1124" s="7">
        <f>$AH1118</f>
        <v>39</v>
      </c>
      <c r="AC1124" s="36" t="s">
        <v>2036</v>
      </c>
      <c r="AD1124" s="7">
        <f>$AH1120-$AH1112</f>
        <v>104</v>
      </c>
      <c r="AE1124" s="36" t="s">
        <v>579</v>
      </c>
      <c r="AF1124" s="7">
        <f>$AH1122</f>
        <v>105</v>
      </c>
    </row>
    <row r="1125" spans="1:34" ht="18.399999999999999" customHeight="1" x14ac:dyDescent="0.15">
      <c r="A1125" s="38" t="s">
        <v>2450</v>
      </c>
      <c r="B1125" s="32"/>
      <c r="C1125" s="32"/>
      <c r="D1125" s="32"/>
      <c r="E1125" s="32"/>
      <c r="F1125" s="43"/>
      <c r="K1125" s="3" t="s">
        <v>2450</v>
      </c>
    </row>
    <row r="1126" spans="1:34" ht="18.399999999999999" customHeight="1" x14ac:dyDescent="0.15">
      <c r="A1126" s="38" t="s">
        <v>1082</v>
      </c>
      <c r="B1126" s="32"/>
      <c r="C1126" s="32"/>
      <c r="D1126" s="32"/>
      <c r="E1126" s="32"/>
      <c r="F1126" s="43"/>
      <c r="K1126" s="3" t="s">
        <v>1082</v>
      </c>
    </row>
    <row r="1127" spans="1:34" ht="18.399999999999999" customHeight="1" x14ac:dyDescent="0.15">
      <c r="A1127" s="38" t="s">
        <v>2450</v>
      </c>
      <c r="B1127" s="32"/>
      <c r="C1127" s="32"/>
      <c r="D1127" s="32"/>
      <c r="E1127" s="32"/>
      <c r="F1127" s="43"/>
      <c r="K1127" s="3" t="s">
        <v>2450</v>
      </c>
    </row>
    <row r="1128" spans="1:34" ht="18.399999999999999" customHeight="1" x14ac:dyDescent="0.15">
      <c r="A1128" s="38" t="s">
        <v>1436</v>
      </c>
      <c r="B1128" s="32"/>
      <c r="C1128" s="32"/>
      <c r="D1128" s="32"/>
      <c r="E1128" s="32"/>
      <c r="F1128" s="43"/>
      <c r="K1128" s="3" t="s">
        <v>1436</v>
      </c>
    </row>
    <row r="1129" spans="1:34" ht="18.399999999999999" customHeight="1" x14ac:dyDescent="0.15">
      <c r="A1129" s="38" t="s">
        <v>2450</v>
      </c>
      <c r="B1129" s="32"/>
      <c r="C1129" s="32"/>
      <c r="D1129" s="32"/>
      <c r="E1129" s="32"/>
      <c r="F1129" s="43"/>
      <c r="K1129" s="3" t="s">
        <v>2450</v>
      </c>
    </row>
    <row r="1130" spans="1:34" ht="18.399999999999999" customHeight="1" x14ac:dyDescent="0.15">
      <c r="A1130" s="40" t="str">
        <f>CONCATENATE("    재 료 비 :  _x001D_17,448_x001D_ / ",TEXT($AB1130,"#,##0.00")," =",TEXT($AF1130,"#,##0.00"))</f>
        <v xml:space="preserve">    재 료 비 :  _x001D_17,448_x001D_ / 562.50 =31.00</v>
      </c>
      <c r="B1130" s="32">
        <f>SUM($C1130,$D1130,$E1130)</f>
        <v>31</v>
      </c>
      <c r="C1130" s="32">
        <f>$AF1130</f>
        <v>31</v>
      </c>
      <c r="D1130" s="32"/>
      <c r="E1130" s="32"/>
      <c r="F1130" s="43" t="s">
        <v>2450</v>
      </c>
      <c r="K1130" s="3" t="s">
        <v>882</v>
      </c>
      <c r="AA1130" s="36" t="s">
        <v>2443</v>
      </c>
      <c r="AB1130" s="8">
        <f>$AH1106</f>
        <v>562.5</v>
      </c>
      <c r="AC1130" s="36" t="s">
        <v>1786</v>
      </c>
      <c r="AD1130" s="7">
        <f>$AB1130</f>
        <v>562.5</v>
      </c>
      <c r="AE1130" s="37" t="s">
        <v>1805</v>
      </c>
      <c r="AF1130" s="8">
        <f>TRUNC(중기사용료목록!E13/$AD1130,0)</f>
        <v>31</v>
      </c>
      <c r="AG1130" s="37" t="s">
        <v>2021</v>
      </c>
      <c r="AH1130" s="7">
        <f>$AH1118+$AF1130</f>
        <v>70</v>
      </c>
    </row>
    <row r="1131" spans="1:34" ht="18.399999999999999" customHeight="1" x14ac:dyDescent="0.15">
      <c r="A1131" s="38" t="s">
        <v>2450</v>
      </c>
      <c r="B1131" s="32"/>
      <c r="C1131" s="32"/>
      <c r="D1131" s="32"/>
      <c r="E1131" s="32"/>
      <c r="F1131" s="43"/>
      <c r="K1131" s="3" t="s">
        <v>2450</v>
      </c>
    </row>
    <row r="1132" spans="1:34" ht="18.399999999999999" customHeight="1" x14ac:dyDescent="0.15">
      <c r="A1132" s="40" t="str">
        <f>CONCATENATE("    노 무 비 :  _x001D_59,020_x001D_ / ",TEXT($AB1132,"#,##0.00")," =",TEXT($AF1132,"#,##0.00"))</f>
        <v xml:space="preserve">    노 무 비 :  _x001D_59,020_x001D_ / 562.50 =104.00</v>
      </c>
      <c r="B1132" s="32">
        <f>SUM($C1132,$D1132,$E1132)</f>
        <v>104</v>
      </c>
      <c r="C1132" s="32"/>
      <c r="D1132" s="32">
        <f>$AF1132</f>
        <v>104</v>
      </c>
      <c r="E1132" s="32"/>
      <c r="F1132" s="43" t="s">
        <v>2450</v>
      </c>
      <c r="K1132" s="3" t="s">
        <v>2090</v>
      </c>
      <c r="AA1132" s="36" t="s">
        <v>1172</v>
      </c>
      <c r="AB1132" s="8">
        <f>$AH1106</f>
        <v>562.5</v>
      </c>
      <c r="AC1132" s="36" t="s">
        <v>1816</v>
      </c>
      <c r="AD1132" s="7">
        <f>$AB1132</f>
        <v>562.5</v>
      </c>
      <c r="AE1132" s="37" t="s">
        <v>265</v>
      </c>
      <c r="AF1132" s="8">
        <f>TRUNC(중기사용료목록!F13/$AD1132,0)</f>
        <v>104</v>
      </c>
      <c r="AG1132" s="37" t="s">
        <v>972</v>
      </c>
      <c r="AH1132" s="7">
        <f>$AH1120+$AF1132</f>
        <v>488</v>
      </c>
    </row>
    <row r="1133" spans="1:34" ht="18.399999999999999" customHeight="1" x14ac:dyDescent="0.15">
      <c r="A1133" s="38" t="s">
        <v>2450</v>
      </c>
      <c r="B1133" s="32"/>
      <c r="C1133" s="32"/>
      <c r="D1133" s="32"/>
      <c r="E1133" s="32"/>
      <c r="F1133" s="43"/>
      <c r="K1133" s="3" t="s">
        <v>2450</v>
      </c>
    </row>
    <row r="1134" spans="1:34" ht="18.399999999999999" customHeight="1" x14ac:dyDescent="0.15">
      <c r="A1134" s="40" t="str">
        <f>CONCATENATE("    경    비 :  _x001D_12,857_x001D_ / ",TEXT($AB1134,"#,##0.00")," =",TEXT($AF1134,"#,##0.00"))</f>
        <v xml:space="preserve">    경    비 :  _x001D_12,857_x001D_ / 562.50 =22.00</v>
      </c>
      <c r="B1134" s="32">
        <f>SUM($C1134,$D1134,$E1134)</f>
        <v>22</v>
      </c>
      <c r="C1134" s="32"/>
      <c r="D1134" s="32"/>
      <c r="E1134" s="32">
        <f>$AF1134</f>
        <v>22</v>
      </c>
      <c r="F1134" s="43" t="s">
        <v>2450</v>
      </c>
      <c r="K1134" s="3" t="s">
        <v>2382</v>
      </c>
      <c r="AA1134" s="36" t="s">
        <v>2323</v>
      </c>
      <c r="AB1134" s="8">
        <f>$AH1106</f>
        <v>562.5</v>
      </c>
      <c r="AC1134" s="36" t="s">
        <v>711</v>
      </c>
      <c r="AD1134" s="7">
        <f>$AB1134</f>
        <v>562.5</v>
      </c>
      <c r="AE1134" s="37" t="s">
        <v>815</v>
      </c>
      <c r="AF1134" s="8">
        <f>TRUNC(중기사용료목록!G13/$AD1134,0)</f>
        <v>22</v>
      </c>
      <c r="AG1134" s="37" t="s">
        <v>1302</v>
      </c>
      <c r="AH1134" s="7">
        <f>$AH1122+$AF1134</f>
        <v>127</v>
      </c>
    </row>
    <row r="1135" spans="1:34" ht="18.399999999999999" customHeight="1" x14ac:dyDescent="0.15">
      <c r="A1135" s="38" t="s">
        <v>2450</v>
      </c>
      <c r="B1135" s="32"/>
      <c r="C1135" s="32"/>
      <c r="D1135" s="32"/>
      <c r="E1135" s="32"/>
      <c r="F1135" s="43"/>
      <c r="K1135" s="3" t="s">
        <v>2450</v>
      </c>
    </row>
    <row r="1136" spans="1:34" ht="18.399999999999999" customHeight="1" x14ac:dyDescent="0.15">
      <c r="A1136" s="38" t="s">
        <v>1325</v>
      </c>
      <c r="B1136" s="33">
        <f>SUM($C1136,$D1136,$E1136)</f>
        <v>157</v>
      </c>
      <c r="C1136" s="33">
        <f>$AB1136</f>
        <v>31</v>
      </c>
      <c r="D1136" s="33">
        <f>$AD1136</f>
        <v>104</v>
      </c>
      <c r="E1136" s="33">
        <f>$AF1136</f>
        <v>22</v>
      </c>
      <c r="F1136" s="44"/>
      <c r="K1136" s="3" t="s">
        <v>1477</v>
      </c>
      <c r="AA1136" s="36" t="s">
        <v>1729</v>
      </c>
      <c r="AB1136" s="7">
        <f>$AH1130-$AH1118</f>
        <v>31</v>
      </c>
      <c r="AC1136" s="36" t="s">
        <v>71</v>
      </c>
      <c r="AD1136" s="7">
        <f>$AH1132-$AH1120</f>
        <v>104</v>
      </c>
      <c r="AE1136" s="36" t="s">
        <v>2236</v>
      </c>
      <c r="AF1136" s="7">
        <f>$AH1134-$AH1122</f>
        <v>22</v>
      </c>
    </row>
    <row r="1137" spans="1:34" ht="18.399999999999999" customHeight="1" x14ac:dyDescent="0.15">
      <c r="A1137" s="38" t="s">
        <v>2450</v>
      </c>
      <c r="B1137" s="32"/>
      <c r="C1137" s="32"/>
      <c r="D1137" s="32"/>
      <c r="E1137" s="32"/>
      <c r="F1137" s="43"/>
      <c r="K1137" s="3" t="s">
        <v>2450</v>
      </c>
    </row>
    <row r="1138" spans="1:34" ht="18.399999999999999" customHeight="1" x14ac:dyDescent="0.15">
      <c r="A1138" s="38" t="s">
        <v>99</v>
      </c>
      <c r="B1138" s="32"/>
      <c r="C1138" s="32"/>
      <c r="D1138" s="32"/>
      <c r="E1138" s="32"/>
      <c r="F1138" s="43"/>
      <c r="K1138" s="3" t="s">
        <v>99</v>
      </c>
    </row>
    <row r="1139" spans="1:34" ht="18.399999999999999" customHeight="1" x14ac:dyDescent="0.15">
      <c r="A1139" s="38" t="s">
        <v>2450</v>
      </c>
      <c r="B1139" s="32"/>
      <c r="C1139" s="32"/>
      <c r="D1139" s="32"/>
      <c r="E1139" s="32"/>
      <c r="F1139" s="43"/>
      <c r="K1139" s="3" t="s">
        <v>2450</v>
      </c>
    </row>
    <row r="1140" spans="1:34" ht="18.399999999999999" customHeight="1" x14ac:dyDescent="0.15">
      <c r="A1140" s="40" t="str">
        <f>CONCATENATE("    재 료 비 :  _x001D_15,645_x001D_ / ",TEXT($AB1140,"#,##0.00")," =",TEXT($AF1140,"#,##0.00"))</f>
        <v xml:space="preserve">    재 료 비 :  _x001D_15,645_x001D_ / 562.50 =27.00</v>
      </c>
      <c r="B1140" s="32">
        <f>SUM($C1140,$D1140,$E1140)</f>
        <v>27</v>
      </c>
      <c r="C1140" s="32">
        <f>$AF1140</f>
        <v>27</v>
      </c>
      <c r="D1140" s="32"/>
      <c r="E1140" s="32"/>
      <c r="F1140" s="43" t="s">
        <v>2450</v>
      </c>
      <c r="K1140" s="3" t="s">
        <v>370</v>
      </c>
      <c r="AA1140" s="36" t="s">
        <v>1269</v>
      </c>
      <c r="AB1140" s="8">
        <f>$AH1106</f>
        <v>562.5</v>
      </c>
      <c r="AC1140" s="36" t="s">
        <v>1118</v>
      </c>
      <c r="AD1140" s="7">
        <f>$AB1140</f>
        <v>562.5</v>
      </c>
      <c r="AE1140" s="37" t="s">
        <v>1805</v>
      </c>
      <c r="AF1140" s="8">
        <f>TRUNC(중기사용료목록!E18/$AD1140,0)</f>
        <v>27</v>
      </c>
      <c r="AG1140" s="37" t="s">
        <v>2021</v>
      </c>
      <c r="AH1140" s="7">
        <f>$AH1130+$AF1140</f>
        <v>97</v>
      </c>
    </row>
    <row r="1141" spans="1:34" ht="18.399999999999999" customHeight="1" x14ac:dyDescent="0.15">
      <c r="A1141" s="38" t="s">
        <v>2450</v>
      </c>
      <c r="B1141" s="32"/>
      <c r="C1141" s="32"/>
      <c r="D1141" s="32"/>
      <c r="E1141" s="32"/>
      <c r="F1141" s="43"/>
      <c r="K1141" s="3" t="s">
        <v>2450</v>
      </c>
    </row>
    <row r="1142" spans="1:34" ht="18.399999999999999" customHeight="1" x14ac:dyDescent="0.15">
      <c r="A1142" s="40" t="str">
        <f>CONCATENATE("    노 무 비 :  _x001D_59,020_x001D_ / ",TEXT($AB1142,"#,##0.00")," =",TEXT($AF1142,"#,##0.00"))</f>
        <v xml:space="preserve">    노 무 비 :  _x001D_59,020_x001D_ / 562.50 =104.00</v>
      </c>
      <c r="B1142" s="32">
        <f>SUM($C1142,$D1142,$E1142)</f>
        <v>104</v>
      </c>
      <c r="C1142" s="32"/>
      <c r="D1142" s="32">
        <f>$AF1142</f>
        <v>104</v>
      </c>
      <c r="E1142" s="32"/>
      <c r="F1142" s="43" t="s">
        <v>2450</v>
      </c>
      <c r="K1142" s="3" t="s">
        <v>1567</v>
      </c>
      <c r="AA1142" s="36" t="s">
        <v>5</v>
      </c>
      <c r="AB1142" s="8">
        <f>$AH1106</f>
        <v>562.5</v>
      </c>
      <c r="AC1142" s="36" t="s">
        <v>88</v>
      </c>
      <c r="AD1142" s="7">
        <f>$AB1142</f>
        <v>562.5</v>
      </c>
      <c r="AE1142" s="37" t="s">
        <v>265</v>
      </c>
      <c r="AF1142" s="8">
        <f>TRUNC(중기사용료목록!F18/$AD1142,0)</f>
        <v>104</v>
      </c>
      <c r="AG1142" s="37" t="s">
        <v>972</v>
      </c>
      <c r="AH1142" s="7">
        <f>$AH1132+$AF1142</f>
        <v>592</v>
      </c>
    </row>
    <row r="1143" spans="1:34" ht="18.399999999999999" customHeight="1" x14ac:dyDescent="0.15">
      <c r="A1143" s="38" t="s">
        <v>2450</v>
      </c>
      <c r="B1143" s="32"/>
      <c r="C1143" s="32"/>
      <c r="D1143" s="32"/>
      <c r="E1143" s="32"/>
      <c r="F1143" s="43"/>
      <c r="K1143" s="3" t="s">
        <v>2450</v>
      </c>
    </row>
    <row r="1144" spans="1:34" ht="18.399999999999999" customHeight="1" x14ac:dyDescent="0.15">
      <c r="A1144" s="40" t="str">
        <f>CONCATENATE("    경    비 :  _x001D_19,136_x001D_ / ",TEXT($AB1144,"#,##0.00")," =",TEXT($AF1144,"#,##0.00"))</f>
        <v xml:space="preserve">    경    비 :  _x001D_19,136_x001D_ / 562.50 =34.00</v>
      </c>
      <c r="B1144" s="32">
        <f>SUM($C1144,$D1144,$E1144)</f>
        <v>34</v>
      </c>
      <c r="C1144" s="32"/>
      <c r="D1144" s="32"/>
      <c r="E1144" s="32">
        <f>$AF1144</f>
        <v>34</v>
      </c>
      <c r="F1144" s="43" t="s">
        <v>2450</v>
      </c>
      <c r="K1144" s="3" t="s">
        <v>1275</v>
      </c>
      <c r="AA1144" s="36" t="s">
        <v>1299</v>
      </c>
      <c r="AB1144" s="8">
        <f>$AH1106</f>
        <v>562.5</v>
      </c>
      <c r="AC1144" s="36" t="s">
        <v>1351</v>
      </c>
      <c r="AD1144" s="7">
        <f>$AB1144</f>
        <v>562.5</v>
      </c>
      <c r="AE1144" s="37" t="s">
        <v>815</v>
      </c>
      <c r="AF1144" s="8">
        <f>TRUNC(중기사용료목록!G18/$AD1144,0)</f>
        <v>34</v>
      </c>
      <c r="AG1144" s="37" t="s">
        <v>1302</v>
      </c>
      <c r="AH1144" s="7">
        <f>$AH1134+$AF1144</f>
        <v>161</v>
      </c>
    </row>
    <row r="1145" spans="1:34" ht="18.399999999999999" customHeight="1" x14ac:dyDescent="0.15">
      <c r="A1145" s="38" t="s">
        <v>2450</v>
      </c>
      <c r="B1145" s="32"/>
      <c r="C1145" s="32"/>
      <c r="D1145" s="32"/>
      <c r="E1145" s="32"/>
      <c r="F1145" s="43"/>
      <c r="K1145" s="3" t="s">
        <v>2450</v>
      </c>
    </row>
    <row r="1146" spans="1:34" ht="18.399999999999999" customHeight="1" x14ac:dyDescent="0.15">
      <c r="A1146" s="38" t="s">
        <v>1325</v>
      </c>
      <c r="B1146" s="33">
        <f>SUM($C1146,$D1146,$E1146)</f>
        <v>165</v>
      </c>
      <c r="C1146" s="33">
        <f>$AB1146</f>
        <v>27</v>
      </c>
      <c r="D1146" s="33">
        <f>$AD1146</f>
        <v>104</v>
      </c>
      <c r="E1146" s="33">
        <f>$AF1146</f>
        <v>34</v>
      </c>
      <c r="F1146" s="44"/>
      <c r="K1146" s="3" t="s">
        <v>1477</v>
      </c>
      <c r="AA1146" s="36" t="s">
        <v>1729</v>
      </c>
      <c r="AB1146" s="7">
        <f>$AH1140-$AH1130</f>
        <v>27</v>
      </c>
      <c r="AC1146" s="36" t="s">
        <v>71</v>
      </c>
      <c r="AD1146" s="7">
        <f>$AH1142-$AH1132</f>
        <v>104</v>
      </c>
      <c r="AE1146" s="36" t="s">
        <v>2236</v>
      </c>
      <c r="AF1146" s="7">
        <f>$AH1144-$AH1134</f>
        <v>34</v>
      </c>
    </row>
    <row r="1147" spans="1:34" ht="18.399999999999999" customHeight="1" x14ac:dyDescent="0.15">
      <c r="A1147" s="38" t="s">
        <v>2450</v>
      </c>
      <c r="B1147" s="32"/>
      <c r="C1147" s="32"/>
      <c r="D1147" s="32"/>
      <c r="E1147" s="32"/>
      <c r="F1147" s="43"/>
      <c r="K1147" s="3" t="s">
        <v>2450</v>
      </c>
    </row>
    <row r="1148" spans="1:34" ht="18.399999999999999" customHeight="1" x14ac:dyDescent="0.15">
      <c r="A1148" s="38" t="s">
        <v>1716</v>
      </c>
      <c r="B1148" s="32"/>
      <c r="C1148" s="32"/>
      <c r="D1148" s="32"/>
      <c r="E1148" s="32"/>
      <c r="F1148" s="43"/>
      <c r="K1148" s="3" t="s">
        <v>1716</v>
      </c>
    </row>
    <row r="1149" spans="1:34" ht="18.399999999999999" customHeight="1" x14ac:dyDescent="0.15">
      <c r="A1149" s="38" t="s">
        <v>2450</v>
      </c>
      <c r="B1149" s="32"/>
      <c r="C1149" s="32"/>
      <c r="D1149" s="32"/>
      <c r="E1149" s="32"/>
      <c r="F1149" s="43"/>
      <c r="K1149" s="3" t="s">
        <v>2450</v>
      </c>
    </row>
    <row r="1150" spans="1:34" ht="18.399999999999999" customHeight="1" x14ac:dyDescent="0.15">
      <c r="A1150" s="40" t="str">
        <f>CONCATENATE("    재 료 비 :  _x001D_9,381_x001D_ / ",TEXT($AB1150,"#,##0.00")," =",TEXT($AF1150,"#,##0.00"))</f>
        <v xml:space="preserve">    재 료 비 :  _x001D_9,381_x001D_ / 562.50 =16.00</v>
      </c>
      <c r="B1150" s="32">
        <f>SUM($C1150,$D1150,$E1150)</f>
        <v>16</v>
      </c>
      <c r="C1150" s="32">
        <f>$AF1150</f>
        <v>16</v>
      </c>
      <c r="D1150" s="32"/>
      <c r="E1150" s="32"/>
      <c r="F1150" s="43" t="s">
        <v>2450</v>
      </c>
      <c r="K1150" s="3" t="s">
        <v>1284</v>
      </c>
      <c r="AA1150" s="36" t="s">
        <v>1743</v>
      </c>
      <c r="AB1150" s="8">
        <f>$AH1106</f>
        <v>562.5</v>
      </c>
      <c r="AC1150" s="36" t="s">
        <v>540</v>
      </c>
      <c r="AD1150" s="7">
        <f>$AB1150</f>
        <v>562.5</v>
      </c>
      <c r="AE1150" s="37" t="s">
        <v>1805</v>
      </c>
      <c r="AF1150" s="8">
        <f>TRUNC(중기사용료목록!E14/$AD1150,0)</f>
        <v>16</v>
      </c>
      <c r="AG1150" s="37" t="s">
        <v>2021</v>
      </c>
      <c r="AH1150" s="7">
        <f>$AH1140+$AF1150</f>
        <v>113</v>
      </c>
    </row>
    <row r="1151" spans="1:34" ht="18.399999999999999" customHeight="1" x14ac:dyDescent="0.15">
      <c r="A1151" s="38" t="s">
        <v>2450</v>
      </c>
      <c r="B1151" s="32"/>
      <c r="C1151" s="32"/>
      <c r="D1151" s="32"/>
      <c r="E1151" s="32"/>
      <c r="F1151" s="43"/>
      <c r="K1151" s="3" t="s">
        <v>2450</v>
      </c>
    </row>
    <row r="1152" spans="1:34" ht="18.399999999999999" customHeight="1" x14ac:dyDescent="0.15">
      <c r="A1152" s="40" t="str">
        <f>CONCATENATE("    노 무 비 :  _x001D_59,020_x001D_ / ",TEXT($AB1152,"#,##0.00")," =",TEXT($AF1152,"#,##0.00"))</f>
        <v xml:space="preserve">    노 무 비 :  _x001D_59,020_x001D_ / 562.50 =104.00</v>
      </c>
      <c r="B1152" s="32">
        <f>SUM($C1152,$D1152,$E1152)</f>
        <v>104</v>
      </c>
      <c r="C1152" s="32"/>
      <c r="D1152" s="32">
        <f>$AF1152</f>
        <v>104</v>
      </c>
      <c r="E1152" s="32"/>
      <c r="F1152" s="43" t="s">
        <v>2450</v>
      </c>
      <c r="K1152" s="3" t="s">
        <v>93</v>
      </c>
      <c r="AA1152" s="36" t="s">
        <v>620</v>
      </c>
      <c r="AB1152" s="8">
        <f>$AH1106</f>
        <v>562.5</v>
      </c>
      <c r="AC1152" s="36" t="s">
        <v>739</v>
      </c>
      <c r="AD1152" s="7">
        <f>$AB1152</f>
        <v>562.5</v>
      </c>
      <c r="AE1152" s="37" t="s">
        <v>265</v>
      </c>
      <c r="AF1152" s="8">
        <f>TRUNC(중기사용료목록!F14/$AD1152,0)</f>
        <v>104</v>
      </c>
      <c r="AG1152" s="37" t="s">
        <v>972</v>
      </c>
      <c r="AH1152" s="7">
        <f>$AH1142+$AF1152</f>
        <v>696</v>
      </c>
    </row>
    <row r="1153" spans="1:34" ht="18.399999999999999" customHeight="1" x14ac:dyDescent="0.15">
      <c r="A1153" s="38" t="s">
        <v>2450</v>
      </c>
      <c r="B1153" s="32"/>
      <c r="C1153" s="32"/>
      <c r="D1153" s="32"/>
      <c r="E1153" s="32"/>
      <c r="F1153" s="43"/>
      <c r="K1153" s="3" t="s">
        <v>2450</v>
      </c>
    </row>
    <row r="1154" spans="1:34" ht="18.399999999999999" customHeight="1" x14ac:dyDescent="0.15">
      <c r="A1154" s="40" t="str">
        <f>CONCATENATE("    경    비 :  _x001D_9,037_x001D_ / ",TEXT($AB1154,"#,##0.00")," =",TEXT($AF1154,"#,##0.00"))</f>
        <v xml:space="preserve">    경    비 :  _x001D_9,037_x001D_ / 562.50 =16.00</v>
      </c>
      <c r="B1154" s="32">
        <f>SUM($C1154,$D1154,$E1154)</f>
        <v>16</v>
      </c>
      <c r="C1154" s="32"/>
      <c r="D1154" s="32"/>
      <c r="E1154" s="32">
        <f>$AF1154</f>
        <v>16</v>
      </c>
      <c r="F1154" s="43" t="s">
        <v>2450</v>
      </c>
      <c r="K1154" s="3" t="s">
        <v>398</v>
      </c>
      <c r="AA1154" s="36" t="s">
        <v>1698</v>
      </c>
      <c r="AB1154" s="8">
        <f>$AH1106</f>
        <v>562.5</v>
      </c>
      <c r="AC1154" s="36" t="s">
        <v>1946</v>
      </c>
      <c r="AD1154" s="7">
        <f>$AB1154</f>
        <v>562.5</v>
      </c>
      <c r="AE1154" s="37" t="s">
        <v>815</v>
      </c>
      <c r="AF1154" s="8">
        <f>TRUNC(중기사용료목록!G14/$AD1154,0)</f>
        <v>16</v>
      </c>
      <c r="AG1154" s="37" t="s">
        <v>1302</v>
      </c>
      <c r="AH1154" s="7">
        <f>$AH1144+$AF1154</f>
        <v>177</v>
      </c>
    </row>
    <row r="1155" spans="1:34" ht="18.399999999999999" customHeight="1" x14ac:dyDescent="0.15">
      <c r="A1155" s="38" t="s">
        <v>2450</v>
      </c>
      <c r="B1155" s="32"/>
      <c r="C1155" s="32"/>
      <c r="D1155" s="32"/>
      <c r="E1155" s="32"/>
      <c r="F1155" s="43"/>
      <c r="K1155" s="3" t="s">
        <v>2450</v>
      </c>
    </row>
    <row r="1156" spans="1:34" ht="18.399999999999999" customHeight="1" x14ac:dyDescent="0.15">
      <c r="A1156" s="38" t="s">
        <v>1325</v>
      </c>
      <c r="B1156" s="33">
        <f>SUM($C1156,$D1156,$E1156)</f>
        <v>136</v>
      </c>
      <c r="C1156" s="33">
        <f>$AB1156</f>
        <v>16</v>
      </c>
      <c r="D1156" s="33">
        <f>$AD1156</f>
        <v>104</v>
      </c>
      <c r="E1156" s="33">
        <f>$AF1156</f>
        <v>16</v>
      </c>
      <c r="F1156" s="44"/>
      <c r="K1156" s="3" t="s">
        <v>1477</v>
      </c>
      <c r="AA1156" s="36" t="s">
        <v>1729</v>
      </c>
      <c r="AB1156" s="7">
        <f>$AH1150-$AH1140</f>
        <v>16</v>
      </c>
      <c r="AC1156" s="36" t="s">
        <v>71</v>
      </c>
      <c r="AD1156" s="7">
        <f>$AH1152-$AH1142</f>
        <v>104</v>
      </c>
      <c r="AE1156" s="36" t="s">
        <v>2236</v>
      </c>
      <c r="AF1156" s="7">
        <f>$AH1154-$AH1144</f>
        <v>16</v>
      </c>
    </row>
    <row r="1157" spans="1:34" ht="18.399999999999999" customHeight="1" x14ac:dyDescent="0.15">
      <c r="A1157" s="38" t="s">
        <v>2450</v>
      </c>
      <c r="B1157" s="32"/>
      <c r="C1157" s="32"/>
      <c r="D1157" s="32"/>
      <c r="E1157" s="32"/>
      <c r="F1157" s="43"/>
      <c r="K1157" s="3" t="s">
        <v>2450</v>
      </c>
    </row>
    <row r="1158" spans="1:34" ht="18.399999999999999" customHeight="1" x14ac:dyDescent="0.15">
      <c r="A1158" s="38" t="s">
        <v>293</v>
      </c>
      <c r="B1158" s="34">
        <f>SUM($C1158,$D1158,$E1158)</f>
        <v>458</v>
      </c>
      <c r="C1158" s="34">
        <f>$AB1158</f>
        <v>74</v>
      </c>
      <c r="D1158" s="34">
        <f>$AD1158</f>
        <v>312</v>
      </c>
      <c r="E1158" s="34">
        <f>$AF1158</f>
        <v>72</v>
      </c>
      <c r="F1158" s="45"/>
      <c r="K1158" s="3" t="s">
        <v>317</v>
      </c>
      <c r="AA1158" s="36" t="s">
        <v>989</v>
      </c>
      <c r="AB1158" s="7">
        <f>$AH1150-$AH1118</f>
        <v>74</v>
      </c>
      <c r="AC1158" s="36" t="s">
        <v>2036</v>
      </c>
      <c r="AD1158" s="7">
        <f>$AH1152-$AH1120</f>
        <v>312</v>
      </c>
      <c r="AE1158" s="36" t="s">
        <v>579</v>
      </c>
      <c r="AF1158" s="7">
        <f>$AH1154-$AH1122</f>
        <v>72</v>
      </c>
    </row>
    <row r="1159" spans="1:34" ht="18.399999999999999" customHeight="1" x14ac:dyDescent="0.15">
      <c r="A1159" s="38" t="s">
        <v>2450</v>
      </c>
      <c r="B1159" s="32"/>
      <c r="C1159" s="32"/>
      <c r="D1159" s="32"/>
      <c r="E1159" s="32"/>
      <c r="F1159" s="43"/>
      <c r="K1159" s="3" t="s">
        <v>2450</v>
      </c>
    </row>
    <row r="1160" spans="1:34" ht="18.399999999999999" customHeight="1" x14ac:dyDescent="0.15">
      <c r="A1160" s="38" t="s">
        <v>2342</v>
      </c>
      <c r="B1160" s="32"/>
      <c r="C1160" s="32"/>
      <c r="D1160" s="32"/>
      <c r="E1160" s="32"/>
      <c r="F1160" s="43"/>
      <c r="K1160" s="3" t="s">
        <v>2342</v>
      </c>
    </row>
    <row r="1161" spans="1:34" ht="18.399999999999999" customHeight="1" x14ac:dyDescent="0.15">
      <c r="A1161" s="38" t="s">
        <v>2450</v>
      </c>
      <c r="B1161" s="32"/>
      <c r="C1161" s="32"/>
      <c r="D1161" s="32"/>
      <c r="E1161" s="32"/>
      <c r="F1161" s="43"/>
      <c r="K1161" s="3" t="s">
        <v>2450</v>
      </c>
    </row>
    <row r="1162" spans="1:34" ht="18.399999999999999" customHeight="1" x14ac:dyDescent="0.15">
      <c r="A1162" s="40" t="str">
        <f>CONCATENATE("    재 료 비 :  _x001D_26,664_x001D_ / ",TEXT($AB1162,"#,##0.00")," * 0.5 =",TEXT($AF1162,"#,##0.00"))</f>
        <v xml:space="preserve">    재 료 비 :  _x001D_26,664_x001D_ / 562.50 * 0.5 =23.00</v>
      </c>
      <c r="B1162" s="32">
        <f>SUM($C1162,$D1162,$E1162)</f>
        <v>23</v>
      </c>
      <c r="C1162" s="32">
        <f>$AF1162</f>
        <v>23</v>
      </c>
      <c r="D1162" s="32"/>
      <c r="E1162" s="32"/>
      <c r="F1162" s="43" t="s">
        <v>2450</v>
      </c>
      <c r="K1162" s="3" t="s">
        <v>1344</v>
      </c>
      <c r="AA1162" s="36" t="s">
        <v>610</v>
      </c>
      <c r="AB1162" s="8">
        <f>$AH1106</f>
        <v>562.5</v>
      </c>
      <c r="AC1162" s="36" t="s">
        <v>1360</v>
      </c>
      <c r="AD1162" s="7">
        <f>$AB1162</f>
        <v>562.5</v>
      </c>
      <c r="AE1162" s="37" t="s">
        <v>1805</v>
      </c>
      <c r="AF1162" s="8">
        <f>TRUNC(중기사용료목록!E28/$AD1162*0.5,0)</f>
        <v>23</v>
      </c>
      <c r="AG1162" s="37" t="s">
        <v>2021</v>
      </c>
      <c r="AH1162" s="7">
        <f>$AH1150+$AF1162</f>
        <v>136</v>
      </c>
    </row>
    <row r="1163" spans="1:34" ht="18.399999999999999" customHeight="1" x14ac:dyDescent="0.15">
      <c r="A1163" s="38" t="s">
        <v>2450</v>
      </c>
      <c r="B1163" s="32"/>
      <c r="C1163" s="32"/>
      <c r="D1163" s="32"/>
      <c r="E1163" s="32"/>
      <c r="F1163" s="43"/>
      <c r="K1163" s="3" t="s">
        <v>2450</v>
      </c>
    </row>
    <row r="1164" spans="1:34" ht="18.399999999999999" customHeight="1" x14ac:dyDescent="0.15">
      <c r="A1164" s="40" t="str">
        <f>CONCATENATE("    노 무 비 :  _x001D_49,778_x001D_ / ",TEXT($AB1164,"#,##0.00")," * 0.5 =",TEXT($AF1164,"#,##0.00"))</f>
        <v xml:space="preserve">    노 무 비 :  _x001D_49,778_x001D_ / 562.50 * 0.5 =44.00</v>
      </c>
      <c r="B1164" s="32">
        <f>SUM($C1164,$D1164,$E1164)</f>
        <v>44</v>
      </c>
      <c r="C1164" s="32"/>
      <c r="D1164" s="32">
        <f>$AF1164</f>
        <v>44</v>
      </c>
      <c r="E1164" s="32"/>
      <c r="F1164" s="43" t="s">
        <v>2450</v>
      </c>
      <c r="K1164" s="3" t="s">
        <v>69</v>
      </c>
      <c r="AA1164" s="36" t="s">
        <v>1726</v>
      </c>
      <c r="AB1164" s="8">
        <f>$AH1106</f>
        <v>562.5</v>
      </c>
      <c r="AC1164" s="36" t="s">
        <v>75</v>
      </c>
      <c r="AD1164" s="7">
        <f>$AB1164</f>
        <v>562.5</v>
      </c>
      <c r="AE1164" s="37" t="s">
        <v>265</v>
      </c>
      <c r="AF1164" s="8">
        <f>TRUNC(중기사용료목록!F28/$AD1164*0.5,0)</f>
        <v>44</v>
      </c>
      <c r="AG1164" s="37" t="s">
        <v>972</v>
      </c>
      <c r="AH1164" s="7">
        <f>$AH1152+$AF1164</f>
        <v>740</v>
      </c>
    </row>
    <row r="1165" spans="1:34" ht="18.399999999999999" customHeight="1" x14ac:dyDescent="0.15">
      <c r="A1165" s="38" t="s">
        <v>2450</v>
      </c>
      <c r="B1165" s="32"/>
      <c r="C1165" s="32"/>
      <c r="D1165" s="32"/>
      <c r="E1165" s="32"/>
      <c r="F1165" s="43"/>
      <c r="K1165" s="3" t="s">
        <v>2450</v>
      </c>
    </row>
    <row r="1166" spans="1:34" ht="18.399999999999999" customHeight="1" x14ac:dyDescent="0.15">
      <c r="A1166" s="40" t="str">
        <f>CONCATENATE("    경    비 :  _x001D_19,154_x001D_ / ",TEXT($AB1166,"#,##0.00")," * 0.5 =",TEXT($AF1166,"#,##0.00"))</f>
        <v xml:space="preserve">    경    비 :  _x001D_19,154_x001D_ / 562.50 * 0.5 =17.00</v>
      </c>
      <c r="B1166" s="32">
        <f>SUM($C1166,$D1166,$E1166)</f>
        <v>17</v>
      </c>
      <c r="C1166" s="32"/>
      <c r="D1166" s="32"/>
      <c r="E1166" s="32">
        <f>$AF1166</f>
        <v>17</v>
      </c>
      <c r="F1166" s="43" t="s">
        <v>2450</v>
      </c>
      <c r="K1166" s="3" t="s">
        <v>82</v>
      </c>
      <c r="AA1166" s="36" t="s">
        <v>489</v>
      </c>
      <c r="AB1166" s="8">
        <f>$AH1106</f>
        <v>562.5</v>
      </c>
      <c r="AC1166" s="36" t="s">
        <v>1137</v>
      </c>
      <c r="AD1166" s="7">
        <f>$AB1166</f>
        <v>562.5</v>
      </c>
      <c r="AE1166" s="37" t="s">
        <v>815</v>
      </c>
      <c r="AF1166" s="8">
        <f>TRUNC(중기사용료목록!G28/$AD1166*0.5,0)</f>
        <v>17</v>
      </c>
      <c r="AG1166" s="37" t="s">
        <v>1302</v>
      </c>
      <c r="AH1166" s="7">
        <f>$AH1154+$AF1166</f>
        <v>194</v>
      </c>
    </row>
    <row r="1167" spans="1:34" ht="18.399999999999999" customHeight="1" x14ac:dyDescent="0.15">
      <c r="A1167" s="38" t="s">
        <v>2450</v>
      </c>
      <c r="B1167" s="32"/>
      <c r="C1167" s="32"/>
      <c r="D1167" s="32"/>
      <c r="E1167" s="32"/>
      <c r="F1167" s="43"/>
      <c r="K1167" s="3" t="s">
        <v>2450</v>
      </c>
    </row>
    <row r="1168" spans="1:34" ht="18.399999999999999" customHeight="1" x14ac:dyDescent="0.15">
      <c r="A1168" s="38" t="s">
        <v>293</v>
      </c>
      <c r="B1168" s="34">
        <f>SUM($C1168,$D1168,$E1168)</f>
        <v>84</v>
      </c>
      <c r="C1168" s="34">
        <f>$AB1168</f>
        <v>23</v>
      </c>
      <c r="D1168" s="34">
        <f>$AD1168</f>
        <v>44</v>
      </c>
      <c r="E1168" s="34">
        <f>$AF1168</f>
        <v>17</v>
      </c>
      <c r="F1168" s="45"/>
      <c r="K1168" s="3" t="s">
        <v>317</v>
      </c>
      <c r="AA1168" s="36" t="s">
        <v>989</v>
      </c>
      <c r="AB1168" s="7">
        <f>$AH1162-$AH1150</f>
        <v>23</v>
      </c>
      <c r="AC1168" s="36" t="s">
        <v>2036</v>
      </c>
      <c r="AD1168" s="7">
        <f>$AH1164-$AH1152</f>
        <v>44</v>
      </c>
      <c r="AE1168" s="36" t="s">
        <v>579</v>
      </c>
      <c r="AF1168" s="7">
        <f>$AH1166-$AH1154</f>
        <v>17</v>
      </c>
    </row>
    <row r="1169" spans="1:38" ht="18.399999999999999" customHeight="1" x14ac:dyDescent="0.15">
      <c r="A1169" s="38"/>
      <c r="B1169" s="3"/>
      <c r="C1169" s="3"/>
      <c r="D1169" s="3"/>
      <c r="E1169" s="3"/>
      <c r="F1169" s="42"/>
    </row>
    <row r="1170" spans="1:38" ht="18.399999999999999" customHeight="1" x14ac:dyDescent="0.15">
      <c r="A1170" s="41" t="s">
        <v>1388</v>
      </c>
      <c r="B1170" s="35">
        <f>SUM($C1170,$D1170,$E1170)</f>
        <v>1070</v>
      </c>
      <c r="C1170" s="35">
        <f>TRUNC(SUM($AH1162),0)</f>
        <v>136</v>
      </c>
      <c r="D1170" s="35">
        <f>TRUNC(SUM($AH1164),0)</f>
        <v>740</v>
      </c>
      <c r="E1170" s="35">
        <f>TRUNC(SUM($AH1166),0)</f>
        <v>194</v>
      </c>
      <c r="F1170" s="47"/>
    </row>
    <row r="1171" spans="1:38" ht="18.399999999999999" customHeight="1" x14ac:dyDescent="0.15">
      <c r="A1171" s="38"/>
      <c r="B1171" s="3"/>
      <c r="C1171" s="3"/>
      <c r="D1171" s="3"/>
      <c r="E1171" s="3"/>
      <c r="F1171" s="42"/>
    </row>
    <row r="1172" spans="1:38" ht="18.399999999999999" customHeight="1" x14ac:dyDescent="0.15">
      <c r="A1172" s="38" t="s">
        <v>1038</v>
      </c>
      <c r="B1172" s="32">
        <f>$B1199</f>
        <v>45</v>
      </c>
      <c r="C1172" s="32">
        <f>$C1199</f>
        <v>8</v>
      </c>
      <c r="D1172" s="32">
        <f>$D1199</f>
        <v>31</v>
      </c>
      <c r="E1172" s="32">
        <f>$E1199</f>
        <v>6</v>
      </c>
      <c r="F1172" s="42" t="s">
        <v>2450</v>
      </c>
      <c r="G1172" t="s">
        <v>2450</v>
      </c>
      <c r="H1172" t="s">
        <v>3</v>
      </c>
      <c r="K1172">
        <v>1</v>
      </c>
      <c r="Y1172" s="7" t="b">
        <f>EXACT($Z1172,$B1199)</f>
        <v>1</v>
      </c>
      <c r="Z1172" s="35">
        <v>45</v>
      </c>
    </row>
    <row r="1173" spans="1:38" ht="18.399999999999999" customHeight="1" x14ac:dyDescent="0.15">
      <c r="A1173" s="39"/>
      <c r="B1173" s="3"/>
      <c r="C1173" s="3"/>
      <c r="D1173" s="3"/>
      <c r="E1173" s="3"/>
      <c r="F1173" s="42"/>
    </row>
    <row r="1174" spans="1:38" ht="18.399999999999999" customHeight="1" x14ac:dyDescent="0.15">
      <c r="A1174" s="38" t="s">
        <v>2450</v>
      </c>
      <c r="B1174" s="3"/>
      <c r="C1174" s="3"/>
      <c r="D1174" s="3"/>
      <c r="E1174" s="3"/>
      <c r="F1174" s="42"/>
      <c r="G1174" t="s">
        <v>2450</v>
      </c>
      <c r="I1174" t="s">
        <v>289</v>
      </c>
      <c r="J1174" t="s">
        <v>2450</v>
      </c>
      <c r="K1174" t="s">
        <v>2053</v>
      </c>
    </row>
    <row r="1175" spans="1:38" ht="18.399999999999999" customHeight="1" x14ac:dyDescent="0.15">
      <c r="A1175" s="38" t="s">
        <v>594</v>
      </c>
      <c r="B1175" s="32"/>
      <c r="C1175" s="32"/>
      <c r="D1175" s="32"/>
      <c r="E1175" s="32"/>
      <c r="F1175" s="43"/>
      <c r="K1175" s="3" t="s">
        <v>594</v>
      </c>
    </row>
    <row r="1176" spans="1:38" ht="18.399999999999999" customHeight="1" x14ac:dyDescent="0.15">
      <c r="A1176" s="38" t="s">
        <v>2450</v>
      </c>
      <c r="B1176" s="32"/>
      <c r="C1176" s="32"/>
      <c r="D1176" s="32"/>
      <c r="E1176" s="32"/>
      <c r="F1176" s="43"/>
      <c r="K1176" s="3" t="s">
        <v>2450</v>
      </c>
    </row>
    <row r="1177" spans="1:38" ht="18.399999999999999" customHeight="1" x14ac:dyDescent="0.15">
      <c r="A1177" s="40" t="str">
        <f>CONCATENATE(" ○ 1일 시공량 :  A=",TEXT($AB1177,"#,##0.00"),"  ㎡/일")</f>
        <v xml:space="preserve"> ○ 1일 시공량 :  A=20,000.00  ㎡/일</v>
      </c>
      <c r="B1177" s="32"/>
      <c r="C1177" s="32"/>
      <c r="D1177" s="32"/>
      <c r="E1177" s="32"/>
      <c r="F1177" s="43"/>
      <c r="K1177" s="10" t="str">
        <f>SUBSTITUTE(SUBSTITUTE("_x001D_○ 1일 시공량 :_x001D_ A = 20000 _x001D_㎡/일_x001D_","20000",TEXT($AB1177,"#,##0"),1),"_x001D_","'")</f>
        <v>'○ 1일 시공량 :' A = 20,000 '㎡/일'</v>
      </c>
      <c r="AA1177" s="36" t="s">
        <v>430</v>
      </c>
      <c r="AB1177" s="6">
        <v>20000</v>
      </c>
      <c r="AC1177" s="36" t="s">
        <v>430</v>
      </c>
      <c r="AD1177" s="7">
        <f>$AB1177</f>
        <v>20000</v>
      </c>
    </row>
    <row r="1178" spans="1:38" ht="18.399999999999999" customHeight="1" x14ac:dyDescent="0.15">
      <c r="A1178" s="38" t="s">
        <v>2450</v>
      </c>
      <c r="B1178" s="32"/>
      <c r="C1178" s="32"/>
      <c r="D1178" s="32"/>
      <c r="E1178" s="32"/>
      <c r="F1178" s="43"/>
      <c r="K1178" s="3" t="s">
        <v>2450</v>
      </c>
    </row>
    <row r="1179" spans="1:38" ht="18.399999999999999" customHeight="1" x14ac:dyDescent="0.15">
      <c r="A1179" s="40" t="str">
        <f>CONCATENATE(" ○ 1시간 작업량 :  Q = ",TEXT($AB1179,"#,##0.00")," / 8 hr  =",TEXT($AJ1179,"#,##0.00")," ㎡/hr ")</f>
        <v xml:space="preserve"> ○ 1시간 작업량 :  Q = 20,000.00 / 8 hr  =2,500.00 ㎡/hr </v>
      </c>
      <c r="B1179" s="32">
        <f>SUM($C1179,$D1179,$E1179)</f>
        <v>0</v>
      </c>
      <c r="C1179" s="32"/>
      <c r="D1179" s="32"/>
      <c r="E1179" s="32"/>
      <c r="F1179" s="43"/>
      <c r="K1179" s="3" t="s">
        <v>1883</v>
      </c>
      <c r="AA1179" s="36" t="s">
        <v>2121</v>
      </c>
      <c r="AB1179" s="8">
        <f>$AD1177</f>
        <v>20000</v>
      </c>
      <c r="AC1179" s="36" t="s">
        <v>1473</v>
      </c>
      <c r="AD1179" s="7">
        <f>$AB1179</f>
        <v>20000</v>
      </c>
      <c r="AE1179" s="36" t="s">
        <v>461</v>
      </c>
      <c r="AF1179" s="8">
        <f>ROUND($AD1179/8,2)</f>
        <v>2500</v>
      </c>
      <c r="AG1179" s="36" t="s">
        <v>1686</v>
      </c>
      <c r="AH1179" s="7">
        <f>$AF1179</f>
        <v>2500</v>
      </c>
      <c r="AI1179" s="36" t="s">
        <v>129</v>
      </c>
      <c r="AJ1179" s="8">
        <f>ROUND(ROUND($AD1179/8,2),2)</f>
        <v>2500</v>
      </c>
      <c r="AK1179" s="36" t="s">
        <v>1123</v>
      </c>
      <c r="AL1179" s="7">
        <f>$AJ1179</f>
        <v>2500</v>
      </c>
    </row>
    <row r="1180" spans="1:38" ht="18.399999999999999" customHeight="1" x14ac:dyDescent="0.15">
      <c r="A1180" s="38" t="s">
        <v>2450</v>
      </c>
      <c r="B1180" s="32"/>
      <c r="C1180" s="32"/>
      <c r="D1180" s="32"/>
      <c r="E1180" s="32"/>
      <c r="F1180" s="43"/>
      <c r="K1180" s="3" t="s">
        <v>2450</v>
      </c>
    </row>
    <row r="1181" spans="1:38" ht="18.399999999999999" customHeight="1" x14ac:dyDescent="0.15">
      <c r="A1181" s="38" t="s">
        <v>1033</v>
      </c>
      <c r="B1181" s="32"/>
      <c r="C1181" s="32"/>
      <c r="D1181" s="32"/>
      <c r="E1181" s="32"/>
      <c r="F1181" s="43"/>
      <c r="K1181" s="3" t="s">
        <v>1033</v>
      </c>
    </row>
    <row r="1182" spans="1:38" ht="18.399999999999999" customHeight="1" x14ac:dyDescent="0.15">
      <c r="A1182" s="38" t="s">
        <v>2450</v>
      </c>
      <c r="B1182" s="32"/>
      <c r="C1182" s="32"/>
      <c r="D1182" s="32"/>
      <c r="E1182" s="32"/>
      <c r="F1182" s="43"/>
      <c r="K1182" s="3" t="s">
        <v>2450</v>
      </c>
    </row>
    <row r="1183" spans="1:38" ht="18.399999999999999" customHeight="1" x14ac:dyDescent="0.15">
      <c r="A1183" s="40" t="str">
        <f>CONCATENATE("    보통인부 :  1.0 인  / ",TEXT($AB1183,"#,##0.00")," * _x001D_172,068_x001D_ =",TEXT($AF1183,"#,##0.00"))</f>
        <v xml:space="preserve">    보통인부 :  1.0 인  / 20,000.00 * _x001D_172,068_x001D_ =8.00</v>
      </c>
      <c r="B1183" s="32">
        <f>SUM($C1183,$D1183,$E1183)</f>
        <v>8</v>
      </c>
      <c r="C1183" s="32"/>
      <c r="D1183" s="32">
        <f>$AF1183</f>
        <v>8</v>
      </c>
      <c r="E1183" s="32"/>
      <c r="F1183" s="43" t="s">
        <v>2450</v>
      </c>
      <c r="K1183" s="3" t="s">
        <v>789</v>
      </c>
      <c r="AA1183" s="36" t="s">
        <v>1951</v>
      </c>
      <c r="AB1183" s="8">
        <f>$AD1177</f>
        <v>20000</v>
      </c>
      <c r="AC1183" s="36" t="s">
        <v>1249</v>
      </c>
      <c r="AD1183" s="7">
        <f>$AB1183</f>
        <v>20000</v>
      </c>
      <c r="AE1183" s="37" t="s">
        <v>265</v>
      </c>
      <c r="AF1183" s="8">
        <f>TRUNC(1/$AD1183*노임!D10,0)</f>
        <v>8</v>
      </c>
      <c r="AG1183" s="37" t="s">
        <v>972</v>
      </c>
      <c r="AH1183" s="7">
        <f>$AF1183</f>
        <v>8</v>
      </c>
    </row>
    <row r="1184" spans="1:38" ht="18.399999999999999" customHeight="1" x14ac:dyDescent="0.15">
      <c r="A1184" s="38" t="s">
        <v>2450</v>
      </c>
      <c r="B1184" s="32"/>
      <c r="C1184" s="32"/>
      <c r="D1184" s="32"/>
      <c r="E1184" s="32"/>
      <c r="F1184" s="43"/>
      <c r="K1184" s="3" t="s">
        <v>2450</v>
      </c>
    </row>
    <row r="1185" spans="1:34" ht="18.399999999999999" customHeight="1" x14ac:dyDescent="0.15">
      <c r="A1185" s="38" t="s">
        <v>1325</v>
      </c>
      <c r="B1185" s="33">
        <f>SUM($C1185,$D1185,$E1185)</f>
        <v>8</v>
      </c>
      <c r="C1185" s="33">
        <f>$AB1185</f>
        <v>0</v>
      </c>
      <c r="D1185" s="33">
        <f>$AD1185</f>
        <v>8</v>
      </c>
      <c r="E1185" s="33">
        <f>$AF1185</f>
        <v>0</v>
      </c>
      <c r="F1185" s="44"/>
      <c r="K1185" s="3" t="s">
        <v>1477</v>
      </c>
      <c r="AC1185" s="36" t="s">
        <v>71</v>
      </c>
      <c r="AD1185" s="7">
        <f>$AH1183</f>
        <v>8</v>
      </c>
    </row>
    <row r="1186" spans="1:34" ht="18.399999999999999" customHeight="1" x14ac:dyDescent="0.15">
      <c r="A1186" s="38" t="s">
        <v>2450</v>
      </c>
      <c r="B1186" s="32"/>
      <c r="C1186" s="32"/>
      <c r="D1186" s="32"/>
      <c r="E1186" s="32"/>
      <c r="F1186" s="43"/>
      <c r="K1186" s="3" t="s">
        <v>2450</v>
      </c>
    </row>
    <row r="1187" spans="1:34" ht="18.399999999999999" customHeight="1" x14ac:dyDescent="0.15">
      <c r="A1187" s="38" t="s">
        <v>742</v>
      </c>
      <c r="B1187" s="32"/>
      <c r="C1187" s="32"/>
      <c r="D1187" s="32"/>
      <c r="E1187" s="32"/>
      <c r="F1187" s="43"/>
      <c r="K1187" s="3" t="s">
        <v>742</v>
      </c>
    </row>
    <row r="1188" spans="1:34" ht="18.399999999999999" customHeight="1" x14ac:dyDescent="0.15">
      <c r="A1188" s="38" t="s">
        <v>2450</v>
      </c>
      <c r="B1188" s="32"/>
      <c r="C1188" s="32"/>
      <c r="D1188" s="32"/>
      <c r="E1188" s="32"/>
      <c r="F1188" s="43"/>
      <c r="K1188" s="3" t="s">
        <v>2450</v>
      </c>
    </row>
    <row r="1189" spans="1:34" ht="18.399999999999999" customHeight="1" x14ac:dyDescent="0.15">
      <c r="A1189" s="40" t="str">
        <f>CONCATENATE("    재 료 비 :  _x001D_21,663_x001D_ / ",TEXT($AB1189,"#,##0.00")," =",TEXT($AF1189,"#,##0.00"))</f>
        <v xml:space="preserve">    재 료 비 :  _x001D_21,663_x001D_ / 2,500.00 =8.00</v>
      </c>
      <c r="B1189" s="32">
        <f>SUM($C1189,$D1189,$E1189)</f>
        <v>8</v>
      </c>
      <c r="C1189" s="32">
        <f>$AF1189</f>
        <v>8</v>
      </c>
      <c r="D1189" s="32"/>
      <c r="E1189" s="32"/>
      <c r="F1189" s="43" t="s">
        <v>2450</v>
      </c>
      <c r="K1189" s="3" t="s">
        <v>730</v>
      </c>
      <c r="AA1189" s="36" t="s">
        <v>829</v>
      </c>
      <c r="AB1189" s="8">
        <f>$AH1179</f>
        <v>2500</v>
      </c>
      <c r="AC1189" s="36" t="s">
        <v>754</v>
      </c>
      <c r="AD1189" s="7">
        <f>$AB1189</f>
        <v>2500</v>
      </c>
      <c r="AE1189" s="37" t="s">
        <v>1805</v>
      </c>
      <c r="AF1189" s="8">
        <f>TRUNC(중기사용료목록!E23/$AD1189,0)</f>
        <v>8</v>
      </c>
      <c r="AG1189" s="37" t="s">
        <v>2021</v>
      </c>
      <c r="AH1189" s="7">
        <f>$AF1189</f>
        <v>8</v>
      </c>
    </row>
    <row r="1190" spans="1:34" ht="18.399999999999999" customHeight="1" x14ac:dyDescent="0.15">
      <c r="A1190" s="38" t="s">
        <v>2450</v>
      </c>
      <c r="B1190" s="32"/>
      <c r="C1190" s="32"/>
      <c r="D1190" s="32"/>
      <c r="E1190" s="32"/>
      <c r="F1190" s="43"/>
      <c r="K1190" s="3" t="s">
        <v>2450</v>
      </c>
    </row>
    <row r="1191" spans="1:34" ht="18.399999999999999" customHeight="1" x14ac:dyDescent="0.15">
      <c r="A1191" s="40" t="str">
        <f>CONCATENATE("    노 무 비 :  _x001D_59,020_x001D_ / ",TEXT($AB1191,"#,##0.00")," =",TEXT($AF1191,"#,##0.00"))</f>
        <v xml:space="preserve">    노 무 비 :  _x001D_59,020_x001D_ / 2,500.00 =23.00</v>
      </c>
      <c r="B1191" s="32">
        <f>SUM($C1191,$D1191,$E1191)</f>
        <v>23</v>
      </c>
      <c r="C1191" s="32"/>
      <c r="D1191" s="32">
        <f>$AF1191</f>
        <v>23</v>
      </c>
      <c r="E1191" s="32"/>
      <c r="F1191" s="43" t="s">
        <v>2450</v>
      </c>
      <c r="K1191" s="3" t="s">
        <v>1928</v>
      </c>
      <c r="AA1191" s="36" t="s">
        <v>1127</v>
      </c>
      <c r="AB1191" s="8">
        <f>$AH1179</f>
        <v>2500</v>
      </c>
      <c r="AC1191" s="36" t="s">
        <v>1791</v>
      </c>
      <c r="AD1191" s="7">
        <f>$AB1191</f>
        <v>2500</v>
      </c>
      <c r="AE1191" s="37" t="s">
        <v>265</v>
      </c>
      <c r="AF1191" s="8">
        <f>TRUNC(중기사용료목록!F23/$AD1191,0)</f>
        <v>23</v>
      </c>
      <c r="AG1191" s="37" t="s">
        <v>972</v>
      </c>
      <c r="AH1191" s="7">
        <f>$AH1183+$AF1191</f>
        <v>31</v>
      </c>
    </row>
    <row r="1192" spans="1:34" ht="18.399999999999999" customHeight="1" x14ac:dyDescent="0.15">
      <c r="A1192" s="38" t="s">
        <v>2450</v>
      </c>
      <c r="B1192" s="32"/>
      <c r="C1192" s="32"/>
      <c r="D1192" s="32"/>
      <c r="E1192" s="32"/>
      <c r="F1192" s="43"/>
      <c r="K1192" s="3" t="s">
        <v>2450</v>
      </c>
    </row>
    <row r="1193" spans="1:34" ht="18.399999999999999" customHeight="1" x14ac:dyDescent="0.15">
      <c r="A1193" s="40" t="str">
        <f>CONCATENATE("    경    비 :  _x001D_16,470_x001D_ / ",TEXT($AB1193,"#,##0.00")," =",TEXT($AF1193,"#,##0.00"))</f>
        <v xml:space="preserve">    경    비 :  _x001D_16,470_x001D_ / 2,500.00 =6.00</v>
      </c>
      <c r="B1193" s="32">
        <f>SUM($C1193,$D1193,$E1193)</f>
        <v>6</v>
      </c>
      <c r="C1193" s="32"/>
      <c r="D1193" s="32"/>
      <c r="E1193" s="32">
        <f>$AF1193</f>
        <v>6</v>
      </c>
      <c r="F1193" s="43" t="s">
        <v>2450</v>
      </c>
      <c r="K1193" s="3" t="s">
        <v>2224</v>
      </c>
      <c r="AA1193" s="36" t="s">
        <v>2334</v>
      </c>
      <c r="AB1193" s="8">
        <f>$AH1179</f>
        <v>2500</v>
      </c>
      <c r="AC1193" s="36" t="s">
        <v>1819</v>
      </c>
      <c r="AD1193" s="7">
        <f>$AB1193</f>
        <v>2500</v>
      </c>
      <c r="AE1193" s="37" t="s">
        <v>815</v>
      </c>
      <c r="AF1193" s="8">
        <f>TRUNC(중기사용료목록!G23/$AD1193,0)</f>
        <v>6</v>
      </c>
      <c r="AG1193" s="37" t="s">
        <v>1302</v>
      </c>
      <c r="AH1193" s="7">
        <f>$AF1193</f>
        <v>6</v>
      </c>
    </row>
    <row r="1194" spans="1:34" ht="18.399999999999999" customHeight="1" x14ac:dyDescent="0.15">
      <c r="A1194" s="38" t="s">
        <v>2450</v>
      </c>
      <c r="B1194" s="32"/>
      <c r="C1194" s="32"/>
      <c r="D1194" s="32"/>
      <c r="E1194" s="32"/>
      <c r="F1194" s="43"/>
      <c r="K1194" s="3" t="s">
        <v>2450</v>
      </c>
    </row>
    <row r="1195" spans="1:34" ht="18.399999999999999" customHeight="1" x14ac:dyDescent="0.15">
      <c r="A1195" s="38" t="s">
        <v>1325</v>
      </c>
      <c r="B1195" s="33">
        <f>SUM($C1195,$D1195,$E1195)</f>
        <v>37</v>
      </c>
      <c r="C1195" s="33">
        <f>$AB1195</f>
        <v>8</v>
      </c>
      <c r="D1195" s="33">
        <f>$AD1195</f>
        <v>23</v>
      </c>
      <c r="E1195" s="33">
        <f>$AF1195</f>
        <v>6</v>
      </c>
      <c r="F1195" s="44"/>
      <c r="K1195" s="3" t="s">
        <v>1477</v>
      </c>
      <c r="AA1195" s="36" t="s">
        <v>1729</v>
      </c>
      <c r="AB1195" s="7">
        <f>$AH1189</f>
        <v>8</v>
      </c>
      <c r="AC1195" s="36" t="s">
        <v>71</v>
      </c>
      <c r="AD1195" s="7">
        <f>$AH1191-$AH1183</f>
        <v>23</v>
      </c>
      <c r="AE1195" s="36" t="s">
        <v>2236</v>
      </c>
      <c r="AF1195" s="7">
        <f>$AH1193</f>
        <v>6</v>
      </c>
    </row>
    <row r="1196" spans="1:34" ht="18.399999999999999" customHeight="1" x14ac:dyDescent="0.15">
      <c r="A1196" s="38" t="s">
        <v>2450</v>
      </c>
      <c r="B1196" s="32"/>
      <c r="C1196" s="32"/>
      <c r="D1196" s="32"/>
      <c r="E1196" s="32"/>
      <c r="F1196" s="43"/>
      <c r="K1196" s="3" t="s">
        <v>2450</v>
      </c>
    </row>
    <row r="1197" spans="1:34" ht="18.399999999999999" customHeight="1" x14ac:dyDescent="0.15">
      <c r="A1197" s="38" t="s">
        <v>2337</v>
      </c>
      <c r="B1197" s="34">
        <f>SUM($C1197,$D1197,$E1197)</f>
        <v>45</v>
      </c>
      <c r="C1197" s="34">
        <f>$AB1197</f>
        <v>8</v>
      </c>
      <c r="D1197" s="34">
        <f>$AD1197</f>
        <v>31</v>
      </c>
      <c r="E1197" s="34">
        <f>$AF1197</f>
        <v>6</v>
      </c>
      <c r="F1197" s="45"/>
      <c r="K1197" s="3" t="s">
        <v>726</v>
      </c>
      <c r="AA1197" s="36" t="s">
        <v>989</v>
      </c>
      <c r="AB1197" s="7">
        <f>$AH1189</f>
        <v>8</v>
      </c>
      <c r="AC1197" s="36" t="s">
        <v>2036</v>
      </c>
      <c r="AD1197" s="7">
        <f>$AH1191</f>
        <v>31</v>
      </c>
      <c r="AE1197" s="36" t="s">
        <v>579</v>
      </c>
      <c r="AF1197" s="7">
        <f>$AH1193</f>
        <v>6</v>
      </c>
    </row>
    <row r="1198" spans="1:34" ht="18.399999999999999" customHeight="1" x14ac:dyDescent="0.15">
      <c r="A1198" s="38"/>
      <c r="B1198" s="3"/>
      <c r="C1198" s="3"/>
      <c r="D1198" s="3"/>
      <c r="E1198" s="3"/>
      <c r="F1198" s="42"/>
    </row>
    <row r="1199" spans="1:34" ht="18.399999999999999" customHeight="1" x14ac:dyDescent="0.15">
      <c r="A1199" s="41" t="s">
        <v>1388</v>
      </c>
      <c r="B1199" s="35">
        <f>SUM($C1199,$D1199,$E1199)</f>
        <v>45</v>
      </c>
      <c r="C1199" s="35">
        <f>TRUNC(SUM($AH1189),0)</f>
        <v>8</v>
      </c>
      <c r="D1199" s="35">
        <f>TRUNC(SUM($AH1191),0)</f>
        <v>31</v>
      </c>
      <c r="E1199" s="35">
        <f>TRUNC(SUM($AH1193),0)</f>
        <v>6</v>
      </c>
      <c r="F1199" s="47"/>
    </row>
    <row r="1200" spans="1:34" ht="18.399999999999999" customHeight="1" x14ac:dyDescent="0.15">
      <c r="A1200" s="38"/>
      <c r="B1200" s="3"/>
      <c r="C1200" s="3"/>
      <c r="D1200" s="3"/>
      <c r="E1200" s="3"/>
      <c r="F1200" s="42"/>
    </row>
    <row r="1201" spans="1:38" ht="18.399999999999999" customHeight="1" x14ac:dyDescent="0.15">
      <c r="A1201" s="38" t="s">
        <v>2416</v>
      </c>
      <c r="B1201" s="32">
        <f>$B1254</f>
        <v>13215</v>
      </c>
      <c r="C1201" s="32">
        <f>$C1254</f>
        <v>2977</v>
      </c>
      <c r="D1201" s="32">
        <f>$D1254</f>
        <v>7808</v>
      </c>
      <c r="E1201" s="32">
        <f>$E1254</f>
        <v>2430</v>
      </c>
      <c r="F1201" s="42" t="s">
        <v>2450</v>
      </c>
      <c r="G1201" t="s">
        <v>2450</v>
      </c>
      <c r="H1201" t="s">
        <v>2385</v>
      </c>
      <c r="K1201">
        <v>1</v>
      </c>
      <c r="Y1201" s="7" t="b">
        <f>EXACT($Z1201,$B1254)</f>
        <v>1</v>
      </c>
      <c r="Z1201" s="35">
        <v>13215</v>
      </c>
    </row>
    <row r="1202" spans="1:38" ht="18.399999999999999" customHeight="1" x14ac:dyDescent="0.15">
      <c r="A1202" s="39"/>
      <c r="B1202" s="3"/>
      <c r="C1202" s="3"/>
      <c r="D1202" s="3"/>
      <c r="E1202" s="3"/>
      <c r="F1202" s="42"/>
    </row>
    <row r="1203" spans="1:38" ht="18.399999999999999" customHeight="1" x14ac:dyDescent="0.15">
      <c r="A1203" s="38" t="s">
        <v>2450</v>
      </c>
      <c r="B1203" s="3"/>
      <c r="C1203" s="3"/>
      <c r="D1203" s="3"/>
      <c r="E1203" s="3"/>
      <c r="F1203" s="42"/>
      <c r="G1203" t="s">
        <v>2450</v>
      </c>
      <c r="I1203" t="s">
        <v>289</v>
      </c>
      <c r="J1203" t="s">
        <v>2450</v>
      </c>
      <c r="K1203" t="s">
        <v>2053</v>
      </c>
    </row>
    <row r="1204" spans="1:38" ht="18.399999999999999" customHeight="1" x14ac:dyDescent="0.15">
      <c r="A1204" s="38" t="s">
        <v>850</v>
      </c>
      <c r="B1204" s="32"/>
      <c r="C1204" s="32"/>
      <c r="D1204" s="32"/>
      <c r="E1204" s="32"/>
      <c r="F1204" s="43"/>
      <c r="K1204" s="3" t="s">
        <v>850</v>
      </c>
    </row>
    <row r="1205" spans="1:38" ht="18.399999999999999" customHeight="1" x14ac:dyDescent="0.15">
      <c r="A1205" s="38" t="s">
        <v>2450</v>
      </c>
      <c r="B1205" s="32"/>
      <c r="C1205" s="32"/>
      <c r="D1205" s="32"/>
      <c r="E1205" s="32"/>
      <c r="F1205" s="43"/>
      <c r="K1205" s="3" t="s">
        <v>2450</v>
      </c>
    </row>
    <row r="1206" spans="1:38" ht="18.399999999999999" customHeight="1" x14ac:dyDescent="0.15">
      <c r="A1206" s="40" t="str">
        <f>CONCATENATE(" ○ 1일 시공량 :  A=",TEXT($AB1206,"#,##0.00")," ㎥/일")</f>
        <v xml:space="preserve"> ○ 1일 시공량 :  A=225.00 ㎥/일</v>
      </c>
      <c r="B1206" s="32"/>
      <c r="C1206" s="32"/>
      <c r="D1206" s="32"/>
      <c r="E1206" s="32"/>
      <c r="F1206" s="43"/>
      <c r="K1206" s="10" t="str">
        <f>SUBSTITUTE(SUBSTITUTE("_x001D_○ 1일 시공량 :_x001D_ A = 225_x001D_㎥/일_x001D_","225",TEXT($AB1206,"#,##0"),1),"_x001D_","'")</f>
        <v>'○ 1일 시공량 :' A = 225'㎥/일'</v>
      </c>
      <c r="AA1206" s="36" t="s">
        <v>430</v>
      </c>
      <c r="AB1206" s="6">
        <v>225</v>
      </c>
      <c r="AC1206" s="36" t="s">
        <v>430</v>
      </c>
      <c r="AD1206" s="7">
        <f>$AB1206</f>
        <v>225</v>
      </c>
    </row>
    <row r="1207" spans="1:38" ht="18.399999999999999" customHeight="1" x14ac:dyDescent="0.15">
      <c r="A1207" s="38" t="s">
        <v>2450</v>
      </c>
      <c r="B1207" s="32"/>
      <c r="C1207" s="32"/>
      <c r="D1207" s="32"/>
      <c r="E1207" s="32"/>
      <c r="F1207" s="43"/>
      <c r="K1207" s="3" t="s">
        <v>2450</v>
      </c>
    </row>
    <row r="1208" spans="1:38" ht="18.399999999999999" customHeight="1" x14ac:dyDescent="0.15">
      <c r="A1208" s="40" t="str">
        <f>CONCATENATE(" ○ 1시간 작업량 :  Q = ",TEXT($AB1208,"#,##0.00")," / 8 hr  =",TEXT($AJ1208,"#,##0.00")," ㎥/hr ")</f>
        <v xml:space="preserve"> ○ 1시간 작업량 :  Q = 225.00 / 8 hr  =28.13 ㎥/hr </v>
      </c>
      <c r="B1208" s="32">
        <f>SUM($C1208,$D1208,$E1208)</f>
        <v>0</v>
      </c>
      <c r="C1208" s="32"/>
      <c r="D1208" s="32"/>
      <c r="E1208" s="32"/>
      <c r="F1208" s="43"/>
      <c r="K1208" s="3" t="s">
        <v>1789</v>
      </c>
      <c r="AA1208" s="36" t="s">
        <v>2203</v>
      </c>
      <c r="AB1208" s="8">
        <f>$AD1206</f>
        <v>225</v>
      </c>
      <c r="AC1208" s="36" t="s">
        <v>1967</v>
      </c>
      <c r="AD1208" s="7">
        <f>$AB1208</f>
        <v>225</v>
      </c>
      <c r="AE1208" s="36" t="s">
        <v>461</v>
      </c>
      <c r="AF1208" s="8">
        <f>ROUND($AD1208/8,2)</f>
        <v>28.13</v>
      </c>
      <c r="AG1208" s="36" t="s">
        <v>1686</v>
      </c>
      <c r="AH1208" s="7">
        <f>$AF1208</f>
        <v>28.13</v>
      </c>
      <c r="AI1208" s="36" t="s">
        <v>515</v>
      </c>
      <c r="AJ1208" s="8">
        <f>ROUND(ROUND($AD1208/8,2),2)</f>
        <v>28.13</v>
      </c>
      <c r="AK1208" s="36" t="s">
        <v>304</v>
      </c>
      <c r="AL1208" s="7">
        <f>$AJ1208</f>
        <v>28.13</v>
      </c>
    </row>
    <row r="1209" spans="1:38" ht="18.399999999999999" customHeight="1" x14ac:dyDescent="0.15">
      <c r="A1209" s="38" t="s">
        <v>2450</v>
      </c>
      <c r="B1209" s="32"/>
      <c r="C1209" s="32"/>
      <c r="D1209" s="32"/>
      <c r="E1209" s="32"/>
      <c r="F1209" s="43"/>
      <c r="K1209" s="3" t="s">
        <v>2450</v>
      </c>
    </row>
    <row r="1210" spans="1:38" ht="18.399999999999999" customHeight="1" x14ac:dyDescent="0.15">
      <c r="A1210" s="38" t="s">
        <v>1033</v>
      </c>
      <c r="B1210" s="32"/>
      <c r="C1210" s="32"/>
      <c r="D1210" s="32"/>
      <c r="E1210" s="32"/>
      <c r="F1210" s="43"/>
      <c r="K1210" s="3" t="s">
        <v>1033</v>
      </c>
    </row>
    <row r="1211" spans="1:38" ht="18.399999999999999" customHeight="1" x14ac:dyDescent="0.15">
      <c r="A1211" s="38" t="s">
        <v>2450</v>
      </c>
      <c r="B1211" s="32"/>
      <c r="C1211" s="32"/>
      <c r="D1211" s="32"/>
      <c r="E1211" s="32"/>
      <c r="F1211" s="43"/>
      <c r="K1211" s="3" t="s">
        <v>2450</v>
      </c>
    </row>
    <row r="1212" spans="1:38" ht="18.399999999999999" customHeight="1" x14ac:dyDescent="0.15">
      <c r="A1212" s="40" t="str">
        <f>CONCATENATE("    포 설 공 :  2.0 인  / ",TEXT($AB1212,"#,##0.00")," * _x001D_221,015_x001D_ =",TEXT($AF1212,"#,##0.00"))</f>
        <v xml:space="preserve">    포 설 공 :  2.0 인  / 225.00 * _x001D_221,015_x001D_ =1,964.00</v>
      </c>
      <c r="B1212" s="32">
        <f>SUM($C1212,$D1212,$E1212)</f>
        <v>1964</v>
      </c>
      <c r="C1212" s="32"/>
      <c r="D1212" s="32">
        <f>$AF1212</f>
        <v>1964</v>
      </c>
      <c r="E1212" s="32"/>
      <c r="F1212" s="43" t="s">
        <v>2450</v>
      </c>
      <c r="K1212" s="3" t="s">
        <v>2234</v>
      </c>
      <c r="AA1212" s="36" t="s">
        <v>689</v>
      </c>
      <c r="AB1212" s="8">
        <f>$AD1206</f>
        <v>225</v>
      </c>
      <c r="AC1212" s="36" t="s">
        <v>685</v>
      </c>
      <c r="AD1212" s="7">
        <f>$AB1212</f>
        <v>225</v>
      </c>
      <c r="AE1212" s="37" t="s">
        <v>265</v>
      </c>
      <c r="AF1212" s="8">
        <f>TRUNC(2/$AD1212*노임!D7,0)</f>
        <v>1964</v>
      </c>
      <c r="AG1212" s="37" t="s">
        <v>972</v>
      </c>
      <c r="AH1212" s="7">
        <f>$AF1212</f>
        <v>1964</v>
      </c>
    </row>
    <row r="1213" spans="1:38" ht="18.399999999999999" customHeight="1" x14ac:dyDescent="0.15">
      <c r="A1213" s="38" t="s">
        <v>2450</v>
      </c>
      <c r="B1213" s="32"/>
      <c r="C1213" s="32"/>
      <c r="D1213" s="32"/>
      <c r="E1213" s="32"/>
      <c r="F1213" s="43"/>
      <c r="K1213" s="3" t="s">
        <v>2450</v>
      </c>
    </row>
    <row r="1214" spans="1:38" ht="18.399999999999999" customHeight="1" x14ac:dyDescent="0.15">
      <c r="A1214" s="40" t="str">
        <f>CONCATENATE("    보통인부 :  1.0 인  / ",TEXT($AB1214,"#,##0.00")," * _x001D_172,068_x001D_ =",TEXT($AF1214,"#,##0.00"))</f>
        <v xml:space="preserve">    보통인부 :  1.0 인  / 225.00 * _x001D_172,068_x001D_ =764.00</v>
      </c>
      <c r="B1214" s="32">
        <f>SUM($C1214,$D1214,$E1214)</f>
        <v>764</v>
      </c>
      <c r="C1214" s="32"/>
      <c r="D1214" s="32">
        <f>$AF1214</f>
        <v>764</v>
      </c>
      <c r="E1214" s="32"/>
      <c r="F1214" s="43" t="s">
        <v>2450</v>
      </c>
      <c r="K1214" s="3" t="s">
        <v>789</v>
      </c>
      <c r="AA1214" s="36" t="s">
        <v>1973</v>
      </c>
      <c r="AB1214" s="8">
        <f>$AD1206</f>
        <v>225</v>
      </c>
      <c r="AC1214" s="36" t="s">
        <v>1844</v>
      </c>
      <c r="AD1214" s="7">
        <f>$AB1214</f>
        <v>225</v>
      </c>
      <c r="AE1214" s="37" t="s">
        <v>265</v>
      </c>
      <c r="AF1214" s="8">
        <f>TRUNC(1/$AD1214*노임!D10,0)</f>
        <v>764</v>
      </c>
      <c r="AG1214" s="37" t="s">
        <v>972</v>
      </c>
      <c r="AH1214" s="7">
        <f>$AH1212+$AF1214</f>
        <v>2728</v>
      </c>
    </row>
    <row r="1215" spans="1:38" ht="18.399999999999999" customHeight="1" x14ac:dyDescent="0.15">
      <c r="A1215" s="38" t="s">
        <v>2450</v>
      </c>
      <c r="B1215" s="32"/>
      <c r="C1215" s="32"/>
      <c r="D1215" s="32"/>
      <c r="E1215" s="32"/>
      <c r="F1215" s="43"/>
      <c r="K1215" s="3" t="s">
        <v>2450</v>
      </c>
    </row>
    <row r="1216" spans="1:38" ht="18.399999999999999" customHeight="1" x14ac:dyDescent="0.15">
      <c r="A1216" s="38" t="s">
        <v>1325</v>
      </c>
      <c r="B1216" s="33">
        <f>SUM($C1216,$D1216,$E1216)</f>
        <v>2728</v>
      </c>
      <c r="C1216" s="33">
        <f>$AB1216</f>
        <v>0</v>
      </c>
      <c r="D1216" s="33">
        <f>$AD1216</f>
        <v>2728</v>
      </c>
      <c r="E1216" s="33">
        <f>$AF1216</f>
        <v>0</v>
      </c>
      <c r="F1216" s="44"/>
      <c r="K1216" s="3" t="s">
        <v>1477</v>
      </c>
      <c r="AC1216" s="36" t="s">
        <v>71</v>
      </c>
      <c r="AD1216" s="7">
        <f>$AH1214</f>
        <v>2728</v>
      </c>
    </row>
    <row r="1217" spans="1:34" ht="18.399999999999999" customHeight="1" x14ac:dyDescent="0.15">
      <c r="A1217" s="38" t="s">
        <v>2450</v>
      </c>
      <c r="B1217" s="32"/>
      <c r="C1217" s="32"/>
      <c r="D1217" s="32"/>
      <c r="E1217" s="32"/>
      <c r="F1217" s="43"/>
      <c r="K1217" s="3" t="s">
        <v>2450</v>
      </c>
    </row>
    <row r="1218" spans="1:34" ht="18.399999999999999" customHeight="1" x14ac:dyDescent="0.15">
      <c r="A1218" s="38" t="s">
        <v>1991</v>
      </c>
      <c r="B1218" s="32"/>
      <c r="C1218" s="32"/>
      <c r="D1218" s="32"/>
      <c r="E1218" s="32"/>
      <c r="F1218" s="43"/>
      <c r="K1218" s="3" t="s">
        <v>1991</v>
      </c>
    </row>
    <row r="1219" spans="1:34" ht="18.399999999999999" customHeight="1" x14ac:dyDescent="0.15">
      <c r="A1219" s="38" t="s">
        <v>2450</v>
      </c>
      <c r="B1219" s="32"/>
      <c r="C1219" s="32"/>
      <c r="D1219" s="32"/>
      <c r="E1219" s="32"/>
      <c r="F1219" s="43"/>
      <c r="K1219" s="3" t="s">
        <v>2450</v>
      </c>
    </row>
    <row r="1220" spans="1:34" ht="18.399999999999999" customHeight="1" x14ac:dyDescent="0.15">
      <c r="A1220" s="40" t="str">
        <f>CONCATENATE("    재 료 비 :  _x001D_37,826_x001D_ / ",TEXT($AB1220,"#,##0.00")," =",TEXT($AF1220,"#,##0.00"))</f>
        <v xml:space="preserve">    재 료 비 :  _x001D_37,826_x001D_ / 28.13 =1,344.00</v>
      </c>
      <c r="B1220" s="32">
        <f>SUM($C1220,$D1220,$E1220)</f>
        <v>1344</v>
      </c>
      <c r="C1220" s="32">
        <f>$AF1220</f>
        <v>1344</v>
      </c>
      <c r="D1220" s="32"/>
      <c r="E1220" s="32"/>
      <c r="F1220" s="43" t="s">
        <v>2450</v>
      </c>
      <c r="K1220" s="3" t="s">
        <v>1337</v>
      </c>
      <c r="AA1220" s="36" t="s">
        <v>1817</v>
      </c>
      <c r="AB1220" s="8">
        <f>$AH1208</f>
        <v>28.13</v>
      </c>
      <c r="AC1220" s="36" t="s">
        <v>2430</v>
      </c>
      <c r="AD1220" s="7">
        <f>$AB1220</f>
        <v>28.13</v>
      </c>
      <c r="AE1220" s="37" t="s">
        <v>1805</v>
      </c>
      <c r="AF1220" s="8">
        <f>TRUNC(중기사용료목록!E6/$AD1220,0)</f>
        <v>1344</v>
      </c>
      <c r="AG1220" s="37" t="s">
        <v>2021</v>
      </c>
      <c r="AH1220" s="7">
        <f>$AF1220</f>
        <v>1344</v>
      </c>
    </row>
    <row r="1221" spans="1:34" ht="18.399999999999999" customHeight="1" x14ac:dyDescent="0.15">
      <c r="A1221" s="38" t="s">
        <v>2450</v>
      </c>
      <c r="B1221" s="32"/>
      <c r="C1221" s="32"/>
      <c r="D1221" s="32"/>
      <c r="E1221" s="32"/>
      <c r="F1221" s="43"/>
      <c r="K1221" s="3" t="s">
        <v>2450</v>
      </c>
    </row>
    <row r="1222" spans="1:34" ht="18.399999999999999" customHeight="1" x14ac:dyDescent="0.15">
      <c r="A1222" s="40" t="str">
        <f>CONCATENATE("    노 무 비 :  _x001D_59,020_x001D_ / ",TEXT($AB1222,"#,##0.00")," =",TEXT($AF1222,"#,##0.00"))</f>
        <v xml:space="preserve">    노 무 비 :  _x001D_59,020_x001D_ / 28.13 =2,098.00</v>
      </c>
      <c r="B1222" s="32">
        <f>SUM($C1222,$D1222,$E1222)</f>
        <v>2098</v>
      </c>
      <c r="C1222" s="32"/>
      <c r="D1222" s="32">
        <f>$AF1222</f>
        <v>2098</v>
      </c>
      <c r="E1222" s="32"/>
      <c r="F1222" s="43" t="s">
        <v>2450</v>
      </c>
      <c r="K1222" s="3" t="s">
        <v>148</v>
      </c>
      <c r="AA1222" s="36" t="s">
        <v>695</v>
      </c>
      <c r="AB1222" s="8">
        <f>$AH1208</f>
        <v>28.13</v>
      </c>
      <c r="AC1222" s="36" t="s">
        <v>1225</v>
      </c>
      <c r="AD1222" s="7">
        <f>$AB1222</f>
        <v>28.13</v>
      </c>
      <c r="AE1222" s="37" t="s">
        <v>265</v>
      </c>
      <c r="AF1222" s="8">
        <f>TRUNC(중기사용료목록!F6/$AD1222,0)</f>
        <v>2098</v>
      </c>
      <c r="AG1222" s="37" t="s">
        <v>972</v>
      </c>
      <c r="AH1222" s="7">
        <f>$AH1214+$AF1222</f>
        <v>4826</v>
      </c>
    </row>
    <row r="1223" spans="1:34" ht="18.399999999999999" customHeight="1" x14ac:dyDescent="0.15">
      <c r="A1223" s="38" t="s">
        <v>2450</v>
      </c>
      <c r="B1223" s="32"/>
      <c r="C1223" s="32"/>
      <c r="D1223" s="32"/>
      <c r="E1223" s="32"/>
      <c r="F1223" s="43"/>
      <c r="K1223" s="3" t="s">
        <v>2450</v>
      </c>
    </row>
    <row r="1224" spans="1:34" ht="18.399999999999999" customHeight="1" x14ac:dyDescent="0.15">
      <c r="A1224" s="40" t="str">
        <f>CONCATENATE("    경    비 :  _x001D_29,621_x001D_ / ",TEXT($AB1224,"#,##0.00")," =",TEXT($AF1224,"#,##0.00"))</f>
        <v xml:space="preserve">    경    비 :  _x001D_29,621_x001D_ / 28.13 =1,053.00</v>
      </c>
      <c r="B1224" s="32">
        <f>SUM($C1224,$D1224,$E1224)</f>
        <v>1053</v>
      </c>
      <c r="C1224" s="32"/>
      <c r="D1224" s="32"/>
      <c r="E1224" s="32">
        <f>$AF1224</f>
        <v>1053</v>
      </c>
      <c r="F1224" s="43" t="s">
        <v>2450</v>
      </c>
      <c r="K1224" s="3" t="s">
        <v>424</v>
      </c>
      <c r="AA1224" s="36" t="s">
        <v>1935</v>
      </c>
      <c r="AB1224" s="8">
        <f>$AH1208</f>
        <v>28.13</v>
      </c>
      <c r="AC1224" s="36" t="s">
        <v>67</v>
      </c>
      <c r="AD1224" s="7">
        <f>$AB1224</f>
        <v>28.13</v>
      </c>
      <c r="AE1224" s="37" t="s">
        <v>815</v>
      </c>
      <c r="AF1224" s="8">
        <f>TRUNC(중기사용료목록!G6/$AD1224,0)</f>
        <v>1053</v>
      </c>
      <c r="AG1224" s="37" t="s">
        <v>1302</v>
      </c>
      <c r="AH1224" s="7">
        <f>$AF1224</f>
        <v>1053</v>
      </c>
    </row>
    <row r="1225" spans="1:34" ht="18.399999999999999" customHeight="1" x14ac:dyDescent="0.15">
      <c r="A1225" s="38" t="s">
        <v>2450</v>
      </c>
      <c r="B1225" s="32"/>
      <c r="C1225" s="32"/>
      <c r="D1225" s="32"/>
      <c r="E1225" s="32"/>
      <c r="F1225" s="43"/>
      <c r="K1225" s="3" t="s">
        <v>2450</v>
      </c>
    </row>
    <row r="1226" spans="1:34" ht="18.399999999999999" customHeight="1" x14ac:dyDescent="0.15">
      <c r="A1226" s="38" t="s">
        <v>1325</v>
      </c>
      <c r="B1226" s="33">
        <f>SUM($C1226,$D1226,$E1226)</f>
        <v>4495</v>
      </c>
      <c r="C1226" s="33">
        <f>$AB1226</f>
        <v>1344</v>
      </c>
      <c r="D1226" s="33">
        <f>$AD1226</f>
        <v>2098</v>
      </c>
      <c r="E1226" s="33">
        <f>$AF1226</f>
        <v>1053</v>
      </c>
      <c r="F1226" s="44"/>
      <c r="K1226" s="3" t="s">
        <v>1477</v>
      </c>
      <c r="AA1226" s="36" t="s">
        <v>1729</v>
      </c>
      <c r="AB1226" s="7">
        <f>$AH1220</f>
        <v>1344</v>
      </c>
      <c r="AC1226" s="36" t="s">
        <v>68</v>
      </c>
      <c r="AD1226" s="7">
        <f>$AH1222-$AH1214</f>
        <v>2098</v>
      </c>
      <c r="AE1226" s="36" t="s">
        <v>2236</v>
      </c>
      <c r="AF1226" s="7">
        <f>$AH1224</f>
        <v>1053</v>
      </c>
    </row>
    <row r="1227" spans="1:34" ht="18.399999999999999" customHeight="1" x14ac:dyDescent="0.15">
      <c r="A1227" s="38" t="s">
        <v>2450</v>
      </c>
      <c r="B1227" s="32"/>
      <c r="C1227" s="32"/>
      <c r="D1227" s="32"/>
      <c r="E1227" s="32"/>
      <c r="F1227" s="43"/>
      <c r="K1227" s="3" t="s">
        <v>2450</v>
      </c>
    </row>
    <row r="1228" spans="1:34" ht="18.399999999999999" customHeight="1" x14ac:dyDescent="0.15">
      <c r="A1228" s="38" t="s">
        <v>1082</v>
      </c>
      <c r="B1228" s="32"/>
      <c r="C1228" s="32"/>
      <c r="D1228" s="32"/>
      <c r="E1228" s="32"/>
      <c r="F1228" s="43"/>
      <c r="K1228" s="3" t="s">
        <v>1082</v>
      </c>
    </row>
    <row r="1229" spans="1:34" ht="18.399999999999999" customHeight="1" x14ac:dyDescent="0.15">
      <c r="A1229" s="38" t="s">
        <v>2450</v>
      </c>
      <c r="B1229" s="32"/>
      <c r="C1229" s="32"/>
      <c r="D1229" s="32"/>
      <c r="E1229" s="32"/>
      <c r="F1229" s="43"/>
      <c r="K1229" s="3" t="s">
        <v>2450</v>
      </c>
    </row>
    <row r="1230" spans="1:34" ht="18.399999999999999" customHeight="1" x14ac:dyDescent="0.15">
      <c r="A1230" s="38" t="s">
        <v>1696</v>
      </c>
      <c r="B1230" s="32"/>
      <c r="C1230" s="32"/>
      <c r="D1230" s="32"/>
      <c r="E1230" s="32"/>
      <c r="F1230" s="43"/>
      <c r="K1230" s="3" t="s">
        <v>1696</v>
      </c>
    </row>
    <row r="1231" spans="1:34" ht="18.399999999999999" customHeight="1" x14ac:dyDescent="0.15">
      <c r="A1231" s="38" t="s">
        <v>2450</v>
      </c>
      <c r="B1231" s="32"/>
      <c r="C1231" s="32"/>
      <c r="D1231" s="32"/>
      <c r="E1231" s="32"/>
      <c r="F1231" s="43"/>
      <c r="K1231" s="3" t="s">
        <v>2450</v>
      </c>
    </row>
    <row r="1232" spans="1:34" ht="18.399999999999999" customHeight="1" x14ac:dyDescent="0.15">
      <c r="A1232" s="40" t="str">
        <f>CONCATENATE("    재 료 비 :  _x001D_32,658_x001D_ / ",TEXT($AB1232,"#,##0.00")," =",TEXT($AF1232,"#,##0.00"))</f>
        <v xml:space="preserve">    재 료 비 :  _x001D_32,658_x001D_ / 28.13 =1,160.00</v>
      </c>
      <c r="B1232" s="32">
        <f>SUM($C1232,$D1232,$E1232)</f>
        <v>1160</v>
      </c>
      <c r="C1232" s="32">
        <f>$AF1232</f>
        <v>1160</v>
      </c>
      <c r="D1232" s="32"/>
      <c r="E1232" s="32"/>
      <c r="F1232" s="43" t="s">
        <v>2450</v>
      </c>
      <c r="K1232" s="3" t="s">
        <v>706</v>
      </c>
      <c r="AA1232" s="36" t="s">
        <v>1166</v>
      </c>
      <c r="AB1232" s="8">
        <f>$AH1208</f>
        <v>28.13</v>
      </c>
      <c r="AC1232" s="36" t="s">
        <v>1852</v>
      </c>
      <c r="AD1232" s="7">
        <f>$AB1232</f>
        <v>28.13</v>
      </c>
      <c r="AE1232" s="37" t="s">
        <v>1805</v>
      </c>
      <c r="AF1232" s="8">
        <f>TRUNC(중기사용료목록!E17/$AD1232,0)</f>
        <v>1160</v>
      </c>
      <c r="AG1232" s="37" t="s">
        <v>2021</v>
      </c>
      <c r="AH1232" s="7">
        <f>$AH1220+$AF1232</f>
        <v>2504</v>
      </c>
    </row>
    <row r="1233" spans="1:34" ht="18.399999999999999" customHeight="1" x14ac:dyDescent="0.15">
      <c r="A1233" s="38" t="s">
        <v>2450</v>
      </c>
      <c r="B1233" s="32"/>
      <c r="C1233" s="32"/>
      <c r="D1233" s="32"/>
      <c r="E1233" s="32"/>
      <c r="F1233" s="43"/>
      <c r="K1233" s="3" t="s">
        <v>2450</v>
      </c>
    </row>
    <row r="1234" spans="1:34" ht="18.399999999999999" customHeight="1" x14ac:dyDescent="0.15">
      <c r="A1234" s="40" t="str">
        <f>CONCATENATE("    노 무 비 :  _x001D_59,020_x001D_ / ",TEXT($AB1234,"#,##0.00")," =",TEXT($AF1234,"#,##0.00"))</f>
        <v xml:space="preserve">    노 무 비 :  _x001D_59,020_x001D_ / 28.13 =2,098.00</v>
      </c>
      <c r="B1234" s="32">
        <f>SUM($C1234,$D1234,$E1234)</f>
        <v>2098</v>
      </c>
      <c r="C1234" s="32"/>
      <c r="D1234" s="32">
        <f>$AF1234</f>
        <v>2098</v>
      </c>
      <c r="E1234" s="32"/>
      <c r="F1234" s="43" t="s">
        <v>2450</v>
      </c>
      <c r="K1234" s="3" t="s">
        <v>1870</v>
      </c>
      <c r="AA1234" s="36" t="s">
        <v>2318</v>
      </c>
      <c r="AB1234" s="8">
        <f>$AH1208</f>
        <v>28.13</v>
      </c>
      <c r="AC1234" s="36" t="s">
        <v>675</v>
      </c>
      <c r="AD1234" s="7">
        <f>$AB1234</f>
        <v>28.13</v>
      </c>
      <c r="AE1234" s="37" t="s">
        <v>265</v>
      </c>
      <c r="AF1234" s="8">
        <f>TRUNC(중기사용료목록!F17/$AD1234,0)</f>
        <v>2098</v>
      </c>
      <c r="AG1234" s="37" t="s">
        <v>972</v>
      </c>
      <c r="AH1234" s="7">
        <f>$AH1222+$AF1234</f>
        <v>6924</v>
      </c>
    </row>
    <row r="1235" spans="1:34" ht="18.399999999999999" customHeight="1" x14ac:dyDescent="0.15">
      <c r="A1235" s="38" t="s">
        <v>2450</v>
      </c>
      <c r="B1235" s="32"/>
      <c r="C1235" s="32"/>
      <c r="D1235" s="32"/>
      <c r="E1235" s="32"/>
      <c r="F1235" s="43"/>
      <c r="K1235" s="3" t="s">
        <v>2450</v>
      </c>
    </row>
    <row r="1236" spans="1:34" ht="18.399999999999999" customHeight="1" x14ac:dyDescent="0.15">
      <c r="A1236" s="40" t="str">
        <f>CONCATENATE("    경    비 :  _x001D_29,191_x001D_ / ",TEXT($AB1236,"#,##0.00")," =",TEXT($AF1236,"#,##0.00"))</f>
        <v xml:space="preserve">    경    비 :  _x001D_29,191_x001D_ / 28.13 =1,037.00</v>
      </c>
      <c r="B1236" s="32">
        <f>SUM($C1236,$D1236,$E1236)</f>
        <v>1037</v>
      </c>
      <c r="C1236" s="32"/>
      <c r="D1236" s="32"/>
      <c r="E1236" s="32">
        <f>$AF1236</f>
        <v>1037</v>
      </c>
      <c r="F1236" s="43" t="s">
        <v>2450</v>
      </c>
      <c r="K1236" s="3" t="s">
        <v>2215</v>
      </c>
      <c r="AA1236" s="36" t="s">
        <v>1117</v>
      </c>
      <c r="AB1236" s="8">
        <f>$AH1208</f>
        <v>28.13</v>
      </c>
      <c r="AC1236" s="36" t="s">
        <v>565</v>
      </c>
      <c r="AD1236" s="7">
        <f>$AB1236</f>
        <v>28.13</v>
      </c>
      <c r="AE1236" s="37" t="s">
        <v>815</v>
      </c>
      <c r="AF1236" s="8">
        <f>TRUNC(중기사용료목록!G17/$AD1236,0)</f>
        <v>1037</v>
      </c>
      <c r="AG1236" s="37" t="s">
        <v>1302</v>
      </c>
      <c r="AH1236" s="7">
        <f>$AH1224+$AF1236</f>
        <v>2090</v>
      </c>
    </row>
    <row r="1237" spans="1:34" ht="18.399999999999999" customHeight="1" x14ac:dyDescent="0.15">
      <c r="A1237" s="38" t="s">
        <v>2450</v>
      </c>
      <c r="B1237" s="32"/>
      <c r="C1237" s="32"/>
      <c r="D1237" s="32"/>
      <c r="E1237" s="32"/>
      <c r="F1237" s="43"/>
      <c r="K1237" s="3" t="s">
        <v>2450</v>
      </c>
    </row>
    <row r="1238" spans="1:34" ht="18.399999999999999" customHeight="1" x14ac:dyDescent="0.15">
      <c r="A1238" s="38" t="s">
        <v>1325</v>
      </c>
      <c r="B1238" s="33">
        <f>SUM($C1238,$D1238,$E1238)</f>
        <v>4295</v>
      </c>
      <c r="C1238" s="33">
        <f>$AB1238</f>
        <v>1160</v>
      </c>
      <c r="D1238" s="33">
        <f>$AD1238</f>
        <v>2098</v>
      </c>
      <c r="E1238" s="33">
        <f>$AF1238</f>
        <v>1037</v>
      </c>
      <c r="F1238" s="44"/>
      <c r="K1238" s="3" t="s">
        <v>1477</v>
      </c>
      <c r="AA1238" s="36" t="s">
        <v>1729</v>
      </c>
      <c r="AB1238" s="7">
        <f>$AH1232-$AH1220</f>
        <v>1160</v>
      </c>
      <c r="AC1238" s="36" t="s">
        <v>68</v>
      </c>
      <c r="AD1238" s="7">
        <f>$AH1234-$AH1222</f>
        <v>2098</v>
      </c>
      <c r="AE1238" s="36" t="s">
        <v>2236</v>
      </c>
      <c r="AF1238" s="7">
        <f>$AH1236-$AH1224</f>
        <v>1037</v>
      </c>
    </row>
    <row r="1239" spans="1:34" ht="18.399999999999999" customHeight="1" x14ac:dyDescent="0.15">
      <c r="A1239" s="38" t="s">
        <v>2450</v>
      </c>
      <c r="B1239" s="32"/>
      <c r="C1239" s="32"/>
      <c r="D1239" s="32"/>
      <c r="E1239" s="32"/>
      <c r="F1239" s="43"/>
      <c r="K1239" s="3" t="s">
        <v>2450</v>
      </c>
    </row>
    <row r="1240" spans="1:34" ht="18.399999999999999" customHeight="1" x14ac:dyDescent="0.15">
      <c r="A1240" s="38" t="s">
        <v>2337</v>
      </c>
      <c r="B1240" s="34">
        <f>SUM($C1240,$D1240,$E1240)</f>
        <v>11518</v>
      </c>
      <c r="C1240" s="34">
        <f>$AB1240</f>
        <v>2504</v>
      </c>
      <c r="D1240" s="34">
        <f>$AD1240</f>
        <v>6924</v>
      </c>
      <c r="E1240" s="34">
        <f>$AF1240</f>
        <v>2090</v>
      </c>
      <c r="F1240" s="45"/>
      <c r="K1240" s="3" t="s">
        <v>726</v>
      </c>
      <c r="AA1240" s="36" t="s">
        <v>989</v>
      </c>
      <c r="AB1240" s="7">
        <f>$AH1232</f>
        <v>2504</v>
      </c>
      <c r="AC1240" s="36" t="s">
        <v>2036</v>
      </c>
      <c r="AD1240" s="7">
        <f>$AH1234</f>
        <v>6924</v>
      </c>
      <c r="AE1240" s="36" t="s">
        <v>579</v>
      </c>
      <c r="AF1240" s="7">
        <f>$AH1236</f>
        <v>2090</v>
      </c>
    </row>
    <row r="1241" spans="1:34" ht="18.399999999999999" customHeight="1" x14ac:dyDescent="0.15">
      <c r="A1241" s="38" t="s">
        <v>2450</v>
      </c>
      <c r="B1241" s="32"/>
      <c r="C1241" s="32"/>
      <c r="D1241" s="32"/>
      <c r="E1241" s="32"/>
      <c r="F1241" s="43"/>
      <c r="K1241" s="3" t="s">
        <v>2450</v>
      </c>
    </row>
    <row r="1242" spans="1:34" ht="18.399999999999999" customHeight="1" x14ac:dyDescent="0.15">
      <c r="A1242" s="38" t="s">
        <v>2342</v>
      </c>
      <c r="B1242" s="32"/>
      <c r="C1242" s="32"/>
      <c r="D1242" s="32"/>
      <c r="E1242" s="32"/>
      <c r="F1242" s="43"/>
      <c r="K1242" s="3" t="s">
        <v>2342</v>
      </c>
    </row>
    <row r="1243" spans="1:34" ht="18.399999999999999" customHeight="1" x14ac:dyDescent="0.15">
      <c r="A1243" s="38" t="s">
        <v>2450</v>
      </c>
      <c r="B1243" s="32"/>
      <c r="C1243" s="32"/>
      <c r="D1243" s="32"/>
      <c r="E1243" s="32"/>
      <c r="F1243" s="43"/>
      <c r="K1243" s="3" t="s">
        <v>2450</v>
      </c>
    </row>
    <row r="1244" spans="1:34" ht="18.399999999999999" customHeight="1" x14ac:dyDescent="0.15">
      <c r="A1244" s="40" t="str">
        <f>CONCATENATE("    재 료 비 :  _x001D_26,664_x001D_ / ",TEXT($AB1244,"#,##0.00")," * 0.5 =",TEXT($AF1244,"#,##0.00"))</f>
        <v xml:space="preserve">    재 료 비 :  _x001D_26,664_x001D_ / 28.13 * 0.5 =473.00</v>
      </c>
      <c r="B1244" s="32">
        <f>SUM($C1244,$D1244,$E1244)</f>
        <v>473</v>
      </c>
      <c r="C1244" s="32">
        <f>$AF1244</f>
        <v>473</v>
      </c>
      <c r="D1244" s="32"/>
      <c r="E1244" s="32"/>
      <c r="F1244" s="43" t="s">
        <v>2450</v>
      </c>
      <c r="K1244" s="3" t="s">
        <v>1344</v>
      </c>
      <c r="AA1244" s="36" t="s">
        <v>1308</v>
      </c>
      <c r="AB1244" s="8">
        <f>$AH1208</f>
        <v>28.13</v>
      </c>
      <c r="AC1244" s="36" t="s">
        <v>1339</v>
      </c>
      <c r="AD1244" s="7">
        <f>$AB1244</f>
        <v>28.13</v>
      </c>
      <c r="AE1244" s="37" t="s">
        <v>1805</v>
      </c>
      <c r="AF1244" s="8">
        <f>TRUNC(중기사용료목록!E28/$AD1244*0.5,0)</f>
        <v>473</v>
      </c>
      <c r="AG1244" s="37" t="s">
        <v>2021</v>
      </c>
      <c r="AH1244" s="7">
        <f>$AH1232+$AF1244</f>
        <v>2977</v>
      </c>
    </row>
    <row r="1245" spans="1:34" ht="18.399999999999999" customHeight="1" x14ac:dyDescent="0.15">
      <c r="A1245" s="38" t="s">
        <v>2450</v>
      </c>
      <c r="B1245" s="32"/>
      <c r="C1245" s="32"/>
      <c r="D1245" s="32"/>
      <c r="E1245" s="32"/>
      <c r="F1245" s="43"/>
      <c r="K1245" s="3" t="s">
        <v>2450</v>
      </c>
    </row>
    <row r="1246" spans="1:34" ht="18.399999999999999" customHeight="1" x14ac:dyDescent="0.15">
      <c r="A1246" s="40" t="str">
        <f>CONCATENATE("    노 무 비 :  _x001D_49,778_x001D_ / ",TEXT($AB1246,"#,##0.00")," * 0.5 =",TEXT($AF1246,"#,##0.00"))</f>
        <v xml:space="preserve">    노 무 비 :  _x001D_49,778_x001D_ / 28.13 * 0.5 =884.00</v>
      </c>
      <c r="B1246" s="32">
        <f>SUM($C1246,$D1246,$E1246)</f>
        <v>884</v>
      </c>
      <c r="C1246" s="32"/>
      <c r="D1246" s="32">
        <f>$AF1246</f>
        <v>884</v>
      </c>
      <c r="E1246" s="32"/>
      <c r="F1246" s="43" t="s">
        <v>2450</v>
      </c>
      <c r="K1246" s="3" t="s">
        <v>69</v>
      </c>
      <c r="AA1246" s="36" t="s">
        <v>117</v>
      </c>
      <c r="AB1246" s="8">
        <f>$AH1208</f>
        <v>28.13</v>
      </c>
      <c r="AC1246" s="36" t="s">
        <v>2304</v>
      </c>
      <c r="AD1246" s="7">
        <f>$AB1246</f>
        <v>28.13</v>
      </c>
      <c r="AE1246" s="37" t="s">
        <v>265</v>
      </c>
      <c r="AF1246" s="8">
        <f>TRUNC(중기사용료목록!F28/$AD1246*0.5,0)</f>
        <v>884</v>
      </c>
      <c r="AG1246" s="37" t="s">
        <v>972</v>
      </c>
      <c r="AH1246" s="7">
        <f>$AH1234+$AF1246</f>
        <v>7808</v>
      </c>
    </row>
    <row r="1247" spans="1:34" ht="18.399999999999999" customHeight="1" x14ac:dyDescent="0.15">
      <c r="A1247" s="38" t="s">
        <v>2450</v>
      </c>
      <c r="B1247" s="32"/>
      <c r="C1247" s="32"/>
      <c r="D1247" s="32"/>
      <c r="E1247" s="32"/>
      <c r="F1247" s="43"/>
      <c r="K1247" s="3" t="s">
        <v>2450</v>
      </c>
    </row>
    <row r="1248" spans="1:34" ht="18.399999999999999" customHeight="1" x14ac:dyDescent="0.15">
      <c r="A1248" s="40" t="str">
        <f>CONCATENATE("    경    비 :  _x001D_19,154_x001D_ / ",TEXT($AB1248,"#,##0.00")," * 0.5 =",TEXT($AF1248,"#,##0.00"))</f>
        <v xml:space="preserve">    경    비 :  _x001D_19,154_x001D_ / 28.13 * 0.5 =340.00</v>
      </c>
      <c r="B1248" s="32">
        <f>SUM($C1248,$D1248,$E1248)</f>
        <v>340</v>
      </c>
      <c r="C1248" s="32"/>
      <c r="D1248" s="32"/>
      <c r="E1248" s="32">
        <f>$AF1248</f>
        <v>340</v>
      </c>
      <c r="F1248" s="43" t="s">
        <v>2450</v>
      </c>
      <c r="K1248" s="3" t="s">
        <v>82</v>
      </c>
      <c r="AA1248" s="36" t="s">
        <v>1515</v>
      </c>
      <c r="AB1248" s="8">
        <f>$AH1208</f>
        <v>28.13</v>
      </c>
      <c r="AC1248" s="36" t="s">
        <v>1846</v>
      </c>
      <c r="AD1248" s="7">
        <f>$AB1248</f>
        <v>28.13</v>
      </c>
      <c r="AE1248" s="37" t="s">
        <v>815</v>
      </c>
      <c r="AF1248" s="8">
        <f>TRUNC(중기사용료목록!G28/$AD1248*0.5,0)</f>
        <v>340</v>
      </c>
      <c r="AG1248" s="37" t="s">
        <v>1302</v>
      </c>
      <c r="AH1248" s="7">
        <f>$AH1236+$AF1248</f>
        <v>2430</v>
      </c>
    </row>
    <row r="1249" spans="1:38" ht="18.399999999999999" customHeight="1" x14ac:dyDescent="0.15">
      <c r="A1249" s="38" t="s">
        <v>2450</v>
      </c>
      <c r="B1249" s="32"/>
      <c r="C1249" s="32"/>
      <c r="D1249" s="32"/>
      <c r="E1249" s="32"/>
      <c r="F1249" s="43"/>
      <c r="K1249" s="3" t="s">
        <v>2450</v>
      </c>
    </row>
    <row r="1250" spans="1:38" ht="18.399999999999999" customHeight="1" x14ac:dyDescent="0.15">
      <c r="A1250" s="38" t="s">
        <v>2337</v>
      </c>
      <c r="B1250" s="34">
        <f>SUM($C1250,$D1250,$E1250)</f>
        <v>1697</v>
      </c>
      <c r="C1250" s="34">
        <f>$AB1250</f>
        <v>473</v>
      </c>
      <c r="D1250" s="34">
        <f>$AD1250</f>
        <v>884</v>
      </c>
      <c r="E1250" s="34">
        <f>$AF1250</f>
        <v>340</v>
      </c>
      <c r="F1250" s="45"/>
      <c r="K1250" s="3" t="s">
        <v>726</v>
      </c>
      <c r="AA1250" s="36" t="s">
        <v>989</v>
      </c>
      <c r="AB1250" s="7">
        <f>$AH1244-$AH1232</f>
        <v>473</v>
      </c>
      <c r="AC1250" s="36" t="s">
        <v>2036</v>
      </c>
      <c r="AD1250" s="7">
        <f>$AH1246-$AH1234</f>
        <v>884</v>
      </c>
      <c r="AE1250" s="36" t="s">
        <v>579</v>
      </c>
      <c r="AF1250" s="7">
        <f>$AH1248-$AH1236</f>
        <v>340</v>
      </c>
    </row>
    <row r="1251" spans="1:38" ht="18.399999999999999" customHeight="1" x14ac:dyDescent="0.15">
      <c r="A1251" s="38" t="s">
        <v>2450</v>
      </c>
      <c r="B1251" s="32"/>
      <c r="C1251" s="32"/>
      <c r="D1251" s="32"/>
      <c r="E1251" s="32"/>
      <c r="F1251" s="43"/>
      <c r="K1251" s="3" t="s">
        <v>2450</v>
      </c>
    </row>
    <row r="1252" spans="1:38" ht="18.399999999999999" customHeight="1" x14ac:dyDescent="0.15">
      <c r="A1252" s="38" t="s">
        <v>2064</v>
      </c>
      <c r="B1252" s="35">
        <f>SUM($C1252,$D1252,$E1252)</f>
        <v>13215</v>
      </c>
      <c r="C1252" s="35">
        <f>$AB1252</f>
        <v>2977</v>
      </c>
      <c r="D1252" s="35">
        <f>$AD1252</f>
        <v>7808</v>
      </c>
      <c r="E1252" s="35">
        <f>$AF1252</f>
        <v>2430</v>
      </c>
      <c r="F1252" s="46"/>
      <c r="K1252" s="3" t="s">
        <v>1514</v>
      </c>
      <c r="AA1252" s="36" t="s">
        <v>604</v>
      </c>
      <c r="AB1252" s="7">
        <f>$AH1244</f>
        <v>2977</v>
      </c>
      <c r="AC1252" s="36" t="s">
        <v>1332</v>
      </c>
      <c r="AD1252" s="7">
        <f>$AH1246</f>
        <v>7808</v>
      </c>
      <c r="AE1252" s="36" t="s">
        <v>963</v>
      </c>
      <c r="AF1252" s="7">
        <f>$AH1248</f>
        <v>2430</v>
      </c>
    </row>
    <row r="1253" spans="1:38" ht="18.399999999999999" customHeight="1" x14ac:dyDescent="0.15">
      <c r="A1253" s="38"/>
      <c r="B1253" s="3"/>
      <c r="C1253" s="3"/>
      <c r="D1253" s="3"/>
      <c r="E1253" s="3"/>
      <c r="F1253" s="42"/>
    </row>
    <row r="1254" spans="1:38" ht="18.399999999999999" customHeight="1" x14ac:dyDescent="0.15">
      <c r="A1254" s="41" t="s">
        <v>1388</v>
      </c>
      <c r="B1254" s="35">
        <f>SUM($C1254,$D1254,$E1254)</f>
        <v>13215</v>
      </c>
      <c r="C1254" s="35">
        <f>TRUNC(SUM($AH1244),0)</f>
        <v>2977</v>
      </c>
      <c r="D1254" s="35">
        <f>TRUNC(SUM($AH1246),0)</f>
        <v>7808</v>
      </c>
      <c r="E1254" s="35">
        <f>TRUNC(SUM($AH1248),0)</f>
        <v>2430</v>
      </c>
      <c r="F1254" s="47"/>
    </row>
    <row r="1255" spans="1:38" ht="18.399999999999999" customHeight="1" x14ac:dyDescent="0.15">
      <c r="A1255" s="38"/>
      <c r="B1255" s="3"/>
      <c r="C1255" s="3"/>
      <c r="D1255" s="3"/>
      <c r="E1255" s="3"/>
      <c r="F1255" s="42"/>
    </row>
    <row r="1256" spans="1:38" ht="18.399999999999999" customHeight="1" x14ac:dyDescent="0.15">
      <c r="A1256" s="38" t="s">
        <v>1008</v>
      </c>
      <c r="B1256" s="32">
        <f>$B1291</f>
        <v>18145</v>
      </c>
      <c r="C1256" s="32">
        <f>$C1291</f>
        <v>1895</v>
      </c>
      <c r="D1256" s="32">
        <f>$D1291</f>
        <v>14694</v>
      </c>
      <c r="E1256" s="32">
        <f>$E1291</f>
        <v>1556</v>
      </c>
      <c r="F1256" s="42" t="s">
        <v>2450</v>
      </c>
      <c r="G1256" t="s">
        <v>2450</v>
      </c>
      <c r="H1256" t="s">
        <v>1823</v>
      </c>
      <c r="K1256">
        <v>1</v>
      </c>
      <c r="Y1256" s="7" t="b">
        <f>EXACT($Z1256,$B1291)</f>
        <v>1</v>
      </c>
      <c r="Z1256" s="35">
        <v>18145</v>
      </c>
    </row>
    <row r="1257" spans="1:38" ht="18.399999999999999" customHeight="1" x14ac:dyDescent="0.15">
      <c r="A1257" s="39"/>
      <c r="B1257" s="3"/>
      <c r="C1257" s="3"/>
      <c r="D1257" s="3"/>
      <c r="E1257" s="3"/>
      <c r="F1257" s="42"/>
    </row>
    <row r="1258" spans="1:38" ht="18.399999999999999" customHeight="1" x14ac:dyDescent="0.15">
      <c r="A1258" s="38" t="s">
        <v>2450</v>
      </c>
      <c r="B1258" s="3"/>
      <c r="C1258" s="3"/>
      <c r="D1258" s="3"/>
      <c r="E1258" s="3"/>
      <c r="F1258" s="42"/>
      <c r="G1258" t="s">
        <v>2450</v>
      </c>
      <c r="I1258" t="s">
        <v>289</v>
      </c>
      <c r="J1258" t="s">
        <v>2450</v>
      </c>
      <c r="K1258" t="s">
        <v>2053</v>
      </c>
    </row>
    <row r="1259" spans="1:38" ht="18.399999999999999" customHeight="1" x14ac:dyDescent="0.15">
      <c r="A1259" s="38" t="s">
        <v>1497</v>
      </c>
      <c r="B1259" s="32"/>
      <c r="C1259" s="32"/>
      <c r="D1259" s="32"/>
      <c r="E1259" s="32"/>
      <c r="F1259" s="43"/>
      <c r="K1259" s="3" t="s">
        <v>1497</v>
      </c>
    </row>
    <row r="1260" spans="1:38" ht="18.399999999999999" customHeight="1" x14ac:dyDescent="0.15">
      <c r="A1260" s="38" t="s">
        <v>2450</v>
      </c>
      <c r="B1260" s="32"/>
      <c r="C1260" s="32"/>
      <c r="D1260" s="32"/>
      <c r="E1260" s="32"/>
      <c r="F1260" s="43"/>
      <c r="K1260" s="3" t="s">
        <v>477</v>
      </c>
    </row>
    <row r="1261" spans="1:38" ht="18.399999999999999" customHeight="1" x14ac:dyDescent="0.15">
      <c r="A1261" s="40" t="str">
        <f>CONCATENATE(" ○ 1일 시공량 :  A=",TEXT($AB1261,"#,##0.00")," M/일")</f>
        <v xml:space="preserve"> ○ 1일 시공량 :  A=90.00 M/일</v>
      </c>
      <c r="B1261" s="32"/>
      <c r="C1261" s="32"/>
      <c r="D1261" s="32"/>
      <c r="E1261" s="32"/>
      <c r="F1261" s="43"/>
      <c r="K1261" s="10" t="str">
        <f>SUBSTITUTE(SUBSTITUTE("_x001D_○ 1일 시공량 :_x001D_ A = 90_x001D_M/일_x001D_","90",TEXT($AB1261,"#,##0"),1),"_x001D_","'")</f>
        <v>'○ 1일 시공량 :' A = 90'M/일'</v>
      </c>
      <c r="AA1261" s="36" t="s">
        <v>430</v>
      </c>
      <c r="AB1261" s="6">
        <v>90</v>
      </c>
      <c r="AC1261" s="36" t="s">
        <v>430</v>
      </c>
      <c r="AD1261" s="7">
        <f>$AB1261</f>
        <v>90</v>
      </c>
    </row>
    <row r="1262" spans="1:38" ht="18.399999999999999" customHeight="1" x14ac:dyDescent="0.15">
      <c r="A1262" s="38" t="s">
        <v>2450</v>
      </c>
      <c r="B1262" s="32"/>
      <c r="C1262" s="32"/>
      <c r="D1262" s="32"/>
      <c r="E1262" s="32"/>
      <c r="F1262" s="43"/>
      <c r="K1262" s="3" t="s">
        <v>2450</v>
      </c>
    </row>
    <row r="1263" spans="1:38" ht="18.399999999999999" customHeight="1" x14ac:dyDescent="0.15">
      <c r="A1263" s="40" t="str">
        <f>CONCATENATE(" ○ 1시간 작업량 :  Q = ",TEXT($AB1263,"#,##0.00")," / 8 hr  =",TEXT($AJ1263,"#,##0.00")," M/hr ")</f>
        <v xml:space="preserve"> ○ 1시간 작업량 :  Q = 90.00 / 8 hr  =11.25 M/hr </v>
      </c>
      <c r="B1263" s="32">
        <f>SUM($C1263,$D1263,$E1263)</f>
        <v>0</v>
      </c>
      <c r="C1263" s="32"/>
      <c r="D1263" s="32"/>
      <c r="E1263" s="32"/>
      <c r="F1263" s="43"/>
      <c r="K1263" s="3" t="s">
        <v>454</v>
      </c>
      <c r="AA1263" s="36" t="s">
        <v>1213</v>
      </c>
      <c r="AB1263" s="8">
        <f>$AD1261</f>
        <v>90</v>
      </c>
      <c r="AC1263" s="36" t="s">
        <v>175</v>
      </c>
      <c r="AD1263" s="7">
        <f>$AB1263</f>
        <v>90</v>
      </c>
      <c r="AE1263" s="36" t="s">
        <v>461</v>
      </c>
      <c r="AF1263" s="8">
        <f>ROUND($AD1263/8,2)</f>
        <v>11.25</v>
      </c>
      <c r="AG1263" s="36" t="s">
        <v>1686</v>
      </c>
      <c r="AH1263" s="7">
        <f>$AF1263</f>
        <v>11.25</v>
      </c>
      <c r="AI1263" s="36" t="s">
        <v>1651</v>
      </c>
      <c r="AJ1263" s="8">
        <f>ROUND(ROUND($AD1263/8,2),2)</f>
        <v>11.25</v>
      </c>
      <c r="AK1263" s="36" t="s">
        <v>2415</v>
      </c>
      <c r="AL1263" s="7">
        <f>$AJ1263</f>
        <v>11.25</v>
      </c>
    </row>
    <row r="1264" spans="1:38" ht="18.399999999999999" customHeight="1" x14ac:dyDescent="0.15">
      <c r="A1264" s="38" t="s">
        <v>2450</v>
      </c>
      <c r="B1264" s="32"/>
      <c r="C1264" s="32"/>
      <c r="D1264" s="32"/>
      <c r="E1264" s="32"/>
      <c r="F1264" s="43"/>
      <c r="K1264" s="3" t="s">
        <v>2450</v>
      </c>
    </row>
    <row r="1265" spans="1:38" ht="18.399999999999999" customHeight="1" x14ac:dyDescent="0.15">
      <c r="A1265" s="38" t="s">
        <v>1033</v>
      </c>
      <c r="B1265" s="32"/>
      <c r="C1265" s="32"/>
      <c r="D1265" s="32"/>
      <c r="E1265" s="32"/>
      <c r="F1265" s="43"/>
      <c r="K1265" s="3" t="s">
        <v>1033</v>
      </c>
    </row>
    <row r="1266" spans="1:38" ht="18.399999999999999" customHeight="1" x14ac:dyDescent="0.15">
      <c r="A1266" s="38" t="s">
        <v>2450</v>
      </c>
      <c r="B1266" s="32"/>
      <c r="C1266" s="32"/>
      <c r="D1266" s="32"/>
      <c r="E1266" s="32"/>
      <c r="F1266" s="43"/>
      <c r="K1266" s="3" t="s">
        <v>2450</v>
      </c>
    </row>
    <row r="1267" spans="1:38" ht="18.399999999999999" customHeight="1" x14ac:dyDescent="0.15">
      <c r="A1267" s="40" t="str">
        <f>CONCATENATE("    특별인부 :  3.0 인  / ",TEXT($AB1267,"#,##0.00")," * _x001D_226,122_x001D_ =","LA+ "," :B")</f>
        <v xml:space="preserve">    특별인부 :  3.0 인  / 90.00 * _x001D_226,122_x001D_ =LA+  :B</v>
      </c>
      <c r="B1267" s="32">
        <f>SUM($C1267,$D1267,$E1267)</f>
        <v>7537</v>
      </c>
      <c r="C1267" s="32"/>
      <c r="D1267" s="32">
        <f>$AF1267</f>
        <v>7537</v>
      </c>
      <c r="E1267" s="32"/>
      <c r="F1267" s="43" t="s">
        <v>2450</v>
      </c>
      <c r="K1267" s="3" t="s">
        <v>358</v>
      </c>
      <c r="AA1267" s="36" t="s">
        <v>1109</v>
      </c>
      <c r="AB1267" s="8">
        <f>$AD1261</f>
        <v>90</v>
      </c>
      <c r="AC1267" s="36" t="s">
        <v>2223</v>
      </c>
      <c r="AD1267" s="7">
        <f>$AB1267</f>
        <v>90</v>
      </c>
      <c r="AE1267" s="37" t="s">
        <v>265</v>
      </c>
      <c r="AF1267" s="8">
        <f>TRUNC(3/$AD1267*노임!D9,0)</f>
        <v>7537</v>
      </c>
      <c r="AG1267" s="37" t="s">
        <v>972</v>
      </c>
      <c r="AH1267" s="7">
        <f>$AF1267</f>
        <v>7537</v>
      </c>
      <c r="AI1267" s="36" t="s">
        <v>961</v>
      </c>
      <c r="AJ1267" s="8">
        <f>$AF1267</f>
        <v>7537</v>
      </c>
      <c r="AK1267" s="36" t="s">
        <v>1853</v>
      </c>
      <c r="AL1267" s="7">
        <f>$AJ1267</f>
        <v>7537</v>
      </c>
    </row>
    <row r="1268" spans="1:38" ht="18.399999999999999" customHeight="1" x14ac:dyDescent="0.15">
      <c r="A1268" s="38" t="s">
        <v>2450</v>
      </c>
      <c r="B1268" s="32"/>
      <c r="C1268" s="32"/>
      <c r="D1268" s="32"/>
      <c r="E1268" s="32"/>
      <c r="F1268" s="43"/>
      <c r="K1268" s="3" t="s">
        <v>2450</v>
      </c>
    </row>
    <row r="1269" spans="1:38" ht="18.399999999999999" customHeight="1" x14ac:dyDescent="0.15">
      <c r="A1269" s="40" t="str">
        <f>CONCATENATE("    보통인부 :  1.0 인  / ",TEXT($AB1269,"#,##0.00")," * _x001D_172,068_x001D_ =","LA+ "," :C")</f>
        <v xml:space="preserve">    보통인부 :  1.0 인  / 90.00 * _x001D_172,068_x001D_ =LA+  :C</v>
      </c>
      <c r="B1269" s="32">
        <f>SUM($C1269,$D1269,$E1269)</f>
        <v>1911</v>
      </c>
      <c r="C1269" s="32"/>
      <c r="D1269" s="32">
        <f>$AF1269</f>
        <v>1911</v>
      </c>
      <c r="E1269" s="32"/>
      <c r="F1269" s="43" t="s">
        <v>2450</v>
      </c>
      <c r="K1269" s="3" t="s">
        <v>1331</v>
      </c>
      <c r="AA1269" s="36" t="s">
        <v>2157</v>
      </c>
      <c r="AB1269" s="8">
        <f>$AD1261</f>
        <v>90</v>
      </c>
      <c r="AC1269" s="36" t="s">
        <v>2086</v>
      </c>
      <c r="AD1269" s="7">
        <f>$AB1269</f>
        <v>90</v>
      </c>
      <c r="AE1269" s="37" t="s">
        <v>265</v>
      </c>
      <c r="AF1269" s="8">
        <f>TRUNC(1/$AD1269*노임!D10,0)</f>
        <v>1911</v>
      </c>
      <c r="AG1269" s="37" t="s">
        <v>972</v>
      </c>
      <c r="AH1269" s="7">
        <f>$AH1267+$AF1269</f>
        <v>9448</v>
      </c>
      <c r="AI1269" s="36" t="s">
        <v>2001</v>
      </c>
      <c r="AJ1269" s="8">
        <f>$AF1269</f>
        <v>1911</v>
      </c>
      <c r="AK1269" s="36" t="s">
        <v>1578</v>
      </c>
      <c r="AL1269" s="7">
        <f>$AJ1269</f>
        <v>1911</v>
      </c>
    </row>
    <row r="1270" spans="1:38" ht="18.399999999999999" customHeight="1" x14ac:dyDescent="0.15">
      <c r="A1270" s="38" t="s">
        <v>2450</v>
      </c>
      <c r="B1270" s="32"/>
      <c r="C1270" s="32"/>
      <c r="D1270" s="32"/>
      <c r="E1270" s="32"/>
      <c r="F1270" s="43"/>
      <c r="K1270" s="3" t="s">
        <v>2450</v>
      </c>
    </row>
    <row r="1271" spans="1:38" ht="18.399999999999999" customHeight="1" x14ac:dyDescent="0.15">
      <c r="A1271" s="38" t="s">
        <v>1325</v>
      </c>
      <c r="B1271" s="33">
        <f>SUM($C1271,$D1271,$E1271)</f>
        <v>9448</v>
      </c>
      <c r="C1271" s="33">
        <f>$AB1271</f>
        <v>0</v>
      </c>
      <c r="D1271" s="33">
        <f>$AD1271</f>
        <v>9448</v>
      </c>
      <c r="E1271" s="33">
        <f>$AF1271</f>
        <v>0</v>
      </c>
      <c r="F1271" s="44"/>
      <c r="K1271" s="3" t="s">
        <v>1477</v>
      </c>
      <c r="AC1271" s="36" t="s">
        <v>68</v>
      </c>
      <c r="AD1271" s="7">
        <f>$AH1269</f>
        <v>9448</v>
      </c>
    </row>
    <row r="1272" spans="1:38" ht="18.399999999999999" customHeight="1" x14ac:dyDescent="0.15">
      <c r="A1272" s="38" t="s">
        <v>2450</v>
      </c>
      <c r="B1272" s="32"/>
      <c r="C1272" s="32"/>
      <c r="D1272" s="32"/>
      <c r="E1272" s="32"/>
      <c r="F1272" s="43"/>
      <c r="K1272" s="3" t="s">
        <v>2450</v>
      </c>
    </row>
    <row r="1273" spans="1:38" ht="18.399999999999999" customHeight="1" x14ac:dyDescent="0.15">
      <c r="A1273" s="38" t="s">
        <v>2441</v>
      </c>
      <c r="B1273" s="32"/>
      <c r="C1273" s="32"/>
      <c r="D1273" s="32"/>
      <c r="E1273" s="32"/>
      <c r="F1273" s="43"/>
      <c r="K1273" s="3" t="s">
        <v>2441</v>
      </c>
    </row>
    <row r="1274" spans="1:38" ht="18.399999999999999" customHeight="1" x14ac:dyDescent="0.15">
      <c r="A1274" s="38" t="s">
        <v>2450</v>
      </c>
      <c r="B1274" s="32"/>
      <c r="C1274" s="32"/>
      <c r="D1274" s="32"/>
      <c r="E1274" s="32"/>
      <c r="F1274" s="43"/>
      <c r="K1274" s="3" t="s">
        <v>2450</v>
      </c>
    </row>
    <row r="1275" spans="1:38" ht="18.399999999999999" customHeight="1" x14ac:dyDescent="0.15">
      <c r="A1275" s="40" t="str">
        <f>CONCATENATE("    재 료 비 :  _x001D_19,204_x001D_ / ",TEXT($AB1275,"#,##0.00")," =",TEXT($AF1275,"#,##0.00"))</f>
        <v xml:space="preserve">    재 료 비 :  _x001D_19,204_x001D_ / 11.25 =1,707.00</v>
      </c>
      <c r="B1275" s="32">
        <f>SUM($C1275,$D1275,$E1275)</f>
        <v>1707</v>
      </c>
      <c r="C1275" s="32">
        <f>$AF1275</f>
        <v>1707</v>
      </c>
      <c r="D1275" s="32"/>
      <c r="E1275" s="32"/>
      <c r="F1275" s="43" t="s">
        <v>2450</v>
      </c>
      <c r="K1275" s="3" t="s">
        <v>1826</v>
      </c>
      <c r="AA1275" s="36" t="s">
        <v>1930</v>
      </c>
      <c r="AB1275" s="8">
        <f>$AH1263</f>
        <v>11.25</v>
      </c>
      <c r="AC1275" s="36" t="s">
        <v>2038</v>
      </c>
      <c r="AD1275" s="7">
        <f>$AB1275</f>
        <v>11.25</v>
      </c>
      <c r="AE1275" s="37" t="s">
        <v>1805</v>
      </c>
      <c r="AF1275" s="8">
        <f>TRUNC(중기사용료목록!E3/$AD1275,0)</f>
        <v>1707</v>
      </c>
      <c r="AG1275" s="37" t="s">
        <v>2021</v>
      </c>
      <c r="AH1275" s="7">
        <f>$AF1275</f>
        <v>1707</v>
      </c>
    </row>
    <row r="1276" spans="1:38" ht="18.399999999999999" customHeight="1" x14ac:dyDescent="0.15">
      <c r="A1276" s="38" t="s">
        <v>2450</v>
      </c>
      <c r="B1276" s="32"/>
      <c r="C1276" s="32"/>
      <c r="D1276" s="32"/>
      <c r="E1276" s="32"/>
      <c r="F1276" s="43"/>
      <c r="K1276" s="3" t="s">
        <v>2450</v>
      </c>
    </row>
    <row r="1277" spans="1:38" ht="18.399999999999999" customHeight="1" x14ac:dyDescent="0.15">
      <c r="A1277" s="40" t="str">
        <f>CONCATENATE("    노 무 비 :  _x001D_59,020_x001D_ / ",TEXT($AB1277,"#,##0.00")," =",TEXT($AF1277,"#,##0.00"))</f>
        <v xml:space="preserve">    노 무 비 :  _x001D_59,020_x001D_ / 11.25 =5,246.00</v>
      </c>
      <c r="B1277" s="32">
        <f>SUM($C1277,$D1277,$E1277)</f>
        <v>5246</v>
      </c>
      <c r="C1277" s="32"/>
      <c r="D1277" s="32">
        <f>$AF1277</f>
        <v>5246</v>
      </c>
      <c r="E1277" s="32"/>
      <c r="F1277" s="43" t="s">
        <v>2450</v>
      </c>
      <c r="K1277" s="3" t="s">
        <v>650</v>
      </c>
      <c r="AA1277" s="36" t="s">
        <v>774</v>
      </c>
      <c r="AB1277" s="8">
        <f>$AH1263</f>
        <v>11.25</v>
      </c>
      <c r="AC1277" s="36" t="s">
        <v>1626</v>
      </c>
      <c r="AD1277" s="7">
        <f>$AB1277</f>
        <v>11.25</v>
      </c>
      <c r="AE1277" s="37" t="s">
        <v>265</v>
      </c>
      <c r="AF1277" s="8">
        <f>TRUNC(중기사용료목록!F3/$AD1277,0)</f>
        <v>5246</v>
      </c>
      <c r="AG1277" s="37" t="s">
        <v>972</v>
      </c>
      <c r="AH1277" s="7">
        <f>$AH1269+$AF1277</f>
        <v>14694</v>
      </c>
    </row>
    <row r="1278" spans="1:38" ht="18.399999999999999" customHeight="1" x14ac:dyDescent="0.15">
      <c r="A1278" s="38" t="s">
        <v>2450</v>
      </c>
      <c r="B1278" s="32"/>
      <c r="C1278" s="32"/>
      <c r="D1278" s="32"/>
      <c r="E1278" s="32"/>
      <c r="F1278" s="43"/>
      <c r="K1278" s="3" t="s">
        <v>2450</v>
      </c>
    </row>
    <row r="1279" spans="1:38" ht="18.399999999999999" customHeight="1" x14ac:dyDescent="0.15">
      <c r="A1279" s="40" t="str">
        <f>CONCATENATE("    경    비 :  _x001D_17,514_x001D_ / ",TEXT($AB1279,"#,##0.00")," =",TEXT($AF1279,"#,##0.00"))</f>
        <v xml:space="preserve">    경    비 :  _x001D_17,514_x001D_ / 11.25 =1,556.00</v>
      </c>
      <c r="B1279" s="32">
        <f>SUM($C1279,$D1279,$E1279)</f>
        <v>1556</v>
      </c>
      <c r="C1279" s="32"/>
      <c r="D1279" s="32"/>
      <c r="E1279" s="32">
        <f>$AF1279</f>
        <v>1556</v>
      </c>
      <c r="F1279" s="43" t="s">
        <v>2450</v>
      </c>
      <c r="K1279" s="3" t="s">
        <v>951</v>
      </c>
      <c r="AA1279" s="36" t="s">
        <v>2133</v>
      </c>
      <c r="AB1279" s="8">
        <f>$AH1263</f>
        <v>11.25</v>
      </c>
      <c r="AC1279" s="36" t="s">
        <v>1463</v>
      </c>
      <c r="AD1279" s="7">
        <f>$AB1279</f>
        <v>11.25</v>
      </c>
      <c r="AE1279" s="37" t="s">
        <v>815</v>
      </c>
      <c r="AF1279" s="8">
        <f>TRUNC(중기사용료목록!G3/$AD1279,0)</f>
        <v>1556</v>
      </c>
      <c r="AG1279" s="37" t="s">
        <v>1302</v>
      </c>
      <c r="AH1279" s="7">
        <f>$AF1279</f>
        <v>1556</v>
      </c>
    </row>
    <row r="1280" spans="1:38" ht="18.399999999999999" customHeight="1" x14ac:dyDescent="0.15">
      <c r="A1280" s="38" t="s">
        <v>2450</v>
      </c>
      <c r="B1280" s="32"/>
      <c r="C1280" s="32"/>
      <c r="D1280" s="32"/>
      <c r="E1280" s="32"/>
      <c r="F1280" s="43"/>
      <c r="K1280" s="3" t="s">
        <v>2450</v>
      </c>
    </row>
    <row r="1281" spans="1:38" ht="18.399999999999999" customHeight="1" x14ac:dyDescent="0.15">
      <c r="A1281" s="38" t="s">
        <v>1325</v>
      </c>
      <c r="B1281" s="33">
        <f>SUM($C1281,$D1281,$E1281)</f>
        <v>8509</v>
      </c>
      <c r="C1281" s="33">
        <f>$AB1281</f>
        <v>1707</v>
      </c>
      <c r="D1281" s="33">
        <f>$AD1281</f>
        <v>5246</v>
      </c>
      <c r="E1281" s="33">
        <f>$AF1281</f>
        <v>1556</v>
      </c>
      <c r="F1281" s="44"/>
      <c r="K1281" s="3" t="s">
        <v>1477</v>
      </c>
      <c r="AA1281" s="36" t="s">
        <v>1729</v>
      </c>
      <c r="AB1281" s="7">
        <f>$AH1275</f>
        <v>1707</v>
      </c>
      <c r="AC1281" s="36" t="s">
        <v>68</v>
      </c>
      <c r="AD1281" s="7">
        <f>$AH1277-$AH1269</f>
        <v>5246</v>
      </c>
      <c r="AE1281" s="36" t="s">
        <v>2236</v>
      </c>
      <c r="AF1281" s="7">
        <f>$AH1279</f>
        <v>1556</v>
      </c>
    </row>
    <row r="1282" spans="1:38" ht="18.399999999999999" customHeight="1" x14ac:dyDescent="0.15">
      <c r="A1282" s="38" t="s">
        <v>2450</v>
      </c>
      <c r="B1282" s="32"/>
      <c r="C1282" s="32"/>
      <c r="D1282" s="32"/>
      <c r="E1282" s="32"/>
      <c r="F1282" s="43"/>
      <c r="K1282" s="3" t="s">
        <v>2450</v>
      </c>
    </row>
    <row r="1283" spans="1:38" ht="18.399999999999999" customHeight="1" x14ac:dyDescent="0.15">
      <c r="A1283" s="38" t="s">
        <v>369</v>
      </c>
      <c r="B1283" s="32"/>
      <c r="C1283" s="32"/>
      <c r="D1283" s="32"/>
      <c r="E1283" s="32"/>
      <c r="F1283" s="43"/>
      <c r="K1283" s="3" t="s">
        <v>369</v>
      </c>
    </row>
    <row r="1284" spans="1:38" ht="18.399999999999999" customHeight="1" x14ac:dyDescent="0.15">
      <c r="A1284" s="38" t="s">
        <v>2450</v>
      </c>
      <c r="B1284" s="32"/>
      <c r="C1284" s="32"/>
      <c r="D1284" s="32"/>
      <c r="E1284" s="32"/>
      <c r="F1284" s="43"/>
      <c r="K1284" s="3" t="s">
        <v>2450</v>
      </c>
    </row>
    <row r="1285" spans="1:38" ht="18.399999999999999" customHeight="1" x14ac:dyDescent="0.15">
      <c r="A1285" s="40" t="str">
        <f>CONCATENATE("   (",TEXT($AB1285,"#,##0.00")," + ",TEXT($AF1285,"#,##0.00"),") * 0.02 =",TEXT($AJ1285,"#,##0.00"))</f>
        <v xml:space="preserve">   (7,537.00 + 1,911.00) * 0.02 =188.00</v>
      </c>
      <c r="B1285" s="32">
        <f>SUM($C1285,$D1285,$E1285)</f>
        <v>188</v>
      </c>
      <c r="C1285" s="32">
        <f>$AJ1285</f>
        <v>188</v>
      </c>
      <c r="D1285" s="32"/>
      <c r="E1285" s="32"/>
      <c r="F1285" s="43"/>
      <c r="K1285" s="3" t="s">
        <v>2281</v>
      </c>
      <c r="AA1285" s="36" t="s">
        <v>696</v>
      </c>
      <c r="AB1285" s="8">
        <f>$AL1267</f>
        <v>7537</v>
      </c>
      <c r="AC1285" s="36" t="s">
        <v>62</v>
      </c>
      <c r="AD1285" s="7">
        <f>$AB1285</f>
        <v>7537</v>
      </c>
      <c r="AE1285" s="36" t="s">
        <v>1429</v>
      </c>
      <c r="AF1285" s="8">
        <f>$AL1269</f>
        <v>1911</v>
      </c>
      <c r="AG1285" s="36" t="s">
        <v>2235</v>
      </c>
      <c r="AH1285" s="7">
        <f>$AF1285</f>
        <v>1911</v>
      </c>
      <c r="AI1285" s="37" t="s">
        <v>1805</v>
      </c>
      <c r="AJ1285" s="8">
        <f>TRUNC(($AD1285+$AH1285)*0.02,0)</f>
        <v>188</v>
      </c>
      <c r="AK1285" s="37" t="s">
        <v>2021</v>
      </c>
      <c r="AL1285" s="7">
        <f>$AH1275+$AJ1285</f>
        <v>1895</v>
      </c>
    </row>
    <row r="1286" spans="1:38" ht="18.399999999999999" customHeight="1" x14ac:dyDescent="0.15">
      <c r="A1286" s="38" t="s">
        <v>2450</v>
      </c>
      <c r="B1286" s="32"/>
      <c r="C1286" s="32"/>
      <c r="D1286" s="32"/>
      <c r="E1286" s="32"/>
      <c r="F1286" s="43"/>
      <c r="K1286" s="3" t="s">
        <v>2450</v>
      </c>
    </row>
    <row r="1287" spans="1:38" ht="18.399999999999999" customHeight="1" x14ac:dyDescent="0.15">
      <c r="A1287" s="38" t="s">
        <v>1325</v>
      </c>
      <c r="B1287" s="33">
        <f>SUM($C1287,$D1287,$E1287)</f>
        <v>188</v>
      </c>
      <c r="C1287" s="33">
        <f>$AB1287</f>
        <v>188</v>
      </c>
      <c r="D1287" s="33">
        <f>$AD1287</f>
        <v>0</v>
      </c>
      <c r="E1287" s="33">
        <f>$AF1287</f>
        <v>0</v>
      </c>
      <c r="F1287" s="44"/>
      <c r="K1287" s="3" t="s">
        <v>1477</v>
      </c>
      <c r="AA1287" s="36" t="s">
        <v>1729</v>
      </c>
      <c r="AB1287" s="7">
        <f>$AL1285-$AH1275</f>
        <v>188</v>
      </c>
      <c r="AC1287" s="36" t="s">
        <v>68</v>
      </c>
      <c r="AD1287" s="7">
        <f>$AH1277-$AH1277</f>
        <v>0</v>
      </c>
      <c r="AE1287" s="36" t="s">
        <v>2233</v>
      </c>
      <c r="AF1287" s="7">
        <f>$AH1279-$AH1279</f>
        <v>0</v>
      </c>
    </row>
    <row r="1288" spans="1:38" ht="18.399999999999999" customHeight="1" x14ac:dyDescent="0.15">
      <c r="A1288" s="38" t="s">
        <v>2450</v>
      </c>
      <c r="B1288" s="32"/>
      <c r="C1288" s="32"/>
      <c r="D1288" s="32"/>
      <c r="E1288" s="32"/>
      <c r="F1288" s="43"/>
      <c r="K1288" s="3" t="s">
        <v>2450</v>
      </c>
    </row>
    <row r="1289" spans="1:38" ht="18.399999999999999" customHeight="1" x14ac:dyDescent="0.15">
      <c r="A1289" s="38" t="s">
        <v>293</v>
      </c>
      <c r="B1289" s="34">
        <f>SUM($C1289,$D1289,$E1289)</f>
        <v>18145</v>
      </c>
      <c r="C1289" s="34">
        <f>$AB1289</f>
        <v>1895</v>
      </c>
      <c r="D1289" s="34">
        <f>$AD1289</f>
        <v>14694</v>
      </c>
      <c r="E1289" s="34">
        <f>$AF1289</f>
        <v>1556</v>
      </c>
      <c r="F1289" s="45"/>
      <c r="K1289" s="3" t="s">
        <v>317</v>
      </c>
      <c r="AA1289" s="36" t="s">
        <v>989</v>
      </c>
      <c r="AB1289" s="7">
        <f>$AL1285</f>
        <v>1895</v>
      </c>
      <c r="AC1289" s="36" t="s">
        <v>2036</v>
      </c>
      <c r="AD1289" s="7">
        <f>$AH1277</f>
        <v>14694</v>
      </c>
      <c r="AE1289" s="36" t="s">
        <v>579</v>
      </c>
      <c r="AF1289" s="7">
        <f>$AH1279</f>
        <v>1556</v>
      </c>
    </row>
    <row r="1290" spans="1:38" ht="18.399999999999999" customHeight="1" x14ac:dyDescent="0.15">
      <c r="A1290" s="38"/>
      <c r="B1290" s="3"/>
      <c r="C1290" s="3"/>
      <c r="D1290" s="3"/>
      <c r="E1290" s="3"/>
      <c r="F1290" s="42"/>
    </row>
    <row r="1291" spans="1:38" ht="18.399999999999999" customHeight="1" x14ac:dyDescent="0.15">
      <c r="A1291" s="41" t="s">
        <v>1388</v>
      </c>
      <c r="B1291" s="35">
        <f>SUM($C1291,$D1291,$E1291)</f>
        <v>18145</v>
      </c>
      <c r="C1291" s="35">
        <f>TRUNC(SUM($AL1285),0)</f>
        <v>1895</v>
      </c>
      <c r="D1291" s="35">
        <f>TRUNC(SUM($AH1277),0)</f>
        <v>14694</v>
      </c>
      <c r="E1291" s="35">
        <f>TRUNC(SUM($AH1279),0)</f>
        <v>1556</v>
      </c>
      <c r="F1291" s="47"/>
    </row>
    <row r="1292" spans="1:38" ht="18.399999999999999" customHeight="1" x14ac:dyDescent="0.15">
      <c r="A1292" s="38"/>
      <c r="B1292" s="3"/>
      <c r="C1292" s="3"/>
      <c r="D1292" s="3"/>
      <c r="E1292" s="3"/>
      <c r="F1292" s="42"/>
    </row>
    <row r="1293" spans="1:38" ht="18.399999999999999" customHeight="1" x14ac:dyDescent="0.15">
      <c r="A1293" s="38" t="s">
        <v>1238</v>
      </c>
      <c r="B1293" s="32">
        <f>$B1376</f>
        <v>1308813</v>
      </c>
      <c r="C1293" s="32">
        <v>0</v>
      </c>
      <c r="D1293" s="32">
        <v>0</v>
      </c>
      <c r="E1293" s="32">
        <f>$E1376</f>
        <v>1308813</v>
      </c>
      <c r="F1293" s="42" t="s">
        <v>2450</v>
      </c>
      <c r="G1293" t="s">
        <v>2450</v>
      </c>
      <c r="H1293" t="s">
        <v>1307</v>
      </c>
      <c r="K1293">
        <v>1</v>
      </c>
      <c r="Y1293" s="7" t="b">
        <f>EXACT($Z1293,$B1376)</f>
        <v>1</v>
      </c>
      <c r="Z1293" s="35">
        <v>1308813</v>
      </c>
    </row>
    <row r="1294" spans="1:38" ht="18.399999999999999" customHeight="1" x14ac:dyDescent="0.15">
      <c r="A1294" s="39"/>
      <c r="B1294" s="3"/>
      <c r="C1294" s="3"/>
      <c r="D1294" s="3"/>
      <c r="E1294" s="3"/>
      <c r="F1294" s="42"/>
    </row>
    <row r="1295" spans="1:38" ht="18.399999999999999" customHeight="1" x14ac:dyDescent="0.15">
      <c r="A1295" s="38" t="s">
        <v>2450</v>
      </c>
      <c r="B1295" s="3"/>
      <c r="C1295" s="3"/>
      <c r="D1295" s="3"/>
      <c r="E1295" s="3"/>
      <c r="F1295" s="42"/>
      <c r="G1295" t="s">
        <v>2450</v>
      </c>
      <c r="I1295" t="s">
        <v>289</v>
      </c>
      <c r="J1295" t="s">
        <v>2450</v>
      </c>
      <c r="K1295" t="s">
        <v>2053</v>
      </c>
    </row>
    <row r="1296" spans="1:38" ht="18.399999999999999" customHeight="1" x14ac:dyDescent="0.15">
      <c r="A1296" s="38" t="s">
        <v>2174</v>
      </c>
      <c r="B1296" s="32"/>
      <c r="C1296" s="32"/>
      <c r="D1296" s="32"/>
      <c r="E1296" s="32"/>
      <c r="F1296" s="43"/>
      <c r="K1296" s="3" t="s">
        <v>2174</v>
      </c>
    </row>
    <row r="1297" spans="1:30" ht="18.399999999999999" customHeight="1" x14ac:dyDescent="0.15">
      <c r="A1297" s="38" t="s">
        <v>2450</v>
      </c>
      <c r="B1297" s="32"/>
      <c r="C1297" s="32"/>
      <c r="D1297" s="32"/>
      <c r="E1297" s="32"/>
      <c r="F1297" s="43"/>
      <c r="K1297" s="3" t="s">
        <v>2450</v>
      </c>
    </row>
    <row r="1298" spans="1:30" ht="18.399999999999999" customHeight="1" x14ac:dyDescent="0.15">
      <c r="A1298" s="40" t="str">
        <f>CONCATENATE("   -포장 2 차선   L1=",TEXT($AB1298,"#,##0.0")," KM")</f>
        <v xml:space="preserve">   -포장 2 차선   L1=10.0 KM</v>
      </c>
      <c r="B1298" s="32"/>
      <c r="C1298" s="32"/>
      <c r="D1298" s="32"/>
      <c r="E1298" s="32"/>
      <c r="F1298" s="43"/>
      <c r="K1298" s="10" t="str">
        <f>SUBSTITUTE(SUBSTITUTE("  _x001D_-포장 2 차선_x001D_  L1 = 10.0_x001D_KM_x001D_","10.0",TEXT($AB1298,"#,##0.0"),1),"_x001D_","'")</f>
        <v xml:space="preserve">  '-포장 2 차선'  L1 = 10.0'KM'</v>
      </c>
      <c r="AA1298" s="36" t="s">
        <v>2372</v>
      </c>
      <c r="AB1298" s="6">
        <v>10</v>
      </c>
      <c r="AC1298" s="36" t="s">
        <v>2372</v>
      </c>
      <c r="AD1298" s="7">
        <f>$AB1298</f>
        <v>10</v>
      </c>
    </row>
    <row r="1299" spans="1:30" ht="18.399999999999999" customHeight="1" x14ac:dyDescent="0.15">
      <c r="A1299" s="38" t="s">
        <v>2450</v>
      </c>
      <c r="B1299" s="32"/>
      <c r="C1299" s="32"/>
      <c r="D1299" s="32"/>
      <c r="E1299" s="32"/>
      <c r="F1299" s="43"/>
      <c r="K1299" s="3" t="s">
        <v>2450</v>
      </c>
    </row>
    <row r="1300" spans="1:30" ht="18.399999999999999" customHeight="1" x14ac:dyDescent="0.15">
      <c r="A1300" s="40" t="str">
        <f>CONCATENATE("   -비포장 2 차선 L2=",TEXT($AB1300,"#,##0.0")," KM")</f>
        <v xml:space="preserve">   -비포장 2 차선 L2=0.0 KM</v>
      </c>
      <c r="B1300" s="32"/>
      <c r="C1300" s="32"/>
      <c r="D1300" s="32"/>
      <c r="E1300" s="32"/>
      <c r="F1300" s="43"/>
      <c r="K1300" s="10" t="str">
        <f>SUBSTITUTE(SUBSTITUTE("  _x001D_-비포장 2 차선_x001D_L2 = 0.0_x001D_KM_x001D_","0.0",TEXT($AB1300,"#,##0.0"),1),"_x001D_","'")</f>
        <v xml:space="preserve">  '-비포장 2 차선'L2 = 0.0'KM'</v>
      </c>
      <c r="AA1300" s="36" t="s">
        <v>212</v>
      </c>
      <c r="AB1300" s="6">
        <v>0</v>
      </c>
      <c r="AC1300" s="36" t="s">
        <v>212</v>
      </c>
      <c r="AD1300" s="7">
        <f>$AB1300</f>
        <v>0</v>
      </c>
    </row>
    <row r="1301" spans="1:30" ht="18.399999999999999" customHeight="1" x14ac:dyDescent="0.15">
      <c r="A1301" s="38" t="s">
        <v>2450</v>
      </c>
      <c r="B1301" s="32"/>
      <c r="C1301" s="32"/>
      <c r="D1301" s="32"/>
      <c r="E1301" s="32"/>
      <c r="F1301" s="43"/>
      <c r="K1301" s="3" t="s">
        <v>2450</v>
      </c>
    </row>
    <row r="1302" spans="1:30" ht="18.399999999999999" customHeight="1" x14ac:dyDescent="0.15">
      <c r="A1302" s="38" t="s">
        <v>608</v>
      </c>
      <c r="B1302" s="32"/>
      <c r="C1302" s="32"/>
      <c r="D1302" s="32"/>
      <c r="E1302" s="32"/>
      <c r="F1302" s="43"/>
      <c r="K1302" s="3" t="s">
        <v>2131</v>
      </c>
    </row>
    <row r="1303" spans="1:30" ht="18.399999999999999" customHeight="1" x14ac:dyDescent="0.15">
      <c r="A1303" s="38" t="s">
        <v>1037</v>
      </c>
      <c r="B1303" s="32"/>
      <c r="C1303" s="32"/>
      <c r="D1303" s="32"/>
      <c r="E1303" s="32"/>
      <c r="F1303" s="43"/>
      <c r="K1303" s="3" t="s">
        <v>1751</v>
      </c>
    </row>
    <row r="1304" spans="1:30" ht="18.399999999999999" customHeight="1" x14ac:dyDescent="0.15">
      <c r="A1304" s="38" t="s">
        <v>608</v>
      </c>
      <c r="B1304" s="32"/>
      <c r="C1304" s="32"/>
      <c r="D1304" s="32"/>
      <c r="E1304" s="32"/>
      <c r="F1304" s="43"/>
      <c r="K1304" s="3" t="s">
        <v>2131</v>
      </c>
    </row>
    <row r="1305" spans="1:30" ht="18.399999999999999" customHeight="1" x14ac:dyDescent="0.15">
      <c r="A1305" s="38" t="s">
        <v>1707</v>
      </c>
      <c r="B1305" s="32"/>
      <c r="C1305" s="32"/>
      <c r="D1305" s="32"/>
      <c r="E1305" s="32"/>
      <c r="F1305" s="43"/>
      <c r="K1305" s="3" t="s">
        <v>385</v>
      </c>
    </row>
    <row r="1306" spans="1:30" ht="18.399999999999999" customHeight="1" x14ac:dyDescent="0.15">
      <c r="A1306" s="38" t="s">
        <v>992</v>
      </c>
      <c r="B1306" s="32"/>
      <c r="C1306" s="32"/>
      <c r="D1306" s="32"/>
      <c r="E1306" s="32"/>
      <c r="F1306" s="43"/>
      <c r="K1306" s="3" t="s">
        <v>798</v>
      </c>
    </row>
    <row r="1307" spans="1:30" ht="18.399999999999999" customHeight="1" x14ac:dyDescent="0.15">
      <c r="A1307" s="38" t="s">
        <v>2228</v>
      </c>
      <c r="B1307" s="32"/>
      <c r="C1307" s="32"/>
      <c r="D1307" s="32"/>
      <c r="E1307" s="32"/>
      <c r="F1307" s="43"/>
      <c r="K1307" s="3" t="s">
        <v>2057</v>
      </c>
    </row>
    <row r="1308" spans="1:30" ht="18.399999999999999" customHeight="1" x14ac:dyDescent="0.15">
      <c r="A1308" s="38" t="s">
        <v>2147</v>
      </c>
      <c r="B1308" s="32"/>
      <c r="C1308" s="32"/>
      <c r="D1308" s="32"/>
      <c r="E1308" s="32"/>
      <c r="F1308" s="43"/>
      <c r="K1308" s="3" t="s">
        <v>2376</v>
      </c>
    </row>
    <row r="1309" spans="1:30" ht="18.399999999999999" customHeight="1" x14ac:dyDescent="0.15">
      <c r="A1309" s="38" t="s">
        <v>171</v>
      </c>
      <c r="B1309" s="32"/>
      <c r="C1309" s="32"/>
      <c r="D1309" s="32"/>
      <c r="E1309" s="32"/>
      <c r="F1309" s="43"/>
      <c r="K1309" s="3" t="s">
        <v>2427</v>
      </c>
    </row>
    <row r="1310" spans="1:30" ht="18.399999999999999" customHeight="1" x14ac:dyDescent="0.15">
      <c r="A1310" s="38" t="s">
        <v>1377</v>
      </c>
      <c r="B1310" s="32"/>
      <c r="C1310" s="32"/>
      <c r="D1310" s="32"/>
      <c r="E1310" s="32"/>
      <c r="F1310" s="43"/>
      <c r="K1310" s="3" t="s">
        <v>1702</v>
      </c>
    </row>
    <row r="1311" spans="1:30" ht="18.399999999999999" customHeight="1" x14ac:dyDescent="0.15">
      <c r="A1311" s="38" t="s">
        <v>1274</v>
      </c>
      <c r="B1311" s="32"/>
      <c r="C1311" s="32"/>
      <c r="D1311" s="32"/>
      <c r="E1311" s="32"/>
      <c r="F1311" s="43"/>
      <c r="K1311" s="3" t="s">
        <v>1438</v>
      </c>
    </row>
    <row r="1312" spans="1:30" ht="18.399999999999999" customHeight="1" x14ac:dyDescent="0.15">
      <c r="A1312" s="38" t="s">
        <v>1010</v>
      </c>
      <c r="B1312" s="32"/>
      <c r="C1312" s="32"/>
      <c r="D1312" s="32"/>
      <c r="E1312" s="32"/>
      <c r="F1312" s="43"/>
      <c r="K1312" s="3" t="s">
        <v>1201</v>
      </c>
    </row>
    <row r="1313" spans="1:42" ht="18.399999999999999" customHeight="1" x14ac:dyDescent="0.15">
      <c r="A1313" s="38" t="s">
        <v>518</v>
      </c>
      <c r="B1313" s="32"/>
      <c r="C1313" s="32"/>
      <c r="D1313" s="32"/>
      <c r="E1313" s="32"/>
      <c r="F1313" s="43"/>
      <c r="K1313" s="3" t="s">
        <v>995</v>
      </c>
    </row>
    <row r="1314" spans="1:42" ht="18.399999999999999" customHeight="1" x14ac:dyDescent="0.15">
      <c r="A1314" s="38" t="s">
        <v>2228</v>
      </c>
      <c r="B1314" s="32"/>
      <c r="C1314" s="32"/>
      <c r="D1314" s="32"/>
      <c r="E1314" s="32"/>
      <c r="F1314" s="43"/>
      <c r="K1314" s="3" t="s">
        <v>2057</v>
      </c>
    </row>
    <row r="1315" spans="1:42" ht="18.399999999999999" customHeight="1" x14ac:dyDescent="0.15">
      <c r="A1315" s="40" t="str">
        <f>CONCATENATE("    합  계            N1=",TEXT($AB1315,"#,##0.00"),",  N2=",TEXT($AF1315,"#,##0.00"))</f>
        <v xml:space="preserve">    합  계            N1=6.00,  N2=0.00</v>
      </c>
      <c r="B1315" s="32"/>
      <c r="C1315" s="32"/>
      <c r="D1315" s="32"/>
      <c r="E1315" s="32"/>
      <c r="F1315" s="43"/>
      <c r="K1315" s="10" t="str">
        <f>SUBSTITUTE(SUBSTITUTE(SUBSTITUTE("_x001D_   합  계           _x001D_N1= 6,  N2= 0","6",TEXT($AB1315,"#,##0"),1),"0",TEXT($AF1315,"#,##0"),1),"_x001D_","'")</f>
        <v>'   합  계           'N1= 6,  N2= 0</v>
      </c>
      <c r="AA1315" s="36" t="s">
        <v>1448</v>
      </c>
      <c r="AB1315" s="6">
        <v>6</v>
      </c>
      <c r="AC1315" s="36" t="s">
        <v>1448</v>
      </c>
      <c r="AD1315" s="7">
        <f>$AB1315</f>
        <v>6</v>
      </c>
      <c r="AE1315" s="36" t="s">
        <v>1146</v>
      </c>
      <c r="AF1315" s="6">
        <v>0</v>
      </c>
      <c r="AG1315" s="36" t="s">
        <v>1146</v>
      </c>
      <c r="AH1315" s="7">
        <f>$AF1315</f>
        <v>0</v>
      </c>
    </row>
    <row r="1316" spans="1:42" ht="18.399999999999999" customHeight="1" x14ac:dyDescent="0.15">
      <c r="A1316" s="38" t="s">
        <v>608</v>
      </c>
      <c r="B1316" s="32"/>
      <c r="C1316" s="32"/>
      <c r="D1316" s="32"/>
      <c r="E1316" s="32"/>
      <c r="F1316" s="43"/>
      <c r="K1316" s="3" t="s">
        <v>2131</v>
      </c>
    </row>
    <row r="1317" spans="1:42" ht="18.399999999999999" customHeight="1" x14ac:dyDescent="0.15">
      <c r="A1317" s="38" t="s">
        <v>2450</v>
      </c>
      <c r="B1317" s="32"/>
      <c r="C1317" s="32"/>
      <c r="D1317" s="32"/>
      <c r="E1317" s="32"/>
      <c r="F1317" s="43"/>
      <c r="K1317" s="3" t="s">
        <v>2450</v>
      </c>
    </row>
    <row r="1318" spans="1:42" ht="18.399999999999999" customHeight="1" x14ac:dyDescent="0.15">
      <c r="A1318" s="38" t="s">
        <v>414</v>
      </c>
      <c r="B1318" s="32"/>
      <c r="C1318" s="32"/>
      <c r="D1318" s="32"/>
      <c r="E1318" s="32"/>
      <c r="F1318" s="43"/>
      <c r="K1318" s="3" t="s">
        <v>414</v>
      </c>
    </row>
    <row r="1319" spans="1:42" ht="18.399999999999999" customHeight="1" x14ac:dyDescent="0.15">
      <c r="A1319" s="38" t="s">
        <v>2450</v>
      </c>
      <c r="B1319" s="32"/>
      <c r="C1319" s="32"/>
      <c r="D1319" s="32"/>
      <c r="E1319" s="32"/>
      <c r="F1319" s="43"/>
      <c r="K1319" s="3" t="s">
        <v>2450</v>
      </c>
    </row>
    <row r="1320" spans="1:42" ht="18.399999999999999" customHeight="1" x14ac:dyDescent="0.15">
      <c r="A1320" s="40" t="str">
        <f>CONCATENATE("    왕복 2회(공사시작,공사종료) : A=",TEXT($AB1320,"#,##0.00")," 회")</f>
        <v xml:space="preserve">    왕복 2회(공사시작,공사종료) : A=2.00 회</v>
      </c>
      <c r="B1320" s="32"/>
      <c r="C1320" s="32"/>
      <c r="D1320" s="32"/>
      <c r="E1320" s="32"/>
      <c r="F1320" s="43"/>
      <c r="K1320" s="10" t="str">
        <f>SUBSTITUTE(SUBSTITUTE("   _x001D_왕복 2회(공사시작,공사종료) :_x001D_A=2_x001D_회_x001D_","2",TEXT($AB1320,"#,##0"),1),"_x001D_","'")</f>
        <v xml:space="preserve">   '왕복 2회(공사시작,공사종료) :'A=2'회'</v>
      </c>
      <c r="AA1320" s="36" t="s">
        <v>430</v>
      </c>
      <c r="AB1320" s="6">
        <v>2</v>
      </c>
      <c r="AC1320" s="36" t="s">
        <v>430</v>
      </c>
      <c r="AD1320" s="7">
        <f>$AB1320</f>
        <v>2</v>
      </c>
    </row>
    <row r="1321" spans="1:42" ht="18.399999999999999" customHeight="1" x14ac:dyDescent="0.15">
      <c r="A1321" s="38" t="s">
        <v>2450</v>
      </c>
      <c r="B1321" s="32"/>
      <c r="C1321" s="32"/>
      <c r="D1321" s="32"/>
      <c r="E1321" s="32"/>
      <c r="F1321" s="43"/>
      <c r="K1321" s="3" t="s">
        <v>2450</v>
      </c>
    </row>
    <row r="1322" spans="1:42" ht="18.399999999999999" customHeight="1" x14ac:dyDescent="0.15">
      <c r="A1322" s="40" t="str">
        <f>CONCATENATE("   T1 + T3 = 40 MIN  / 60 =",TEXT($AB1322,"#,##0.00")," HR ")</f>
        <v xml:space="preserve">   T1 + T3 = 40 MIN  / 60 =0.67 HR </v>
      </c>
      <c r="B1322" s="32">
        <f>SUM($C1322,$D1322,$E1322)</f>
        <v>0</v>
      </c>
      <c r="C1322" s="32"/>
      <c r="D1322" s="32"/>
      <c r="E1322" s="32"/>
      <c r="F1322" s="43"/>
      <c r="K1322" s="3" t="s">
        <v>883</v>
      </c>
      <c r="AA1322" s="36" t="s">
        <v>184</v>
      </c>
      <c r="AB1322" s="8">
        <f>ROUND(40/60,2)</f>
        <v>0.67</v>
      </c>
      <c r="AC1322" s="36" t="s">
        <v>725</v>
      </c>
      <c r="AD1322" s="7">
        <f>$AB1322</f>
        <v>0.67</v>
      </c>
    </row>
    <row r="1323" spans="1:42" ht="18.399999999999999" customHeight="1" x14ac:dyDescent="0.15">
      <c r="A1323" s="38" t="s">
        <v>2450</v>
      </c>
      <c r="B1323" s="32"/>
      <c r="C1323" s="32"/>
      <c r="D1323" s="32"/>
      <c r="E1323" s="32"/>
      <c r="F1323" s="43"/>
      <c r="K1323" s="3" t="s">
        <v>2450</v>
      </c>
    </row>
    <row r="1324" spans="1:42" ht="18.399999999999999" customHeight="1" x14ac:dyDescent="0.15">
      <c r="A1324" s="40" t="str">
        <f>CONCATENATE("   T2 = (",TEXT($AB1324,"#,##0.00"),"/40+",TEXT($AF1324,"#,##0.00"),"/20)*2 =",TEXT($AN1324,"#,##0.00")," HR ")</f>
        <v xml:space="preserve">   T2 = (10.00/40+0.00/20)*2 =0.50 HR </v>
      </c>
      <c r="B1324" s="32">
        <f>SUM($C1324,$D1324,$E1324)</f>
        <v>0</v>
      </c>
      <c r="C1324" s="32"/>
      <c r="D1324" s="32"/>
      <c r="E1324" s="32"/>
      <c r="F1324" s="43"/>
      <c r="K1324" s="3" t="s">
        <v>2070</v>
      </c>
      <c r="AA1324" s="36" t="s">
        <v>105</v>
      </c>
      <c r="AB1324" s="8">
        <f>$AD1298</f>
        <v>10</v>
      </c>
      <c r="AC1324" s="36" t="s">
        <v>566</v>
      </c>
      <c r="AD1324" s="7">
        <f>$AB1324</f>
        <v>10</v>
      </c>
      <c r="AE1324" s="36" t="s">
        <v>2103</v>
      </c>
      <c r="AF1324" s="8">
        <f>$AD1300</f>
        <v>0</v>
      </c>
      <c r="AG1324" s="36" t="s">
        <v>2050</v>
      </c>
      <c r="AH1324" s="7">
        <f>$AF1324</f>
        <v>0</v>
      </c>
      <c r="AI1324" s="36" t="s">
        <v>2319</v>
      </c>
      <c r="AJ1324" s="8">
        <f>ROUND(($AD1324/40+$AH1324/20)*2,2)</f>
        <v>0.5</v>
      </c>
      <c r="AK1324" s="36" t="s">
        <v>848</v>
      </c>
      <c r="AL1324" s="7">
        <f>$AJ1324</f>
        <v>0.5</v>
      </c>
      <c r="AM1324" s="36" t="s">
        <v>1050</v>
      </c>
      <c r="AN1324" s="8">
        <f>ROUND(ROUND(($AD1324/40+$AH1324/20)*2,2),2)</f>
        <v>0.5</v>
      </c>
      <c r="AO1324" s="36" t="s">
        <v>1682</v>
      </c>
      <c r="AP1324" s="7">
        <f>$AN1324</f>
        <v>0.5</v>
      </c>
    </row>
    <row r="1325" spans="1:42" ht="18.399999999999999" customHeight="1" x14ac:dyDescent="0.15">
      <c r="A1325" s="38" t="s">
        <v>2450</v>
      </c>
      <c r="B1325" s="32"/>
      <c r="C1325" s="32"/>
      <c r="D1325" s="32"/>
      <c r="E1325" s="32"/>
      <c r="F1325" s="43"/>
      <c r="K1325" s="3" t="s">
        <v>2450</v>
      </c>
    </row>
    <row r="1326" spans="1:42" ht="18.399999999999999" customHeight="1" x14ac:dyDescent="0.15">
      <c r="A1326" s="40" t="str">
        <f>CONCATENATE("   CM = ",TEXT($AB1326,"#,##0.00")," + ",TEXT($AF1326,"#,##0.00")," =",TEXT($AN1326,"#,##0.00")," HR ")</f>
        <v xml:space="preserve">   CM = 0.50 + 0.67 =1.17 HR </v>
      </c>
      <c r="B1326" s="32">
        <f>SUM($C1326,$D1326,$E1326)</f>
        <v>0</v>
      </c>
      <c r="C1326" s="32"/>
      <c r="D1326" s="32"/>
      <c r="E1326" s="32"/>
      <c r="F1326" s="43"/>
      <c r="K1326" s="3" t="s">
        <v>1212</v>
      </c>
      <c r="AA1326" s="36" t="s">
        <v>1298</v>
      </c>
      <c r="AB1326" s="8">
        <f>$AL1324</f>
        <v>0.5</v>
      </c>
      <c r="AC1326" s="36" t="s">
        <v>674</v>
      </c>
      <c r="AD1326" s="7">
        <f>$AB1326</f>
        <v>0.5</v>
      </c>
      <c r="AE1326" s="36" t="s">
        <v>890</v>
      </c>
      <c r="AF1326" s="8">
        <f>$AD1322</f>
        <v>0.67</v>
      </c>
      <c r="AG1326" s="36" t="s">
        <v>1614</v>
      </c>
      <c r="AH1326" s="7">
        <f>$AF1326</f>
        <v>0.67</v>
      </c>
      <c r="AI1326" s="36" t="s">
        <v>1972</v>
      </c>
      <c r="AJ1326" s="8">
        <f>ROUND($AD1326+$AH1326,2)</f>
        <v>1.17</v>
      </c>
      <c r="AK1326" s="36" t="s">
        <v>122</v>
      </c>
      <c r="AL1326" s="7">
        <f>$AJ1326</f>
        <v>1.17</v>
      </c>
      <c r="AM1326" s="36" t="s">
        <v>2243</v>
      </c>
      <c r="AN1326" s="8">
        <f>ROUND(ROUND($AD1326+$AH1326,2),2)</f>
        <v>1.17</v>
      </c>
      <c r="AO1326" s="36" t="s">
        <v>1978</v>
      </c>
      <c r="AP1326" s="7">
        <f>$AN1326</f>
        <v>1.17</v>
      </c>
    </row>
    <row r="1327" spans="1:42" ht="18.399999999999999" customHeight="1" x14ac:dyDescent="0.15">
      <c r="A1327" s="38" t="s">
        <v>2450</v>
      </c>
      <c r="B1327" s="32"/>
      <c r="C1327" s="32"/>
      <c r="D1327" s="32"/>
      <c r="E1327" s="32"/>
      <c r="F1327" s="43"/>
      <c r="K1327" s="3" t="s">
        <v>2450</v>
      </c>
    </row>
    <row r="1328" spans="1:42" ht="18.399999999999999" customHeight="1" x14ac:dyDescent="0.15">
      <c r="A1328" s="40" t="str">
        <f>CONCATENATE("    재 료 비 :  _x001D_36,466_x001D_ * ",TEXT($AB1328,"#,##0.00")," * ",TEXT($AF1328,"#,##0.00")," * ",TEXT($AJ1328,"#,##0.00")," =",TEXT($AN1328,"#,##0.00"))</f>
        <v xml:space="preserve">    재 료 비 :  _x001D_36,466_x001D_ * 0.50 * 2.00 * 6.00 =218,796.00</v>
      </c>
      <c r="B1328" s="32">
        <f>SUM($C1328,$D1328,$E1328)</f>
        <v>218796</v>
      </c>
      <c r="C1328" s="32"/>
      <c r="D1328" s="32"/>
      <c r="E1328" s="32">
        <f>$AN1328</f>
        <v>218796</v>
      </c>
      <c r="F1328" s="43" t="s">
        <v>2450</v>
      </c>
      <c r="K1328" s="3" t="s">
        <v>1025</v>
      </c>
      <c r="AA1328" s="36" t="s">
        <v>230</v>
      </c>
      <c r="AB1328" s="8">
        <f>$AL1324</f>
        <v>0.5</v>
      </c>
      <c r="AC1328" s="36" t="s">
        <v>1151</v>
      </c>
      <c r="AD1328" s="7">
        <f>$AB1328</f>
        <v>0.5</v>
      </c>
      <c r="AE1328" s="36" t="s">
        <v>1897</v>
      </c>
      <c r="AF1328" s="8">
        <f>$AD1320</f>
        <v>2</v>
      </c>
      <c r="AG1328" s="36" t="s">
        <v>1453</v>
      </c>
      <c r="AH1328" s="7">
        <f>$AF1328</f>
        <v>2</v>
      </c>
      <c r="AI1328" s="36" t="s">
        <v>1168</v>
      </c>
      <c r="AJ1328" s="8">
        <f>$AD1315</f>
        <v>6</v>
      </c>
      <c r="AK1328" s="36" t="s">
        <v>2420</v>
      </c>
      <c r="AL1328" s="7">
        <f>$AJ1328</f>
        <v>6</v>
      </c>
      <c r="AM1328" s="37" t="s">
        <v>815</v>
      </c>
      <c r="AN1328" s="8">
        <f>TRUNC(중기사용료목록!E21*$AD1328*$AH1328*$AL1328,0)</f>
        <v>218796</v>
      </c>
      <c r="AO1328" s="37" t="s">
        <v>1302</v>
      </c>
      <c r="AP1328" s="7">
        <f>$AN1328</f>
        <v>218796</v>
      </c>
    </row>
    <row r="1329" spans="1:42" ht="18.399999999999999" customHeight="1" x14ac:dyDescent="0.15">
      <c r="A1329" s="38" t="s">
        <v>2450</v>
      </c>
      <c r="B1329" s="32"/>
      <c r="C1329" s="32"/>
      <c r="D1329" s="32"/>
      <c r="E1329" s="32"/>
      <c r="F1329" s="43"/>
      <c r="K1329" s="3" t="s">
        <v>2450</v>
      </c>
    </row>
    <row r="1330" spans="1:42" ht="18.399999999999999" customHeight="1" x14ac:dyDescent="0.15">
      <c r="A1330" s="40" t="str">
        <f>CONCATENATE("    노 무 비 :  _x001D_49,778_x001D_ * ",TEXT($AB1330,"#,##0.00")," * ",TEXT($AF1330,"#,##0.00")," * ",TEXT($AJ1330,"#,##0.00")," =",TEXT($AN1330,"#,##0.00"))</f>
        <v xml:space="preserve">    노 무 비 :  _x001D_49,778_x001D_ * 1.17 * 2.00 * 6.00 =698,883.00</v>
      </c>
      <c r="B1330" s="32">
        <f>SUM($C1330,$D1330,$E1330)</f>
        <v>698883</v>
      </c>
      <c r="C1330" s="32"/>
      <c r="D1330" s="32"/>
      <c r="E1330" s="32">
        <f>$AN1330</f>
        <v>698883</v>
      </c>
      <c r="F1330" s="43" t="s">
        <v>2450</v>
      </c>
      <c r="K1330" s="3" t="s">
        <v>348</v>
      </c>
      <c r="AA1330" s="36" t="s">
        <v>619</v>
      </c>
      <c r="AB1330" s="8">
        <f>$AL1326</f>
        <v>1.17</v>
      </c>
      <c r="AC1330" s="36" t="s">
        <v>1226</v>
      </c>
      <c r="AD1330" s="7">
        <f>$AB1330</f>
        <v>1.17</v>
      </c>
      <c r="AE1330" s="36" t="s">
        <v>2284</v>
      </c>
      <c r="AF1330" s="8">
        <f>$AD1320</f>
        <v>2</v>
      </c>
      <c r="AG1330" s="36" t="s">
        <v>1064</v>
      </c>
      <c r="AH1330" s="7">
        <f>$AF1330</f>
        <v>2</v>
      </c>
      <c r="AI1330" s="36" t="s">
        <v>931</v>
      </c>
      <c r="AJ1330" s="8">
        <f>$AD1315</f>
        <v>6</v>
      </c>
      <c r="AK1330" s="36" t="s">
        <v>97</v>
      </c>
      <c r="AL1330" s="7">
        <f>$AJ1330</f>
        <v>6</v>
      </c>
      <c r="AM1330" s="37" t="s">
        <v>815</v>
      </c>
      <c r="AN1330" s="8">
        <f>TRUNC(중기사용료목록!F21*$AD1330*$AH1330*$AL1330,0)</f>
        <v>698883</v>
      </c>
      <c r="AO1330" s="37" t="s">
        <v>1302</v>
      </c>
      <c r="AP1330" s="7">
        <f>$AP1328+$AN1330</f>
        <v>917679</v>
      </c>
    </row>
    <row r="1331" spans="1:42" ht="18.399999999999999" customHeight="1" x14ac:dyDescent="0.15">
      <c r="A1331" s="38" t="s">
        <v>2450</v>
      </c>
      <c r="B1331" s="32"/>
      <c r="C1331" s="32"/>
      <c r="D1331" s="32"/>
      <c r="E1331" s="32"/>
      <c r="F1331" s="43"/>
      <c r="K1331" s="3" t="s">
        <v>2450</v>
      </c>
    </row>
    <row r="1332" spans="1:42" ht="18.399999999999999" customHeight="1" x14ac:dyDescent="0.15">
      <c r="A1332" s="40" t="str">
        <f>CONCATENATE("    경    비 :  _x001D_17,314_x001D_ * ",TEXT($AB1332,"#,##0.00")," * ",TEXT($AF1332,"#,##0.00")," * ",TEXT($AJ1332,"#,##0.00")," =",TEXT($AN1332,"#,##0.00"))</f>
        <v xml:space="preserve">    경    비 :  _x001D_17,314_x001D_ * 1.17 * 2.00 * 6.00 =243,088.00</v>
      </c>
      <c r="B1332" s="32">
        <f>SUM($C1332,$D1332,$E1332)</f>
        <v>243088</v>
      </c>
      <c r="C1332" s="32"/>
      <c r="D1332" s="32"/>
      <c r="E1332" s="32">
        <f>$AN1332</f>
        <v>243088</v>
      </c>
      <c r="F1332" s="43" t="s">
        <v>2450</v>
      </c>
      <c r="K1332" s="3" t="s">
        <v>475</v>
      </c>
      <c r="AA1332" s="36" t="s">
        <v>1748</v>
      </c>
      <c r="AB1332" s="8">
        <f>$AL1326</f>
        <v>1.17</v>
      </c>
      <c r="AC1332" s="36" t="s">
        <v>2431</v>
      </c>
      <c r="AD1332" s="7">
        <f>$AB1332</f>
        <v>1.17</v>
      </c>
      <c r="AE1332" s="36" t="s">
        <v>1019</v>
      </c>
      <c r="AF1332" s="8">
        <f>$AD1320</f>
        <v>2</v>
      </c>
      <c r="AG1332" s="36" t="s">
        <v>182</v>
      </c>
      <c r="AH1332" s="7">
        <f>$AF1332</f>
        <v>2</v>
      </c>
      <c r="AI1332" s="36" t="s">
        <v>2055</v>
      </c>
      <c r="AJ1332" s="8">
        <f>$AD1315</f>
        <v>6</v>
      </c>
      <c r="AK1332" s="36" t="s">
        <v>1139</v>
      </c>
      <c r="AL1332" s="7">
        <f>$AJ1332</f>
        <v>6</v>
      </c>
      <c r="AM1332" s="37" t="s">
        <v>815</v>
      </c>
      <c r="AN1332" s="8">
        <f>TRUNC(중기사용료목록!G21*$AD1332*$AH1332*$AL1332,0)</f>
        <v>243088</v>
      </c>
      <c r="AO1332" s="37" t="s">
        <v>1302</v>
      </c>
      <c r="AP1332" s="7">
        <f>$AP1330+$AN1332</f>
        <v>1160767</v>
      </c>
    </row>
    <row r="1333" spans="1:42" ht="18.399999999999999" customHeight="1" x14ac:dyDescent="0.15">
      <c r="A1333" s="38" t="s">
        <v>2450</v>
      </c>
      <c r="B1333" s="32"/>
      <c r="C1333" s="32"/>
      <c r="D1333" s="32"/>
      <c r="E1333" s="32"/>
      <c r="F1333" s="43"/>
      <c r="K1333" s="3" t="s">
        <v>2450</v>
      </c>
    </row>
    <row r="1334" spans="1:42" ht="18.399999999999999" customHeight="1" x14ac:dyDescent="0.15">
      <c r="A1334" s="38" t="s">
        <v>2337</v>
      </c>
      <c r="B1334" s="34">
        <f>SUM($C1334,$D1334,$E1334)</f>
        <v>1160767</v>
      </c>
      <c r="C1334" s="34">
        <f>$AB1334</f>
        <v>0</v>
      </c>
      <c r="D1334" s="34">
        <f>$AD1334</f>
        <v>0</v>
      </c>
      <c r="E1334" s="34">
        <f>$AF1334</f>
        <v>1160767</v>
      </c>
      <c r="F1334" s="45"/>
      <c r="K1334" s="3" t="s">
        <v>726</v>
      </c>
      <c r="AE1334" s="36" t="s">
        <v>579</v>
      </c>
      <c r="AF1334" s="7">
        <f>$AP1332</f>
        <v>1160767</v>
      </c>
    </row>
    <row r="1335" spans="1:42" ht="18.399999999999999" customHeight="1" x14ac:dyDescent="0.15">
      <c r="A1335" s="38" t="s">
        <v>2450</v>
      </c>
      <c r="B1335" s="32"/>
      <c r="C1335" s="32"/>
      <c r="D1335" s="32"/>
      <c r="E1335" s="32"/>
      <c r="F1335" s="43"/>
      <c r="K1335" s="3" t="s">
        <v>2450</v>
      </c>
    </row>
    <row r="1336" spans="1:42" ht="18.399999999999999" customHeight="1" x14ac:dyDescent="0.15">
      <c r="A1336" s="38" t="s">
        <v>1020</v>
      </c>
      <c r="B1336" s="32"/>
      <c r="C1336" s="32"/>
      <c r="D1336" s="32"/>
      <c r="E1336" s="32"/>
      <c r="F1336" s="43"/>
      <c r="K1336" s="3" t="s">
        <v>1020</v>
      </c>
    </row>
    <row r="1337" spans="1:42" ht="18.399999999999999" customHeight="1" x14ac:dyDescent="0.15">
      <c r="A1337" s="38" t="s">
        <v>2450</v>
      </c>
      <c r="B1337" s="32"/>
      <c r="C1337" s="32"/>
      <c r="D1337" s="32"/>
      <c r="E1337" s="32"/>
      <c r="F1337" s="43"/>
      <c r="K1337" s="3" t="s">
        <v>2359</v>
      </c>
      <c r="AA1337" s="36" t="s">
        <v>298</v>
      </c>
      <c r="AB1337" s="6">
        <v>1</v>
      </c>
      <c r="AC1337" s="36" t="s">
        <v>298</v>
      </c>
      <c r="AD1337" s="7">
        <f>$AB1337</f>
        <v>1</v>
      </c>
    </row>
    <row r="1338" spans="1:42" ht="18.399999999999999" customHeight="1" x14ac:dyDescent="0.15">
      <c r="A1338" s="38" t="s">
        <v>1740</v>
      </c>
      <c r="B1338" s="32"/>
      <c r="C1338" s="32"/>
      <c r="D1338" s="32"/>
      <c r="E1338" s="32"/>
      <c r="F1338" s="43"/>
      <c r="K1338" s="3" t="s">
        <v>1740</v>
      </c>
    </row>
    <row r="1339" spans="1:42" ht="18.399999999999999" customHeight="1" x14ac:dyDescent="0.15">
      <c r="A1339" s="38" t="s">
        <v>2450</v>
      </c>
      <c r="B1339" s="32"/>
      <c r="C1339" s="32"/>
      <c r="D1339" s="32"/>
      <c r="E1339" s="32"/>
      <c r="F1339" s="43"/>
      <c r="K1339" s="3" t="s">
        <v>2450</v>
      </c>
    </row>
    <row r="1340" spans="1:42" ht="18.399999999999999" customHeight="1" x14ac:dyDescent="0.15">
      <c r="A1340" s="40" t="str">
        <f>CONCATENATE("       T2 = (",TEXT($AB1340,"#,##0.00"),"/40+",TEXT($AF1340,"#,##0.00"),"/25)*2 =",TEXT($AN1340,"#,##0.00")," HR ")</f>
        <v xml:space="preserve">       T2 = (10.00/40+0.00/25)*2 =0.50 HR </v>
      </c>
      <c r="B1340" s="32">
        <f>SUM($C1340,$D1340,$E1340)</f>
        <v>0</v>
      </c>
      <c r="C1340" s="32"/>
      <c r="D1340" s="32"/>
      <c r="E1340" s="32"/>
      <c r="F1340" s="43"/>
      <c r="K1340" s="3" t="s">
        <v>1326</v>
      </c>
      <c r="AA1340" s="36" t="s">
        <v>708</v>
      </c>
      <c r="AB1340" s="8">
        <f>$AD1298</f>
        <v>10</v>
      </c>
      <c r="AC1340" s="36" t="s">
        <v>729</v>
      </c>
      <c r="AD1340" s="7">
        <f>$AB1340</f>
        <v>10</v>
      </c>
      <c r="AE1340" s="36" t="s">
        <v>1435</v>
      </c>
      <c r="AF1340" s="8">
        <f>$AD1300</f>
        <v>0</v>
      </c>
      <c r="AG1340" s="36" t="s">
        <v>1598</v>
      </c>
      <c r="AH1340" s="7">
        <f>$AF1340</f>
        <v>0</v>
      </c>
      <c r="AI1340" s="36" t="s">
        <v>2319</v>
      </c>
      <c r="AJ1340" s="8">
        <f>ROUND(($AD1340/40+$AH1340/25)*2,2)</f>
        <v>0.5</v>
      </c>
      <c r="AK1340" s="36" t="s">
        <v>848</v>
      </c>
      <c r="AL1340" s="7">
        <f>$AJ1340</f>
        <v>0.5</v>
      </c>
      <c r="AM1340" s="36" t="s">
        <v>377</v>
      </c>
      <c r="AN1340" s="8">
        <f>ROUND(ROUND(($AD1340/40+$AH1340/25)*2,2),2)</f>
        <v>0.5</v>
      </c>
      <c r="AO1340" s="36" t="s">
        <v>1838</v>
      </c>
      <c r="AP1340" s="7">
        <f>$AN1340</f>
        <v>0.5</v>
      </c>
    </row>
    <row r="1341" spans="1:42" ht="18.399999999999999" customHeight="1" x14ac:dyDescent="0.15">
      <c r="A1341" s="38" t="s">
        <v>2450</v>
      </c>
      <c r="B1341" s="32"/>
      <c r="C1341" s="32"/>
      <c r="D1341" s="32"/>
      <c r="E1341" s="32"/>
      <c r="F1341" s="43"/>
      <c r="K1341" s="3" t="s">
        <v>2450</v>
      </c>
    </row>
    <row r="1342" spans="1:42" ht="18.399999999999999" customHeight="1" x14ac:dyDescent="0.15">
      <c r="A1342" s="40" t="str">
        <f>CONCATENATE("       재 료 비 :  _x001D_21,663_x001D_ * ",TEXT($AB1342,"#,##0.00"),"*",TEXT($AF1342,"#,##0.00"),"=",TEXT($AJ1342,"#,##0.00"))</f>
        <v xml:space="preserve">       재 료 비 :  _x001D_21,663_x001D_ * 0.50*1.00=10,831.00</v>
      </c>
      <c r="B1342" s="32">
        <f>SUM($C1342,$D1342,$E1342)</f>
        <v>10831</v>
      </c>
      <c r="C1342" s="32"/>
      <c r="D1342" s="32"/>
      <c r="E1342" s="32">
        <f>$AJ1342</f>
        <v>10831</v>
      </c>
      <c r="F1342" s="43" t="s">
        <v>2450</v>
      </c>
      <c r="K1342" s="3" t="s">
        <v>127</v>
      </c>
      <c r="AA1342" s="36" t="s">
        <v>1833</v>
      </c>
      <c r="AB1342" s="8">
        <f>$AL1340</f>
        <v>0.5</v>
      </c>
      <c r="AC1342" s="36" t="s">
        <v>512</v>
      </c>
      <c r="AD1342" s="7">
        <f>$AB1342</f>
        <v>0.5</v>
      </c>
      <c r="AE1342" s="36" t="s">
        <v>158</v>
      </c>
      <c r="AF1342" s="8">
        <f>$AD1337</f>
        <v>1</v>
      </c>
      <c r="AG1342" s="36" t="s">
        <v>2079</v>
      </c>
      <c r="AH1342" s="7">
        <f>$AF1342</f>
        <v>1</v>
      </c>
      <c r="AI1342" s="37" t="s">
        <v>815</v>
      </c>
      <c r="AJ1342" s="8">
        <f>TRUNC(중기사용료목록!E23*$AD1342*$AH1342,0)</f>
        <v>10831</v>
      </c>
      <c r="AK1342" s="37" t="s">
        <v>1302</v>
      </c>
      <c r="AL1342" s="7">
        <f>$AP1332+$AJ1342</f>
        <v>1171598</v>
      </c>
    </row>
    <row r="1343" spans="1:42" ht="18.399999999999999" customHeight="1" x14ac:dyDescent="0.15">
      <c r="A1343" s="38" t="s">
        <v>2450</v>
      </c>
      <c r="B1343" s="32"/>
      <c r="C1343" s="32"/>
      <c r="D1343" s="32"/>
      <c r="E1343" s="32"/>
      <c r="F1343" s="43"/>
      <c r="K1343" s="3" t="s">
        <v>2450</v>
      </c>
    </row>
    <row r="1344" spans="1:42" ht="18.399999999999999" customHeight="1" x14ac:dyDescent="0.15">
      <c r="A1344" s="40" t="str">
        <f>CONCATENATE("       노 무 비 :  _x001D_59,020_x001D_ * ",TEXT($AB1344,"#,##0.00"),"*",TEXT($AF1344,"#,##0.00"),"=",TEXT($AJ1344,"#,##0.00"))</f>
        <v xml:space="preserve">       노 무 비 :  _x001D_59,020_x001D_ * 0.50*1.00=29,510.00</v>
      </c>
      <c r="B1344" s="32">
        <f>SUM($C1344,$D1344,$E1344)</f>
        <v>29510</v>
      </c>
      <c r="C1344" s="32"/>
      <c r="D1344" s="32"/>
      <c r="E1344" s="32">
        <f>$AJ1344</f>
        <v>29510</v>
      </c>
      <c r="F1344" s="43" t="s">
        <v>2450</v>
      </c>
      <c r="K1344" s="3" t="s">
        <v>1616</v>
      </c>
      <c r="AA1344" s="36" t="s">
        <v>755</v>
      </c>
      <c r="AB1344" s="8">
        <f>$AL1340</f>
        <v>0.5</v>
      </c>
      <c r="AC1344" s="36" t="s">
        <v>1689</v>
      </c>
      <c r="AD1344" s="7">
        <f>$AB1344</f>
        <v>0.5</v>
      </c>
      <c r="AE1344" s="36" t="s">
        <v>1478</v>
      </c>
      <c r="AF1344" s="8">
        <f>$AD1337</f>
        <v>1</v>
      </c>
      <c r="AG1344" s="36" t="s">
        <v>922</v>
      </c>
      <c r="AH1344" s="7">
        <f>$AF1344</f>
        <v>1</v>
      </c>
      <c r="AI1344" s="37" t="s">
        <v>815</v>
      </c>
      <c r="AJ1344" s="8">
        <f>TRUNC(중기사용료목록!F23*$AD1344*$AH1344,0)</f>
        <v>29510</v>
      </c>
      <c r="AK1344" s="37" t="s">
        <v>1302</v>
      </c>
      <c r="AL1344" s="7">
        <f>$AL1342+$AJ1344</f>
        <v>1201108</v>
      </c>
    </row>
    <row r="1345" spans="1:42" ht="18.399999999999999" customHeight="1" x14ac:dyDescent="0.15">
      <c r="A1345" s="38" t="s">
        <v>2450</v>
      </c>
      <c r="B1345" s="32"/>
      <c r="C1345" s="32"/>
      <c r="D1345" s="32"/>
      <c r="E1345" s="32"/>
      <c r="F1345" s="43"/>
      <c r="K1345" s="3" t="s">
        <v>2450</v>
      </c>
    </row>
    <row r="1346" spans="1:42" ht="18.399999999999999" customHeight="1" x14ac:dyDescent="0.15">
      <c r="A1346" s="40" t="str">
        <f>CONCATENATE("       경    비 :  _x001D_16,470_x001D_ * ",TEXT($AB1346,"#,##0.00"),"*",TEXT($AF1346,"#,##0.00"),"=",TEXT($AJ1346,"#,##0.00"))</f>
        <v xml:space="preserve">       경    비 :  _x001D_16,470_x001D_ * 0.50*1.00=8,235.00</v>
      </c>
      <c r="B1346" s="32">
        <f>SUM($C1346,$D1346,$E1346)</f>
        <v>8235</v>
      </c>
      <c r="C1346" s="32"/>
      <c r="D1346" s="32"/>
      <c r="E1346" s="32">
        <f>$AJ1346</f>
        <v>8235</v>
      </c>
      <c r="F1346" s="43" t="s">
        <v>2450</v>
      </c>
      <c r="K1346" s="3" t="s">
        <v>536</v>
      </c>
      <c r="AA1346" s="36" t="s">
        <v>1952</v>
      </c>
      <c r="AB1346" s="8">
        <f>$AL1340</f>
        <v>0.5</v>
      </c>
      <c r="AC1346" s="36" t="s">
        <v>1968</v>
      </c>
      <c r="AD1346" s="7">
        <f>$AB1346</f>
        <v>0.5</v>
      </c>
      <c r="AE1346" s="36" t="s">
        <v>277</v>
      </c>
      <c r="AF1346" s="8">
        <f>$AD1337</f>
        <v>1</v>
      </c>
      <c r="AG1346" s="36" t="s">
        <v>305</v>
      </c>
      <c r="AH1346" s="7">
        <f>$AF1346</f>
        <v>1</v>
      </c>
      <c r="AI1346" s="37" t="s">
        <v>815</v>
      </c>
      <c r="AJ1346" s="8">
        <f>TRUNC(중기사용료목록!G23*$AD1346*$AH1346,0)</f>
        <v>8235</v>
      </c>
      <c r="AK1346" s="37" t="s">
        <v>1302</v>
      </c>
      <c r="AL1346" s="7">
        <f>$AL1344+$AJ1346</f>
        <v>1209343</v>
      </c>
    </row>
    <row r="1347" spans="1:42" ht="18.399999999999999" customHeight="1" x14ac:dyDescent="0.15">
      <c r="A1347" s="38" t="s">
        <v>2450</v>
      </c>
      <c r="B1347" s="32"/>
      <c r="C1347" s="32"/>
      <c r="D1347" s="32"/>
      <c r="E1347" s="32"/>
      <c r="F1347" s="43"/>
      <c r="K1347" s="3" t="s">
        <v>2450</v>
      </c>
    </row>
    <row r="1348" spans="1:42" ht="18.399999999999999" customHeight="1" x14ac:dyDescent="0.15">
      <c r="A1348" s="38" t="s">
        <v>324</v>
      </c>
      <c r="B1348" s="33">
        <f>SUM($C1348,$D1348,$E1348)</f>
        <v>48576</v>
      </c>
      <c r="C1348" s="33">
        <f>$AB1348</f>
        <v>0</v>
      </c>
      <c r="D1348" s="33">
        <f>$AD1348</f>
        <v>0</v>
      </c>
      <c r="E1348" s="33">
        <f>$AF1348</f>
        <v>48576</v>
      </c>
      <c r="F1348" s="44"/>
      <c r="K1348" s="3" t="s">
        <v>1519</v>
      </c>
      <c r="AE1348" s="36" t="s">
        <v>2233</v>
      </c>
      <c r="AF1348" s="7">
        <f>$AL1346-$AP1332</f>
        <v>48576</v>
      </c>
    </row>
    <row r="1349" spans="1:42" ht="18.399999999999999" customHeight="1" x14ac:dyDescent="0.15">
      <c r="A1349" s="38" t="s">
        <v>2450</v>
      </c>
      <c r="B1349" s="32"/>
      <c r="C1349" s="32"/>
      <c r="D1349" s="32"/>
      <c r="E1349" s="32"/>
      <c r="F1349" s="43"/>
      <c r="K1349" s="3" t="s">
        <v>2450</v>
      </c>
    </row>
    <row r="1350" spans="1:42" ht="18.399999999999999" customHeight="1" x14ac:dyDescent="0.15">
      <c r="A1350" s="38" t="s">
        <v>392</v>
      </c>
      <c r="B1350" s="32"/>
      <c r="C1350" s="32"/>
      <c r="D1350" s="32"/>
      <c r="E1350" s="32"/>
      <c r="F1350" s="43"/>
      <c r="K1350" s="3" t="s">
        <v>392</v>
      </c>
    </row>
    <row r="1351" spans="1:42" ht="18.399999999999999" customHeight="1" x14ac:dyDescent="0.15">
      <c r="A1351" s="38" t="s">
        <v>2450</v>
      </c>
      <c r="B1351" s="32"/>
      <c r="C1351" s="32"/>
      <c r="D1351" s="32"/>
      <c r="E1351" s="32"/>
      <c r="F1351" s="43"/>
      <c r="K1351" s="3" t="s">
        <v>2450</v>
      </c>
    </row>
    <row r="1352" spans="1:42" ht="18.399999999999999" customHeight="1" x14ac:dyDescent="0.15">
      <c r="A1352" s="40" t="str">
        <f>CONCATENATE("       T2 = (",TEXT($AB1352,"#,##0.00"),"/40+",TEXT($AF1352,"#,##0.00"),"/25)*2 =",TEXT($AN1352,"#,##0.00")," HR ")</f>
        <v xml:space="preserve">       T2 = (10.00/40+0.00/25)*2 =0.50 HR </v>
      </c>
      <c r="B1352" s="32">
        <f>SUM($C1352,$D1352,$E1352)</f>
        <v>0</v>
      </c>
      <c r="C1352" s="32"/>
      <c r="D1352" s="32"/>
      <c r="E1352" s="32"/>
      <c r="F1352" s="43"/>
      <c r="K1352" s="3" t="s">
        <v>1326</v>
      </c>
      <c r="AA1352" s="36" t="s">
        <v>2444</v>
      </c>
      <c r="AB1352" s="8">
        <f>$AD1298</f>
        <v>10</v>
      </c>
      <c r="AC1352" s="36" t="s">
        <v>1160</v>
      </c>
      <c r="AD1352" s="7">
        <f>$AB1352</f>
        <v>10</v>
      </c>
      <c r="AE1352" s="36" t="s">
        <v>452</v>
      </c>
      <c r="AF1352" s="8">
        <f>$AD1300</f>
        <v>0</v>
      </c>
      <c r="AG1352" s="36" t="s">
        <v>1464</v>
      </c>
      <c r="AH1352" s="7">
        <f>$AF1352</f>
        <v>0</v>
      </c>
      <c r="AI1352" s="36" t="s">
        <v>2319</v>
      </c>
      <c r="AJ1352" s="8">
        <f>ROUND(($AD1352/40+$AH1352/25)*2,2)</f>
        <v>0.5</v>
      </c>
      <c r="AK1352" s="36" t="s">
        <v>848</v>
      </c>
      <c r="AL1352" s="7">
        <f>$AJ1352</f>
        <v>0.5</v>
      </c>
      <c r="AM1352" s="36" t="s">
        <v>1516</v>
      </c>
      <c r="AN1352" s="8">
        <f>ROUND(ROUND(($AD1352/40+$AH1352/25)*2,2),2)</f>
        <v>0.5</v>
      </c>
      <c r="AO1352" s="36" t="s">
        <v>2414</v>
      </c>
      <c r="AP1352" s="7">
        <f>$AN1352</f>
        <v>0.5</v>
      </c>
    </row>
    <row r="1353" spans="1:42" ht="18.399999999999999" customHeight="1" x14ac:dyDescent="0.15">
      <c r="A1353" s="38" t="s">
        <v>2450</v>
      </c>
      <c r="B1353" s="32"/>
      <c r="C1353" s="32"/>
      <c r="D1353" s="32"/>
      <c r="E1353" s="32"/>
      <c r="F1353" s="43"/>
      <c r="K1353" s="3" t="s">
        <v>2450</v>
      </c>
    </row>
    <row r="1354" spans="1:42" ht="18.399999999999999" customHeight="1" x14ac:dyDescent="0.15">
      <c r="A1354" s="40" t="str">
        <f>CONCATENATE("       재 료 비 :  _x001D_19,223_x001D_ * ",TEXT($AB1354,"#,##0.00"),"*",TEXT($AF1354,"#,##0.00"),"=",TEXT($AJ1354,"#,##0.00"))</f>
        <v xml:space="preserve">       재 료 비 :  _x001D_19,223_x001D_ * 0.50*1.00=9,611.00</v>
      </c>
      <c r="B1354" s="32">
        <f>SUM($C1354,$D1354,$E1354)</f>
        <v>9611</v>
      </c>
      <c r="C1354" s="32"/>
      <c r="D1354" s="32"/>
      <c r="E1354" s="32">
        <f>$AJ1354</f>
        <v>9611</v>
      </c>
      <c r="F1354" s="43" t="s">
        <v>2450</v>
      </c>
      <c r="K1354" s="3" t="s">
        <v>1382</v>
      </c>
      <c r="AA1354" s="36" t="s">
        <v>1131</v>
      </c>
      <c r="AB1354" s="8">
        <f>$AL1352</f>
        <v>0.5</v>
      </c>
      <c r="AC1354" s="36" t="s">
        <v>2300</v>
      </c>
      <c r="AD1354" s="7">
        <f>$AB1354</f>
        <v>0.5</v>
      </c>
      <c r="AE1354" s="36" t="s">
        <v>1572</v>
      </c>
      <c r="AF1354" s="8">
        <f>$AD1337</f>
        <v>1</v>
      </c>
      <c r="AG1354" s="36" t="s">
        <v>283</v>
      </c>
      <c r="AH1354" s="7">
        <f>$AF1354</f>
        <v>1</v>
      </c>
      <c r="AI1354" s="37" t="s">
        <v>815</v>
      </c>
      <c r="AJ1354" s="8">
        <f>TRUNC(중기사용료목록!E27*$AD1354*$AH1354,0)</f>
        <v>9611</v>
      </c>
      <c r="AK1354" s="37" t="s">
        <v>1302</v>
      </c>
      <c r="AL1354" s="7">
        <f>$AL1346+$AJ1354</f>
        <v>1218954</v>
      </c>
    </row>
    <row r="1355" spans="1:42" ht="18.399999999999999" customHeight="1" x14ac:dyDescent="0.15">
      <c r="A1355" s="38" t="s">
        <v>2450</v>
      </c>
      <c r="B1355" s="32"/>
      <c r="C1355" s="32"/>
      <c r="D1355" s="32"/>
      <c r="E1355" s="32"/>
      <c r="F1355" s="43"/>
      <c r="K1355" s="3" t="s">
        <v>2450</v>
      </c>
    </row>
    <row r="1356" spans="1:42" ht="18.399999999999999" customHeight="1" x14ac:dyDescent="0.15">
      <c r="A1356" s="40" t="str">
        <f>CONCATENATE("       노 무 비 :  _x001D_49,778_x001D_ * ",TEXT($AB1356,"#,##0.00"),"*",TEXT($AF1356,"#,##0.00"),"=",TEXT($AJ1356,"#,##0.00"))</f>
        <v xml:space="preserve">       노 무 비 :  _x001D_49,778_x001D_ * 0.50*1.00=24,889.00</v>
      </c>
      <c r="B1356" s="32">
        <f>SUM($C1356,$D1356,$E1356)</f>
        <v>24889</v>
      </c>
      <c r="C1356" s="32"/>
      <c r="D1356" s="32"/>
      <c r="E1356" s="32">
        <f>$AJ1356</f>
        <v>24889</v>
      </c>
      <c r="F1356" s="43" t="s">
        <v>2450</v>
      </c>
      <c r="K1356" s="3" t="s">
        <v>526</v>
      </c>
      <c r="AA1356" s="36" t="s">
        <v>2336</v>
      </c>
      <c r="AB1356" s="8">
        <f>$AL1352</f>
        <v>0.5</v>
      </c>
      <c r="AC1356" s="36" t="s">
        <v>1340</v>
      </c>
      <c r="AD1356" s="7">
        <f>$AB1356</f>
        <v>0.5</v>
      </c>
      <c r="AE1356" s="36" t="s">
        <v>341</v>
      </c>
      <c r="AF1356" s="8">
        <f>$AD1337</f>
        <v>1</v>
      </c>
      <c r="AG1356" s="36" t="s">
        <v>970</v>
      </c>
      <c r="AH1356" s="7">
        <f>$AF1356</f>
        <v>1</v>
      </c>
      <c r="AI1356" s="37" t="s">
        <v>815</v>
      </c>
      <c r="AJ1356" s="8">
        <f>TRUNC(중기사용료목록!F27*$AD1356*$AH1356,0)</f>
        <v>24889</v>
      </c>
      <c r="AK1356" s="37" t="s">
        <v>1302</v>
      </c>
      <c r="AL1356" s="7">
        <f>$AL1354+$AJ1356</f>
        <v>1243843</v>
      </c>
    </row>
    <row r="1357" spans="1:42" ht="18.399999999999999" customHeight="1" x14ac:dyDescent="0.15">
      <c r="A1357" s="38" t="s">
        <v>2450</v>
      </c>
      <c r="B1357" s="32"/>
      <c r="C1357" s="32"/>
      <c r="D1357" s="32"/>
      <c r="E1357" s="32"/>
      <c r="F1357" s="43"/>
      <c r="K1357" s="3" t="s">
        <v>2450</v>
      </c>
    </row>
    <row r="1358" spans="1:42" ht="18.399999999999999" customHeight="1" x14ac:dyDescent="0.15">
      <c r="A1358" s="40" t="str">
        <f>CONCATENATE("       경    비 :  _x001D_9,986_x001D_ * ",TEXT($AB1358,"#,##0.00"),"*",TEXT($AF1358,"#,##0.00"),"=",TEXT($AJ1358,"#,##0.00"))</f>
        <v xml:space="preserve">       경    비 :  _x001D_9,986_x001D_ * 0.50*1.00=4,993.00</v>
      </c>
      <c r="B1358" s="32">
        <f>SUM($C1358,$D1358,$E1358)</f>
        <v>4993</v>
      </c>
      <c r="C1358" s="32"/>
      <c r="D1358" s="32"/>
      <c r="E1358" s="32">
        <f>$AJ1358</f>
        <v>4993</v>
      </c>
      <c r="F1358" s="43" t="s">
        <v>2450</v>
      </c>
      <c r="K1358" s="3" t="s">
        <v>1615</v>
      </c>
      <c r="AA1358" s="36" t="s">
        <v>950</v>
      </c>
      <c r="AB1358" s="8">
        <f>$AL1352</f>
        <v>0.5</v>
      </c>
      <c r="AC1358" s="36" t="s">
        <v>1808</v>
      </c>
      <c r="AD1358" s="7">
        <f>$AB1358</f>
        <v>0.5</v>
      </c>
      <c r="AE1358" s="36" t="s">
        <v>1670</v>
      </c>
      <c r="AF1358" s="8">
        <f>$AD1337</f>
        <v>1</v>
      </c>
      <c r="AG1358" s="36" t="s">
        <v>818</v>
      </c>
      <c r="AH1358" s="7">
        <f>$AF1358</f>
        <v>1</v>
      </c>
      <c r="AI1358" s="37" t="s">
        <v>815</v>
      </c>
      <c r="AJ1358" s="8">
        <f>TRUNC(중기사용료목록!G27*$AD1358*$AH1358,0)</f>
        <v>4993</v>
      </c>
      <c r="AK1358" s="37" t="s">
        <v>1302</v>
      </c>
      <c r="AL1358" s="7">
        <f>$AL1356+$AJ1358</f>
        <v>1248836</v>
      </c>
    </row>
    <row r="1359" spans="1:42" ht="18.399999999999999" customHeight="1" x14ac:dyDescent="0.15">
      <c r="A1359" s="38" t="s">
        <v>2450</v>
      </c>
      <c r="B1359" s="32"/>
      <c r="C1359" s="32"/>
      <c r="D1359" s="32"/>
      <c r="E1359" s="32"/>
      <c r="F1359" s="43"/>
      <c r="K1359" s="3" t="s">
        <v>2450</v>
      </c>
    </row>
    <row r="1360" spans="1:42" ht="18.399999999999999" customHeight="1" x14ac:dyDescent="0.15">
      <c r="A1360" s="38" t="s">
        <v>324</v>
      </c>
      <c r="B1360" s="33">
        <f>SUM($C1360,$D1360,$E1360)</f>
        <v>39493</v>
      </c>
      <c r="C1360" s="33">
        <f>$AB1360</f>
        <v>0</v>
      </c>
      <c r="D1360" s="33">
        <f>$AD1360</f>
        <v>0</v>
      </c>
      <c r="E1360" s="33">
        <f>$AF1360</f>
        <v>39493</v>
      </c>
      <c r="F1360" s="44"/>
      <c r="K1360" s="3" t="s">
        <v>1519</v>
      </c>
      <c r="AE1360" s="36" t="s">
        <v>2233</v>
      </c>
      <c r="AF1360" s="7">
        <f>$AL1358-$AL1346</f>
        <v>39493</v>
      </c>
    </row>
    <row r="1361" spans="1:42" ht="18.399999999999999" customHeight="1" x14ac:dyDescent="0.15">
      <c r="A1361" s="38" t="s">
        <v>2450</v>
      </c>
      <c r="B1361" s="32"/>
      <c r="C1361" s="32"/>
      <c r="D1361" s="32"/>
      <c r="E1361" s="32"/>
      <c r="F1361" s="43"/>
      <c r="K1361" s="3" t="s">
        <v>2450</v>
      </c>
    </row>
    <row r="1362" spans="1:42" ht="18.399999999999999" customHeight="1" x14ac:dyDescent="0.15">
      <c r="A1362" s="38" t="s">
        <v>1341</v>
      </c>
      <c r="B1362" s="32"/>
      <c r="C1362" s="32"/>
      <c r="D1362" s="32"/>
      <c r="E1362" s="32"/>
      <c r="F1362" s="43"/>
      <c r="K1362" s="3" t="s">
        <v>1341</v>
      </c>
    </row>
    <row r="1363" spans="1:42" ht="18.399999999999999" customHeight="1" x14ac:dyDescent="0.15">
      <c r="A1363" s="38" t="s">
        <v>2450</v>
      </c>
      <c r="B1363" s="32"/>
      <c r="C1363" s="32"/>
      <c r="D1363" s="32"/>
      <c r="E1363" s="32"/>
      <c r="F1363" s="43"/>
      <c r="K1363" s="3" t="s">
        <v>2450</v>
      </c>
    </row>
    <row r="1364" spans="1:42" ht="18.399999999999999" customHeight="1" x14ac:dyDescent="0.15">
      <c r="A1364" s="40" t="str">
        <f>CONCATENATE("       T2 = (",TEXT($AB1364,"#,##0.00"),"/30+",TEXT($AF1364,"#,##0.00"),"/15)*2 =",TEXT($AN1364,"#,##0.00")," HR ")</f>
        <v xml:space="preserve">       T2 = (10.00/30+0.00/15)*2 =0.67 HR </v>
      </c>
      <c r="B1364" s="32">
        <f>SUM($C1364,$D1364,$E1364)</f>
        <v>0</v>
      </c>
      <c r="C1364" s="32"/>
      <c r="D1364" s="32"/>
      <c r="E1364" s="32"/>
      <c r="F1364" s="43"/>
      <c r="K1364" s="3" t="s">
        <v>2292</v>
      </c>
      <c r="AA1364" s="36" t="s">
        <v>1141</v>
      </c>
      <c r="AB1364" s="8">
        <f>$AD1298</f>
        <v>10</v>
      </c>
      <c r="AC1364" s="36" t="s">
        <v>521</v>
      </c>
      <c r="AD1364" s="7">
        <f>$AB1364</f>
        <v>10</v>
      </c>
      <c r="AE1364" s="36" t="s">
        <v>1581</v>
      </c>
      <c r="AF1364" s="8">
        <f>$AD1300</f>
        <v>0</v>
      </c>
      <c r="AG1364" s="36" t="s">
        <v>2089</v>
      </c>
      <c r="AH1364" s="7">
        <f>$AF1364</f>
        <v>0</v>
      </c>
      <c r="AI1364" s="36" t="s">
        <v>2319</v>
      </c>
      <c r="AJ1364" s="8">
        <f>ROUND(($AD1364/30+$AH1364/15)*2,2)</f>
        <v>0.67</v>
      </c>
      <c r="AK1364" s="36" t="s">
        <v>848</v>
      </c>
      <c r="AL1364" s="7">
        <f>$AJ1364</f>
        <v>0.67</v>
      </c>
      <c r="AM1364" s="36" t="s">
        <v>210</v>
      </c>
      <c r="AN1364" s="8">
        <f>ROUND(ROUND(($AD1364/30+$AH1364/15)*2,2),2)</f>
        <v>0.67</v>
      </c>
      <c r="AO1364" s="36" t="s">
        <v>1806</v>
      </c>
      <c r="AP1364" s="7">
        <f>$AN1364</f>
        <v>0.67</v>
      </c>
    </row>
    <row r="1365" spans="1:42" ht="18.399999999999999" customHeight="1" x14ac:dyDescent="0.15">
      <c r="A1365" s="38" t="s">
        <v>2450</v>
      </c>
      <c r="B1365" s="32"/>
      <c r="C1365" s="32"/>
      <c r="D1365" s="32"/>
      <c r="E1365" s="32"/>
      <c r="F1365" s="43"/>
      <c r="K1365" s="3" t="s">
        <v>2450</v>
      </c>
    </row>
    <row r="1366" spans="1:42" ht="18.399999999999999" customHeight="1" x14ac:dyDescent="0.15">
      <c r="A1366" s="40" t="str">
        <f>CONCATENATE("       재 료 비 :  _x001D_8,398_x001D_ * ",TEXT($AB1366,"#,##0.00"),"*",TEXT($AF1366,"#,##0.00"),"=",TEXT($AJ1366,"#,##0.00"))</f>
        <v xml:space="preserve">       재 료 비 :  _x001D_8,398_x001D_ * 0.67*1.00=5,626.00</v>
      </c>
      <c r="B1366" s="32">
        <f>SUM($C1366,$D1366,$E1366)</f>
        <v>5626</v>
      </c>
      <c r="C1366" s="32"/>
      <c r="D1366" s="32"/>
      <c r="E1366" s="32">
        <f>$AJ1366</f>
        <v>5626</v>
      </c>
      <c r="F1366" s="43" t="s">
        <v>2450</v>
      </c>
      <c r="K1366" s="3" t="s">
        <v>98</v>
      </c>
      <c r="AA1366" s="36" t="s">
        <v>2296</v>
      </c>
      <c r="AB1366" s="8">
        <f>$AL1364</f>
        <v>0.67</v>
      </c>
      <c r="AC1366" s="36" t="s">
        <v>724</v>
      </c>
      <c r="AD1366" s="7">
        <f>$AB1366</f>
        <v>0.67</v>
      </c>
      <c r="AE1366" s="36" t="s">
        <v>306</v>
      </c>
      <c r="AF1366" s="8">
        <f>$AD1337</f>
        <v>1</v>
      </c>
      <c r="AG1366" s="36" t="s">
        <v>1585</v>
      </c>
      <c r="AH1366" s="7">
        <f>$AF1366</f>
        <v>1</v>
      </c>
      <c r="AI1366" s="37" t="s">
        <v>815</v>
      </c>
      <c r="AJ1366" s="8">
        <f>TRUNC(중기사용료목록!E19*$AD1366*$AH1366,0)</f>
        <v>5626</v>
      </c>
      <c r="AK1366" s="37" t="s">
        <v>1302</v>
      </c>
      <c r="AL1366" s="7">
        <f>$AL1358+$AJ1366</f>
        <v>1254462</v>
      </c>
    </row>
    <row r="1367" spans="1:42" ht="18.399999999999999" customHeight="1" x14ac:dyDescent="0.15">
      <c r="A1367" s="38" t="s">
        <v>2450</v>
      </c>
      <c r="B1367" s="32"/>
      <c r="C1367" s="32"/>
      <c r="D1367" s="32"/>
      <c r="E1367" s="32"/>
      <c r="F1367" s="43"/>
      <c r="K1367" s="3" t="s">
        <v>2450</v>
      </c>
    </row>
    <row r="1368" spans="1:42" ht="18.399999999999999" customHeight="1" x14ac:dyDescent="0.15">
      <c r="A1368" s="40" t="str">
        <f>CONCATENATE("       노 무 비 :  _x001D_49,778_x001D_ * ",TEXT($AB1368,"#,##0.00"),"*",TEXT($AF1368,"#,##0.00"),"=",TEXT($AJ1368,"#,##0.00"))</f>
        <v xml:space="preserve">       노 무 비 :  _x001D_49,778_x001D_ * 0.67*1.00=33,351.00</v>
      </c>
      <c r="B1368" s="32">
        <f>SUM($C1368,$D1368,$E1368)</f>
        <v>33351</v>
      </c>
      <c r="C1368" s="32"/>
      <c r="D1368" s="32"/>
      <c r="E1368" s="32">
        <f>$AJ1368</f>
        <v>33351</v>
      </c>
      <c r="F1368" s="43" t="s">
        <v>2450</v>
      </c>
      <c r="K1368" s="3" t="s">
        <v>1634</v>
      </c>
      <c r="AA1368" s="36" t="s">
        <v>959</v>
      </c>
      <c r="AB1368" s="8">
        <f>$AL1364</f>
        <v>0.67</v>
      </c>
      <c r="AC1368" s="36" t="s">
        <v>1177</v>
      </c>
      <c r="AD1368" s="7">
        <f>$AB1368</f>
        <v>0.67</v>
      </c>
      <c r="AE1368" s="36" t="s">
        <v>1681</v>
      </c>
      <c r="AF1368" s="8">
        <f>$AD1337</f>
        <v>1</v>
      </c>
      <c r="AG1368" s="36" t="s">
        <v>1407</v>
      </c>
      <c r="AH1368" s="7">
        <f>$AF1368</f>
        <v>1</v>
      </c>
      <c r="AI1368" s="37" t="s">
        <v>815</v>
      </c>
      <c r="AJ1368" s="8">
        <f>TRUNC(중기사용료목록!F19*$AD1368*$AH1368,0)</f>
        <v>33351</v>
      </c>
      <c r="AK1368" s="37" t="s">
        <v>1302</v>
      </c>
      <c r="AL1368" s="7">
        <f>$AL1366+$AJ1368</f>
        <v>1287813</v>
      </c>
    </row>
    <row r="1369" spans="1:42" ht="18.399999999999999" customHeight="1" x14ac:dyDescent="0.15">
      <c r="A1369" s="38" t="s">
        <v>2450</v>
      </c>
      <c r="B1369" s="32"/>
      <c r="C1369" s="32"/>
      <c r="D1369" s="32"/>
      <c r="E1369" s="32"/>
      <c r="F1369" s="43"/>
      <c r="K1369" s="3" t="s">
        <v>2450</v>
      </c>
    </row>
    <row r="1370" spans="1:42" ht="18.399999999999999" customHeight="1" x14ac:dyDescent="0.15">
      <c r="A1370" s="40" t="str">
        <f>CONCATENATE("       경    비 :  _x001D_31,344_x001D_ * ",TEXT($AB1370,"#,##0.00"),"*",TEXT($AF1370,"#,##0.00"),"=",TEXT($AJ1370,"#,##0.00"))</f>
        <v xml:space="preserve">       경    비 :  _x001D_31,344_x001D_ * 0.67*1.00=21,000.00</v>
      </c>
      <c r="B1370" s="32">
        <f>SUM($C1370,$D1370,$E1370)</f>
        <v>21000</v>
      </c>
      <c r="C1370" s="32"/>
      <c r="D1370" s="32"/>
      <c r="E1370" s="32">
        <f>$AJ1370</f>
        <v>21000</v>
      </c>
      <c r="F1370" s="43" t="s">
        <v>2450</v>
      </c>
      <c r="K1370" s="3" t="s">
        <v>460</v>
      </c>
      <c r="AA1370" s="36" t="s">
        <v>673</v>
      </c>
      <c r="AB1370" s="8">
        <f>$AL1364</f>
        <v>0.67</v>
      </c>
      <c r="AC1370" s="36" t="s">
        <v>1329</v>
      </c>
      <c r="AD1370" s="7">
        <f>$AB1370</f>
        <v>0.67</v>
      </c>
      <c r="AE1370" s="36" t="s">
        <v>1410</v>
      </c>
      <c r="AF1370" s="8">
        <f>$AD1337</f>
        <v>1</v>
      </c>
      <c r="AG1370" s="36" t="s">
        <v>958</v>
      </c>
      <c r="AH1370" s="7">
        <f>$AF1370</f>
        <v>1</v>
      </c>
      <c r="AI1370" s="37" t="s">
        <v>815</v>
      </c>
      <c r="AJ1370" s="8">
        <f>TRUNC(중기사용료목록!G19*$AD1370*$AH1370,0)</f>
        <v>21000</v>
      </c>
      <c r="AK1370" s="37" t="s">
        <v>1302</v>
      </c>
      <c r="AL1370" s="7">
        <f>$AL1368+$AJ1370</f>
        <v>1308813</v>
      </c>
    </row>
    <row r="1371" spans="1:42" ht="18.399999999999999" customHeight="1" x14ac:dyDescent="0.15">
      <c r="A1371" s="38" t="s">
        <v>2450</v>
      </c>
      <c r="B1371" s="32"/>
      <c r="C1371" s="32"/>
      <c r="D1371" s="32"/>
      <c r="E1371" s="32"/>
      <c r="F1371" s="43"/>
      <c r="K1371" s="3" t="s">
        <v>2450</v>
      </c>
    </row>
    <row r="1372" spans="1:42" ht="18.399999999999999" customHeight="1" x14ac:dyDescent="0.15">
      <c r="A1372" s="38" t="s">
        <v>324</v>
      </c>
      <c r="B1372" s="33">
        <f>SUM($C1372,$D1372,$E1372)</f>
        <v>59977</v>
      </c>
      <c r="C1372" s="33">
        <f>$AB1372</f>
        <v>0</v>
      </c>
      <c r="D1372" s="33">
        <f>$AD1372</f>
        <v>0</v>
      </c>
      <c r="E1372" s="33">
        <f>$AF1372</f>
        <v>59977</v>
      </c>
      <c r="F1372" s="44"/>
      <c r="K1372" s="3" t="s">
        <v>1519</v>
      </c>
      <c r="AE1372" s="36" t="s">
        <v>2233</v>
      </c>
      <c r="AF1372" s="7">
        <f>$AL1370-$AL1358</f>
        <v>59977</v>
      </c>
    </row>
    <row r="1373" spans="1:42" ht="18.399999999999999" customHeight="1" x14ac:dyDescent="0.15">
      <c r="A1373" s="38" t="s">
        <v>2450</v>
      </c>
      <c r="B1373" s="32"/>
      <c r="C1373" s="32"/>
      <c r="D1373" s="32"/>
      <c r="E1373" s="32"/>
      <c r="F1373" s="43"/>
      <c r="K1373" s="3" t="s">
        <v>2450</v>
      </c>
    </row>
    <row r="1374" spans="1:42" ht="18.399999999999999" customHeight="1" x14ac:dyDescent="0.15">
      <c r="A1374" s="38" t="s">
        <v>2337</v>
      </c>
      <c r="B1374" s="34">
        <f>SUM($C1374,$D1374,$E1374)</f>
        <v>148046</v>
      </c>
      <c r="C1374" s="34">
        <f>$AB1374</f>
        <v>0</v>
      </c>
      <c r="D1374" s="34">
        <f>$AD1374</f>
        <v>0</v>
      </c>
      <c r="E1374" s="34">
        <f>$AF1374</f>
        <v>148046</v>
      </c>
      <c r="F1374" s="45"/>
      <c r="K1374" s="3" t="s">
        <v>726</v>
      </c>
      <c r="AE1374" s="36" t="s">
        <v>579</v>
      </c>
      <c r="AF1374" s="7">
        <f>$AL1370-$AP1332</f>
        <v>148046</v>
      </c>
    </row>
    <row r="1375" spans="1:42" ht="18.399999999999999" customHeight="1" x14ac:dyDescent="0.15">
      <c r="A1375" s="38"/>
      <c r="B1375" s="3"/>
      <c r="C1375" s="3"/>
      <c r="D1375" s="3"/>
      <c r="E1375" s="3"/>
      <c r="F1375" s="42"/>
    </row>
    <row r="1376" spans="1:42" ht="18.399999999999999" customHeight="1" x14ac:dyDescent="0.15">
      <c r="A1376" s="41" t="s">
        <v>1388</v>
      </c>
      <c r="B1376" s="35">
        <f>SUM($C1376,$D1376,$E1376)</f>
        <v>1308813</v>
      </c>
      <c r="C1376" s="35">
        <v>0</v>
      </c>
      <c r="D1376" s="35">
        <v>0</v>
      </c>
      <c r="E1376" s="35">
        <f>TRUNC(SUM($AL1370),0)</f>
        <v>1308813</v>
      </c>
      <c r="F1376" s="47"/>
    </row>
    <row r="1377" spans="1:34" ht="18.399999999999999" customHeight="1" x14ac:dyDescent="0.15">
      <c r="A1377" s="38"/>
      <c r="B1377" s="3"/>
      <c r="C1377" s="3"/>
      <c r="D1377" s="3"/>
      <c r="E1377" s="3"/>
      <c r="F1377" s="42"/>
    </row>
    <row r="1378" spans="1:34" ht="18.399999999999999" customHeight="1" x14ac:dyDescent="0.15">
      <c r="A1378" s="38" t="s">
        <v>1683</v>
      </c>
      <c r="B1378" s="32">
        <f>$B1395</f>
        <v>1929</v>
      </c>
      <c r="C1378" s="32">
        <v>0</v>
      </c>
      <c r="D1378" s="32">
        <v>0</v>
      </c>
      <c r="E1378" s="32">
        <f>$E1395</f>
        <v>1929</v>
      </c>
      <c r="F1378" s="42" t="s">
        <v>2450</v>
      </c>
      <c r="G1378" t="s">
        <v>2450</v>
      </c>
      <c r="H1378" t="s">
        <v>1725</v>
      </c>
      <c r="K1378">
        <v>1</v>
      </c>
      <c r="Y1378" s="7" t="b">
        <f>EXACT($Z1378,$B1395)</f>
        <v>1</v>
      </c>
      <c r="Z1378" s="35">
        <v>1929</v>
      </c>
    </row>
    <row r="1379" spans="1:34" ht="18.399999999999999" customHeight="1" x14ac:dyDescent="0.15">
      <c r="A1379" s="39"/>
      <c r="B1379" s="3"/>
      <c r="C1379" s="3"/>
      <c r="D1379" s="3"/>
      <c r="E1379" s="3"/>
      <c r="F1379" s="42"/>
    </row>
    <row r="1380" spans="1:34" ht="18.399999999999999" customHeight="1" x14ac:dyDescent="0.15">
      <c r="A1380" s="38" t="s">
        <v>2450</v>
      </c>
      <c r="B1380" s="3"/>
      <c r="C1380" s="3"/>
      <c r="D1380" s="3"/>
      <c r="E1380" s="3"/>
      <c r="F1380" s="42"/>
      <c r="G1380" t="s">
        <v>2450</v>
      </c>
      <c r="I1380" t="s">
        <v>286</v>
      </c>
      <c r="J1380" t="s">
        <v>2450</v>
      </c>
      <c r="K1380" t="s">
        <v>2053</v>
      </c>
    </row>
    <row r="1381" spans="1:34" ht="18.399999999999999" customHeight="1" x14ac:dyDescent="0.15">
      <c r="A1381" s="38" t="s">
        <v>1242</v>
      </c>
      <c r="B1381" s="32"/>
      <c r="C1381" s="32"/>
      <c r="D1381" s="32"/>
      <c r="E1381" s="32"/>
      <c r="F1381" s="43"/>
      <c r="K1381" s="3" t="s">
        <v>1242</v>
      </c>
    </row>
    <row r="1382" spans="1:34" ht="18.399999999999999" customHeight="1" x14ac:dyDescent="0.15">
      <c r="A1382" s="38" t="s">
        <v>2450</v>
      </c>
      <c r="B1382" s="32"/>
      <c r="C1382" s="32"/>
      <c r="D1382" s="32"/>
      <c r="E1382" s="32"/>
      <c r="F1382" s="43"/>
      <c r="K1382" s="3" t="s">
        <v>2450</v>
      </c>
    </row>
    <row r="1383" spans="1:34" ht="18.399999999999999" customHeight="1" x14ac:dyDescent="0.15">
      <c r="A1383" s="38" t="s">
        <v>2032</v>
      </c>
      <c r="B1383" s="32"/>
      <c r="C1383" s="32"/>
      <c r="D1383" s="32"/>
      <c r="E1383" s="32"/>
      <c r="F1383" s="43"/>
      <c r="K1383" s="3" t="s">
        <v>2032</v>
      </c>
    </row>
    <row r="1384" spans="1:34" ht="18.399999999999999" customHeight="1" x14ac:dyDescent="0.15">
      <c r="A1384" s="38" t="s">
        <v>2450</v>
      </c>
      <c r="B1384" s="32"/>
      <c r="C1384" s="32"/>
      <c r="D1384" s="32"/>
      <c r="E1384" s="32"/>
      <c r="F1384" s="43"/>
      <c r="K1384" s="3" t="s">
        <v>2450</v>
      </c>
    </row>
    <row r="1385" spans="1:34" ht="18.399999999999999" customHeight="1" x14ac:dyDescent="0.15">
      <c r="A1385" s="38" t="s">
        <v>1759</v>
      </c>
      <c r="B1385" s="32"/>
      <c r="C1385" s="32"/>
      <c r="D1385" s="32"/>
      <c r="E1385" s="32"/>
      <c r="F1385" s="43"/>
      <c r="K1385" s="3" t="s">
        <v>1759</v>
      </c>
    </row>
    <row r="1386" spans="1:34" ht="18.399999999999999" customHeight="1" x14ac:dyDescent="0.15">
      <c r="A1386" s="38" t="s">
        <v>2450</v>
      </c>
      <c r="B1386" s="32"/>
      <c r="C1386" s="32"/>
      <c r="D1386" s="32"/>
      <c r="E1386" s="32"/>
      <c r="F1386" s="43"/>
      <c r="K1386" s="3" t="s">
        <v>2434</v>
      </c>
      <c r="AA1386" s="36" t="s">
        <v>1853</v>
      </c>
      <c r="AB1386" s="6">
        <v>1.1000000000000001</v>
      </c>
      <c r="AC1386" s="36" t="s">
        <v>1853</v>
      </c>
      <c r="AD1386" s="7">
        <f>$AB1386</f>
        <v>1.1000000000000001</v>
      </c>
    </row>
    <row r="1387" spans="1:34" ht="18.399999999999999" customHeight="1" x14ac:dyDescent="0.15">
      <c r="A1387" s="40" t="str">
        <f>CONCATENATE("    운반비 : (_x001D_87,720_x001D_/10.5*0.2)/",TEXT($AB1387,"#,##0.00"),"=",TEXT($AF1387,"#,##0.00"))</f>
        <v xml:space="preserve">    운반비 : (_x001D_87,720_x001D_/10.5*0.2)/1.10=1,518.00</v>
      </c>
      <c r="B1387" s="32">
        <f>SUM($C1387,$D1387,$E1387)</f>
        <v>1518</v>
      </c>
      <c r="C1387" s="32"/>
      <c r="D1387" s="32"/>
      <c r="E1387" s="32">
        <f>$AF1387</f>
        <v>1518</v>
      </c>
      <c r="F1387" s="43" t="s">
        <v>2450</v>
      </c>
      <c r="K1387" s="3" t="s">
        <v>483</v>
      </c>
      <c r="AA1387" s="36" t="s">
        <v>4</v>
      </c>
      <c r="AB1387" s="8">
        <f>$AD1386</f>
        <v>1.1000000000000001</v>
      </c>
      <c r="AC1387" s="36" t="s">
        <v>672</v>
      </c>
      <c r="AD1387" s="7">
        <f>$AB1387</f>
        <v>1.1000000000000001</v>
      </c>
      <c r="AE1387" s="37" t="s">
        <v>815</v>
      </c>
      <c r="AF1387" s="8">
        <f>TRUNC((경비!F4/10.5*0.2)/$AD1387,0)</f>
        <v>1518</v>
      </c>
      <c r="AG1387" s="37" t="s">
        <v>1302</v>
      </c>
      <c r="AH1387" s="7">
        <f>$AF1387</f>
        <v>1518</v>
      </c>
    </row>
    <row r="1388" spans="1:34" ht="18.399999999999999" customHeight="1" x14ac:dyDescent="0.15">
      <c r="A1388" s="38" t="s">
        <v>2450</v>
      </c>
      <c r="B1388" s="32"/>
      <c r="C1388" s="32"/>
      <c r="D1388" s="32"/>
      <c r="E1388" s="32"/>
      <c r="F1388" s="43"/>
      <c r="K1388" s="3" t="s">
        <v>2450</v>
      </c>
    </row>
    <row r="1389" spans="1:34" ht="18.399999999999999" customHeight="1" x14ac:dyDescent="0.15">
      <c r="A1389" s="38" t="s">
        <v>334</v>
      </c>
      <c r="B1389" s="32"/>
      <c r="C1389" s="32"/>
      <c r="D1389" s="32"/>
      <c r="E1389" s="32"/>
      <c r="F1389" s="43"/>
      <c r="K1389" s="3" t="s">
        <v>334</v>
      </c>
    </row>
    <row r="1390" spans="1:34" ht="18.399999999999999" customHeight="1" x14ac:dyDescent="0.15">
      <c r="A1390" s="38" t="s">
        <v>2450</v>
      </c>
      <c r="B1390" s="32"/>
      <c r="C1390" s="32"/>
      <c r="D1390" s="32"/>
      <c r="E1390" s="32"/>
      <c r="F1390" s="43"/>
      <c r="K1390" s="3" t="s">
        <v>2450</v>
      </c>
    </row>
    <row r="1391" spans="1:34" ht="18.399999999999999" customHeight="1" x14ac:dyDescent="0.15">
      <c r="A1391" s="40" t="str">
        <f>CONCATENATE("   _x001D_2,261.69_x001D_*0.2*1/",TEXT($AB1391,"#,##0.00"),"=",TEXT($AF1391,"#,##0.00"))</f>
        <v xml:space="preserve">   _x001D_2,261.69_x001D_*0.2*1/1.10=411.00</v>
      </c>
      <c r="B1391" s="32">
        <f>SUM($C1391,$D1391,$E1391)</f>
        <v>411</v>
      </c>
      <c r="C1391" s="32"/>
      <c r="D1391" s="32"/>
      <c r="E1391" s="32">
        <f>$AF1391</f>
        <v>411</v>
      </c>
      <c r="F1391" s="43" t="s">
        <v>2450</v>
      </c>
      <c r="K1391" s="3" t="s">
        <v>1454</v>
      </c>
      <c r="AA1391" s="36" t="s">
        <v>1699</v>
      </c>
      <c r="AB1391" s="8">
        <f>$AD1386</f>
        <v>1.1000000000000001</v>
      </c>
      <c r="AC1391" s="36" t="s">
        <v>1227</v>
      </c>
      <c r="AD1391" s="7">
        <f>$AB1391</f>
        <v>1.1000000000000001</v>
      </c>
      <c r="AE1391" s="37" t="s">
        <v>815</v>
      </c>
      <c r="AF1391" s="8">
        <f>TRUNC(경비!F3*0.2*1/$AD1391,0)</f>
        <v>411</v>
      </c>
      <c r="AG1391" s="37" t="s">
        <v>1302</v>
      </c>
      <c r="AH1391" s="7">
        <f>$AH1387+$AF1391</f>
        <v>1929</v>
      </c>
    </row>
    <row r="1392" spans="1:34" ht="18.399999999999999" customHeight="1" x14ac:dyDescent="0.15">
      <c r="A1392" s="38" t="s">
        <v>2450</v>
      </c>
      <c r="B1392" s="32"/>
      <c r="C1392" s="32"/>
      <c r="D1392" s="32"/>
      <c r="E1392" s="32"/>
      <c r="F1392" s="43"/>
      <c r="K1392" s="3" t="s">
        <v>2450</v>
      </c>
    </row>
    <row r="1393" spans="1:38" ht="18.399999999999999" customHeight="1" x14ac:dyDescent="0.15">
      <c r="A1393" s="38" t="s">
        <v>2168</v>
      </c>
      <c r="B1393" s="33">
        <f>SUM($C1393,$D1393,$E1393)</f>
        <v>1929</v>
      </c>
      <c r="C1393" s="33">
        <f>$AB1393</f>
        <v>0</v>
      </c>
      <c r="D1393" s="33">
        <f>$AD1393</f>
        <v>0</v>
      </c>
      <c r="E1393" s="33">
        <f>$AF1393</f>
        <v>1929</v>
      </c>
      <c r="F1393" s="44"/>
      <c r="K1393" s="3" t="s">
        <v>1509</v>
      </c>
      <c r="AE1393" s="36" t="s">
        <v>2233</v>
      </c>
      <c r="AF1393" s="7">
        <f>$AH1391</f>
        <v>1929</v>
      </c>
    </row>
    <row r="1394" spans="1:38" ht="18.399999999999999" customHeight="1" x14ac:dyDescent="0.15">
      <c r="A1394" s="38"/>
      <c r="B1394" s="3"/>
      <c r="C1394" s="3"/>
      <c r="D1394" s="3"/>
      <c r="E1394" s="3"/>
      <c r="F1394" s="42"/>
    </row>
    <row r="1395" spans="1:38" ht="18.399999999999999" customHeight="1" x14ac:dyDescent="0.15">
      <c r="A1395" s="41" t="s">
        <v>1388</v>
      </c>
      <c r="B1395" s="35">
        <f>SUM($C1395,$D1395,$E1395)</f>
        <v>1929</v>
      </c>
      <c r="C1395" s="35">
        <v>0</v>
      </c>
      <c r="D1395" s="35">
        <v>0</v>
      </c>
      <c r="E1395" s="35">
        <f>TRUNC(SUM($AH1391),0)</f>
        <v>1929</v>
      </c>
      <c r="F1395" s="47"/>
    </row>
    <row r="1396" spans="1:38" ht="18.399999999999999" customHeight="1" x14ac:dyDescent="0.15">
      <c r="A1396" s="38"/>
      <c r="B1396" s="3"/>
      <c r="C1396" s="3"/>
      <c r="D1396" s="3"/>
      <c r="E1396" s="3"/>
      <c r="F1396" s="42"/>
    </row>
    <row r="1397" spans="1:38" ht="18.399999999999999" customHeight="1" x14ac:dyDescent="0.15">
      <c r="A1397" s="38" t="s">
        <v>2255</v>
      </c>
      <c r="B1397" s="32">
        <f>$B1458</f>
        <v>5209</v>
      </c>
      <c r="C1397" s="32">
        <f>$C1458</f>
        <v>4894</v>
      </c>
      <c r="D1397" s="32">
        <f>$D1458</f>
        <v>270</v>
      </c>
      <c r="E1397" s="32">
        <f>$E1458</f>
        <v>45</v>
      </c>
      <c r="F1397" s="42" t="s">
        <v>2450</v>
      </c>
      <c r="G1397" t="s">
        <v>2450</v>
      </c>
      <c r="H1397" t="s">
        <v>1983</v>
      </c>
      <c r="K1397">
        <v>1</v>
      </c>
      <c r="Y1397" s="7" t="b">
        <f>EXACT($Z1397,$B1458)</f>
        <v>1</v>
      </c>
      <c r="Z1397" s="35">
        <v>5209</v>
      </c>
    </row>
    <row r="1398" spans="1:38" ht="18.399999999999999" customHeight="1" x14ac:dyDescent="0.15">
      <c r="A1398" s="39"/>
      <c r="B1398" s="3"/>
      <c r="C1398" s="3"/>
      <c r="D1398" s="3"/>
      <c r="E1398" s="3"/>
      <c r="F1398" s="42"/>
    </row>
    <row r="1399" spans="1:38" ht="18.399999999999999" customHeight="1" x14ac:dyDescent="0.15">
      <c r="A1399" s="38" t="s">
        <v>2450</v>
      </c>
      <c r="B1399" s="3"/>
      <c r="C1399" s="3"/>
      <c r="D1399" s="3"/>
      <c r="E1399" s="3"/>
      <c r="F1399" s="42"/>
      <c r="G1399" t="s">
        <v>2450</v>
      </c>
      <c r="I1399" t="s">
        <v>286</v>
      </c>
      <c r="J1399" t="s">
        <v>2450</v>
      </c>
      <c r="K1399" t="s">
        <v>2053</v>
      </c>
    </row>
    <row r="1400" spans="1:38" ht="18.399999999999999" customHeight="1" x14ac:dyDescent="0.15">
      <c r="A1400" s="38" t="s">
        <v>1134</v>
      </c>
      <c r="B1400" s="32"/>
      <c r="C1400" s="32"/>
      <c r="D1400" s="32"/>
      <c r="E1400" s="32"/>
      <c r="F1400" s="43"/>
      <c r="K1400" s="3" t="s">
        <v>1134</v>
      </c>
    </row>
    <row r="1401" spans="1:38" ht="18.399999999999999" customHeight="1" x14ac:dyDescent="0.15">
      <c r="A1401" s="38" t="s">
        <v>2450</v>
      </c>
      <c r="B1401" s="32"/>
      <c r="C1401" s="32"/>
      <c r="D1401" s="32"/>
      <c r="E1401" s="32"/>
      <c r="F1401" s="43"/>
      <c r="K1401" s="3" t="s">
        <v>2450</v>
      </c>
    </row>
    <row r="1402" spans="1:38" ht="18.399999999999999" customHeight="1" x14ac:dyDescent="0.15">
      <c r="A1402" s="40" t="str">
        <f>CONCATENATE("   ○ 1일 시공량 :  A=",TEXT($AB1402,"#,##0.00")," ㎡/일")</f>
        <v xml:space="preserve">   ○ 1일 시공량 :  A=4,000.00 ㎡/일</v>
      </c>
      <c r="B1402" s="32"/>
      <c r="C1402" s="32"/>
      <c r="D1402" s="32"/>
      <c r="E1402" s="32"/>
      <c r="F1402" s="43"/>
      <c r="K1402" s="10" t="str">
        <f>SUBSTITUTE(SUBSTITUTE("  _x001D_○ 1일 시공량 :_x001D_ A = 4000_x001D_㎡/일_x001D_","4000",TEXT($AB1402,"#,##0"),1),"_x001D_","'")</f>
        <v xml:space="preserve">  '○ 1일 시공량 :' A = 4,000'㎡/일'</v>
      </c>
      <c r="AA1402" s="36" t="s">
        <v>430</v>
      </c>
      <c r="AB1402" s="6">
        <v>4000</v>
      </c>
      <c r="AC1402" s="36" t="s">
        <v>430</v>
      </c>
      <c r="AD1402" s="7">
        <f>$AB1402</f>
        <v>4000</v>
      </c>
    </row>
    <row r="1403" spans="1:38" ht="18.399999999999999" customHeight="1" x14ac:dyDescent="0.15">
      <c r="A1403" s="38" t="s">
        <v>2450</v>
      </c>
      <c r="B1403" s="32"/>
      <c r="C1403" s="32"/>
      <c r="D1403" s="32"/>
      <c r="E1403" s="32"/>
      <c r="F1403" s="43"/>
      <c r="K1403" s="3" t="s">
        <v>2450</v>
      </c>
    </row>
    <row r="1404" spans="1:38" ht="18.399999999999999" customHeight="1" x14ac:dyDescent="0.15">
      <c r="A1404" s="38" t="s">
        <v>2156</v>
      </c>
      <c r="B1404" s="32"/>
      <c r="C1404" s="32"/>
      <c r="D1404" s="32"/>
      <c r="E1404" s="32"/>
      <c r="F1404" s="43"/>
      <c r="K1404" s="3" t="s">
        <v>1803</v>
      </c>
    </row>
    <row r="1405" spans="1:38" ht="18.399999999999999" customHeight="1" x14ac:dyDescent="0.15">
      <c r="A1405" s="38" t="s">
        <v>2450</v>
      </c>
      <c r="B1405" s="32"/>
      <c r="C1405" s="32"/>
      <c r="D1405" s="32"/>
      <c r="E1405" s="32"/>
      <c r="F1405" s="43"/>
      <c r="K1405" s="3" t="s">
        <v>2450</v>
      </c>
    </row>
    <row r="1406" spans="1:38" ht="18.399999999999999" customHeight="1" x14ac:dyDescent="0.15">
      <c r="A1406" s="40" t="str">
        <f>CONCATENATE("    B = ",TEXT($AB1406,"#,##0.00")," * 1.00 =",TEXT($AJ1406,"#,##0.00")," ㎡/일 ")</f>
        <v xml:space="preserve">    B = 4,000.00 * 1.00 =4,000.00 ㎡/일 </v>
      </c>
      <c r="B1406" s="32">
        <f>SUM($C1406,$D1406,$E1406)</f>
        <v>0</v>
      </c>
      <c r="C1406" s="32"/>
      <c r="D1406" s="32"/>
      <c r="E1406" s="32"/>
      <c r="F1406" s="43"/>
      <c r="K1406" s="3" t="s">
        <v>1764</v>
      </c>
      <c r="AA1406" s="36" t="s">
        <v>507</v>
      </c>
      <c r="AB1406" s="8">
        <f>$AD1402</f>
        <v>4000</v>
      </c>
      <c r="AC1406" s="36" t="s">
        <v>1771</v>
      </c>
      <c r="AD1406" s="7">
        <f>$AB1406</f>
        <v>4000</v>
      </c>
      <c r="AE1406" s="36" t="s">
        <v>961</v>
      </c>
      <c r="AF1406" s="8">
        <f>ROUND($AD1406*1,2)</f>
        <v>4000</v>
      </c>
      <c r="AG1406" s="36" t="s">
        <v>1853</v>
      </c>
      <c r="AH1406" s="7">
        <f>$AF1406</f>
        <v>4000</v>
      </c>
      <c r="AI1406" s="36" t="s">
        <v>2196</v>
      </c>
      <c r="AJ1406" s="8">
        <f>ROUND(ROUND($AD1406*1,2),2)</f>
        <v>4000</v>
      </c>
      <c r="AK1406" s="36" t="s">
        <v>844</v>
      </c>
      <c r="AL1406" s="7">
        <f>$AJ1406</f>
        <v>4000</v>
      </c>
    </row>
    <row r="1407" spans="1:38" ht="18.399999999999999" customHeight="1" x14ac:dyDescent="0.15">
      <c r="A1407" s="38" t="s">
        <v>2450</v>
      </c>
      <c r="B1407" s="32"/>
      <c r="C1407" s="32"/>
      <c r="D1407" s="32"/>
      <c r="E1407" s="32"/>
      <c r="F1407" s="43"/>
      <c r="K1407" s="3" t="s">
        <v>2450</v>
      </c>
    </row>
    <row r="1408" spans="1:38" ht="18.399999999999999" customHeight="1" x14ac:dyDescent="0.15">
      <c r="A1408" s="40" t="str">
        <f>CONCATENATE(" ○ 1시간 작업량 :  Q = ",TEXT($AB1408,"#,##0.00")," / 8 hr  =",TEXT($AJ1408,"#,##0.00")," ㎡/hr ")</f>
        <v xml:space="preserve"> ○ 1시간 작업량 :  Q = 4,000.00 / 8 hr  =500.00 ㎡/hr </v>
      </c>
      <c r="B1408" s="32">
        <f>SUM($C1408,$D1408,$E1408)</f>
        <v>0</v>
      </c>
      <c r="C1408" s="32"/>
      <c r="D1408" s="32"/>
      <c r="E1408" s="32"/>
      <c r="F1408" s="43"/>
      <c r="K1408" s="3" t="s">
        <v>1528</v>
      </c>
      <c r="AA1408" s="36" t="s">
        <v>1587</v>
      </c>
      <c r="AB1408" s="8">
        <f>$AH1406</f>
        <v>4000</v>
      </c>
      <c r="AC1408" s="36" t="s">
        <v>1291</v>
      </c>
      <c r="AD1408" s="7">
        <f>$AB1408</f>
        <v>4000</v>
      </c>
      <c r="AE1408" s="36" t="s">
        <v>461</v>
      </c>
      <c r="AF1408" s="8">
        <f>ROUND($AD1408/8,2)</f>
        <v>500</v>
      </c>
      <c r="AG1408" s="36" t="s">
        <v>1686</v>
      </c>
      <c r="AH1408" s="7">
        <f>$AF1408</f>
        <v>500</v>
      </c>
      <c r="AI1408" s="36" t="s">
        <v>1143</v>
      </c>
      <c r="AJ1408" s="8">
        <f>ROUND(ROUND($AD1408/8,2),2)</f>
        <v>500</v>
      </c>
      <c r="AK1408" s="36" t="s">
        <v>1016</v>
      </c>
      <c r="AL1408" s="7">
        <f>$AJ1408</f>
        <v>500</v>
      </c>
    </row>
    <row r="1409" spans="1:38" ht="18.399999999999999" customHeight="1" x14ac:dyDescent="0.15">
      <c r="A1409" s="38" t="s">
        <v>2450</v>
      </c>
      <c r="B1409" s="32"/>
      <c r="C1409" s="32"/>
      <c r="D1409" s="32"/>
      <c r="E1409" s="32"/>
      <c r="F1409" s="43"/>
      <c r="K1409" s="3" t="s">
        <v>2450</v>
      </c>
    </row>
    <row r="1410" spans="1:38" ht="18.399999999999999" customHeight="1" x14ac:dyDescent="0.15">
      <c r="A1410" s="38" t="s">
        <v>927</v>
      </c>
      <c r="B1410" s="32"/>
      <c r="C1410" s="32"/>
      <c r="D1410" s="32"/>
      <c r="E1410" s="32"/>
      <c r="F1410" s="43"/>
      <c r="K1410" s="3" t="s">
        <v>927</v>
      </c>
    </row>
    <row r="1411" spans="1:38" ht="18.399999999999999" customHeight="1" x14ac:dyDescent="0.15">
      <c r="A1411" s="38" t="s">
        <v>2450</v>
      </c>
      <c r="B1411" s="32"/>
      <c r="C1411" s="32"/>
      <c r="D1411" s="32"/>
      <c r="E1411" s="32"/>
      <c r="F1411" s="43"/>
      <c r="K1411" s="3" t="s">
        <v>2450</v>
      </c>
    </row>
    <row r="1412" spans="1:38" ht="18.399999999999999" customHeight="1" x14ac:dyDescent="0.15">
      <c r="A1412" s="38" t="s">
        <v>1237</v>
      </c>
      <c r="B1412" s="32"/>
      <c r="C1412" s="32"/>
      <c r="D1412" s="32"/>
      <c r="E1412" s="32"/>
      <c r="F1412" s="43"/>
      <c r="K1412" s="3" t="s">
        <v>1237</v>
      </c>
    </row>
    <row r="1413" spans="1:38" ht="18.399999999999999" customHeight="1" x14ac:dyDescent="0.15">
      <c r="A1413" s="38" t="s">
        <v>2450</v>
      </c>
      <c r="B1413" s="32"/>
      <c r="C1413" s="32"/>
      <c r="D1413" s="32"/>
      <c r="E1413" s="32"/>
      <c r="F1413" s="43"/>
      <c r="K1413" s="3" t="s">
        <v>2450</v>
      </c>
    </row>
    <row r="1414" spans="1:38" ht="18.399999999999999" customHeight="1" x14ac:dyDescent="0.15">
      <c r="A1414" s="40" t="str">
        <f>CONCATENATE("    4.2 ℓ  * _x001D_9,650_x001D_ / 10 =","MA+ "," :A1")</f>
        <v xml:space="preserve">    4.2 ℓ  * _x001D_9,650_x001D_ / 10 =MA+  :A1</v>
      </c>
      <c r="B1414" s="32">
        <f>SUM($C1414,$D1414,$E1414)</f>
        <v>4053</v>
      </c>
      <c r="C1414" s="32">
        <f>$AB1414</f>
        <v>4053</v>
      </c>
      <c r="D1414" s="32"/>
      <c r="E1414" s="32"/>
      <c r="F1414" s="43" t="s">
        <v>2450</v>
      </c>
      <c r="K1414" s="3" t="s">
        <v>1122</v>
      </c>
      <c r="AA1414" s="37" t="s">
        <v>1798</v>
      </c>
      <c r="AB1414" s="8">
        <f>TRUNC(4.2*자재!D12/10,0)</f>
        <v>4053</v>
      </c>
      <c r="AC1414" s="37" t="s">
        <v>2021</v>
      </c>
      <c r="AD1414" s="7">
        <f>$AB1414</f>
        <v>4053</v>
      </c>
      <c r="AE1414" s="36" t="s">
        <v>92</v>
      </c>
      <c r="AF1414" s="8">
        <f>$AB1414</f>
        <v>4053</v>
      </c>
      <c r="AG1414" s="36" t="s">
        <v>731</v>
      </c>
      <c r="AH1414" s="7">
        <f>$AF1414</f>
        <v>4053</v>
      </c>
    </row>
    <row r="1415" spans="1:38" ht="18.399999999999999" customHeight="1" x14ac:dyDescent="0.15">
      <c r="A1415" s="38" t="s">
        <v>2450</v>
      </c>
      <c r="B1415" s="32"/>
      <c r="C1415" s="32"/>
      <c r="D1415" s="32"/>
      <c r="E1415" s="32"/>
      <c r="F1415" s="43"/>
      <c r="K1415" s="3" t="s">
        <v>2450</v>
      </c>
    </row>
    <row r="1416" spans="1:38" ht="18.399999999999999" customHeight="1" x14ac:dyDescent="0.15">
      <c r="A1416" s="38" t="s">
        <v>917</v>
      </c>
      <c r="B1416" s="32"/>
      <c r="C1416" s="32"/>
      <c r="D1416" s="32"/>
      <c r="E1416" s="32"/>
      <c r="F1416" s="43"/>
      <c r="K1416" s="3" t="s">
        <v>917</v>
      </c>
    </row>
    <row r="1417" spans="1:38" ht="18.399999999999999" customHeight="1" x14ac:dyDescent="0.15">
      <c r="A1417" s="38" t="s">
        <v>2450</v>
      </c>
      <c r="B1417" s="32"/>
      <c r="C1417" s="32"/>
      <c r="D1417" s="32"/>
      <c r="E1417" s="32"/>
      <c r="F1417" s="43"/>
      <c r="K1417" s="3" t="s">
        <v>2450</v>
      </c>
    </row>
    <row r="1418" spans="1:38" ht="18.399999999999999" customHeight="1" x14ac:dyDescent="0.15">
      <c r="A1418" s="40" t="str">
        <f>CONCATENATE("    4.2 kg  * _x001D_1,700_x001D_ / 10 =","MA+ "," :A2")</f>
        <v xml:space="preserve">    4.2 kg  * _x001D_1,700_x001D_ / 10 =MA+  :A2</v>
      </c>
      <c r="B1418" s="32">
        <f>SUM($C1418,$D1418,$E1418)</f>
        <v>714</v>
      </c>
      <c r="C1418" s="32">
        <f>$AB1418</f>
        <v>714</v>
      </c>
      <c r="D1418" s="32"/>
      <c r="E1418" s="32"/>
      <c r="F1418" s="43" t="s">
        <v>2450</v>
      </c>
      <c r="K1418" s="3" t="s">
        <v>836</v>
      </c>
      <c r="AA1418" s="37" t="s">
        <v>1798</v>
      </c>
      <c r="AB1418" s="8">
        <f>TRUNC(4.2*자재!D4/10,0)</f>
        <v>714</v>
      </c>
      <c r="AC1418" s="37" t="s">
        <v>2021</v>
      </c>
      <c r="AD1418" s="7">
        <f>$AD1414+$AB1418</f>
        <v>4767</v>
      </c>
      <c r="AE1418" s="36" t="s">
        <v>2082</v>
      </c>
      <c r="AF1418" s="8">
        <f>$AB1418</f>
        <v>714</v>
      </c>
      <c r="AG1418" s="36" t="s">
        <v>1589</v>
      </c>
      <c r="AH1418" s="7">
        <f>$AF1418</f>
        <v>714</v>
      </c>
    </row>
    <row r="1419" spans="1:38" ht="18.399999999999999" customHeight="1" x14ac:dyDescent="0.15">
      <c r="A1419" s="38" t="s">
        <v>2450</v>
      </c>
      <c r="B1419" s="32"/>
      <c r="C1419" s="32"/>
      <c r="D1419" s="32"/>
      <c r="E1419" s="32"/>
      <c r="F1419" s="43"/>
      <c r="K1419" s="3" t="s">
        <v>2450</v>
      </c>
    </row>
    <row r="1420" spans="1:38" ht="18.399999999999999" customHeight="1" x14ac:dyDescent="0.15">
      <c r="A1420" s="38" t="s">
        <v>569</v>
      </c>
      <c r="B1420" s="33">
        <f>SUM($C1420,$D1420,$E1420)</f>
        <v>4767</v>
      </c>
      <c r="C1420" s="33">
        <f>$AB1420</f>
        <v>4767</v>
      </c>
      <c r="D1420" s="33">
        <f>$AD1420</f>
        <v>0</v>
      </c>
      <c r="E1420" s="33">
        <f>$AF1420</f>
        <v>0</v>
      </c>
      <c r="F1420" s="44"/>
      <c r="K1420" s="3" t="s">
        <v>1529</v>
      </c>
      <c r="AA1420" s="36" t="s">
        <v>1729</v>
      </c>
      <c r="AB1420" s="7">
        <f>$AD1418</f>
        <v>4767</v>
      </c>
    </row>
    <row r="1421" spans="1:38" ht="18.399999999999999" customHeight="1" x14ac:dyDescent="0.15">
      <c r="A1421" s="38" t="s">
        <v>2450</v>
      </c>
      <c r="B1421" s="32"/>
      <c r="C1421" s="32"/>
      <c r="D1421" s="32"/>
      <c r="E1421" s="32"/>
      <c r="F1421" s="43"/>
      <c r="K1421" s="3" t="s">
        <v>2450</v>
      </c>
    </row>
    <row r="1422" spans="1:38" ht="18.399999999999999" customHeight="1" x14ac:dyDescent="0.15">
      <c r="A1422" s="38" t="s">
        <v>1680</v>
      </c>
      <c r="B1422" s="32"/>
      <c r="C1422" s="32"/>
      <c r="D1422" s="32"/>
      <c r="E1422" s="32"/>
      <c r="F1422" s="43"/>
      <c r="K1422" s="3" t="s">
        <v>1680</v>
      </c>
    </row>
    <row r="1423" spans="1:38" ht="18.399999999999999" customHeight="1" x14ac:dyDescent="0.15">
      <c r="A1423" s="38" t="s">
        <v>2450</v>
      </c>
      <c r="B1423" s="32"/>
      <c r="C1423" s="32"/>
      <c r="D1423" s="32"/>
      <c r="E1423" s="32"/>
      <c r="F1423" s="43"/>
      <c r="K1423" s="3" t="s">
        <v>2450</v>
      </c>
    </row>
    <row r="1424" spans="1:38" ht="18.399999999999999" customHeight="1" x14ac:dyDescent="0.15">
      <c r="A1424" s="40" t="str">
        <f>CONCATENATE("    특별인부 :  1.0 인  / ",TEXT($AB1424,"#,##0.00")," * _x001D_226,122_x001D_ =","LA+ "," :C")</f>
        <v xml:space="preserve">    특별인부 :  1.0 인  / 4,000.00 * _x001D_226,122_x001D_ =LA+  :C</v>
      </c>
      <c r="B1424" s="32">
        <f>SUM($C1424,$D1424,$E1424)</f>
        <v>56</v>
      </c>
      <c r="C1424" s="32"/>
      <c r="D1424" s="32">
        <f>$AF1424</f>
        <v>56</v>
      </c>
      <c r="E1424" s="32"/>
      <c r="F1424" s="43" t="s">
        <v>2450</v>
      </c>
      <c r="K1424" s="3" t="s">
        <v>1688</v>
      </c>
      <c r="AA1424" s="36" t="s">
        <v>1356</v>
      </c>
      <c r="AB1424" s="8">
        <f>$AH1406</f>
        <v>4000</v>
      </c>
      <c r="AC1424" s="36" t="s">
        <v>630</v>
      </c>
      <c r="AD1424" s="7">
        <f>$AB1424</f>
        <v>4000</v>
      </c>
      <c r="AE1424" s="37" t="s">
        <v>265</v>
      </c>
      <c r="AF1424" s="8">
        <f>TRUNC(1/$AD1424*노임!D9,0)</f>
        <v>56</v>
      </c>
      <c r="AG1424" s="37" t="s">
        <v>972</v>
      </c>
      <c r="AH1424" s="7">
        <f>$AF1424</f>
        <v>56</v>
      </c>
      <c r="AI1424" s="36" t="s">
        <v>2001</v>
      </c>
      <c r="AJ1424" s="8">
        <f>$AF1424</f>
        <v>56</v>
      </c>
      <c r="AK1424" s="36" t="s">
        <v>1586</v>
      </c>
      <c r="AL1424" s="7">
        <f>$AJ1424</f>
        <v>56</v>
      </c>
    </row>
    <row r="1425" spans="1:38" ht="18.399999999999999" customHeight="1" x14ac:dyDescent="0.15">
      <c r="A1425" s="38" t="s">
        <v>2450</v>
      </c>
      <c r="B1425" s="32"/>
      <c r="C1425" s="32"/>
      <c r="D1425" s="32"/>
      <c r="E1425" s="32"/>
      <c r="F1425" s="43"/>
      <c r="K1425" s="3" t="s">
        <v>2450</v>
      </c>
    </row>
    <row r="1426" spans="1:38" ht="18.399999999999999" customHeight="1" x14ac:dyDescent="0.15">
      <c r="A1426" s="40" t="str">
        <f>CONCATENATE("    보통인부 :  1.0 인  / ",TEXT($AB1426,"#,##0.00")," * _x001D_172,068_x001D_ =","LA+ "," :D")</f>
        <v xml:space="preserve">    보통인부 :  1.0 인  / 4,000.00 * _x001D_172,068_x001D_ =LA+  :D</v>
      </c>
      <c r="B1426" s="32">
        <f>SUM($C1426,$D1426,$E1426)</f>
        <v>43</v>
      </c>
      <c r="C1426" s="32"/>
      <c r="D1426" s="32">
        <f>$AF1426</f>
        <v>43</v>
      </c>
      <c r="E1426" s="32"/>
      <c r="F1426" s="43" t="s">
        <v>2450</v>
      </c>
      <c r="K1426" s="3" t="s">
        <v>1842</v>
      </c>
      <c r="AA1426" s="36" t="s">
        <v>81</v>
      </c>
      <c r="AB1426" s="8">
        <f>$AH1406</f>
        <v>4000</v>
      </c>
      <c r="AC1426" s="36" t="s">
        <v>614</v>
      </c>
      <c r="AD1426" s="7">
        <f>$AB1426</f>
        <v>4000</v>
      </c>
      <c r="AE1426" s="37" t="s">
        <v>265</v>
      </c>
      <c r="AF1426" s="8">
        <f>TRUNC(1/$AD1426*노임!D10,0)</f>
        <v>43</v>
      </c>
      <c r="AG1426" s="37" t="s">
        <v>972</v>
      </c>
      <c r="AH1426" s="7">
        <f>$AH1424+$AF1426</f>
        <v>99</v>
      </c>
      <c r="AI1426" s="36" t="s">
        <v>1845</v>
      </c>
      <c r="AJ1426" s="8">
        <f>$AF1426</f>
        <v>43</v>
      </c>
      <c r="AK1426" s="36" t="s">
        <v>298</v>
      </c>
      <c r="AL1426" s="7">
        <f>$AJ1426</f>
        <v>43</v>
      </c>
    </row>
    <row r="1427" spans="1:38" ht="18.399999999999999" customHeight="1" x14ac:dyDescent="0.15">
      <c r="A1427" s="38" t="s">
        <v>2450</v>
      </c>
      <c r="B1427" s="32"/>
      <c r="C1427" s="32"/>
      <c r="D1427" s="32"/>
      <c r="E1427" s="32"/>
      <c r="F1427" s="43"/>
      <c r="K1427" s="3" t="s">
        <v>2450</v>
      </c>
    </row>
    <row r="1428" spans="1:38" ht="18.399999999999999" customHeight="1" x14ac:dyDescent="0.15">
      <c r="A1428" s="38" t="s">
        <v>569</v>
      </c>
      <c r="B1428" s="33">
        <f>SUM($C1428,$D1428,$E1428)</f>
        <v>99</v>
      </c>
      <c r="C1428" s="33">
        <f>$AB1428</f>
        <v>0</v>
      </c>
      <c r="D1428" s="33">
        <f>$AD1428</f>
        <v>99</v>
      </c>
      <c r="E1428" s="33">
        <f>$AF1428</f>
        <v>0</v>
      </c>
      <c r="F1428" s="44"/>
      <c r="K1428" s="3" t="s">
        <v>1529</v>
      </c>
      <c r="AA1428" s="36" t="s">
        <v>1729</v>
      </c>
      <c r="AB1428" s="7">
        <f>$AD1418-$AD1418</f>
        <v>0</v>
      </c>
      <c r="AC1428" s="36" t="s">
        <v>68</v>
      </c>
      <c r="AD1428" s="7">
        <f>$AH1426</f>
        <v>99</v>
      </c>
    </row>
    <row r="1429" spans="1:38" ht="18.399999999999999" customHeight="1" x14ac:dyDescent="0.15">
      <c r="A1429" s="38" t="s">
        <v>2450</v>
      </c>
      <c r="B1429" s="32"/>
      <c r="C1429" s="32"/>
      <c r="D1429" s="32"/>
      <c r="E1429" s="32"/>
      <c r="F1429" s="43"/>
      <c r="K1429" s="3" t="s">
        <v>2450</v>
      </c>
    </row>
    <row r="1430" spans="1:38" ht="18.399999999999999" customHeight="1" x14ac:dyDescent="0.15">
      <c r="A1430" s="38" t="s">
        <v>2349</v>
      </c>
      <c r="B1430" s="32"/>
      <c r="C1430" s="32"/>
      <c r="D1430" s="32"/>
      <c r="E1430" s="32"/>
      <c r="F1430" s="43"/>
      <c r="K1430" s="3" t="s">
        <v>2349</v>
      </c>
    </row>
    <row r="1431" spans="1:38" ht="18.399999999999999" customHeight="1" x14ac:dyDescent="0.15">
      <c r="A1431" s="38" t="s">
        <v>2450</v>
      </c>
      <c r="B1431" s="32"/>
      <c r="C1431" s="32"/>
      <c r="D1431" s="32"/>
      <c r="E1431" s="32"/>
      <c r="F1431" s="43"/>
      <c r="K1431" s="3" t="s">
        <v>2450</v>
      </c>
    </row>
    <row r="1432" spans="1:38" ht="18.399999999999999" customHeight="1" x14ac:dyDescent="0.15">
      <c r="A1432" s="40" t="str">
        <f>CONCATENATE("    재 료 비 :   _x001D_34,229_x001D_ / ",TEXT($AB1432,"#,##0.00")," =",TEXT($AF1432,"#,##0.00"))</f>
        <v xml:space="preserve">    재 료 비 :   _x001D_34,229_x001D_ / 500.00 =68.00</v>
      </c>
      <c r="B1432" s="32">
        <f>SUM($C1432,$D1432,$E1432)</f>
        <v>68</v>
      </c>
      <c r="C1432" s="32">
        <f>$AF1432</f>
        <v>68</v>
      </c>
      <c r="D1432" s="32"/>
      <c r="E1432" s="32"/>
      <c r="F1432" s="43" t="s">
        <v>2450</v>
      </c>
      <c r="K1432" s="3" t="s">
        <v>1521</v>
      </c>
      <c r="AA1432" s="36" t="s">
        <v>589</v>
      </c>
      <c r="AB1432" s="8">
        <f>$AH1408</f>
        <v>500</v>
      </c>
      <c r="AC1432" s="36" t="s">
        <v>1253</v>
      </c>
      <c r="AD1432" s="7">
        <f>$AB1432</f>
        <v>500</v>
      </c>
      <c r="AE1432" s="37" t="s">
        <v>1798</v>
      </c>
      <c r="AF1432" s="8">
        <f>TRUNC(중기사용료목록!E30/$AD1432,0)</f>
        <v>68</v>
      </c>
      <c r="AG1432" s="37" t="s">
        <v>2021</v>
      </c>
      <c r="AH1432" s="7">
        <f>$AD1418+$AF1432</f>
        <v>4835</v>
      </c>
    </row>
    <row r="1433" spans="1:38" ht="18.399999999999999" customHeight="1" x14ac:dyDescent="0.15">
      <c r="A1433" s="38" t="s">
        <v>2450</v>
      </c>
      <c r="B1433" s="32"/>
      <c r="C1433" s="32"/>
      <c r="D1433" s="32"/>
      <c r="E1433" s="32"/>
      <c r="F1433" s="43"/>
      <c r="K1433" s="3" t="s">
        <v>2450</v>
      </c>
    </row>
    <row r="1434" spans="1:38" ht="18.399999999999999" customHeight="1" x14ac:dyDescent="0.15">
      <c r="A1434" s="40" t="str">
        <f>CONCATENATE("    노 무 비 :   _x001D_36,248_x001D_ / ",TEXT($AB1434,"#,##0.00")," =",TEXT($AF1434,"#,##0.00"))</f>
        <v xml:space="preserve">    노 무 비 :   _x001D_36,248_x001D_ / 500.00 =72.00</v>
      </c>
      <c r="B1434" s="32">
        <f>SUM($C1434,$D1434,$E1434)</f>
        <v>72</v>
      </c>
      <c r="C1434" s="32"/>
      <c r="D1434" s="32">
        <f>$AF1434</f>
        <v>72</v>
      </c>
      <c r="E1434" s="32"/>
      <c r="F1434" s="43" t="s">
        <v>2450</v>
      </c>
      <c r="K1434" s="3" t="s">
        <v>96</v>
      </c>
      <c r="AA1434" s="36" t="s">
        <v>1674</v>
      </c>
      <c r="AB1434" s="8">
        <f>$AH1408</f>
        <v>500</v>
      </c>
      <c r="AC1434" s="36" t="s">
        <v>26</v>
      </c>
      <c r="AD1434" s="7">
        <f>$AB1434</f>
        <v>500</v>
      </c>
      <c r="AE1434" s="37" t="s">
        <v>265</v>
      </c>
      <c r="AF1434" s="8">
        <f>TRUNC(중기사용료목록!F30/$AD1434,0)</f>
        <v>72</v>
      </c>
      <c r="AG1434" s="37" t="s">
        <v>972</v>
      </c>
      <c r="AH1434" s="7">
        <f>$AH1426+$AF1434</f>
        <v>171</v>
      </c>
    </row>
    <row r="1435" spans="1:38" ht="18.399999999999999" customHeight="1" x14ac:dyDescent="0.15">
      <c r="A1435" s="38" t="s">
        <v>2450</v>
      </c>
      <c r="B1435" s="32"/>
      <c r="C1435" s="32"/>
      <c r="D1435" s="32"/>
      <c r="E1435" s="32"/>
      <c r="F1435" s="43"/>
      <c r="K1435" s="3" t="s">
        <v>2450</v>
      </c>
    </row>
    <row r="1436" spans="1:38" ht="18.399999999999999" customHeight="1" x14ac:dyDescent="0.15">
      <c r="A1436" s="40" t="str">
        <f>CONCATENATE("    경    비 :   _x001D_16,131_x001D_ / ",TEXT($AB1436,"#,##0.00")," =",TEXT($AF1436,"#,##0.00"))</f>
        <v xml:space="preserve">    경    비 :   _x001D_16,131_x001D_ / 500.00 =32.00</v>
      </c>
      <c r="B1436" s="32">
        <f>SUM($C1436,$D1436,$E1436)</f>
        <v>32</v>
      </c>
      <c r="C1436" s="32"/>
      <c r="D1436" s="32"/>
      <c r="E1436" s="32">
        <f>$AF1436</f>
        <v>32</v>
      </c>
      <c r="F1436" s="43" t="s">
        <v>2450</v>
      </c>
      <c r="K1436" s="3" t="s">
        <v>1292</v>
      </c>
      <c r="AA1436" s="36" t="s">
        <v>547</v>
      </c>
      <c r="AB1436" s="8">
        <f>$AH1408</f>
        <v>500</v>
      </c>
      <c r="AC1436" s="36" t="s">
        <v>1207</v>
      </c>
      <c r="AD1436" s="7">
        <f>$AB1436</f>
        <v>500</v>
      </c>
      <c r="AE1436" s="37" t="s">
        <v>815</v>
      </c>
      <c r="AF1436" s="8">
        <f>TRUNC(중기사용료목록!G30/$AD1436,0)</f>
        <v>32</v>
      </c>
      <c r="AG1436" s="37" t="s">
        <v>1302</v>
      </c>
      <c r="AH1436" s="7">
        <f>$AF1436</f>
        <v>32</v>
      </c>
    </row>
    <row r="1437" spans="1:38" ht="18.399999999999999" customHeight="1" x14ac:dyDescent="0.15">
      <c r="A1437" s="38" t="s">
        <v>2450</v>
      </c>
      <c r="B1437" s="32"/>
      <c r="C1437" s="32"/>
      <c r="D1437" s="32"/>
      <c r="E1437" s="32"/>
      <c r="F1437" s="43"/>
      <c r="K1437" s="3" t="s">
        <v>2450</v>
      </c>
    </row>
    <row r="1438" spans="1:38" ht="18.399999999999999" customHeight="1" x14ac:dyDescent="0.15">
      <c r="A1438" s="38" t="s">
        <v>569</v>
      </c>
      <c r="B1438" s="33">
        <f>SUM($C1438,$D1438,$E1438)</f>
        <v>172</v>
      </c>
      <c r="C1438" s="33">
        <f>$AB1438</f>
        <v>68</v>
      </c>
      <c r="D1438" s="33">
        <f>$AD1438</f>
        <v>72</v>
      </c>
      <c r="E1438" s="33">
        <f>$AF1438</f>
        <v>32</v>
      </c>
      <c r="F1438" s="44"/>
      <c r="K1438" s="3" t="s">
        <v>1529</v>
      </c>
      <c r="AA1438" s="36" t="s">
        <v>1729</v>
      </c>
      <c r="AB1438" s="7">
        <f>$AH1432-$AD1418</f>
        <v>68</v>
      </c>
      <c r="AC1438" s="36" t="s">
        <v>68</v>
      </c>
      <c r="AD1438" s="7">
        <f>$AH1434-$AH1426</f>
        <v>72</v>
      </c>
      <c r="AE1438" s="36" t="s">
        <v>2233</v>
      </c>
      <c r="AF1438" s="7">
        <f>$AH1436</f>
        <v>32</v>
      </c>
    </row>
    <row r="1439" spans="1:38" ht="18.399999999999999" customHeight="1" x14ac:dyDescent="0.15">
      <c r="A1439" s="38" t="s">
        <v>2450</v>
      </c>
      <c r="B1439" s="32"/>
      <c r="C1439" s="32"/>
      <c r="D1439" s="32"/>
      <c r="E1439" s="32"/>
      <c r="F1439" s="43"/>
      <c r="K1439" s="3" t="s">
        <v>2450</v>
      </c>
    </row>
    <row r="1440" spans="1:38" ht="18.399999999999999" customHeight="1" x14ac:dyDescent="0.15">
      <c r="A1440" s="38" t="s">
        <v>330</v>
      </c>
      <c r="B1440" s="32"/>
      <c r="C1440" s="32"/>
      <c r="D1440" s="32"/>
      <c r="E1440" s="32"/>
      <c r="F1440" s="43"/>
      <c r="K1440" s="3" t="s">
        <v>330</v>
      </c>
    </row>
    <row r="1441" spans="1:38" ht="18.399999999999999" customHeight="1" x14ac:dyDescent="0.15">
      <c r="A1441" s="38" t="s">
        <v>2450</v>
      </c>
      <c r="B1441" s="32"/>
      <c r="C1441" s="32"/>
      <c r="D1441" s="32"/>
      <c r="E1441" s="32"/>
      <c r="F1441" s="43"/>
      <c r="K1441" s="3" t="s">
        <v>2450</v>
      </c>
    </row>
    <row r="1442" spans="1:38" ht="18.399999999999999" customHeight="1" x14ac:dyDescent="0.15">
      <c r="A1442" s="40" t="str">
        <f>CONCATENATE("    재 료 비 :   _x001D_6,363_x001D_ / ",TEXT($AB1442,"#,##0.00")," =",TEXT($AF1442,"#,##0.00"))</f>
        <v xml:space="preserve">    재 료 비 :   _x001D_6,363_x001D_ / 500.00 =12.00</v>
      </c>
      <c r="B1442" s="32">
        <f>SUM($C1442,$D1442,$E1442)</f>
        <v>12</v>
      </c>
      <c r="C1442" s="32">
        <f>$AF1442</f>
        <v>12</v>
      </c>
      <c r="D1442" s="32"/>
      <c r="E1442" s="32"/>
      <c r="F1442" s="43" t="s">
        <v>2450</v>
      </c>
      <c r="K1442" s="3" t="s">
        <v>1628</v>
      </c>
      <c r="AA1442" s="36" t="s">
        <v>654</v>
      </c>
      <c r="AB1442" s="8">
        <f>$AH1408</f>
        <v>500</v>
      </c>
      <c r="AC1442" s="36" t="s">
        <v>781</v>
      </c>
      <c r="AD1442" s="7">
        <f>$AB1442</f>
        <v>500</v>
      </c>
      <c r="AE1442" s="37" t="s">
        <v>1798</v>
      </c>
      <c r="AF1442" s="8">
        <f>TRUNC(중기사용료목록!E9/$AD1442,0)</f>
        <v>12</v>
      </c>
      <c r="AG1442" s="37" t="s">
        <v>2021</v>
      </c>
      <c r="AH1442" s="7">
        <f>$AH1432+$AF1442</f>
        <v>4847</v>
      </c>
    </row>
    <row r="1443" spans="1:38" ht="18.399999999999999" customHeight="1" x14ac:dyDescent="0.15">
      <c r="A1443" s="38" t="s">
        <v>2450</v>
      </c>
      <c r="B1443" s="32"/>
      <c r="C1443" s="32"/>
      <c r="D1443" s="32"/>
      <c r="E1443" s="32"/>
      <c r="F1443" s="43"/>
      <c r="K1443" s="3" t="s">
        <v>2450</v>
      </c>
    </row>
    <row r="1444" spans="1:38" ht="18.399999999999999" customHeight="1" x14ac:dyDescent="0.15">
      <c r="A1444" s="40" t="str">
        <f>CONCATENATE("    노 무 비 :   _x001D_49,778_x001D_ / ",TEXT($AB1444,"#,##0.00")," =",TEXT($AF1444,"#,##0.00"))</f>
        <v xml:space="preserve">    노 무 비 :   _x001D_49,778_x001D_ / 500.00 =99.00</v>
      </c>
      <c r="B1444" s="32">
        <f>SUM($C1444,$D1444,$E1444)</f>
        <v>99</v>
      </c>
      <c r="C1444" s="32"/>
      <c r="D1444" s="32">
        <f>$AF1444</f>
        <v>99</v>
      </c>
      <c r="E1444" s="32"/>
      <c r="F1444" s="43" t="s">
        <v>2450</v>
      </c>
      <c r="K1444" s="3" t="s">
        <v>624</v>
      </c>
      <c r="AA1444" s="36" t="s">
        <v>1896</v>
      </c>
      <c r="AB1444" s="8">
        <f>$AH1408</f>
        <v>500</v>
      </c>
      <c r="AC1444" s="36" t="s">
        <v>1916</v>
      </c>
      <c r="AD1444" s="7">
        <f>$AB1444</f>
        <v>500</v>
      </c>
      <c r="AE1444" s="37" t="s">
        <v>265</v>
      </c>
      <c r="AF1444" s="8">
        <f>TRUNC(중기사용료목록!F9/$AD1444,0)</f>
        <v>99</v>
      </c>
      <c r="AG1444" s="37" t="s">
        <v>972</v>
      </c>
      <c r="AH1444" s="7">
        <f>$AH1434+$AF1444</f>
        <v>270</v>
      </c>
    </row>
    <row r="1445" spans="1:38" ht="18.399999999999999" customHeight="1" x14ac:dyDescent="0.15">
      <c r="A1445" s="38" t="s">
        <v>2450</v>
      </c>
      <c r="B1445" s="32"/>
      <c r="C1445" s="32"/>
      <c r="D1445" s="32"/>
      <c r="E1445" s="32"/>
      <c r="F1445" s="43"/>
      <c r="K1445" s="3" t="s">
        <v>2450</v>
      </c>
    </row>
    <row r="1446" spans="1:38" ht="18.399999999999999" customHeight="1" x14ac:dyDescent="0.15">
      <c r="A1446" s="40" t="str">
        <f>CONCATENATE("    경    비 :   _x001D_6,522_x001D_ / ",TEXT($AB1446,"#,##0.00")," =",TEXT($AF1446,"#,##0.00"))</f>
        <v xml:space="preserve">    경    비 :   _x001D_6,522_x001D_ / 500.00 =13.00</v>
      </c>
      <c r="B1446" s="32">
        <f>SUM($C1446,$D1446,$E1446)</f>
        <v>13</v>
      </c>
      <c r="C1446" s="32"/>
      <c r="D1446" s="32"/>
      <c r="E1446" s="32">
        <f>$AF1446</f>
        <v>13</v>
      </c>
      <c r="F1446" s="43" t="s">
        <v>2450</v>
      </c>
      <c r="K1446" s="3" t="s">
        <v>1787</v>
      </c>
      <c r="AA1446" s="36" t="s">
        <v>784</v>
      </c>
      <c r="AB1446" s="8">
        <f>$AH1408</f>
        <v>500</v>
      </c>
      <c r="AC1446" s="36" t="s">
        <v>1735</v>
      </c>
      <c r="AD1446" s="7">
        <f>$AB1446</f>
        <v>500</v>
      </c>
      <c r="AE1446" s="37" t="s">
        <v>815</v>
      </c>
      <c r="AF1446" s="8">
        <f>TRUNC(중기사용료목록!G9/$AD1446,0)</f>
        <v>13</v>
      </c>
      <c r="AG1446" s="37" t="s">
        <v>1302</v>
      </c>
      <c r="AH1446" s="7">
        <f>$AH1436+$AF1446</f>
        <v>45</v>
      </c>
    </row>
    <row r="1447" spans="1:38" ht="18.399999999999999" customHeight="1" x14ac:dyDescent="0.15">
      <c r="A1447" s="38" t="s">
        <v>2450</v>
      </c>
      <c r="B1447" s="32"/>
      <c r="C1447" s="32"/>
      <c r="D1447" s="32"/>
      <c r="E1447" s="32"/>
      <c r="F1447" s="43"/>
      <c r="K1447" s="3" t="s">
        <v>2450</v>
      </c>
    </row>
    <row r="1448" spans="1:38" ht="18.399999999999999" customHeight="1" x14ac:dyDescent="0.15">
      <c r="A1448" s="38" t="s">
        <v>569</v>
      </c>
      <c r="B1448" s="33">
        <f>SUM($C1448,$D1448,$E1448)</f>
        <v>124</v>
      </c>
      <c r="C1448" s="33">
        <f>$AB1448</f>
        <v>12</v>
      </c>
      <c r="D1448" s="33">
        <f>$AD1448</f>
        <v>99</v>
      </c>
      <c r="E1448" s="33">
        <f>$AF1448</f>
        <v>13</v>
      </c>
      <c r="F1448" s="44"/>
      <c r="K1448" s="3" t="s">
        <v>1529</v>
      </c>
      <c r="AA1448" s="36" t="s">
        <v>1729</v>
      </c>
      <c r="AB1448" s="7">
        <f>$AH1442-$AH1432</f>
        <v>12</v>
      </c>
      <c r="AC1448" s="36" t="s">
        <v>68</v>
      </c>
      <c r="AD1448" s="7">
        <f>$AH1444-$AH1434</f>
        <v>99</v>
      </c>
      <c r="AE1448" s="36" t="s">
        <v>2233</v>
      </c>
      <c r="AF1448" s="7">
        <f>$AH1446-$AH1436</f>
        <v>13</v>
      </c>
    </row>
    <row r="1449" spans="1:38" ht="18.399999999999999" customHeight="1" x14ac:dyDescent="0.15">
      <c r="A1449" s="38" t="s">
        <v>2450</v>
      </c>
      <c r="B1449" s="32"/>
      <c r="C1449" s="32"/>
      <c r="D1449" s="32"/>
      <c r="E1449" s="32"/>
      <c r="F1449" s="43"/>
      <c r="K1449" s="3" t="s">
        <v>2450</v>
      </c>
    </row>
    <row r="1450" spans="1:38" ht="18.399999999999999" customHeight="1" x14ac:dyDescent="0.15">
      <c r="A1450" s="38" t="s">
        <v>1222</v>
      </c>
      <c r="B1450" s="32"/>
      <c r="C1450" s="32"/>
      <c r="D1450" s="32"/>
      <c r="E1450" s="32"/>
      <c r="F1450" s="43"/>
      <c r="K1450" s="3" t="s">
        <v>1222</v>
      </c>
    </row>
    <row r="1451" spans="1:38" ht="18.399999999999999" customHeight="1" x14ac:dyDescent="0.15">
      <c r="A1451" s="38" t="s">
        <v>2450</v>
      </c>
      <c r="B1451" s="32"/>
      <c r="C1451" s="32"/>
      <c r="D1451" s="32"/>
      <c r="E1451" s="32"/>
      <c r="F1451" s="43"/>
      <c r="K1451" s="3" t="s">
        <v>2450</v>
      </c>
    </row>
    <row r="1452" spans="1:38" ht="18.399999999999999" customHeight="1" x14ac:dyDescent="0.15">
      <c r="A1452" s="40" t="str">
        <f>CONCATENATE("   ( ",TEXT($AB1452,"#,##0.00")," + ",TEXT($AF1452,"#,##0.00")," ) * 0.01 = ",TEXT($AJ1452,"#,##0.00"))</f>
        <v xml:space="preserve">   ( 4,053.00 + 714.00 ) * 0.01 = 47.00</v>
      </c>
      <c r="B1452" s="32">
        <f>SUM($C1452,$D1452,$E1452)</f>
        <v>47</v>
      </c>
      <c r="C1452" s="32">
        <f>$AJ1452</f>
        <v>47</v>
      </c>
      <c r="D1452" s="32"/>
      <c r="E1452" s="32"/>
      <c r="F1452" s="43"/>
      <c r="K1452" s="3" t="s">
        <v>1666</v>
      </c>
      <c r="AA1452" s="36" t="s">
        <v>1195</v>
      </c>
      <c r="AB1452" s="8">
        <f>$AH1414</f>
        <v>4053</v>
      </c>
      <c r="AC1452" s="36" t="s">
        <v>135</v>
      </c>
      <c r="AD1452" s="7">
        <f>$AB1452</f>
        <v>4053</v>
      </c>
      <c r="AE1452" s="36" t="s">
        <v>1633</v>
      </c>
      <c r="AF1452" s="8">
        <f>$AH1418</f>
        <v>714</v>
      </c>
      <c r="AG1452" s="36" t="s">
        <v>2146</v>
      </c>
      <c r="AH1452" s="7">
        <f>$AF1452</f>
        <v>714</v>
      </c>
      <c r="AI1452" s="37" t="s">
        <v>1798</v>
      </c>
      <c r="AJ1452" s="8">
        <f>TRUNC(($AD1452+$AH1452)*0.01,0)</f>
        <v>47</v>
      </c>
      <c r="AK1452" s="37" t="s">
        <v>2021</v>
      </c>
      <c r="AL1452" s="7">
        <f>$AH1442+$AJ1452</f>
        <v>4894</v>
      </c>
    </row>
    <row r="1453" spans="1:38" ht="18.399999999999999" customHeight="1" x14ac:dyDescent="0.15">
      <c r="A1453" s="38" t="s">
        <v>2450</v>
      </c>
      <c r="B1453" s="32"/>
      <c r="C1453" s="32"/>
      <c r="D1453" s="32"/>
      <c r="E1453" s="32"/>
      <c r="F1453" s="43"/>
      <c r="K1453" s="3" t="s">
        <v>2450</v>
      </c>
    </row>
    <row r="1454" spans="1:38" ht="18.399999999999999" customHeight="1" x14ac:dyDescent="0.15">
      <c r="A1454" s="38" t="s">
        <v>569</v>
      </c>
      <c r="B1454" s="33">
        <f>SUM($C1454,$D1454,$E1454)</f>
        <v>47</v>
      </c>
      <c r="C1454" s="33">
        <f>$AB1454</f>
        <v>47</v>
      </c>
      <c r="D1454" s="33">
        <f>$AD1454</f>
        <v>0</v>
      </c>
      <c r="E1454" s="33">
        <f>$AF1454</f>
        <v>0</v>
      </c>
      <c r="F1454" s="44"/>
      <c r="K1454" s="3" t="s">
        <v>1529</v>
      </c>
      <c r="AA1454" s="36" t="s">
        <v>1729</v>
      </c>
      <c r="AB1454" s="7">
        <f>$AL1452-$AH1442</f>
        <v>47</v>
      </c>
      <c r="AC1454" s="36" t="s">
        <v>68</v>
      </c>
      <c r="AD1454" s="7">
        <f>$AH1444-$AH1444</f>
        <v>0</v>
      </c>
      <c r="AE1454" s="36" t="s">
        <v>2233</v>
      </c>
      <c r="AF1454" s="7">
        <f>$AH1446-$AH1446</f>
        <v>0</v>
      </c>
    </row>
    <row r="1455" spans="1:38" ht="18.399999999999999" customHeight="1" x14ac:dyDescent="0.15">
      <c r="A1455" s="38" t="s">
        <v>2450</v>
      </c>
      <c r="B1455" s="32"/>
      <c r="C1455" s="32"/>
      <c r="D1455" s="32"/>
      <c r="E1455" s="32"/>
      <c r="F1455" s="43"/>
      <c r="K1455" s="3" t="s">
        <v>2450</v>
      </c>
    </row>
    <row r="1456" spans="1:38" ht="18.399999999999999" customHeight="1" x14ac:dyDescent="0.15">
      <c r="A1456" s="38" t="s">
        <v>1342</v>
      </c>
      <c r="B1456" s="34">
        <f>SUM($C1456,$D1456,$E1456)</f>
        <v>5209</v>
      </c>
      <c r="C1456" s="34">
        <f>$AB1456</f>
        <v>4894</v>
      </c>
      <c r="D1456" s="34">
        <f>$AD1456</f>
        <v>270</v>
      </c>
      <c r="E1456" s="34">
        <f>$AF1456</f>
        <v>45</v>
      </c>
      <c r="F1456" s="45"/>
      <c r="K1456" s="3" t="s">
        <v>1363</v>
      </c>
      <c r="AA1456" s="36" t="s">
        <v>989</v>
      </c>
      <c r="AB1456" s="7">
        <f>$AL1452</f>
        <v>4894</v>
      </c>
      <c r="AC1456" s="36" t="s">
        <v>2036</v>
      </c>
      <c r="AD1456" s="7">
        <f>$AH1444</f>
        <v>270</v>
      </c>
      <c r="AE1456" s="36" t="s">
        <v>579</v>
      </c>
      <c r="AF1456" s="7">
        <f>$AH1446</f>
        <v>45</v>
      </c>
    </row>
    <row r="1457" spans="1:38" ht="18.399999999999999" customHeight="1" x14ac:dyDescent="0.15">
      <c r="A1457" s="38"/>
      <c r="B1457" s="3"/>
      <c r="C1457" s="3"/>
      <c r="D1457" s="3"/>
      <c r="E1457" s="3"/>
      <c r="F1457" s="42"/>
    </row>
    <row r="1458" spans="1:38" ht="18.399999999999999" customHeight="1" x14ac:dyDescent="0.15">
      <c r="A1458" s="41" t="s">
        <v>1388</v>
      </c>
      <c r="B1458" s="35">
        <f>SUM($C1458,$D1458,$E1458)</f>
        <v>5209</v>
      </c>
      <c r="C1458" s="35">
        <f>TRUNC(SUM($AL1452),0)</f>
        <v>4894</v>
      </c>
      <c r="D1458" s="35">
        <f>TRUNC(SUM($AH1444),0)</f>
        <v>270</v>
      </c>
      <c r="E1458" s="35">
        <f>TRUNC(SUM($AH1446),0)</f>
        <v>45</v>
      </c>
      <c r="F1458" s="47"/>
    </row>
    <row r="1459" spans="1:38" ht="18.399999999999999" customHeight="1" x14ac:dyDescent="0.15">
      <c r="A1459" s="38"/>
      <c r="B1459" s="3"/>
      <c r="C1459" s="3"/>
      <c r="D1459" s="3"/>
      <c r="E1459" s="3"/>
      <c r="F1459" s="42"/>
    </row>
    <row r="1460" spans="1:38" ht="18.399999999999999" customHeight="1" x14ac:dyDescent="0.15">
      <c r="A1460" s="38" t="s">
        <v>701</v>
      </c>
      <c r="B1460" s="32">
        <f>$B1521</f>
        <v>6043</v>
      </c>
      <c r="C1460" s="32">
        <f>$C1521</f>
        <v>4777</v>
      </c>
      <c r="D1460" s="32">
        <f>$D1521</f>
        <v>1085</v>
      </c>
      <c r="E1460" s="32">
        <f>$E1521</f>
        <v>181</v>
      </c>
      <c r="F1460" s="42" t="s">
        <v>2450</v>
      </c>
      <c r="G1460" t="s">
        <v>2450</v>
      </c>
      <c r="H1460" t="s">
        <v>183</v>
      </c>
      <c r="K1460">
        <v>1</v>
      </c>
      <c r="Y1460" s="7" t="b">
        <f>EXACT($Z1460,$B1521)</f>
        <v>1</v>
      </c>
      <c r="Z1460" s="35">
        <v>6043</v>
      </c>
    </row>
    <row r="1461" spans="1:38" ht="18.399999999999999" customHeight="1" x14ac:dyDescent="0.15">
      <c r="A1461" s="39"/>
      <c r="B1461" s="3"/>
      <c r="C1461" s="3"/>
      <c r="D1461" s="3"/>
      <c r="E1461" s="3"/>
      <c r="F1461" s="42"/>
    </row>
    <row r="1462" spans="1:38" ht="18.399999999999999" customHeight="1" x14ac:dyDescent="0.15">
      <c r="A1462" s="38" t="s">
        <v>2450</v>
      </c>
      <c r="B1462" s="3"/>
      <c r="C1462" s="3"/>
      <c r="D1462" s="3"/>
      <c r="E1462" s="3"/>
      <c r="F1462" s="42"/>
      <c r="G1462" t="s">
        <v>2450</v>
      </c>
      <c r="I1462" t="s">
        <v>286</v>
      </c>
      <c r="J1462" t="s">
        <v>2450</v>
      </c>
      <c r="K1462" t="s">
        <v>2053</v>
      </c>
    </row>
    <row r="1463" spans="1:38" ht="18.399999999999999" customHeight="1" x14ac:dyDescent="0.15">
      <c r="A1463" s="38" t="s">
        <v>1108</v>
      </c>
      <c r="B1463" s="32"/>
      <c r="C1463" s="32"/>
      <c r="D1463" s="32"/>
      <c r="E1463" s="32"/>
      <c r="F1463" s="43"/>
      <c r="K1463" s="3" t="s">
        <v>1108</v>
      </c>
    </row>
    <row r="1464" spans="1:38" ht="18.399999999999999" customHeight="1" x14ac:dyDescent="0.15">
      <c r="A1464" s="38" t="s">
        <v>2450</v>
      </c>
      <c r="B1464" s="32"/>
      <c r="C1464" s="32"/>
      <c r="D1464" s="32"/>
      <c r="E1464" s="32"/>
      <c r="F1464" s="43"/>
      <c r="K1464" s="3" t="s">
        <v>2450</v>
      </c>
    </row>
    <row r="1465" spans="1:38" ht="18.399999999999999" customHeight="1" x14ac:dyDescent="0.15">
      <c r="A1465" s="40" t="str">
        <f>CONCATENATE(" ○ 1일 시공량 :  A=",TEXT($AB1465,"#,##0.00")," m/일")</f>
        <v xml:space="preserve"> ○ 1일 시공량 :  A=2,000.00 m/일</v>
      </c>
      <c r="B1465" s="32"/>
      <c r="C1465" s="32"/>
      <c r="D1465" s="32"/>
      <c r="E1465" s="32"/>
      <c r="F1465" s="43"/>
      <c r="K1465" s="10" t="str">
        <f>SUBSTITUTE(SUBSTITUTE("_x001D_○ 1일 시공량 :_x001D_ A = 2000_x001D_m/일_x001D_","2000",TEXT($AB1465,"#,##0"),1),"_x001D_","'")</f>
        <v>'○ 1일 시공량 :' A = 2,000'm/일'</v>
      </c>
      <c r="AA1465" s="36" t="s">
        <v>430</v>
      </c>
      <c r="AB1465" s="6">
        <v>2000</v>
      </c>
      <c r="AC1465" s="36" t="s">
        <v>430</v>
      </c>
      <c r="AD1465" s="7">
        <f>$AB1465</f>
        <v>2000</v>
      </c>
    </row>
    <row r="1466" spans="1:38" ht="18.399999999999999" customHeight="1" x14ac:dyDescent="0.15">
      <c r="A1466" s="38" t="s">
        <v>2450</v>
      </c>
      <c r="B1466" s="32"/>
      <c r="C1466" s="32"/>
      <c r="D1466" s="32"/>
      <c r="E1466" s="32"/>
      <c r="F1466" s="43"/>
      <c r="K1466" s="3" t="s">
        <v>2450</v>
      </c>
    </row>
    <row r="1467" spans="1:38" ht="18.399999999999999" customHeight="1" x14ac:dyDescent="0.15">
      <c r="A1467" s="38" t="s">
        <v>588</v>
      </c>
      <c r="B1467" s="32"/>
      <c r="C1467" s="32"/>
      <c r="D1467" s="32"/>
      <c r="E1467" s="32"/>
      <c r="F1467" s="43"/>
      <c r="K1467" s="3" t="s">
        <v>1423</v>
      </c>
    </row>
    <row r="1468" spans="1:38" ht="18.399999999999999" customHeight="1" x14ac:dyDescent="0.15">
      <c r="A1468" s="38" t="s">
        <v>2450</v>
      </c>
      <c r="B1468" s="32"/>
      <c r="C1468" s="32"/>
      <c r="D1468" s="32"/>
      <c r="E1468" s="32"/>
      <c r="F1468" s="43"/>
      <c r="K1468" s="3" t="s">
        <v>2450</v>
      </c>
    </row>
    <row r="1469" spans="1:38" ht="18.399999999999999" customHeight="1" x14ac:dyDescent="0.15">
      <c r="A1469" s="40" t="str">
        <f>CONCATENATE("    B = ",TEXT($AB1469,"#,##0.00")," * 0.50 =",TEXT($AJ1469,"#,##0.00")," ㎡/일 ")</f>
        <v xml:space="preserve">    B = 2,000.00 * 0.50 =1,000.00 ㎡/일 </v>
      </c>
      <c r="B1469" s="32">
        <f>SUM($C1469,$D1469,$E1469)</f>
        <v>0</v>
      </c>
      <c r="C1469" s="32"/>
      <c r="D1469" s="32"/>
      <c r="E1469" s="32"/>
      <c r="F1469" s="43"/>
      <c r="K1469" s="3" t="s">
        <v>1245</v>
      </c>
      <c r="AA1469" s="36" t="s">
        <v>1547</v>
      </c>
      <c r="AB1469" s="8">
        <f>$AD1465</f>
        <v>2000</v>
      </c>
      <c r="AC1469" s="36" t="s">
        <v>1496</v>
      </c>
      <c r="AD1469" s="7">
        <f>$AB1469</f>
        <v>2000</v>
      </c>
      <c r="AE1469" s="36" t="s">
        <v>961</v>
      </c>
      <c r="AF1469" s="8">
        <f>ROUND($AD1469*0.5,2)</f>
        <v>1000</v>
      </c>
      <c r="AG1469" s="36" t="s">
        <v>1853</v>
      </c>
      <c r="AH1469" s="7">
        <f>$AF1469</f>
        <v>1000</v>
      </c>
      <c r="AI1469" s="36" t="s">
        <v>1099</v>
      </c>
      <c r="AJ1469" s="8">
        <f>ROUND(ROUND($AD1469*0.5,2),2)</f>
        <v>1000</v>
      </c>
      <c r="AK1469" s="36" t="s">
        <v>1107</v>
      </c>
      <c r="AL1469" s="7">
        <f>$AJ1469</f>
        <v>1000</v>
      </c>
    </row>
    <row r="1470" spans="1:38" ht="18.399999999999999" customHeight="1" x14ac:dyDescent="0.15">
      <c r="A1470" s="38" t="s">
        <v>2450</v>
      </c>
      <c r="B1470" s="32"/>
      <c r="C1470" s="32"/>
      <c r="D1470" s="32"/>
      <c r="E1470" s="32"/>
      <c r="F1470" s="43"/>
      <c r="K1470" s="3" t="s">
        <v>2450</v>
      </c>
    </row>
    <row r="1471" spans="1:38" ht="18.399999999999999" customHeight="1" x14ac:dyDescent="0.15">
      <c r="A1471" s="40" t="str">
        <f>CONCATENATE(" ○ 1시간 작업량 :  Q = ",TEXT($AB1471,"#,##0.00")," / 8 hr  =",TEXT($AJ1471,"#,##0.00")," ㎡/hr ")</f>
        <v xml:space="preserve"> ○ 1시간 작업량 :  Q = 1,000.00 / 8 hr  =125.00 ㎡/hr </v>
      </c>
      <c r="B1471" s="32">
        <f>SUM($C1471,$D1471,$E1471)</f>
        <v>0</v>
      </c>
      <c r="C1471" s="32"/>
      <c r="D1471" s="32"/>
      <c r="E1471" s="32"/>
      <c r="F1471" s="43"/>
      <c r="K1471" s="3" t="s">
        <v>1528</v>
      </c>
      <c r="AA1471" s="36" t="s">
        <v>1252</v>
      </c>
      <c r="AB1471" s="8">
        <f>$AH1469</f>
        <v>1000</v>
      </c>
      <c r="AC1471" s="36" t="s">
        <v>1045</v>
      </c>
      <c r="AD1471" s="7">
        <f>$AB1471</f>
        <v>1000</v>
      </c>
      <c r="AE1471" s="36" t="s">
        <v>461</v>
      </c>
      <c r="AF1471" s="8">
        <f>ROUND($AD1471/8,2)</f>
        <v>125</v>
      </c>
      <c r="AG1471" s="36" t="s">
        <v>1686</v>
      </c>
      <c r="AH1471" s="7">
        <f>$AF1471</f>
        <v>125</v>
      </c>
      <c r="AI1471" s="36" t="s">
        <v>835</v>
      </c>
      <c r="AJ1471" s="8">
        <f>ROUND(ROUND($AD1471/8,2),2)</f>
        <v>125</v>
      </c>
      <c r="AK1471" s="36" t="s">
        <v>1261</v>
      </c>
      <c r="AL1471" s="7">
        <f>$AJ1471</f>
        <v>125</v>
      </c>
    </row>
    <row r="1472" spans="1:38" ht="18.399999999999999" customHeight="1" x14ac:dyDescent="0.15">
      <c r="A1472" s="38" t="s">
        <v>2450</v>
      </c>
      <c r="B1472" s="32"/>
      <c r="C1472" s="32"/>
      <c r="D1472" s="32"/>
      <c r="E1472" s="32"/>
      <c r="F1472" s="43"/>
      <c r="K1472" s="3" t="s">
        <v>2450</v>
      </c>
    </row>
    <row r="1473" spans="1:38" ht="18.399999999999999" customHeight="1" x14ac:dyDescent="0.15">
      <c r="A1473" s="38" t="s">
        <v>927</v>
      </c>
      <c r="B1473" s="32"/>
      <c r="C1473" s="32"/>
      <c r="D1473" s="32"/>
      <c r="E1473" s="32"/>
      <c r="F1473" s="43"/>
      <c r="K1473" s="3" t="s">
        <v>927</v>
      </c>
    </row>
    <row r="1474" spans="1:38" ht="18.399999999999999" customHeight="1" x14ac:dyDescent="0.15">
      <c r="A1474" s="38" t="s">
        <v>2450</v>
      </c>
      <c r="B1474" s="32"/>
      <c r="C1474" s="32"/>
      <c r="D1474" s="32"/>
      <c r="E1474" s="32"/>
      <c r="F1474" s="43"/>
      <c r="K1474" s="3" t="s">
        <v>2450</v>
      </c>
    </row>
    <row r="1475" spans="1:38" ht="18.399999999999999" customHeight="1" x14ac:dyDescent="0.15">
      <c r="A1475" s="38" t="s">
        <v>2289</v>
      </c>
      <c r="B1475" s="32"/>
      <c r="C1475" s="32"/>
      <c r="D1475" s="32"/>
      <c r="E1475" s="32"/>
      <c r="F1475" s="43"/>
      <c r="K1475" s="3" t="s">
        <v>2289</v>
      </c>
    </row>
    <row r="1476" spans="1:38" ht="18.399999999999999" customHeight="1" x14ac:dyDescent="0.15">
      <c r="A1476" s="38" t="s">
        <v>2450</v>
      </c>
      <c r="B1476" s="32"/>
      <c r="C1476" s="32"/>
      <c r="D1476" s="32"/>
      <c r="E1476" s="32"/>
      <c r="F1476" s="43"/>
      <c r="K1476" s="3" t="s">
        <v>2450</v>
      </c>
    </row>
    <row r="1477" spans="1:38" ht="18.399999999999999" customHeight="1" x14ac:dyDescent="0.15">
      <c r="A1477" s="40" t="str">
        <f>CONCATENATE("    4.2 ℓ  * _x001D_8,800_x001D_ / 10 =","MA+ "," :A1")</f>
        <v xml:space="preserve">    4.2 ℓ  * _x001D_8,800_x001D_ / 10 =MA+  :A1</v>
      </c>
      <c r="B1477" s="32">
        <f>SUM($C1477,$D1477,$E1477)</f>
        <v>3696</v>
      </c>
      <c r="C1477" s="32">
        <f>$AB1477</f>
        <v>3696</v>
      </c>
      <c r="D1477" s="32"/>
      <c r="E1477" s="32"/>
      <c r="F1477" s="43" t="s">
        <v>2450</v>
      </c>
      <c r="K1477" s="3" t="s">
        <v>1471</v>
      </c>
      <c r="AA1477" s="37" t="s">
        <v>1798</v>
      </c>
      <c r="AB1477" s="8">
        <f>TRUNC(4.2*자재!D11/10,0)</f>
        <v>3696</v>
      </c>
      <c r="AC1477" s="37" t="s">
        <v>2021</v>
      </c>
      <c r="AD1477" s="7">
        <f>$AB1477</f>
        <v>3696</v>
      </c>
      <c r="AE1477" s="36" t="s">
        <v>92</v>
      </c>
      <c r="AF1477" s="8">
        <f>$AB1477</f>
        <v>3696</v>
      </c>
      <c r="AG1477" s="36" t="s">
        <v>731</v>
      </c>
      <c r="AH1477" s="7">
        <f>$AF1477</f>
        <v>3696</v>
      </c>
    </row>
    <row r="1478" spans="1:38" ht="18.399999999999999" customHeight="1" x14ac:dyDescent="0.15">
      <c r="A1478" s="38" t="s">
        <v>2450</v>
      </c>
      <c r="B1478" s="32"/>
      <c r="C1478" s="32"/>
      <c r="D1478" s="32"/>
      <c r="E1478" s="32"/>
      <c r="F1478" s="43"/>
      <c r="K1478" s="3" t="s">
        <v>2450</v>
      </c>
    </row>
    <row r="1479" spans="1:38" ht="18.399999999999999" customHeight="1" x14ac:dyDescent="0.15">
      <c r="A1479" s="38" t="s">
        <v>917</v>
      </c>
      <c r="B1479" s="32"/>
      <c r="C1479" s="32"/>
      <c r="D1479" s="32"/>
      <c r="E1479" s="32"/>
      <c r="F1479" s="43"/>
      <c r="K1479" s="3" t="s">
        <v>917</v>
      </c>
    </row>
    <row r="1480" spans="1:38" ht="18.399999999999999" customHeight="1" x14ac:dyDescent="0.15">
      <c r="A1480" s="38" t="s">
        <v>2450</v>
      </c>
      <c r="B1480" s="32"/>
      <c r="C1480" s="32"/>
      <c r="D1480" s="32"/>
      <c r="E1480" s="32"/>
      <c r="F1480" s="43"/>
      <c r="K1480" s="3" t="s">
        <v>2450</v>
      </c>
    </row>
    <row r="1481" spans="1:38" ht="18.399999999999999" customHeight="1" x14ac:dyDescent="0.15">
      <c r="A1481" s="40" t="str">
        <f>CONCATENATE("    4.2 kg  * _x001D_1,700_x001D_ / 10 =","MA+ "," :A2")</f>
        <v xml:space="preserve">    4.2 kg  * _x001D_1,700_x001D_ / 10 =MA+  :A2</v>
      </c>
      <c r="B1481" s="32">
        <f>SUM($C1481,$D1481,$E1481)</f>
        <v>714</v>
      </c>
      <c r="C1481" s="32">
        <f>$AB1481</f>
        <v>714</v>
      </c>
      <c r="D1481" s="32"/>
      <c r="E1481" s="32"/>
      <c r="F1481" s="43" t="s">
        <v>2450</v>
      </c>
      <c r="K1481" s="3" t="s">
        <v>836</v>
      </c>
      <c r="AA1481" s="37" t="s">
        <v>1798</v>
      </c>
      <c r="AB1481" s="8">
        <f>TRUNC(4.2*자재!D4/10,0)</f>
        <v>714</v>
      </c>
      <c r="AC1481" s="37" t="s">
        <v>2021</v>
      </c>
      <c r="AD1481" s="7">
        <f>$AD1477+$AB1481</f>
        <v>4410</v>
      </c>
      <c r="AE1481" s="36" t="s">
        <v>2082</v>
      </c>
      <c r="AF1481" s="8">
        <f>$AB1481</f>
        <v>714</v>
      </c>
      <c r="AG1481" s="36" t="s">
        <v>1589</v>
      </c>
      <c r="AH1481" s="7">
        <f>$AF1481</f>
        <v>714</v>
      </c>
    </row>
    <row r="1482" spans="1:38" ht="18.399999999999999" customHeight="1" x14ac:dyDescent="0.15">
      <c r="A1482" s="38" t="s">
        <v>2450</v>
      </c>
      <c r="B1482" s="32"/>
      <c r="C1482" s="32"/>
      <c r="D1482" s="32"/>
      <c r="E1482" s="32"/>
      <c r="F1482" s="43"/>
      <c r="K1482" s="3" t="s">
        <v>2450</v>
      </c>
    </row>
    <row r="1483" spans="1:38" ht="18.399999999999999" customHeight="1" x14ac:dyDescent="0.15">
      <c r="A1483" s="38" t="s">
        <v>569</v>
      </c>
      <c r="B1483" s="33">
        <f>SUM($C1483,$D1483,$E1483)</f>
        <v>4410</v>
      </c>
      <c r="C1483" s="33">
        <f>$AB1483</f>
        <v>4410</v>
      </c>
      <c r="D1483" s="33">
        <f>$AD1483</f>
        <v>0</v>
      </c>
      <c r="E1483" s="33">
        <f>$AF1483</f>
        <v>0</v>
      </c>
      <c r="F1483" s="44"/>
      <c r="K1483" s="3" t="s">
        <v>1529</v>
      </c>
      <c r="AA1483" s="36" t="s">
        <v>1729</v>
      </c>
      <c r="AB1483" s="7">
        <f>$AD1481</f>
        <v>4410</v>
      </c>
    </row>
    <row r="1484" spans="1:38" ht="18.399999999999999" customHeight="1" x14ac:dyDescent="0.15">
      <c r="A1484" s="38" t="s">
        <v>2450</v>
      </c>
      <c r="B1484" s="32"/>
      <c r="C1484" s="32"/>
      <c r="D1484" s="32"/>
      <c r="E1484" s="32"/>
      <c r="F1484" s="43"/>
      <c r="K1484" s="3" t="s">
        <v>2450</v>
      </c>
    </row>
    <row r="1485" spans="1:38" ht="18.399999999999999" customHeight="1" x14ac:dyDescent="0.15">
      <c r="A1485" s="38" t="s">
        <v>1680</v>
      </c>
      <c r="B1485" s="32"/>
      <c r="C1485" s="32"/>
      <c r="D1485" s="32"/>
      <c r="E1485" s="32"/>
      <c r="F1485" s="43"/>
      <c r="K1485" s="3" t="s">
        <v>1680</v>
      </c>
    </row>
    <row r="1486" spans="1:38" ht="18.399999999999999" customHeight="1" x14ac:dyDescent="0.15">
      <c r="A1486" s="38" t="s">
        <v>2450</v>
      </c>
      <c r="B1486" s="32"/>
      <c r="C1486" s="32"/>
      <c r="D1486" s="32"/>
      <c r="E1486" s="32"/>
      <c r="F1486" s="43"/>
      <c r="K1486" s="3" t="s">
        <v>2450</v>
      </c>
    </row>
    <row r="1487" spans="1:38" ht="18.399999999999999" customHeight="1" x14ac:dyDescent="0.15">
      <c r="A1487" s="40" t="str">
        <f>CONCATENATE("    특별인부 :  1.0 인  / ",TEXT($AB1487,"#,##0.00")," * _x001D_226,122_x001D_ =","LA+ "," :C")</f>
        <v xml:space="preserve">    특별인부 :  1.0 인  / 1,000.00 * _x001D_226,122_x001D_ =LA+  :C</v>
      </c>
      <c r="B1487" s="32">
        <f>SUM($C1487,$D1487,$E1487)</f>
        <v>226</v>
      </c>
      <c r="C1487" s="32"/>
      <c r="D1487" s="32">
        <f>$AF1487</f>
        <v>226</v>
      </c>
      <c r="E1487" s="32"/>
      <c r="F1487" s="43" t="s">
        <v>2450</v>
      </c>
      <c r="K1487" s="3" t="s">
        <v>1688</v>
      </c>
      <c r="AA1487" s="36" t="s">
        <v>1240</v>
      </c>
      <c r="AB1487" s="8">
        <f>$AH1469</f>
        <v>1000</v>
      </c>
      <c r="AC1487" s="36" t="s">
        <v>605</v>
      </c>
      <c r="AD1487" s="7">
        <f>$AB1487</f>
        <v>1000</v>
      </c>
      <c r="AE1487" s="37" t="s">
        <v>265</v>
      </c>
      <c r="AF1487" s="8">
        <f>TRUNC(1/$AD1487*노임!D9,0)</f>
        <v>226</v>
      </c>
      <c r="AG1487" s="37" t="s">
        <v>972</v>
      </c>
      <c r="AH1487" s="7">
        <f>$AF1487</f>
        <v>226</v>
      </c>
      <c r="AI1487" s="36" t="s">
        <v>2001</v>
      </c>
      <c r="AJ1487" s="8">
        <f>$AF1487</f>
        <v>226</v>
      </c>
      <c r="AK1487" s="36" t="s">
        <v>1586</v>
      </c>
      <c r="AL1487" s="7">
        <f>$AJ1487</f>
        <v>226</v>
      </c>
    </row>
    <row r="1488" spans="1:38" ht="18.399999999999999" customHeight="1" x14ac:dyDescent="0.15">
      <c r="A1488" s="38" t="s">
        <v>2450</v>
      </c>
      <c r="B1488" s="32"/>
      <c r="C1488" s="32"/>
      <c r="D1488" s="32"/>
      <c r="E1488" s="32"/>
      <c r="F1488" s="43"/>
      <c r="K1488" s="3" t="s">
        <v>2450</v>
      </c>
    </row>
    <row r="1489" spans="1:38" ht="18.399999999999999" customHeight="1" x14ac:dyDescent="0.15">
      <c r="A1489" s="40" t="str">
        <f>CONCATENATE("    보통인부 :  1.0 인  / ",TEXT($AB1489,"#,##0.00")," * _x001D_172,068_x001D_ =","LA+ "," :D")</f>
        <v xml:space="preserve">    보통인부 :  1.0 인  / 1,000.00 * _x001D_172,068_x001D_ =LA+  :D</v>
      </c>
      <c r="B1489" s="32">
        <f>SUM($C1489,$D1489,$E1489)</f>
        <v>172</v>
      </c>
      <c r="C1489" s="32"/>
      <c r="D1489" s="32">
        <f>$AF1489</f>
        <v>172</v>
      </c>
      <c r="E1489" s="32"/>
      <c r="F1489" s="43" t="s">
        <v>2450</v>
      </c>
      <c r="K1489" s="3" t="s">
        <v>1842</v>
      </c>
      <c r="AA1489" s="36" t="s">
        <v>159</v>
      </c>
      <c r="AB1489" s="8">
        <f>$AH1469</f>
        <v>1000</v>
      </c>
      <c r="AC1489" s="36" t="s">
        <v>151</v>
      </c>
      <c r="AD1489" s="7">
        <f>$AB1489</f>
        <v>1000</v>
      </c>
      <c r="AE1489" s="37" t="s">
        <v>265</v>
      </c>
      <c r="AF1489" s="8">
        <f>TRUNC(1/$AD1489*노임!D10,0)</f>
        <v>172</v>
      </c>
      <c r="AG1489" s="37" t="s">
        <v>972</v>
      </c>
      <c r="AH1489" s="7">
        <f>$AH1487+$AF1489</f>
        <v>398</v>
      </c>
      <c r="AI1489" s="36" t="s">
        <v>1845</v>
      </c>
      <c r="AJ1489" s="8">
        <f>$AF1489</f>
        <v>172</v>
      </c>
      <c r="AK1489" s="36" t="s">
        <v>298</v>
      </c>
      <c r="AL1489" s="7">
        <f>$AJ1489</f>
        <v>172</v>
      </c>
    </row>
    <row r="1490" spans="1:38" ht="18.399999999999999" customHeight="1" x14ac:dyDescent="0.15">
      <c r="A1490" s="38" t="s">
        <v>2450</v>
      </c>
      <c r="B1490" s="32"/>
      <c r="C1490" s="32"/>
      <c r="D1490" s="32"/>
      <c r="E1490" s="32"/>
      <c r="F1490" s="43"/>
      <c r="K1490" s="3" t="s">
        <v>2450</v>
      </c>
    </row>
    <row r="1491" spans="1:38" ht="18.399999999999999" customHeight="1" x14ac:dyDescent="0.15">
      <c r="A1491" s="38" t="s">
        <v>569</v>
      </c>
      <c r="B1491" s="33">
        <f>SUM($C1491,$D1491,$E1491)</f>
        <v>398</v>
      </c>
      <c r="C1491" s="33">
        <f>$AB1491</f>
        <v>0</v>
      </c>
      <c r="D1491" s="33">
        <f>$AD1491</f>
        <v>398</v>
      </c>
      <c r="E1491" s="33">
        <f>$AF1491</f>
        <v>0</v>
      </c>
      <c r="F1491" s="44"/>
      <c r="K1491" s="3" t="s">
        <v>1529</v>
      </c>
      <c r="AA1491" s="36" t="s">
        <v>1729</v>
      </c>
      <c r="AB1491" s="7">
        <f>$AD1481-$AD1481</f>
        <v>0</v>
      </c>
      <c r="AC1491" s="36" t="s">
        <v>68</v>
      </c>
      <c r="AD1491" s="7">
        <f>$AH1489</f>
        <v>398</v>
      </c>
    </row>
    <row r="1492" spans="1:38" ht="18.399999999999999" customHeight="1" x14ac:dyDescent="0.15">
      <c r="A1492" s="38" t="s">
        <v>2450</v>
      </c>
      <c r="B1492" s="32"/>
      <c r="C1492" s="32"/>
      <c r="D1492" s="32"/>
      <c r="E1492" s="32"/>
      <c r="F1492" s="43"/>
      <c r="K1492" s="3" t="s">
        <v>2450</v>
      </c>
    </row>
    <row r="1493" spans="1:38" ht="18.399999999999999" customHeight="1" x14ac:dyDescent="0.15">
      <c r="A1493" s="38" t="s">
        <v>2349</v>
      </c>
      <c r="B1493" s="32"/>
      <c r="C1493" s="32"/>
      <c r="D1493" s="32"/>
      <c r="E1493" s="32"/>
      <c r="F1493" s="43"/>
      <c r="K1493" s="3" t="s">
        <v>2349</v>
      </c>
    </row>
    <row r="1494" spans="1:38" ht="18.399999999999999" customHeight="1" x14ac:dyDescent="0.15">
      <c r="A1494" s="38" t="s">
        <v>2450</v>
      </c>
      <c r="B1494" s="32"/>
      <c r="C1494" s="32"/>
      <c r="D1494" s="32"/>
      <c r="E1494" s="32"/>
      <c r="F1494" s="43"/>
      <c r="K1494" s="3" t="s">
        <v>2450</v>
      </c>
    </row>
    <row r="1495" spans="1:38" ht="18.399999999999999" customHeight="1" x14ac:dyDescent="0.15">
      <c r="A1495" s="40" t="str">
        <f>CONCATENATE("    재 료 비 :   _x001D_34,229_x001D_ / ",TEXT($AB1495,"#,##0.00")," =",TEXT($AF1495,"#,##0.00"))</f>
        <v xml:space="preserve">    재 료 비 :   _x001D_34,229_x001D_ / 125.00 =273.00</v>
      </c>
      <c r="B1495" s="32">
        <f>SUM($C1495,$D1495,$E1495)</f>
        <v>273</v>
      </c>
      <c r="C1495" s="32">
        <f>$AF1495</f>
        <v>273</v>
      </c>
      <c r="D1495" s="32"/>
      <c r="E1495" s="32"/>
      <c r="F1495" s="43" t="s">
        <v>2450</v>
      </c>
      <c r="K1495" s="3" t="s">
        <v>1521</v>
      </c>
      <c r="AA1495" s="36" t="s">
        <v>583</v>
      </c>
      <c r="AB1495" s="8">
        <f>$AH1471</f>
        <v>125</v>
      </c>
      <c r="AC1495" s="36" t="s">
        <v>25</v>
      </c>
      <c r="AD1495" s="7">
        <f>$AB1495</f>
        <v>125</v>
      </c>
      <c r="AE1495" s="37" t="s">
        <v>1798</v>
      </c>
      <c r="AF1495" s="8">
        <f>TRUNC(중기사용료목록!E30/$AD1495,0)</f>
        <v>273</v>
      </c>
      <c r="AG1495" s="37" t="s">
        <v>2021</v>
      </c>
      <c r="AH1495" s="7">
        <f>$AD1481+$AF1495</f>
        <v>4683</v>
      </c>
    </row>
    <row r="1496" spans="1:38" ht="18.399999999999999" customHeight="1" x14ac:dyDescent="0.15">
      <c r="A1496" s="38" t="s">
        <v>2450</v>
      </c>
      <c r="B1496" s="32"/>
      <c r="C1496" s="32"/>
      <c r="D1496" s="32"/>
      <c r="E1496" s="32"/>
      <c r="F1496" s="43"/>
      <c r="K1496" s="3" t="s">
        <v>2450</v>
      </c>
    </row>
    <row r="1497" spans="1:38" ht="18.399999999999999" customHeight="1" x14ac:dyDescent="0.15">
      <c r="A1497" s="40" t="str">
        <f>CONCATENATE("    노 무 비 :   _x001D_36,248_x001D_ / ",TEXT($AB1497,"#,##0.00")," =",TEXT($AF1497,"#,##0.00"))</f>
        <v xml:space="preserve">    노 무 비 :   _x001D_36,248_x001D_ / 125.00 =289.00</v>
      </c>
      <c r="B1497" s="32">
        <f>SUM($C1497,$D1497,$E1497)</f>
        <v>289</v>
      </c>
      <c r="C1497" s="32"/>
      <c r="D1497" s="32">
        <f>$AF1497</f>
        <v>289</v>
      </c>
      <c r="E1497" s="32"/>
      <c r="F1497" s="43" t="s">
        <v>2450</v>
      </c>
      <c r="K1497" s="3" t="s">
        <v>96</v>
      </c>
      <c r="AA1497" s="36" t="s">
        <v>1784</v>
      </c>
      <c r="AB1497" s="8">
        <f>$AH1471</f>
        <v>125</v>
      </c>
      <c r="AC1497" s="36" t="s">
        <v>1206</v>
      </c>
      <c r="AD1497" s="7">
        <f>$AB1497</f>
        <v>125</v>
      </c>
      <c r="AE1497" s="37" t="s">
        <v>265</v>
      </c>
      <c r="AF1497" s="8">
        <f>TRUNC(중기사용료목록!F30/$AD1497,0)</f>
        <v>289</v>
      </c>
      <c r="AG1497" s="37" t="s">
        <v>972</v>
      </c>
      <c r="AH1497" s="7">
        <f>$AH1489+$AF1497</f>
        <v>687</v>
      </c>
    </row>
    <row r="1498" spans="1:38" ht="18.399999999999999" customHeight="1" x14ac:dyDescent="0.15">
      <c r="A1498" s="38" t="s">
        <v>2450</v>
      </c>
      <c r="B1498" s="32"/>
      <c r="C1498" s="32"/>
      <c r="D1498" s="32"/>
      <c r="E1498" s="32"/>
      <c r="F1498" s="43"/>
      <c r="K1498" s="3" t="s">
        <v>2450</v>
      </c>
    </row>
    <row r="1499" spans="1:38" ht="18.399999999999999" customHeight="1" x14ac:dyDescent="0.15">
      <c r="A1499" s="40" t="str">
        <f>CONCATENATE("    경    비 :   _x001D_16,131_x001D_ / ",TEXT($AB1499,"#,##0.00")," =",TEXT($AF1499,"#,##0.00"))</f>
        <v xml:space="preserve">    경    비 :   _x001D_16,131_x001D_ / 125.00 =129.00</v>
      </c>
      <c r="B1499" s="32">
        <f>SUM($C1499,$D1499,$E1499)</f>
        <v>129</v>
      </c>
      <c r="C1499" s="32"/>
      <c r="D1499" s="32"/>
      <c r="E1499" s="32">
        <f>$AF1499</f>
        <v>129</v>
      </c>
      <c r="F1499" s="43" t="s">
        <v>2450</v>
      </c>
      <c r="K1499" s="3" t="s">
        <v>1292</v>
      </c>
      <c r="AA1499" s="36" t="s">
        <v>453</v>
      </c>
      <c r="AB1499" s="8">
        <f>$AH1471</f>
        <v>125</v>
      </c>
      <c r="AC1499" s="36" t="s">
        <v>767</v>
      </c>
      <c r="AD1499" s="7">
        <f>$AB1499</f>
        <v>125</v>
      </c>
      <c r="AE1499" s="37" t="s">
        <v>815</v>
      </c>
      <c r="AF1499" s="8">
        <f>TRUNC(중기사용료목록!G30/$AD1499,0)</f>
        <v>129</v>
      </c>
      <c r="AG1499" s="37" t="s">
        <v>1302</v>
      </c>
      <c r="AH1499" s="7">
        <f>$AF1499</f>
        <v>129</v>
      </c>
    </row>
    <row r="1500" spans="1:38" ht="18.399999999999999" customHeight="1" x14ac:dyDescent="0.15">
      <c r="A1500" s="38" t="s">
        <v>2450</v>
      </c>
      <c r="B1500" s="32"/>
      <c r="C1500" s="32"/>
      <c r="D1500" s="32"/>
      <c r="E1500" s="32"/>
      <c r="F1500" s="43"/>
      <c r="K1500" s="3" t="s">
        <v>2450</v>
      </c>
    </row>
    <row r="1501" spans="1:38" ht="18.399999999999999" customHeight="1" x14ac:dyDescent="0.15">
      <c r="A1501" s="38" t="s">
        <v>569</v>
      </c>
      <c r="B1501" s="33">
        <f>SUM($C1501,$D1501,$E1501)</f>
        <v>691</v>
      </c>
      <c r="C1501" s="33">
        <f>$AB1501</f>
        <v>273</v>
      </c>
      <c r="D1501" s="33">
        <f>$AD1501</f>
        <v>289</v>
      </c>
      <c r="E1501" s="33">
        <f>$AF1501</f>
        <v>129</v>
      </c>
      <c r="F1501" s="44"/>
      <c r="K1501" s="3" t="s">
        <v>1529</v>
      </c>
      <c r="AA1501" s="36" t="s">
        <v>1729</v>
      </c>
      <c r="AB1501" s="7">
        <f>$AH1495-$AD1481</f>
        <v>273</v>
      </c>
      <c r="AC1501" s="36" t="s">
        <v>68</v>
      </c>
      <c r="AD1501" s="7">
        <f>$AH1497-$AH1489</f>
        <v>289</v>
      </c>
      <c r="AE1501" s="36" t="s">
        <v>2233</v>
      </c>
      <c r="AF1501" s="7">
        <f>$AH1499</f>
        <v>129</v>
      </c>
    </row>
    <row r="1502" spans="1:38" ht="18.399999999999999" customHeight="1" x14ac:dyDescent="0.15">
      <c r="A1502" s="38" t="s">
        <v>2450</v>
      </c>
      <c r="B1502" s="32"/>
      <c r="C1502" s="32"/>
      <c r="D1502" s="32"/>
      <c r="E1502" s="32"/>
      <c r="F1502" s="43"/>
      <c r="K1502" s="3" t="s">
        <v>2450</v>
      </c>
    </row>
    <row r="1503" spans="1:38" ht="18.399999999999999" customHeight="1" x14ac:dyDescent="0.15">
      <c r="A1503" s="38" t="s">
        <v>330</v>
      </c>
      <c r="B1503" s="32"/>
      <c r="C1503" s="32"/>
      <c r="D1503" s="32"/>
      <c r="E1503" s="32"/>
      <c r="F1503" s="43"/>
      <c r="K1503" s="3" t="s">
        <v>330</v>
      </c>
    </row>
    <row r="1504" spans="1:38" ht="18.399999999999999" customHeight="1" x14ac:dyDescent="0.15">
      <c r="A1504" s="38" t="s">
        <v>2450</v>
      </c>
      <c r="B1504" s="32"/>
      <c r="C1504" s="32"/>
      <c r="D1504" s="32"/>
      <c r="E1504" s="32"/>
      <c r="F1504" s="43"/>
      <c r="K1504" s="3" t="s">
        <v>2450</v>
      </c>
    </row>
    <row r="1505" spans="1:38" ht="18.399999999999999" customHeight="1" x14ac:dyDescent="0.15">
      <c r="A1505" s="40" t="str">
        <f>CONCATENATE("    재 료 비 :   _x001D_6,363_x001D_ / ",TEXT($AB1505,"#,##0.00")," =",TEXT($AF1505,"#,##0.00"))</f>
        <v xml:space="preserve">    재 료 비 :   _x001D_6,363_x001D_ / 125.00 =50.00</v>
      </c>
      <c r="B1505" s="32">
        <f>SUM($C1505,$D1505,$E1505)</f>
        <v>50</v>
      </c>
      <c r="C1505" s="32">
        <f>$AF1505</f>
        <v>50</v>
      </c>
      <c r="D1505" s="32"/>
      <c r="E1505" s="32"/>
      <c r="F1505" s="43" t="s">
        <v>2450</v>
      </c>
      <c r="K1505" s="3" t="s">
        <v>1628</v>
      </c>
      <c r="AA1505" s="36" t="s">
        <v>485</v>
      </c>
      <c r="AB1505" s="8">
        <f>$AH1471</f>
        <v>125</v>
      </c>
      <c r="AC1505" s="36" t="s">
        <v>1000</v>
      </c>
      <c r="AD1505" s="7">
        <f>$AB1505</f>
        <v>125</v>
      </c>
      <c r="AE1505" s="37" t="s">
        <v>1798</v>
      </c>
      <c r="AF1505" s="8">
        <f>TRUNC(중기사용료목록!E9/$AD1505,0)</f>
        <v>50</v>
      </c>
      <c r="AG1505" s="37" t="s">
        <v>2021</v>
      </c>
      <c r="AH1505" s="7">
        <f>$AH1495+$AF1505</f>
        <v>4733</v>
      </c>
    </row>
    <row r="1506" spans="1:38" ht="18.399999999999999" customHeight="1" x14ac:dyDescent="0.15">
      <c r="A1506" s="38" t="s">
        <v>2450</v>
      </c>
      <c r="B1506" s="32"/>
      <c r="C1506" s="32"/>
      <c r="D1506" s="32"/>
      <c r="E1506" s="32"/>
      <c r="F1506" s="43"/>
      <c r="K1506" s="3" t="s">
        <v>2450</v>
      </c>
    </row>
    <row r="1507" spans="1:38" ht="18.399999999999999" customHeight="1" x14ac:dyDescent="0.15">
      <c r="A1507" s="40" t="str">
        <f>CONCATENATE("    노 무 비 :   _x001D_49,778_x001D_ / ",TEXT($AB1507,"#,##0.00")," =",TEXT($AF1507,"#,##0.00"))</f>
        <v xml:space="preserve">    노 무 비 :   _x001D_49,778_x001D_ / 125.00 =398.00</v>
      </c>
      <c r="B1507" s="32">
        <f>SUM($C1507,$D1507,$E1507)</f>
        <v>398</v>
      </c>
      <c r="C1507" s="32"/>
      <c r="D1507" s="32">
        <f>$AF1507</f>
        <v>398</v>
      </c>
      <c r="E1507" s="32"/>
      <c r="F1507" s="43" t="s">
        <v>2450</v>
      </c>
      <c r="K1507" s="3" t="s">
        <v>624</v>
      </c>
      <c r="AA1507" s="36" t="s">
        <v>1734</v>
      </c>
      <c r="AB1507" s="8">
        <f>$AH1471</f>
        <v>125</v>
      </c>
      <c r="AC1507" s="36" t="s">
        <v>264</v>
      </c>
      <c r="AD1507" s="7">
        <f>$AB1507</f>
        <v>125</v>
      </c>
      <c r="AE1507" s="37" t="s">
        <v>266</v>
      </c>
      <c r="AF1507" s="8">
        <f>TRUNC(중기사용료목록!F9/$AD1507,0)</f>
        <v>398</v>
      </c>
      <c r="AG1507" s="37" t="s">
        <v>972</v>
      </c>
      <c r="AH1507" s="7">
        <f>$AH1497+$AF1507</f>
        <v>1085</v>
      </c>
    </row>
    <row r="1508" spans="1:38" ht="18.399999999999999" customHeight="1" x14ac:dyDescent="0.15">
      <c r="A1508" s="38" t="s">
        <v>2450</v>
      </c>
      <c r="B1508" s="32"/>
      <c r="C1508" s="32"/>
      <c r="D1508" s="32"/>
      <c r="E1508" s="32"/>
      <c r="F1508" s="43"/>
      <c r="K1508" s="3" t="s">
        <v>2450</v>
      </c>
    </row>
    <row r="1509" spans="1:38" ht="18.399999999999999" customHeight="1" x14ac:dyDescent="0.15">
      <c r="A1509" s="40" t="str">
        <f>CONCATENATE("    경    비 :   _x001D_6,522_x001D_ / ",TEXT($AB1509,"#,##0.00")," =",TEXT($AF1509,"#,##0.00"))</f>
        <v xml:space="preserve">    경    비 :   _x001D_6,522_x001D_ / 125.00 =52.00</v>
      </c>
      <c r="B1509" s="32">
        <f>SUM($C1509,$D1509,$E1509)</f>
        <v>52</v>
      </c>
      <c r="C1509" s="32"/>
      <c r="D1509" s="32"/>
      <c r="E1509" s="32">
        <f>$AF1509</f>
        <v>52</v>
      </c>
      <c r="F1509" s="43" t="s">
        <v>2450</v>
      </c>
      <c r="K1509" s="3" t="s">
        <v>1787</v>
      </c>
      <c r="AA1509" s="36" t="s">
        <v>357</v>
      </c>
      <c r="AB1509" s="8">
        <f>$AH1471</f>
        <v>125</v>
      </c>
      <c r="AC1509" s="36" t="s">
        <v>400</v>
      </c>
      <c r="AD1509" s="7">
        <f>$AB1509</f>
        <v>125</v>
      </c>
      <c r="AE1509" s="37" t="s">
        <v>815</v>
      </c>
      <c r="AF1509" s="8">
        <f>TRUNC(중기사용료목록!G9/$AD1509,0)</f>
        <v>52</v>
      </c>
      <c r="AG1509" s="37" t="s">
        <v>1302</v>
      </c>
      <c r="AH1509" s="7">
        <f>$AH1499+$AF1509</f>
        <v>181</v>
      </c>
    </row>
    <row r="1510" spans="1:38" ht="18.399999999999999" customHeight="1" x14ac:dyDescent="0.15">
      <c r="A1510" s="38" t="s">
        <v>2450</v>
      </c>
      <c r="B1510" s="32"/>
      <c r="C1510" s="32"/>
      <c r="D1510" s="32"/>
      <c r="E1510" s="32"/>
      <c r="F1510" s="43"/>
      <c r="K1510" s="3" t="s">
        <v>2450</v>
      </c>
    </row>
    <row r="1511" spans="1:38" ht="18.399999999999999" customHeight="1" x14ac:dyDescent="0.15">
      <c r="A1511" s="38" t="s">
        <v>569</v>
      </c>
      <c r="B1511" s="33">
        <f>SUM($C1511,$D1511,$E1511)</f>
        <v>500</v>
      </c>
      <c r="C1511" s="33">
        <f>$AB1511</f>
        <v>50</v>
      </c>
      <c r="D1511" s="33">
        <f>$AD1511</f>
        <v>398</v>
      </c>
      <c r="E1511" s="33">
        <f>$AF1511</f>
        <v>52</v>
      </c>
      <c r="F1511" s="44"/>
      <c r="K1511" s="3" t="s">
        <v>1529</v>
      </c>
      <c r="AA1511" s="36" t="s">
        <v>1732</v>
      </c>
      <c r="AB1511" s="7">
        <f>$AH1505-$AH1495</f>
        <v>50</v>
      </c>
      <c r="AC1511" s="36" t="s">
        <v>68</v>
      </c>
      <c r="AD1511" s="7">
        <f>$AH1507-$AH1497</f>
        <v>398</v>
      </c>
      <c r="AE1511" s="36" t="s">
        <v>2233</v>
      </c>
      <c r="AF1511" s="7">
        <f>$AH1509-$AH1499</f>
        <v>52</v>
      </c>
    </row>
    <row r="1512" spans="1:38" ht="18.399999999999999" customHeight="1" x14ac:dyDescent="0.15">
      <c r="A1512" s="38" t="s">
        <v>2450</v>
      </c>
      <c r="B1512" s="32"/>
      <c r="C1512" s="32"/>
      <c r="D1512" s="32"/>
      <c r="E1512" s="32"/>
      <c r="F1512" s="43"/>
      <c r="K1512" s="3" t="s">
        <v>2450</v>
      </c>
    </row>
    <row r="1513" spans="1:38" ht="18.399999999999999" customHeight="1" x14ac:dyDescent="0.15">
      <c r="A1513" s="38" t="s">
        <v>1222</v>
      </c>
      <c r="B1513" s="32"/>
      <c r="C1513" s="32"/>
      <c r="D1513" s="32"/>
      <c r="E1513" s="32"/>
      <c r="F1513" s="43"/>
      <c r="K1513" s="3" t="s">
        <v>1222</v>
      </c>
    </row>
    <row r="1514" spans="1:38" ht="18.399999999999999" customHeight="1" x14ac:dyDescent="0.15">
      <c r="A1514" s="38" t="s">
        <v>2450</v>
      </c>
      <c r="B1514" s="32"/>
      <c r="C1514" s="32"/>
      <c r="D1514" s="32"/>
      <c r="E1514" s="32"/>
      <c r="F1514" s="43"/>
      <c r="K1514" s="3" t="s">
        <v>2450</v>
      </c>
    </row>
    <row r="1515" spans="1:38" ht="18.399999999999999" customHeight="1" x14ac:dyDescent="0.15">
      <c r="A1515" s="40" t="str">
        <f>CONCATENATE("   ( ",TEXT($AB1515,"#,##0.00")," + ",TEXT($AF1515,"#,##0.00")," ) * 0.01 = ",TEXT($AJ1515,"#,##0.00"))</f>
        <v xml:space="preserve">   ( 3,696.00 + 714.00 ) * 0.01 = 44.00</v>
      </c>
      <c r="B1515" s="32">
        <f>SUM($C1515,$D1515,$E1515)</f>
        <v>44</v>
      </c>
      <c r="C1515" s="32">
        <f>$AJ1515</f>
        <v>44</v>
      </c>
      <c r="D1515" s="32"/>
      <c r="E1515" s="32"/>
      <c r="F1515" s="43"/>
      <c r="K1515" s="3" t="s">
        <v>1666</v>
      </c>
      <c r="AA1515" s="36" t="s">
        <v>147</v>
      </c>
      <c r="AB1515" s="8">
        <f>$AH1477</f>
        <v>3696</v>
      </c>
      <c r="AC1515" s="36" t="s">
        <v>367</v>
      </c>
      <c r="AD1515" s="7">
        <f>$AB1515</f>
        <v>3696</v>
      </c>
      <c r="AE1515" s="36" t="s">
        <v>2142</v>
      </c>
      <c r="AF1515" s="8">
        <f>$AH1481</f>
        <v>714</v>
      </c>
      <c r="AG1515" s="36" t="s">
        <v>1919</v>
      </c>
      <c r="AH1515" s="7">
        <f>$AF1515</f>
        <v>714</v>
      </c>
      <c r="AI1515" s="37" t="s">
        <v>1798</v>
      </c>
      <c r="AJ1515" s="8">
        <f>TRUNC(($AD1515+$AH1515)*0.01,0)</f>
        <v>44</v>
      </c>
      <c r="AK1515" s="37" t="s">
        <v>2021</v>
      </c>
      <c r="AL1515" s="7">
        <f>$AH1505+$AJ1515</f>
        <v>4777</v>
      </c>
    </row>
    <row r="1516" spans="1:38" ht="18.399999999999999" customHeight="1" x14ac:dyDescent="0.15">
      <c r="A1516" s="38" t="s">
        <v>2450</v>
      </c>
      <c r="B1516" s="32"/>
      <c r="C1516" s="32"/>
      <c r="D1516" s="32"/>
      <c r="E1516" s="32"/>
      <c r="F1516" s="43"/>
      <c r="K1516" s="3" t="s">
        <v>2450</v>
      </c>
    </row>
    <row r="1517" spans="1:38" ht="18.399999999999999" customHeight="1" x14ac:dyDescent="0.15">
      <c r="A1517" s="38" t="s">
        <v>569</v>
      </c>
      <c r="B1517" s="33">
        <f>SUM($C1517,$D1517,$E1517)</f>
        <v>44</v>
      </c>
      <c r="C1517" s="33">
        <f>$AB1517</f>
        <v>44</v>
      </c>
      <c r="D1517" s="33">
        <f>$AD1517</f>
        <v>0</v>
      </c>
      <c r="E1517" s="33">
        <f>$AF1517</f>
        <v>0</v>
      </c>
      <c r="F1517" s="44"/>
      <c r="K1517" s="3" t="s">
        <v>1529</v>
      </c>
      <c r="AA1517" s="36" t="s">
        <v>1732</v>
      </c>
      <c r="AB1517" s="7">
        <f>$AL1515-$AH1505</f>
        <v>44</v>
      </c>
      <c r="AC1517" s="36" t="s">
        <v>68</v>
      </c>
      <c r="AD1517" s="7">
        <f>$AH1507-$AH1507</f>
        <v>0</v>
      </c>
      <c r="AE1517" s="36" t="s">
        <v>2233</v>
      </c>
      <c r="AF1517" s="7">
        <f>$AH1509-$AH1509</f>
        <v>0</v>
      </c>
    </row>
    <row r="1518" spans="1:38" ht="18.399999999999999" customHeight="1" x14ac:dyDescent="0.15">
      <c r="A1518" s="38" t="s">
        <v>2450</v>
      </c>
      <c r="B1518" s="32"/>
      <c r="C1518" s="32"/>
      <c r="D1518" s="32"/>
      <c r="E1518" s="32"/>
      <c r="F1518" s="43"/>
      <c r="K1518" s="3" t="s">
        <v>2450</v>
      </c>
    </row>
    <row r="1519" spans="1:38" ht="18.399999999999999" customHeight="1" x14ac:dyDescent="0.15">
      <c r="A1519" s="38" t="s">
        <v>1342</v>
      </c>
      <c r="B1519" s="34">
        <f>SUM($C1519,$D1519,$E1519)</f>
        <v>6043</v>
      </c>
      <c r="C1519" s="34">
        <f>$AB1519</f>
        <v>4777</v>
      </c>
      <c r="D1519" s="34">
        <f>$AD1519</f>
        <v>1085</v>
      </c>
      <c r="E1519" s="34">
        <f>$AF1519</f>
        <v>181</v>
      </c>
      <c r="F1519" s="45"/>
      <c r="K1519" s="3" t="s">
        <v>1363</v>
      </c>
      <c r="AA1519" s="36" t="s">
        <v>989</v>
      </c>
      <c r="AB1519" s="7">
        <f>$AL1515</f>
        <v>4777</v>
      </c>
      <c r="AC1519" s="36" t="s">
        <v>2036</v>
      </c>
      <c r="AD1519" s="7">
        <f>$AH1507</f>
        <v>1085</v>
      </c>
      <c r="AE1519" s="36" t="s">
        <v>579</v>
      </c>
      <c r="AF1519" s="7">
        <f>$AH1509</f>
        <v>181</v>
      </c>
    </row>
    <row r="1520" spans="1:38" ht="18.399999999999999" customHeight="1" x14ac:dyDescent="0.15">
      <c r="A1520" s="38"/>
      <c r="B1520" s="3"/>
      <c r="C1520" s="3"/>
      <c r="D1520" s="3"/>
      <c r="E1520" s="3"/>
      <c r="F1520" s="42"/>
    </row>
    <row r="1521" spans="1:38" ht="18.399999999999999" customHeight="1" x14ac:dyDescent="0.15">
      <c r="A1521" s="41" t="s">
        <v>1388</v>
      </c>
      <c r="B1521" s="35">
        <f>SUM($C1521,$D1521,$E1521)</f>
        <v>6043</v>
      </c>
      <c r="C1521" s="35">
        <f>TRUNC(SUM($AL1515),0)</f>
        <v>4777</v>
      </c>
      <c r="D1521" s="35">
        <f>TRUNC(SUM($AH1507),0)</f>
        <v>1085</v>
      </c>
      <c r="E1521" s="35">
        <f>TRUNC(SUM($AH1509),0)</f>
        <v>181</v>
      </c>
      <c r="F1521" s="47"/>
    </row>
    <row r="1522" spans="1:38" ht="18.399999999999999" customHeight="1" x14ac:dyDescent="0.15">
      <c r="A1522" s="38"/>
      <c r="B1522" s="3"/>
      <c r="C1522" s="3"/>
      <c r="D1522" s="3"/>
      <c r="E1522" s="3"/>
      <c r="F1522" s="42"/>
    </row>
    <row r="1523" spans="1:38" ht="18.399999999999999" customHeight="1" x14ac:dyDescent="0.15">
      <c r="A1523" s="38" t="s">
        <v>1912</v>
      </c>
      <c r="B1523" s="32">
        <f>$B1581</f>
        <v>16921</v>
      </c>
      <c r="C1523" s="32">
        <f>$C1581</f>
        <v>5298</v>
      </c>
      <c r="D1523" s="32">
        <f>$D1581</f>
        <v>11060</v>
      </c>
      <c r="E1523" s="32">
        <f>$E1581</f>
        <v>563</v>
      </c>
      <c r="F1523" s="42" t="s">
        <v>2450</v>
      </c>
      <c r="G1523" t="s">
        <v>2450</v>
      </c>
      <c r="H1523" t="s">
        <v>322</v>
      </c>
      <c r="K1523">
        <v>1</v>
      </c>
      <c r="Y1523" s="7" t="b">
        <f>EXACT($Z1523,$B1581)</f>
        <v>1</v>
      </c>
      <c r="Z1523" s="35">
        <v>16921</v>
      </c>
    </row>
    <row r="1524" spans="1:38" ht="18.399999999999999" customHeight="1" x14ac:dyDescent="0.15">
      <c r="A1524" s="39"/>
      <c r="B1524" s="3"/>
      <c r="C1524" s="3"/>
      <c r="D1524" s="3"/>
      <c r="E1524" s="3"/>
      <c r="F1524" s="42"/>
    </row>
    <row r="1525" spans="1:38" ht="18.399999999999999" customHeight="1" x14ac:dyDescent="0.15">
      <c r="A1525" s="38" t="s">
        <v>2450</v>
      </c>
      <c r="B1525" s="3"/>
      <c r="C1525" s="3"/>
      <c r="D1525" s="3"/>
      <c r="E1525" s="3"/>
      <c r="F1525" s="42"/>
      <c r="G1525" t="s">
        <v>2450</v>
      </c>
      <c r="I1525" t="s">
        <v>286</v>
      </c>
      <c r="J1525" t="s">
        <v>2450</v>
      </c>
      <c r="K1525" t="s">
        <v>2053</v>
      </c>
    </row>
    <row r="1526" spans="1:38" ht="18.399999999999999" customHeight="1" x14ac:dyDescent="0.15">
      <c r="A1526" s="38" t="s">
        <v>1134</v>
      </c>
      <c r="B1526" s="32"/>
      <c r="C1526" s="32"/>
      <c r="D1526" s="32"/>
      <c r="E1526" s="32"/>
      <c r="F1526" s="43"/>
      <c r="K1526" s="3" t="s">
        <v>1134</v>
      </c>
    </row>
    <row r="1527" spans="1:38" ht="18.399999999999999" customHeight="1" x14ac:dyDescent="0.15">
      <c r="A1527" s="38" t="s">
        <v>2450</v>
      </c>
      <c r="B1527" s="32"/>
      <c r="C1527" s="32"/>
      <c r="D1527" s="32"/>
      <c r="E1527" s="32"/>
      <c r="F1527" s="43"/>
      <c r="K1527" s="3" t="s">
        <v>2450</v>
      </c>
    </row>
    <row r="1528" spans="1:38" ht="18.399999999999999" customHeight="1" x14ac:dyDescent="0.15">
      <c r="A1528" s="40" t="str">
        <f>CONCATENATE(" ○ 1일 시공량 :  A=",TEXT($AB1528,"#,##0.00")," ㎡/일")</f>
        <v xml:space="preserve"> ○ 1일 시공량 :  A=108.00 ㎡/일</v>
      </c>
      <c r="B1528" s="32"/>
      <c r="C1528" s="32"/>
      <c r="D1528" s="32"/>
      <c r="E1528" s="32"/>
      <c r="F1528" s="43"/>
      <c r="K1528" s="10" t="str">
        <f>SUBSTITUTE(SUBSTITUTE("_x001D_○ 1일 시공량 :_x001D_ A = 108_x001D_㎡/일_x001D_","108",TEXT($AB1528,"#,##0"),1),"_x001D_","'")</f>
        <v>'○ 1일 시공량 :' A = 108'㎡/일'</v>
      </c>
      <c r="AA1528" s="36" t="s">
        <v>430</v>
      </c>
      <c r="AB1528" s="6">
        <v>108</v>
      </c>
      <c r="AC1528" s="36" t="s">
        <v>430</v>
      </c>
      <c r="AD1528" s="7">
        <f>$AB1528</f>
        <v>108</v>
      </c>
    </row>
    <row r="1529" spans="1:38" ht="18.399999999999999" customHeight="1" x14ac:dyDescent="0.15">
      <c r="A1529" s="38" t="s">
        <v>2450</v>
      </c>
      <c r="B1529" s="32"/>
      <c r="C1529" s="32"/>
      <c r="D1529" s="32"/>
      <c r="E1529" s="32"/>
      <c r="F1529" s="43"/>
      <c r="K1529" s="3" t="s">
        <v>2450</v>
      </c>
    </row>
    <row r="1530" spans="1:38" ht="18.399999999999999" customHeight="1" x14ac:dyDescent="0.15">
      <c r="A1530" s="40" t="str">
        <f>CONCATENATE(" ○ 1시간 작업량 :  Q = ",TEXT($AB1530,"#,##0.00")," / 8 hr  =",TEXT($AJ1530,"#,##0.00")," ㎡/hr ")</f>
        <v xml:space="preserve"> ○ 1시간 작업량 :  Q = 108.00 / 8 hr  =13.50 ㎡/hr </v>
      </c>
      <c r="B1530" s="32">
        <f>SUM($C1530,$D1530,$E1530)</f>
        <v>0</v>
      </c>
      <c r="C1530" s="32"/>
      <c r="D1530" s="32"/>
      <c r="E1530" s="32"/>
      <c r="F1530" s="43"/>
      <c r="K1530" s="3" t="s">
        <v>1883</v>
      </c>
      <c r="AA1530" s="36" t="s">
        <v>1200</v>
      </c>
      <c r="AB1530" s="8">
        <f>$AD1528</f>
        <v>108</v>
      </c>
      <c r="AC1530" s="36" t="s">
        <v>1889</v>
      </c>
      <c r="AD1530" s="7">
        <f>$AB1530</f>
        <v>108</v>
      </c>
      <c r="AE1530" s="36" t="s">
        <v>461</v>
      </c>
      <c r="AF1530" s="8">
        <f>ROUND($AD1530/8,2)</f>
        <v>13.5</v>
      </c>
      <c r="AG1530" s="36" t="s">
        <v>1686</v>
      </c>
      <c r="AH1530" s="7">
        <f>$AF1530</f>
        <v>13.5</v>
      </c>
      <c r="AI1530" s="36" t="s">
        <v>1636</v>
      </c>
      <c r="AJ1530" s="8">
        <f>ROUND(ROUND($AD1530/8,2),2)</f>
        <v>13.5</v>
      </c>
      <c r="AK1530" s="36" t="s">
        <v>393</v>
      </c>
      <c r="AL1530" s="7">
        <f>$AJ1530</f>
        <v>13.5</v>
      </c>
    </row>
    <row r="1531" spans="1:38" ht="18.399999999999999" customHeight="1" x14ac:dyDescent="0.15">
      <c r="A1531" s="38" t="s">
        <v>2450</v>
      </c>
      <c r="B1531" s="32"/>
      <c r="C1531" s="32"/>
      <c r="D1531" s="32"/>
      <c r="E1531" s="32"/>
      <c r="F1531" s="43"/>
      <c r="K1531" s="3" t="s">
        <v>2450</v>
      </c>
    </row>
    <row r="1532" spans="1:38" ht="18.399999999999999" customHeight="1" x14ac:dyDescent="0.15">
      <c r="A1532" s="38" t="s">
        <v>927</v>
      </c>
      <c r="B1532" s="32"/>
      <c r="C1532" s="32"/>
      <c r="D1532" s="32"/>
      <c r="E1532" s="32"/>
      <c r="F1532" s="43"/>
      <c r="K1532" s="3" t="s">
        <v>927</v>
      </c>
    </row>
    <row r="1533" spans="1:38" ht="18.399999999999999" customHeight="1" x14ac:dyDescent="0.15">
      <c r="A1533" s="38" t="s">
        <v>2450</v>
      </c>
      <c r="B1533" s="32"/>
      <c r="C1533" s="32"/>
      <c r="D1533" s="32"/>
      <c r="E1533" s="32"/>
      <c r="F1533" s="43"/>
      <c r="K1533" s="3" t="s">
        <v>2450</v>
      </c>
    </row>
    <row r="1534" spans="1:38" ht="18.399999999999999" customHeight="1" x14ac:dyDescent="0.15">
      <c r="A1534" s="38" t="s">
        <v>491</v>
      </c>
      <c r="B1534" s="32"/>
      <c r="C1534" s="32"/>
      <c r="D1534" s="32"/>
      <c r="E1534" s="32"/>
      <c r="F1534" s="43"/>
      <c r="K1534" s="3" t="s">
        <v>491</v>
      </c>
    </row>
    <row r="1535" spans="1:38" ht="18.399999999999999" customHeight="1" x14ac:dyDescent="0.15">
      <c r="A1535" s="38" t="s">
        <v>2450</v>
      </c>
      <c r="B1535" s="32"/>
      <c r="C1535" s="32"/>
      <c r="D1535" s="32"/>
      <c r="E1535" s="32"/>
      <c r="F1535" s="43"/>
      <c r="K1535" s="3" t="s">
        <v>2450</v>
      </c>
    </row>
    <row r="1536" spans="1:38" ht="18.399999999999999" customHeight="1" x14ac:dyDescent="0.15">
      <c r="A1536" s="40" t="str">
        <f>CONCATENATE("    4.2 ℓ  * _x001D_8,800_x001D_ / 10 =","MA+ "," :A1")</f>
        <v xml:space="preserve">    4.2 ℓ  * _x001D_8,800_x001D_ / 10 =MA+  :A1</v>
      </c>
      <c r="B1536" s="32">
        <f>SUM($C1536,$D1536,$E1536)</f>
        <v>3696</v>
      </c>
      <c r="C1536" s="32">
        <f>$AB1536</f>
        <v>3696</v>
      </c>
      <c r="D1536" s="32"/>
      <c r="E1536" s="32"/>
      <c r="F1536" s="43" t="s">
        <v>2450</v>
      </c>
      <c r="K1536" s="3" t="s">
        <v>1471</v>
      </c>
      <c r="AA1536" s="37" t="s">
        <v>1798</v>
      </c>
      <c r="AB1536" s="8">
        <f>TRUNC(4.2*자재!D11/10,0)</f>
        <v>3696</v>
      </c>
      <c r="AC1536" s="37" t="s">
        <v>2021</v>
      </c>
      <c r="AD1536" s="7">
        <f>$AB1536</f>
        <v>3696</v>
      </c>
      <c r="AE1536" s="36" t="s">
        <v>92</v>
      </c>
      <c r="AF1536" s="8">
        <f>$AB1536</f>
        <v>3696</v>
      </c>
      <c r="AG1536" s="36" t="s">
        <v>731</v>
      </c>
      <c r="AH1536" s="7">
        <f>$AF1536</f>
        <v>3696</v>
      </c>
    </row>
    <row r="1537" spans="1:38" ht="18.399999999999999" customHeight="1" x14ac:dyDescent="0.15">
      <c r="A1537" s="38" t="s">
        <v>2450</v>
      </c>
      <c r="B1537" s="32"/>
      <c r="C1537" s="32"/>
      <c r="D1537" s="32"/>
      <c r="E1537" s="32"/>
      <c r="F1537" s="43"/>
      <c r="K1537" s="3" t="s">
        <v>2450</v>
      </c>
    </row>
    <row r="1538" spans="1:38" ht="18.399999999999999" customHeight="1" x14ac:dyDescent="0.15">
      <c r="A1538" s="38" t="s">
        <v>917</v>
      </c>
      <c r="B1538" s="32"/>
      <c r="C1538" s="32"/>
      <c r="D1538" s="32"/>
      <c r="E1538" s="32"/>
      <c r="F1538" s="43"/>
      <c r="K1538" s="3" t="s">
        <v>917</v>
      </c>
    </row>
    <row r="1539" spans="1:38" ht="18.399999999999999" customHeight="1" x14ac:dyDescent="0.15">
      <c r="A1539" s="38" t="s">
        <v>2450</v>
      </c>
      <c r="B1539" s="32"/>
      <c r="C1539" s="32"/>
      <c r="D1539" s="32"/>
      <c r="E1539" s="32"/>
      <c r="F1539" s="43"/>
      <c r="K1539" s="3" t="s">
        <v>2450</v>
      </c>
    </row>
    <row r="1540" spans="1:38" ht="18.399999999999999" customHeight="1" x14ac:dyDescent="0.15">
      <c r="A1540" s="40" t="str">
        <f>CONCATENATE("    3.1 kg  * _x001D_1,700_x001D_ / 10 =","MA+ "," :A2")</f>
        <v xml:space="preserve">    3.1 kg  * _x001D_1,700_x001D_ / 10 =MA+  :A2</v>
      </c>
      <c r="B1540" s="32">
        <f>SUM($C1540,$D1540,$E1540)</f>
        <v>527</v>
      </c>
      <c r="C1540" s="32">
        <f>$AB1540</f>
        <v>527</v>
      </c>
      <c r="D1540" s="32"/>
      <c r="E1540" s="32"/>
      <c r="F1540" s="43" t="s">
        <v>2450</v>
      </c>
      <c r="K1540" s="3" t="s">
        <v>2400</v>
      </c>
      <c r="AA1540" s="37" t="s">
        <v>1798</v>
      </c>
      <c r="AB1540" s="8">
        <f>TRUNC(3.1*자재!D4/10,0)</f>
        <v>527</v>
      </c>
      <c r="AC1540" s="37" t="s">
        <v>2021</v>
      </c>
      <c r="AD1540" s="7">
        <f>$AD1536+$AB1540</f>
        <v>4223</v>
      </c>
      <c r="AE1540" s="36" t="s">
        <v>2082</v>
      </c>
      <c r="AF1540" s="8">
        <f>$AB1540</f>
        <v>527</v>
      </c>
      <c r="AG1540" s="36" t="s">
        <v>1589</v>
      </c>
      <c r="AH1540" s="7">
        <f>$AF1540</f>
        <v>527</v>
      </c>
    </row>
    <row r="1541" spans="1:38" ht="18.399999999999999" customHeight="1" x14ac:dyDescent="0.15">
      <c r="A1541" s="38" t="s">
        <v>2450</v>
      </c>
      <c r="B1541" s="32"/>
      <c r="C1541" s="32"/>
      <c r="D1541" s="32"/>
      <c r="E1541" s="32"/>
      <c r="F1541" s="43"/>
      <c r="K1541" s="3" t="s">
        <v>2450</v>
      </c>
    </row>
    <row r="1542" spans="1:38" ht="18.399999999999999" customHeight="1" x14ac:dyDescent="0.15">
      <c r="A1542" s="38" t="s">
        <v>569</v>
      </c>
      <c r="B1542" s="33">
        <f>SUM($C1542,$D1542,$E1542)</f>
        <v>4223</v>
      </c>
      <c r="C1542" s="33">
        <f>$AB1542</f>
        <v>4223</v>
      </c>
      <c r="D1542" s="33">
        <f>$AD1542</f>
        <v>0</v>
      </c>
      <c r="E1542" s="33">
        <f>$AF1542</f>
        <v>0</v>
      </c>
      <c r="F1542" s="44"/>
      <c r="K1542" s="3" t="s">
        <v>1529</v>
      </c>
      <c r="AA1542" s="36" t="s">
        <v>1732</v>
      </c>
      <c r="AB1542" s="7">
        <f>$AD1540</f>
        <v>4223</v>
      </c>
    </row>
    <row r="1543" spans="1:38" ht="18.399999999999999" customHeight="1" x14ac:dyDescent="0.15">
      <c r="A1543" s="38" t="s">
        <v>2450</v>
      </c>
      <c r="B1543" s="32"/>
      <c r="C1543" s="32"/>
      <c r="D1543" s="32"/>
      <c r="E1543" s="32"/>
      <c r="F1543" s="43"/>
      <c r="K1543" s="3" t="s">
        <v>2450</v>
      </c>
    </row>
    <row r="1544" spans="1:38" ht="18.399999999999999" customHeight="1" x14ac:dyDescent="0.15">
      <c r="A1544" s="38" t="s">
        <v>1680</v>
      </c>
      <c r="B1544" s="32"/>
      <c r="C1544" s="32"/>
      <c r="D1544" s="32"/>
      <c r="E1544" s="32"/>
      <c r="F1544" s="43"/>
      <c r="K1544" s="3" t="s">
        <v>1680</v>
      </c>
    </row>
    <row r="1545" spans="1:38" ht="18.399999999999999" customHeight="1" x14ac:dyDescent="0.15">
      <c r="A1545" s="38" t="s">
        <v>2450</v>
      </c>
      <c r="B1545" s="32"/>
      <c r="C1545" s="32"/>
      <c r="D1545" s="32"/>
      <c r="E1545" s="32"/>
      <c r="F1545" s="43"/>
      <c r="K1545" s="3" t="s">
        <v>2450</v>
      </c>
    </row>
    <row r="1546" spans="1:38" ht="18.399999999999999" customHeight="1" x14ac:dyDescent="0.15">
      <c r="A1546" s="40" t="str">
        <f>CONCATENATE("    보통인부 :  2.0 인  / ",TEXT($AB1546,"#,##0.00")," * _x001D_172,068_x001D_ =","LA+ "," :C")</f>
        <v xml:space="preserve">    보통인부 :  2.0 인  / 108.00 * _x001D_172,068_x001D_ =LA+  :C</v>
      </c>
      <c r="B1546" s="32">
        <f>SUM($C1546,$D1546,$E1546)</f>
        <v>3186</v>
      </c>
      <c r="C1546" s="32"/>
      <c r="D1546" s="32">
        <f>$AF1546</f>
        <v>3186</v>
      </c>
      <c r="E1546" s="32"/>
      <c r="F1546" s="43" t="s">
        <v>2450</v>
      </c>
      <c r="K1546" s="3" t="s">
        <v>919</v>
      </c>
      <c r="AA1546" s="36" t="s">
        <v>1345</v>
      </c>
      <c r="AB1546" s="8">
        <f>$AD1528</f>
        <v>108</v>
      </c>
      <c r="AC1546" s="36" t="s">
        <v>1290</v>
      </c>
      <c r="AD1546" s="7">
        <f>$AB1546</f>
        <v>108</v>
      </c>
      <c r="AE1546" s="37" t="s">
        <v>266</v>
      </c>
      <c r="AF1546" s="8">
        <f>TRUNC(2/$AD1546*노임!D10,0)</f>
        <v>3186</v>
      </c>
      <c r="AG1546" s="37" t="s">
        <v>972</v>
      </c>
      <c r="AH1546" s="7">
        <f>$AF1546</f>
        <v>3186</v>
      </c>
      <c r="AI1546" s="36" t="s">
        <v>2001</v>
      </c>
      <c r="AJ1546" s="8">
        <f>$AF1546</f>
        <v>3186</v>
      </c>
      <c r="AK1546" s="36" t="s">
        <v>1586</v>
      </c>
      <c r="AL1546" s="7">
        <f>$AJ1546</f>
        <v>3186</v>
      </c>
    </row>
    <row r="1547" spans="1:38" ht="18.399999999999999" customHeight="1" x14ac:dyDescent="0.15">
      <c r="A1547" s="38" t="s">
        <v>2450</v>
      </c>
      <c r="B1547" s="32"/>
      <c r="C1547" s="32"/>
      <c r="D1547" s="32"/>
      <c r="E1547" s="32"/>
      <c r="F1547" s="43"/>
      <c r="K1547" s="3" t="s">
        <v>2450</v>
      </c>
    </row>
    <row r="1548" spans="1:38" ht="18.399999999999999" customHeight="1" x14ac:dyDescent="0.15">
      <c r="A1548" s="40" t="str">
        <f>CONCATENATE("    특별인부 :  2.0 인  / ",TEXT($AB1548,"#,##0.00")," * _x001D_226,122_x001D_ =","LA+ "," :D")</f>
        <v xml:space="preserve">    특별인부 :  2.0 인  / 108.00 * _x001D_226,122_x001D_ =LA+  :D</v>
      </c>
      <c r="B1548" s="32">
        <f>SUM($C1548,$D1548,$E1548)</f>
        <v>4187</v>
      </c>
      <c r="C1548" s="32"/>
      <c r="D1548" s="32">
        <f>$AF1548</f>
        <v>4187</v>
      </c>
      <c r="E1548" s="32"/>
      <c r="F1548" s="43" t="s">
        <v>2450</v>
      </c>
      <c r="K1548" s="3" t="s">
        <v>423</v>
      </c>
      <c r="AA1548" s="36" t="s">
        <v>272</v>
      </c>
      <c r="AB1548" s="8">
        <f>$AD1528</f>
        <v>108</v>
      </c>
      <c r="AC1548" s="36" t="s">
        <v>1770</v>
      </c>
      <c r="AD1548" s="7">
        <f>$AB1548</f>
        <v>108</v>
      </c>
      <c r="AE1548" s="37" t="s">
        <v>266</v>
      </c>
      <c r="AF1548" s="8">
        <f>TRUNC(2/$AD1548*노임!D9,0)</f>
        <v>4187</v>
      </c>
      <c r="AG1548" s="37" t="s">
        <v>972</v>
      </c>
      <c r="AH1548" s="7">
        <f>$AH1546+$AF1548</f>
        <v>7373</v>
      </c>
      <c r="AI1548" s="36" t="s">
        <v>1845</v>
      </c>
      <c r="AJ1548" s="8">
        <f>$AF1548</f>
        <v>4187</v>
      </c>
      <c r="AK1548" s="36" t="s">
        <v>298</v>
      </c>
      <c r="AL1548" s="7">
        <f>$AJ1548</f>
        <v>4187</v>
      </c>
    </row>
    <row r="1549" spans="1:38" ht="18.399999999999999" customHeight="1" x14ac:dyDescent="0.15">
      <c r="A1549" s="38" t="s">
        <v>2450</v>
      </c>
      <c r="B1549" s="32"/>
      <c r="C1549" s="32"/>
      <c r="D1549" s="32"/>
      <c r="E1549" s="32"/>
      <c r="F1549" s="43"/>
      <c r="K1549" s="3" t="s">
        <v>2450</v>
      </c>
    </row>
    <row r="1550" spans="1:38" ht="18.399999999999999" customHeight="1" x14ac:dyDescent="0.15">
      <c r="A1550" s="38" t="s">
        <v>569</v>
      </c>
      <c r="B1550" s="33">
        <f>SUM($C1550,$D1550,$E1550)</f>
        <v>7373</v>
      </c>
      <c r="C1550" s="33">
        <f>$AB1550</f>
        <v>0</v>
      </c>
      <c r="D1550" s="33">
        <f>$AD1550</f>
        <v>7373</v>
      </c>
      <c r="E1550" s="33">
        <f>$AF1550</f>
        <v>0</v>
      </c>
      <c r="F1550" s="44"/>
      <c r="K1550" s="3" t="s">
        <v>1529</v>
      </c>
      <c r="AA1550" s="36" t="s">
        <v>1732</v>
      </c>
      <c r="AB1550" s="7">
        <f>$AD1540-$AD1540</f>
        <v>0</v>
      </c>
      <c r="AC1550" s="36" t="s">
        <v>68</v>
      </c>
      <c r="AD1550" s="7">
        <f>$AH1548</f>
        <v>7373</v>
      </c>
    </row>
    <row r="1551" spans="1:38" ht="18.399999999999999" customHeight="1" x14ac:dyDescent="0.15">
      <c r="A1551" s="38" t="s">
        <v>2450</v>
      </c>
      <c r="B1551" s="32"/>
      <c r="C1551" s="32"/>
      <c r="D1551" s="32"/>
      <c r="E1551" s="32"/>
      <c r="F1551" s="43"/>
      <c r="K1551" s="3" t="s">
        <v>2450</v>
      </c>
    </row>
    <row r="1552" spans="1:38" ht="18.399999999999999" customHeight="1" x14ac:dyDescent="0.15">
      <c r="A1552" s="38" t="s">
        <v>2009</v>
      </c>
      <c r="B1552" s="32"/>
      <c r="C1552" s="32"/>
      <c r="D1552" s="32"/>
      <c r="E1552" s="32"/>
      <c r="F1552" s="43"/>
      <c r="K1552" s="3" t="s">
        <v>2009</v>
      </c>
    </row>
    <row r="1553" spans="1:34" ht="18.399999999999999" customHeight="1" x14ac:dyDescent="0.15">
      <c r="A1553" s="38" t="s">
        <v>2450</v>
      </c>
      <c r="B1553" s="32"/>
      <c r="C1553" s="32"/>
      <c r="D1553" s="32"/>
      <c r="E1553" s="32"/>
      <c r="F1553" s="43"/>
      <c r="K1553" s="3" t="s">
        <v>2450</v>
      </c>
    </row>
    <row r="1554" spans="1:34" ht="18.399999999999999" customHeight="1" x14ac:dyDescent="0.15">
      <c r="A1554" s="38" t="s">
        <v>1230</v>
      </c>
      <c r="B1554" s="32"/>
      <c r="C1554" s="32"/>
      <c r="D1554" s="32"/>
      <c r="E1554" s="32"/>
      <c r="F1554" s="43"/>
      <c r="K1554" s="3" t="s">
        <v>1230</v>
      </c>
    </row>
    <row r="1555" spans="1:34" ht="18.399999999999999" customHeight="1" x14ac:dyDescent="0.15">
      <c r="A1555" s="38" t="s">
        <v>2450</v>
      </c>
      <c r="B1555" s="32"/>
      <c r="C1555" s="32"/>
      <c r="D1555" s="32"/>
      <c r="E1555" s="32"/>
      <c r="F1555" s="43"/>
      <c r="K1555" s="3" t="s">
        <v>2450</v>
      </c>
    </row>
    <row r="1556" spans="1:34" ht="18.399999999999999" customHeight="1" x14ac:dyDescent="0.15">
      <c r="A1556" s="38" t="s">
        <v>647</v>
      </c>
      <c r="B1556" s="32"/>
      <c r="C1556" s="32"/>
      <c r="D1556" s="32"/>
      <c r="E1556" s="32"/>
      <c r="F1556" s="43"/>
      <c r="K1556" s="3" t="s">
        <v>647</v>
      </c>
    </row>
    <row r="1557" spans="1:34" ht="18.399999999999999" customHeight="1" x14ac:dyDescent="0.15">
      <c r="A1557" s="38" t="s">
        <v>2450</v>
      </c>
      <c r="B1557" s="32"/>
      <c r="C1557" s="32"/>
      <c r="D1557" s="32"/>
      <c r="E1557" s="32"/>
      <c r="F1557" s="43"/>
      <c r="K1557" s="3" t="s">
        <v>2450</v>
      </c>
    </row>
    <row r="1558" spans="1:34" ht="18.399999999999999" customHeight="1" x14ac:dyDescent="0.15">
      <c r="A1558" s="40" t="str">
        <f>CONCATENATE("    재 료 비 :   _x001D_10,971_x001D_ / ",TEXT($AB1558,"#,##0.00")," =",TEXT($AF1558,"#,##0.00"))</f>
        <v xml:space="preserve">    재 료 비 :   _x001D_10,971_x001D_ / 13.50 =812.00</v>
      </c>
      <c r="B1558" s="32">
        <f>SUM($C1558,$D1558,$E1558)</f>
        <v>812</v>
      </c>
      <c r="C1558" s="32">
        <f>$AF1558</f>
        <v>812</v>
      </c>
      <c r="D1558" s="32"/>
      <c r="E1558" s="32"/>
      <c r="F1558" s="43" t="s">
        <v>2450</v>
      </c>
      <c r="K1558" s="3" t="s">
        <v>290</v>
      </c>
      <c r="AA1558" s="36" t="s">
        <v>332</v>
      </c>
      <c r="AB1558" s="8">
        <f>$AH1530</f>
        <v>13.5</v>
      </c>
      <c r="AC1558" s="36" t="s">
        <v>2384</v>
      </c>
      <c r="AD1558" s="7">
        <f>$AB1558</f>
        <v>13.5</v>
      </c>
      <c r="AE1558" s="37" t="s">
        <v>1798</v>
      </c>
      <c r="AF1558" s="8">
        <f>TRUNC(중기사용료목록!E10/$AD1558,0)</f>
        <v>812</v>
      </c>
      <c r="AG1558" s="37" t="s">
        <v>2021</v>
      </c>
      <c r="AH1558" s="7">
        <f>$AD1540+$AF1558</f>
        <v>5035</v>
      </c>
    </row>
    <row r="1559" spans="1:34" ht="18.399999999999999" customHeight="1" x14ac:dyDescent="0.15">
      <c r="A1559" s="38" t="s">
        <v>2450</v>
      </c>
      <c r="B1559" s="32"/>
      <c r="C1559" s="32"/>
      <c r="D1559" s="32"/>
      <c r="E1559" s="32"/>
      <c r="F1559" s="43"/>
      <c r="K1559" s="3" t="s">
        <v>2450</v>
      </c>
    </row>
    <row r="1560" spans="1:34" ht="18.399999999999999" customHeight="1" x14ac:dyDescent="0.15">
      <c r="A1560" s="40" t="str">
        <f>CONCATENATE("    노 무 비 :   _x001D_49,778_x001D_ / ",TEXT($AB1560,"#,##0.00")," =",TEXT($AF1560,"#,##0.00"))</f>
        <v xml:space="preserve">    노 무 비 :   _x001D_49,778_x001D_ / 13.50 =3,687.00</v>
      </c>
      <c r="B1560" s="32">
        <f>SUM($C1560,$D1560,$E1560)</f>
        <v>3687</v>
      </c>
      <c r="C1560" s="32"/>
      <c r="D1560" s="32">
        <f>$AF1560</f>
        <v>3687</v>
      </c>
      <c r="E1560" s="32"/>
      <c r="F1560" s="43" t="s">
        <v>2450</v>
      </c>
      <c r="K1560" s="3" t="s">
        <v>1305</v>
      </c>
      <c r="AA1560" s="36" t="s">
        <v>562</v>
      </c>
      <c r="AB1560" s="8">
        <f>$AH1530</f>
        <v>13.5</v>
      </c>
      <c r="AC1560" s="36" t="s">
        <v>1286</v>
      </c>
      <c r="AD1560" s="7">
        <f>$AB1560</f>
        <v>13.5</v>
      </c>
      <c r="AE1560" s="37" t="s">
        <v>266</v>
      </c>
      <c r="AF1560" s="8">
        <f>TRUNC(중기사용료목록!F10/$AD1560,0)</f>
        <v>3687</v>
      </c>
      <c r="AG1560" s="37" t="s">
        <v>972</v>
      </c>
      <c r="AH1560" s="7">
        <f>$AH1548+$AF1560</f>
        <v>11060</v>
      </c>
    </row>
    <row r="1561" spans="1:34" ht="18.399999999999999" customHeight="1" x14ac:dyDescent="0.15">
      <c r="A1561" s="38" t="s">
        <v>2450</v>
      </c>
      <c r="B1561" s="32"/>
      <c r="C1561" s="32"/>
      <c r="D1561" s="32"/>
      <c r="E1561" s="32"/>
      <c r="F1561" s="43"/>
      <c r="K1561" s="3" t="s">
        <v>2450</v>
      </c>
    </row>
    <row r="1562" spans="1:34" ht="18.399999999999999" customHeight="1" x14ac:dyDescent="0.15">
      <c r="A1562" s="40" t="str">
        <f>CONCATENATE("    경    비 :   _x001D_7,613_x001D_ / ",TEXT($AB1562,"#,##0.00")," =",TEXT($AF1562,"#,##0.00"))</f>
        <v xml:space="preserve">    경    비 :   _x001D_7,613_x001D_ / 13.50 =563.00</v>
      </c>
      <c r="B1562" s="32">
        <f>SUM($C1562,$D1562,$E1562)</f>
        <v>563</v>
      </c>
      <c r="C1562" s="32"/>
      <c r="D1562" s="32"/>
      <c r="E1562" s="32">
        <f>$AF1562</f>
        <v>563</v>
      </c>
      <c r="F1562" s="43" t="s">
        <v>2450</v>
      </c>
      <c r="K1562" s="3" t="s">
        <v>83</v>
      </c>
      <c r="AA1562" s="36" t="s">
        <v>1807</v>
      </c>
      <c r="AB1562" s="8">
        <f>$AH1530</f>
        <v>13.5</v>
      </c>
      <c r="AC1562" s="36" t="s">
        <v>2356</v>
      </c>
      <c r="AD1562" s="7">
        <f>$AB1562</f>
        <v>13.5</v>
      </c>
      <c r="AE1562" s="37" t="s">
        <v>815</v>
      </c>
      <c r="AF1562" s="8">
        <f>TRUNC(중기사용료목록!G10/$AD1562,0)</f>
        <v>563</v>
      </c>
      <c r="AG1562" s="37" t="s">
        <v>1302</v>
      </c>
      <c r="AH1562" s="7">
        <f>$AF1562</f>
        <v>563</v>
      </c>
    </row>
    <row r="1563" spans="1:34" ht="18.399999999999999" customHeight="1" x14ac:dyDescent="0.15">
      <c r="A1563" s="38" t="s">
        <v>2450</v>
      </c>
      <c r="B1563" s="32"/>
      <c r="C1563" s="32"/>
      <c r="D1563" s="32"/>
      <c r="E1563" s="32"/>
      <c r="F1563" s="43"/>
      <c r="K1563" s="3" t="s">
        <v>2450</v>
      </c>
    </row>
    <row r="1564" spans="1:34" ht="18.399999999999999" customHeight="1" x14ac:dyDescent="0.15">
      <c r="A1564" s="38" t="s">
        <v>569</v>
      </c>
      <c r="B1564" s="33">
        <f>SUM($C1564,$D1564,$E1564)</f>
        <v>5062</v>
      </c>
      <c r="C1564" s="33">
        <f>$AB1564</f>
        <v>812</v>
      </c>
      <c r="D1564" s="33">
        <f>$AD1564</f>
        <v>3687</v>
      </c>
      <c r="E1564" s="33">
        <f>$AF1564</f>
        <v>563</v>
      </c>
      <c r="F1564" s="44"/>
      <c r="K1564" s="3" t="s">
        <v>1529</v>
      </c>
      <c r="AA1564" s="36" t="s">
        <v>1732</v>
      </c>
      <c r="AB1564" s="7">
        <f>$AH1558-$AD1540</f>
        <v>812</v>
      </c>
      <c r="AC1564" s="36" t="s">
        <v>68</v>
      </c>
      <c r="AD1564" s="7">
        <f>$AH1560-$AH1548</f>
        <v>3687</v>
      </c>
      <c r="AE1564" s="36" t="s">
        <v>2233</v>
      </c>
      <c r="AF1564" s="7">
        <f>$AH1562</f>
        <v>563</v>
      </c>
    </row>
    <row r="1565" spans="1:34" ht="18.399999999999999" customHeight="1" x14ac:dyDescent="0.15">
      <c r="A1565" s="38" t="s">
        <v>2450</v>
      </c>
      <c r="B1565" s="32"/>
      <c r="C1565" s="32"/>
      <c r="D1565" s="32"/>
      <c r="E1565" s="32"/>
      <c r="F1565" s="43"/>
      <c r="K1565" s="3" t="s">
        <v>2450</v>
      </c>
    </row>
    <row r="1566" spans="1:34" ht="18.399999999999999" customHeight="1" x14ac:dyDescent="0.15">
      <c r="A1566" s="38" t="s">
        <v>2450</v>
      </c>
      <c r="B1566" s="32"/>
      <c r="C1566" s="32"/>
      <c r="D1566" s="32"/>
      <c r="E1566" s="32"/>
      <c r="F1566" s="43"/>
      <c r="K1566" s="3" t="s">
        <v>2450</v>
      </c>
    </row>
    <row r="1567" spans="1:34" ht="18.399999999999999" customHeight="1" x14ac:dyDescent="0.15">
      <c r="A1567" s="38" t="s">
        <v>125</v>
      </c>
      <c r="B1567" s="32"/>
      <c r="C1567" s="32"/>
      <c r="D1567" s="32"/>
      <c r="E1567" s="32"/>
      <c r="F1567" s="43"/>
      <c r="K1567" s="3" t="s">
        <v>125</v>
      </c>
    </row>
    <row r="1568" spans="1:34" ht="18.399999999999999" customHeight="1" x14ac:dyDescent="0.15">
      <c r="A1568" s="38" t="s">
        <v>2450</v>
      </c>
      <c r="B1568" s="32"/>
      <c r="C1568" s="32"/>
      <c r="D1568" s="32"/>
      <c r="E1568" s="32"/>
      <c r="F1568" s="43"/>
      <c r="K1568" s="3" t="s">
        <v>2450</v>
      </c>
    </row>
    <row r="1569" spans="1:38" ht="18.399999999999999" customHeight="1" x14ac:dyDescent="0.15">
      <c r="A1569" s="40" t="str">
        <f>CONCATENATE("   ( ",TEXT($AB1569,"#,##0.00")," + ",TEXT($AF1569,"#,##0.00")," ) * 0.03 = ",TEXT($AJ1569,"#,##0.00"))</f>
        <v xml:space="preserve">   ( 3,186.00 + 4,187.00 ) * 0.03 = 221.00</v>
      </c>
      <c r="B1569" s="32">
        <f>SUM($C1569,$D1569,$E1569)</f>
        <v>221</v>
      </c>
      <c r="C1569" s="32">
        <f>$AJ1569</f>
        <v>221</v>
      </c>
      <c r="D1569" s="32"/>
      <c r="E1569" s="32"/>
      <c r="F1569" s="43"/>
      <c r="K1569" s="3" t="s">
        <v>2110</v>
      </c>
      <c r="AA1569" s="36" t="s">
        <v>957</v>
      </c>
      <c r="AB1569" s="8">
        <f>$AL1546</f>
        <v>3186</v>
      </c>
      <c r="AC1569" s="36" t="s">
        <v>1560</v>
      </c>
      <c r="AD1569" s="7">
        <f>$AB1569</f>
        <v>3186</v>
      </c>
      <c r="AE1569" s="36" t="s">
        <v>1679</v>
      </c>
      <c r="AF1569" s="8">
        <f>$AL1548</f>
        <v>4187</v>
      </c>
      <c r="AG1569" s="36" t="s">
        <v>775</v>
      </c>
      <c r="AH1569" s="7">
        <f>$AF1569</f>
        <v>4187</v>
      </c>
      <c r="AI1569" s="37" t="s">
        <v>1798</v>
      </c>
      <c r="AJ1569" s="8">
        <f>TRUNC(($AD1569+$AH1569)*0.03,0)</f>
        <v>221</v>
      </c>
      <c r="AK1569" s="37" t="s">
        <v>2021</v>
      </c>
      <c r="AL1569" s="7">
        <f>$AH1558+$AJ1569</f>
        <v>5256</v>
      </c>
    </row>
    <row r="1570" spans="1:38" ht="18.399999999999999" customHeight="1" x14ac:dyDescent="0.15">
      <c r="A1570" s="38" t="s">
        <v>2450</v>
      </c>
      <c r="B1570" s="32"/>
      <c r="C1570" s="32"/>
      <c r="D1570" s="32"/>
      <c r="E1570" s="32"/>
      <c r="F1570" s="43"/>
      <c r="K1570" s="3" t="s">
        <v>2450</v>
      </c>
    </row>
    <row r="1571" spans="1:38" ht="18.399999999999999" customHeight="1" x14ac:dyDescent="0.15">
      <c r="A1571" s="38" t="s">
        <v>569</v>
      </c>
      <c r="B1571" s="33">
        <f>SUM($C1571,$D1571,$E1571)</f>
        <v>221</v>
      </c>
      <c r="C1571" s="33">
        <f>$AB1571</f>
        <v>221</v>
      </c>
      <c r="D1571" s="33">
        <f>$AD1571</f>
        <v>0</v>
      </c>
      <c r="E1571" s="33">
        <f>$AF1571</f>
        <v>0</v>
      </c>
      <c r="F1571" s="44"/>
      <c r="K1571" s="3" t="s">
        <v>1529</v>
      </c>
      <c r="AA1571" s="36" t="s">
        <v>1732</v>
      </c>
      <c r="AB1571" s="7">
        <f>$AL1569-$AH1558</f>
        <v>221</v>
      </c>
      <c r="AC1571" s="36" t="s">
        <v>68</v>
      </c>
      <c r="AD1571" s="7">
        <f>$AH1560-$AH1560</f>
        <v>0</v>
      </c>
      <c r="AE1571" s="36" t="s">
        <v>2233</v>
      </c>
      <c r="AF1571" s="7">
        <f>$AH1562-$AH1562</f>
        <v>0</v>
      </c>
    </row>
    <row r="1572" spans="1:38" ht="18.399999999999999" customHeight="1" x14ac:dyDescent="0.15">
      <c r="A1572" s="38" t="s">
        <v>2450</v>
      </c>
      <c r="B1572" s="32"/>
      <c r="C1572" s="32"/>
      <c r="D1572" s="32"/>
      <c r="E1572" s="32"/>
      <c r="F1572" s="43"/>
      <c r="K1572" s="3" t="s">
        <v>2450</v>
      </c>
    </row>
    <row r="1573" spans="1:38" ht="18.399999999999999" customHeight="1" x14ac:dyDescent="0.15">
      <c r="A1573" s="38" t="s">
        <v>1222</v>
      </c>
      <c r="B1573" s="32"/>
      <c r="C1573" s="32"/>
      <c r="D1573" s="32"/>
      <c r="E1573" s="32"/>
      <c r="F1573" s="43"/>
      <c r="K1573" s="3" t="s">
        <v>1222</v>
      </c>
    </row>
    <row r="1574" spans="1:38" ht="18.399999999999999" customHeight="1" x14ac:dyDescent="0.15">
      <c r="A1574" s="38" t="s">
        <v>2450</v>
      </c>
      <c r="B1574" s="32"/>
      <c r="C1574" s="32"/>
      <c r="D1574" s="32"/>
      <c r="E1574" s="32"/>
      <c r="F1574" s="43"/>
      <c r="K1574" s="3" t="s">
        <v>2450</v>
      </c>
    </row>
    <row r="1575" spans="1:38" ht="18.399999999999999" customHeight="1" x14ac:dyDescent="0.15">
      <c r="A1575" s="40" t="str">
        <f>CONCATENATE("   ( ",TEXT($AB1575,"#,##0.00")," + ",TEXT($AF1575,"#,##0.00")," ) * 0.01 = ",TEXT($AJ1575,"#,##0.00"))</f>
        <v xml:space="preserve">   ( 3,696.00 + 527.00 ) * 0.01 = 42.00</v>
      </c>
      <c r="B1575" s="32">
        <f>SUM($C1575,$D1575,$E1575)</f>
        <v>42</v>
      </c>
      <c r="C1575" s="32">
        <f>$AJ1575</f>
        <v>42</v>
      </c>
      <c r="D1575" s="32"/>
      <c r="E1575" s="32"/>
      <c r="F1575" s="43"/>
      <c r="K1575" s="3" t="s">
        <v>1666</v>
      </c>
      <c r="AA1575" s="36" t="s">
        <v>721</v>
      </c>
      <c r="AB1575" s="8">
        <f>$AH1536</f>
        <v>3696</v>
      </c>
      <c r="AC1575" s="36" t="s">
        <v>1656</v>
      </c>
      <c r="AD1575" s="7">
        <f>$AB1575</f>
        <v>3696</v>
      </c>
      <c r="AE1575" s="36" t="s">
        <v>1447</v>
      </c>
      <c r="AF1575" s="8">
        <f>$AH1540</f>
        <v>527</v>
      </c>
      <c r="AG1575" s="36" t="s">
        <v>641</v>
      </c>
      <c r="AH1575" s="7">
        <f>$AF1575</f>
        <v>527</v>
      </c>
      <c r="AI1575" s="37" t="s">
        <v>1798</v>
      </c>
      <c r="AJ1575" s="8">
        <f>TRUNC(($AD1575+$AH1575)*0.01,0)</f>
        <v>42</v>
      </c>
      <c r="AK1575" s="37" t="s">
        <v>2021</v>
      </c>
      <c r="AL1575" s="7">
        <f>$AL1569+$AJ1575</f>
        <v>5298</v>
      </c>
    </row>
    <row r="1576" spans="1:38" ht="18.399999999999999" customHeight="1" x14ac:dyDescent="0.15">
      <c r="A1576" s="38" t="s">
        <v>2450</v>
      </c>
      <c r="B1576" s="32"/>
      <c r="C1576" s="32"/>
      <c r="D1576" s="32"/>
      <c r="E1576" s="32"/>
      <c r="F1576" s="43"/>
      <c r="K1576" s="3" t="s">
        <v>2450</v>
      </c>
    </row>
    <row r="1577" spans="1:38" ht="18.399999999999999" customHeight="1" x14ac:dyDescent="0.15">
      <c r="A1577" s="38" t="s">
        <v>569</v>
      </c>
      <c r="B1577" s="33">
        <f>SUM($C1577,$D1577,$E1577)</f>
        <v>42</v>
      </c>
      <c r="C1577" s="33">
        <f>$AB1577</f>
        <v>42</v>
      </c>
      <c r="D1577" s="33">
        <f>$AD1577</f>
        <v>0</v>
      </c>
      <c r="E1577" s="33">
        <f>$AF1577</f>
        <v>0</v>
      </c>
      <c r="F1577" s="44"/>
      <c r="K1577" s="3" t="s">
        <v>1529</v>
      </c>
      <c r="AA1577" s="36" t="s">
        <v>1732</v>
      </c>
      <c r="AB1577" s="7">
        <f>$AL1575-$AL1569</f>
        <v>42</v>
      </c>
      <c r="AC1577" s="36" t="s">
        <v>68</v>
      </c>
      <c r="AD1577" s="7">
        <f>$AH1560-$AH1560</f>
        <v>0</v>
      </c>
      <c r="AE1577" s="36" t="s">
        <v>2233</v>
      </c>
      <c r="AF1577" s="7">
        <f>$AH1562-$AH1562</f>
        <v>0</v>
      </c>
    </row>
    <row r="1578" spans="1:38" ht="18.399999999999999" customHeight="1" x14ac:dyDescent="0.15">
      <c r="A1578" s="38" t="s">
        <v>2450</v>
      </c>
      <c r="B1578" s="32"/>
      <c r="C1578" s="32"/>
      <c r="D1578" s="32"/>
      <c r="E1578" s="32"/>
      <c r="F1578" s="43"/>
      <c r="K1578" s="3" t="s">
        <v>2450</v>
      </c>
    </row>
    <row r="1579" spans="1:38" ht="18.399999999999999" customHeight="1" x14ac:dyDescent="0.15">
      <c r="A1579" s="38" t="s">
        <v>2337</v>
      </c>
      <c r="B1579" s="34">
        <f>SUM($C1579,$D1579,$E1579)</f>
        <v>16921</v>
      </c>
      <c r="C1579" s="34">
        <f>$AB1579</f>
        <v>5298</v>
      </c>
      <c r="D1579" s="34">
        <f>$AD1579</f>
        <v>11060</v>
      </c>
      <c r="E1579" s="34">
        <f>$AF1579</f>
        <v>563</v>
      </c>
      <c r="F1579" s="45"/>
      <c r="K1579" s="3" t="s">
        <v>733</v>
      </c>
      <c r="AA1579" s="36" t="s">
        <v>989</v>
      </c>
      <c r="AB1579" s="7">
        <f>$AL1575</f>
        <v>5298</v>
      </c>
      <c r="AC1579" s="36" t="s">
        <v>2036</v>
      </c>
      <c r="AD1579" s="7">
        <f>$AH1560</f>
        <v>11060</v>
      </c>
      <c r="AE1579" s="36" t="s">
        <v>579</v>
      </c>
      <c r="AF1579" s="7">
        <f>$AH1562</f>
        <v>563</v>
      </c>
    </row>
    <row r="1580" spans="1:38" ht="18.399999999999999" customHeight="1" x14ac:dyDescent="0.15">
      <c r="A1580" s="38"/>
      <c r="B1580" s="3"/>
      <c r="C1580" s="3"/>
      <c r="D1580" s="3"/>
      <c r="E1580" s="3"/>
      <c r="F1580" s="42"/>
    </row>
    <row r="1581" spans="1:38" ht="18.399999999999999" customHeight="1" x14ac:dyDescent="0.15">
      <c r="A1581" s="41" t="s">
        <v>1388</v>
      </c>
      <c r="B1581" s="35">
        <f>SUM($C1581,$D1581,$E1581)</f>
        <v>16921</v>
      </c>
      <c r="C1581" s="35">
        <f>TRUNC(SUM($AL1575),0)</f>
        <v>5298</v>
      </c>
      <c r="D1581" s="35">
        <f>TRUNC(SUM($AH1560),0)</f>
        <v>11060</v>
      </c>
      <c r="E1581" s="35">
        <f>TRUNC(SUM($AH1562),0)</f>
        <v>563</v>
      </c>
      <c r="F1581" s="47"/>
    </row>
    <row r="1582" spans="1:38" ht="18.399999999999999" customHeight="1" x14ac:dyDescent="0.15">
      <c r="A1582" s="38"/>
      <c r="B1582" s="3"/>
      <c r="C1582" s="3"/>
      <c r="D1582" s="3"/>
      <c r="E1582" s="3"/>
      <c r="F1582" s="42"/>
    </row>
    <row r="1583" spans="1:38" ht="18.399999999999999" customHeight="1" x14ac:dyDescent="0.15">
      <c r="A1583" s="38" t="s">
        <v>360</v>
      </c>
      <c r="B1583" s="32">
        <f>$B1641</f>
        <v>10258</v>
      </c>
      <c r="C1583" s="32">
        <f>$C1641</f>
        <v>4753</v>
      </c>
      <c r="D1583" s="32">
        <f>$D1641</f>
        <v>5238</v>
      </c>
      <c r="E1583" s="32">
        <f>$E1641</f>
        <v>267</v>
      </c>
      <c r="F1583" s="42" t="s">
        <v>2450</v>
      </c>
      <c r="G1583" t="s">
        <v>2450</v>
      </c>
      <c r="H1583" t="s">
        <v>946</v>
      </c>
      <c r="K1583">
        <v>1</v>
      </c>
      <c r="Y1583" s="7" t="b">
        <f>EXACT($Z1583,$B1641)</f>
        <v>1</v>
      </c>
      <c r="Z1583" s="35">
        <v>10258</v>
      </c>
    </row>
    <row r="1584" spans="1:38" ht="18.399999999999999" customHeight="1" x14ac:dyDescent="0.15">
      <c r="A1584" s="39"/>
      <c r="B1584" s="3"/>
      <c r="C1584" s="3"/>
      <c r="D1584" s="3"/>
      <c r="E1584" s="3"/>
      <c r="F1584" s="42"/>
    </row>
    <row r="1585" spans="1:38" ht="18.399999999999999" customHeight="1" x14ac:dyDescent="0.15">
      <c r="A1585" s="38" t="s">
        <v>2450</v>
      </c>
      <c r="B1585" s="3"/>
      <c r="C1585" s="3"/>
      <c r="D1585" s="3"/>
      <c r="E1585" s="3"/>
      <c r="F1585" s="42"/>
      <c r="G1585" t="s">
        <v>2450</v>
      </c>
      <c r="I1585" t="s">
        <v>286</v>
      </c>
      <c r="J1585" t="s">
        <v>2450</v>
      </c>
      <c r="K1585" t="s">
        <v>2053</v>
      </c>
    </row>
    <row r="1586" spans="1:38" ht="18.399999999999999" customHeight="1" x14ac:dyDescent="0.15">
      <c r="A1586" s="38" t="s">
        <v>1134</v>
      </c>
      <c r="B1586" s="32"/>
      <c r="C1586" s="32"/>
      <c r="D1586" s="32"/>
      <c r="E1586" s="32"/>
      <c r="F1586" s="43"/>
      <c r="K1586" s="3" t="s">
        <v>1134</v>
      </c>
    </row>
    <row r="1587" spans="1:38" ht="18.399999999999999" customHeight="1" x14ac:dyDescent="0.15">
      <c r="A1587" s="38" t="s">
        <v>2450</v>
      </c>
      <c r="B1587" s="32"/>
      <c r="C1587" s="32"/>
      <c r="D1587" s="32"/>
      <c r="E1587" s="32"/>
      <c r="F1587" s="43"/>
      <c r="K1587" s="3" t="s">
        <v>2450</v>
      </c>
    </row>
    <row r="1588" spans="1:38" ht="18.399999999999999" customHeight="1" x14ac:dyDescent="0.15">
      <c r="A1588" s="40" t="str">
        <f>CONCATENATE(" ○ 1일 시공량 :  A=",TEXT($AB1588,"#,##0.00")," ㎡/일")</f>
        <v xml:space="preserve"> ○ 1일 시공량 :  A=228.00 ㎡/일</v>
      </c>
      <c r="B1588" s="32"/>
      <c r="C1588" s="32"/>
      <c r="D1588" s="32"/>
      <c r="E1588" s="32"/>
      <c r="F1588" s="43"/>
      <c r="K1588" s="10" t="str">
        <f>SUBSTITUTE(SUBSTITUTE("_x001D_○ 1일 시공량 :_x001D_ A = 228_x001D_㎡/일_x001D_","228",TEXT($AB1588,"#,##0"),1),"_x001D_","'")</f>
        <v>'○ 1일 시공량 :' A = 228'㎡/일'</v>
      </c>
      <c r="AA1588" s="36" t="s">
        <v>430</v>
      </c>
      <c r="AB1588" s="6">
        <v>228</v>
      </c>
      <c r="AC1588" s="36" t="s">
        <v>430</v>
      </c>
      <c r="AD1588" s="7">
        <f>$AB1588</f>
        <v>228</v>
      </c>
    </row>
    <row r="1589" spans="1:38" ht="18.399999999999999" customHeight="1" x14ac:dyDescent="0.15">
      <c r="A1589" s="38" t="s">
        <v>2450</v>
      </c>
      <c r="B1589" s="32"/>
      <c r="C1589" s="32"/>
      <c r="D1589" s="32"/>
      <c r="E1589" s="32"/>
      <c r="F1589" s="43"/>
      <c r="K1589" s="3" t="s">
        <v>2450</v>
      </c>
    </row>
    <row r="1590" spans="1:38" ht="18.399999999999999" customHeight="1" x14ac:dyDescent="0.15">
      <c r="A1590" s="40" t="str">
        <f>CONCATENATE(" ○ 1시간 작업량 :  Q = ",TEXT($AB1590,"#,##0.00")," / 8 hr  =",TEXT($AJ1590,"#,##0.00")," ㎡/hr ")</f>
        <v xml:space="preserve"> ○ 1시간 작업량 :  Q = 228.00 / 8 hr  =28.50 ㎡/hr </v>
      </c>
      <c r="B1590" s="32">
        <f>SUM($C1590,$D1590,$E1590)</f>
        <v>0</v>
      </c>
      <c r="C1590" s="32"/>
      <c r="D1590" s="32"/>
      <c r="E1590" s="32"/>
      <c r="F1590" s="43"/>
      <c r="K1590" s="3" t="s">
        <v>1883</v>
      </c>
      <c r="AA1590" s="36" t="s">
        <v>1700</v>
      </c>
      <c r="AB1590" s="8">
        <f>$AD1588</f>
        <v>228</v>
      </c>
      <c r="AC1590" s="36" t="s">
        <v>887</v>
      </c>
      <c r="AD1590" s="7">
        <f>$AB1590</f>
        <v>228</v>
      </c>
      <c r="AE1590" s="36" t="s">
        <v>461</v>
      </c>
      <c r="AF1590" s="8">
        <f>ROUND($AD1590/8,2)</f>
        <v>28.5</v>
      </c>
      <c r="AG1590" s="36" t="s">
        <v>1686</v>
      </c>
      <c r="AH1590" s="7">
        <f>$AF1590</f>
        <v>28.5</v>
      </c>
      <c r="AI1590" s="36" t="s">
        <v>973</v>
      </c>
      <c r="AJ1590" s="8">
        <f>ROUND(ROUND($AD1590/8,2),2)</f>
        <v>28.5</v>
      </c>
      <c r="AK1590" s="36" t="s">
        <v>1733</v>
      </c>
      <c r="AL1590" s="7">
        <f>$AJ1590</f>
        <v>28.5</v>
      </c>
    </row>
    <row r="1591" spans="1:38" ht="18.399999999999999" customHeight="1" x14ac:dyDescent="0.15">
      <c r="A1591" s="38" t="s">
        <v>2450</v>
      </c>
      <c r="B1591" s="32"/>
      <c r="C1591" s="32"/>
      <c r="D1591" s="32"/>
      <c r="E1591" s="32"/>
      <c r="F1591" s="43"/>
      <c r="K1591" s="3" t="s">
        <v>2450</v>
      </c>
    </row>
    <row r="1592" spans="1:38" ht="18.399999999999999" customHeight="1" x14ac:dyDescent="0.15">
      <c r="A1592" s="38" t="s">
        <v>927</v>
      </c>
      <c r="B1592" s="32"/>
      <c r="C1592" s="32"/>
      <c r="D1592" s="32"/>
      <c r="E1592" s="32"/>
      <c r="F1592" s="43"/>
      <c r="K1592" s="3" t="s">
        <v>927</v>
      </c>
    </row>
    <row r="1593" spans="1:38" ht="18.399999999999999" customHeight="1" x14ac:dyDescent="0.15">
      <c r="A1593" s="38" t="s">
        <v>2450</v>
      </c>
      <c r="B1593" s="32"/>
      <c r="C1593" s="32"/>
      <c r="D1593" s="32"/>
      <c r="E1593" s="32"/>
      <c r="F1593" s="43"/>
      <c r="K1593" s="3" t="s">
        <v>2450</v>
      </c>
    </row>
    <row r="1594" spans="1:38" ht="18.399999999999999" customHeight="1" x14ac:dyDescent="0.15">
      <c r="A1594" s="38" t="s">
        <v>491</v>
      </c>
      <c r="B1594" s="32"/>
      <c r="C1594" s="32"/>
      <c r="D1594" s="32"/>
      <c r="E1594" s="32"/>
      <c r="F1594" s="43"/>
      <c r="K1594" s="3" t="s">
        <v>491</v>
      </c>
    </row>
    <row r="1595" spans="1:38" ht="18.399999999999999" customHeight="1" x14ac:dyDescent="0.15">
      <c r="A1595" s="38" t="s">
        <v>2450</v>
      </c>
      <c r="B1595" s="32"/>
      <c r="C1595" s="32"/>
      <c r="D1595" s="32"/>
      <c r="E1595" s="32"/>
      <c r="F1595" s="43"/>
      <c r="K1595" s="3" t="s">
        <v>2450</v>
      </c>
    </row>
    <row r="1596" spans="1:38" ht="18.399999999999999" customHeight="1" x14ac:dyDescent="0.15">
      <c r="A1596" s="40" t="str">
        <f>CONCATENATE("    4.2 ℓ  * _x001D_8,800_x001D_ / 10 =","MA+ "," :A1")</f>
        <v xml:space="preserve">    4.2 ℓ  * _x001D_8,800_x001D_ / 10 =MA+  :A1</v>
      </c>
      <c r="B1596" s="32">
        <f>SUM($C1596,$D1596,$E1596)</f>
        <v>3696</v>
      </c>
      <c r="C1596" s="32">
        <f>$AB1596</f>
        <v>3696</v>
      </c>
      <c r="D1596" s="32"/>
      <c r="E1596" s="32"/>
      <c r="F1596" s="43" t="s">
        <v>2450</v>
      </c>
      <c r="K1596" s="3" t="s">
        <v>1471</v>
      </c>
      <c r="AA1596" s="37" t="s">
        <v>1798</v>
      </c>
      <c r="AB1596" s="8">
        <f>TRUNC(4.2*자재!D11/10,0)</f>
        <v>3696</v>
      </c>
      <c r="AC1596" s="37" t="s">
        <v>2021</v>
      </c>
      <c r="AD1596" s="7">
        <f>$AB1596</f>
        <v>3696</v>
      </c>
      <c r="AE1596" s="36" t="s">
        <v>92</v>
      </c>
      <c r="AF1596" s="8">
        <f>$AB1596</f>
        <v>3696</v>
      </c>
      <c r="AG1596" s="36" t="s">
        <v>731</v>
      </c>
      <c r="AH1596" s="7">
        <f>$AF1596</f>
        <v>3696</v>
      </c>
    </row>
    <row r="1597" spans="1:38" ht="18.399999999999999" customHeight="1" x14ac:dyDescent="0.15">
      <c r="A1597" s="38" t="s">
        <v>2450</v>
      </c>
      <c r="B1597" s="32"/>
      <c r="C1597" s="32"/>
      <c r="D1597" s="32"/>
      <c r="E1597" s="32"/>
      <c r="F1597" s="43"/>
      <c r="K1597" s="3" t="s">
        <v>2450</v>
      </c>
    </row>
    <row r="1598" spans="1:38" ht="18.399999999999999" customHeight="1" x14ac:dyDescent="0.15">
      <c r="A1598" s="38" t="s">
        <v>917</v>
      </c>
      <c r="B1598" s="32"/>
      <c r="C1598" s="32"/>
      <c r="D1598" s="32"/>
      <c r="E1598" s="32"/>
      <c r="F1598" s="43"/>
      <c r="K1598" s="3" t="s">
        <v>917</v>
      </c>
    </row>
    <row r="1599" spans="1:38" ht="18.399999999999999" customHeight="1" x14ac:dyDescent="0.15">
      <c r="A1599" s="38" t="s">
        <v>2450</v>
      </c>
      <c r="B1599" s="32"/>
      <c r="C1599" s="32"/>
      <c r="D1599" s="32"/>
      <c r="E1599" s="32"/>
      <c r="F1599" s="43"/>
      <c r="K1599" s="3" t="s">
        <v>2450</v>
      </c>
    </row>
    <row r="1600" spans="1:38" ht="18.399999999999999" customHeight="1" x14ac:dyDescent="0.15">
      <c r="A1600" s="40" t="str">
        <f>CONCATENATE("    3.1 kg  * _x001D_1,700_x001D_ / 10 =","MA+ "," :A2")</f>
        <v xml:space="preserve">    3.1 kg  * _x001D_1,700_x001D_ / 10 =MA+  :A2</v>
      </c>
      <c r="B1600" s="32">
        <f>SUM($C1600,$D1600,$E1600)</f>
        <v>527</v>
      </c>
      <c r="C1600" s="32">
        <f>$AB1600</f>
        <v>527</v>
      </c>
      <c r="D1600" s="32"/>
      <c r="E1600" s="32"/>
      <c r="F1600" s="43" t="s">
        <v>2450</v>
      </c>
      <c r="K1600" s="3" t="s">
        <v>2400</v>
      </c>
      <c r="AA1600" s="37" t="s">
        <v>1798</v>
      </c>
      <c r="AB1600" s="8">
        <f>TRUNC(3.1*자재!D4/10,0)</f>
        <v>527</v>
      </c>
      <c r="AC1600" s="37" t="s">
        <v>2021</v>
      </c>
      <c r="AD1600" s="7">
        <f>$AD1596+$AB1600</f>
        <v>4223</v>
      </c>
      <c r="AE1600" s="36" t="s">
        <v>2082</v>
      </c>
      <c r="AF1600" s="8">
        <f>$AB1600</f>
        <v>527</v>
      </c>
      <c r="AG1600" s="36" t="s">
        <v>1589</v>
      </c>
      <c r="AH1600" s="7">
        <f>$AF1600</f>
        <v>527</v>
      </c>
    </row>
    <row r="1601" spans="1:38" ht="18.399999999999999" customHeight="1" x14ac:dyDescent="0.15">
      <c r="A1601" s="38" t="s">
        <v>2450</v>
      </c>
      <c r="B1601" s="32"/>
      <c r="C1601" s="32"/>
      <c r="D1601" s="32"/>
      <c r="E1601" s="32"/>
      <c r="F1601" s="43"/>
      <c r="K1601" s="3" t="s">
        <v>2450</v>
      </c>
    </row>
    <row r="1602" spans="1:38" ht="18.399999999999999" customHeight="1" x14ac:dyDescent="0.15">
      <c r="A1602" s="38" t="s">
        <v>569</v>
      </c>
      <c r="B1602" s="33">
        <f>SUM($C1602,$D1602,$E1602)</f>
        <v>4223</v>
      </c>
      <c r="C1602" s="33">
        <f>$AB1602</f>
        <v>4223</v>
      </c>
      <c r="D1602" s="33">
        <f>$AD1602</f>
        <v>0</v>
      </c>
      <c r="E1602" s="33">
        <f>$AF1602</f>
        <v>0</v>
      </c>
      <c r="F1602" s="44"/>
      <c r="K1602" s="3" t="s">
        <v>1529</v>
      </c>
      <c r="AA1602" s="36" t="s">
        <v>1732</v>
      </c>
      <c r="AB1602" s="7">
        <f>$AD1600</f>
        <v>4223</v>
      </c>
    </row>
    <row r="1603" spans="1:38" ht="18.399999999999999" customHeight="1" x14ac:dyDescent="0.15">
      <c r="A1603" s="38" t="s">
        <v>2450</v>
      </c>
      <c r="B1603" s="32"/>
      <c r="C1603" s="32"/>
      <c r="D1603" s="32"/>
      <c r="E1603" s="32"/>
      <c r="F1603" s="43"/>
      <c r="K1603" s="3" t="s">
        <v>2450</v>
      </c>
    </row>
    <row r="1604" spans="1:38" ht="18.399999999999999" customHeight="1" x14ac:dyDescent="0.15">
      <c r="A1604" s="38" t="s">
        <v>1680</v>
      </c>
      <c r="B1604" s="32"/>
      <c r="C1604" s="32"/>
      <c r="D1604" s="32"/>
      <c r="E1604" s="32"/>
      <c r="F1604" s="43"/>
      <c r="K1604" s="3" t="s">
        <v>1680</v>
      </c>
    </row>
    <row r="1605" spans="1:38" ht="18.399999999999999" customHeight="1" x14ac:dyDescent="0.15">
      <c r="A1605" s="38" t="s">
        <v>2450</v>
      </c>
      <c r="B1605" s="32"/>
      <c r="C1605" s="32"/>
      <c r="D1605" s="32"/>
      <c r="E1605" s="32"/>
      <c r="F1605" s="43"/>
      <c r="K1605" s="3" t="s">
        <v>2450</v>
      </c>
    </row>
    <row r="1606" spans="1:38" ht="18.399999999999999" customHeight="1" x14ac:dyDescent="0.15">
      <c r="A1606" s="40" t="str">
        <f>CONCATENATE("    보통인부 :  2.0 인  / ",TEXT($AB1606,"#,##0.00")," * _x001D_172,068_x001D_ =","LA+ "," :C")</f>
        <v xml:space="preserve">    보통인부 :  2.0 인  / 228.00 * _x001D_172,068_x001D_ =LA+  :C</v>
      </c>
      <c r="B1606" s="32">
        <f>SUM($C1606,$D1606,$E1606)</f>
        <v>1509</v>
      </c>
      <c r="C1606" s="32"/>
      <c r="D1606" s="32">
        <f>$AF1606</f>
        <v>1509</v>
      </c>
      <c r="E1606" s="32"/>
      <c r="F1606" s="43" t="s">
        <v>2450</v>
      </c>
      <c r="K1606" s="3" t="s">
        <v>919</v>
      </c>
      <c r="AA1606" s="36" t="s">
        <v>2352</v>
      </c>
      <c r="AB1606" s="8">
        <f>$AD1588</f>
        <v>228</v>
      </c>
      <c r="AC1606" s="36" t="s">
        <v>1268</v>
      </c>
      <c r="AD1606" s="7">
        <f>$AB1606</f>
        <v>228</v>
      </c>
      <c r="AE1606" s="37" t="s">
        <v>266</v>
      </c>
      <c r="AF1606" s="8">
        <f>TRUNC(2/$AD1606*노임!D10,0)</f>
        <v>1509</v>
      </c>
      <c r="AG1606" s="37" t="s">
        <v>972</v>
      </c>
      <c r="AH1606" s="7">
        <f>$AF1606</f>
        <v>1509</v>
      </c>
      <c r="AI1606" s="36" t="s">
        <v>2001</v>
      </c>
      <c r="AJ1606" s="8">
        <f>$AF1606</f>
        <v>1509</v>
      </c>
      <c r="AK1606" s="36" t="s">
        <v>1586</v>
      </c>
      <c r="AL1606" s="7">
        <f>$AJ1606</f>
        <v>1509</v>
      </c>
    </row>
    <row r="1607" spans="1:38" ht="18.399999999999999" customHeight="1" x14ac:dyDescent="0.15">
      <c r="A1607" s="38" t="s">
        <v>2450</v>
      </c>
      <c r="B1607" s="32"/>
      <c r="C1607" s="32"/>
      <c r="D1607" s="32"/>
      <c r="E1607" s="32"/>
      <c r="F1607" s="43"/>
      <c r="K1607" s="3" t="s">
        <v>2450</v>
      </c>
    </row>
    <row r="1608" spans="1:38" ht="18.399999999999999" customHeight="1" x14ac:dyDescent="0.15">
      <c r="A1608" s="40" t="str">
        <f>CONCATENATE("    특별인부 :  2.0 인  / ",TEXT($AB1608,"#,##0.00")," * _x001D_226,122_x001D_ =","LA+ "," :D")</f>
        <v xml:space="preserve">    특별인부 :  2.0 인  / 228.00 * _x001D_226,122_x001D_ =LA+  :D</v>
      </c>
      <c r="B1608" s="32">
        <f>SUM($C1608,$D1608,$E1608)</f>
        <v>1983</v>
      </c>
      <c r="C1608" s="32"/>
      <c r="D1608" s="32">
        <f>$AF1608</f>
        <v>1983</v>
      </c>
      <c r="E1608" s="32"/>
      <c r="F1608" s="43" t="s">
        <v>2450</v>
      </c>
      <c r="K1608" s="3" t="s">
        <v>423</v>
      </c>
      <c r="AA1608" s="36" t="s">
        <v>1012</v>
      </c>
      <c r="AB1608" s="8">
        <f>$AD1588</f>
        <v>228</v>
      </c>
      <c r="AC1608" s="36" t="s">
        <v>1693</v>
      </c>
      <c r="AD1608" s="7">
        <f>$AB1608</f>
        <v>228</v>
      </c>
      <c r="AE1608" s="37" t="s">
        <v>266</v>
      </c>
      <c r="AF1608" s="8">
        <f>TRUNC(2/$AD1608*노임!D9,0)</f>
        <v>1983</v>
      </c>
      <c r="AG1608" s="37" t="s">
        <v>972</v>
      </c>
      <c r="AH1608" s="7">
        <f>$AH1606+$AF1608</f>
        <v>3492</v>
      </c>
      <c r="AI1608" s="36" t="s">
        <v>1845</v>
      </c>
      <c r="AJ1608" s="8">
        <f>$AF1608</f>
        <v>1983</v>
      </c>
      <c r="AK1608" s="36" t="s">
        <v>298</v>
      </c>
      <c r="AL1608" s="7">
        <f>$AJ1608</f>
        <v>1983</v>
      </c>
    </row>
    <row r="1609" spans="1:38" ht="18.399999999999999" customHeight="1" x14ac:dyDescent="0.15">
      <c r="A1609" s="38" t="s">
        <v>2450</v>
      </c>
      <c r="B1609" s="32"/>
      <c r="C1609" s="32"/>
      <c r="D1609" s="32"/>
      <c r="E1609" s="32"/>
      <c r="F1609" s="43"/>
      <c r="K1609" s="3" t="s">
        <v>2450</v>
      </c>
    </row>
    <row r="1610" spans="1:38" ht="18.399999999999999" customHeight="1" x14ac:dyDescent="0.15">
      <c r="A1610" s="38" t="s">
        <v>569</v>
      </c>
      <c r="B1610" s="33">
        <f>SUM($C1610,$D1610,$E1610)</f>
        <v>3492</v>
      </c>
      <c r="C1610" s="33">
        <f>$AB1610</f>
        <v>0</v>
      </c>
      <c r="D1610" s="33">
        <f>$AD1610</f>
        <v>3492</v>
      </c>
      <c r="E1610" s="33">
        <f>$AF1610</f>
        <v>0</v>
      </c>
      <c r="F1610" s="44"/>
      <c r="K1610" s="3" t="s">
        <v>1529</v>
      </c>
      <c r="AA1610" s="36" t="s">
        <v>1732</v>
      </c>
      <c r="AB1610" s="7">
        <f>$AD1600-$AD1600</f>
        <v>0</v>
      </c>
      <c r="AC1610" s="36" t="s">
        <v>68</v>
      </c>
      <c r="AD1610" s="7">
        <f>$AH1608</f>
        <v>3492</v>
      </c>
    </row>
    <row r="1611" spans="1:38" ht="18.399999999999999" customHeight="1" x14ac:dyDescent="0.15">
      <c r="A1611" s="38" t="s">
        <v>2450</v>
      </c>
      <c r="B1611" s="32"/>
      <c r="C1611" s="32"/>
      <c r="D1611" s="32"/>
      <c r="E1611" s="32"/>
      <c r="F1611" s="43"/>
      <c r="K1611" s="3" t="s">
        <v>2450</v>
      </c>
    </row>
    <row r="1612" spans="1:38" ht="18.399999999999999" customHeight="1" x14ac:dyDescent="0.15">
      <c r="A1612" s="38" t="s">
        <v>2009</v>
      </c>
      <c r="B1612" s="32"/>
      <c r="C1612" s="32"/>
      <c r="D1612" s="32"/>
      <c r="E1612" s="32"/>
      <c r="F1612" s="43"/>
      <c r="K1612" s="3" t="s">
        <v>2009</v>
      </c>
    </row>
    <row r="1613" spans="1:38" ht="18.399999999999999" customHeight="1" x14ac:dyDescent="0.15">
      <c r="A1613" s="38" t="s">
        <v>2450</v>
      </c>
      <c r="B1613" s="32"/>
      <c r="C1613" s="32"/>
      <c r="D1613" s="32"/>
      <c r="E1613" s="32"/>
      <c r="F1613" s="43"/>
      <c r="K1613" s="3" t="s">
        <v>2450</v>
      </c>
    </row>
    <row r="1614" spans="1:38" ht="18.399999999999999" customHeight="1" x14ac:dyDescent="0.15">
      <c r="A1614" s="38" t="s">
        <v>1230</v>
      </c>
      <c r="B1614" s="32"/>
      <c r="C1614" s="32"/>
      <c r="D1614" s="32"/>
      <c r="E1614" s="32"/>
      <c r="F1614" s="43"/>
      <c r="K1614" s="3" t="s">
        <v>1230</v>
      </c>
    </row>
    <row r="1615" spans="1:38" ht="18.399999999999999" customHeight="1" x14ac:dyDescent="0.15">
      <c r="A1615" s="38" t="s">
        <v>2450</v>
      </c>
      <c r="B1615" s="32"/>
      <c r="C1615" s="32"/>
      <c r="D1615" s="32"/>
      <c r="E1615" s="32"/>
      <c r="F1615" s="43"/>
      <c r="K1615" s="3" t="s">
        <v>2450</v>
      </c>
    </row>
    <row r="1616" spans="1:38" ht="18.399999999999999" customHeight="1" x14ac:dyDescent="0.15">
      <c r="A1616" s="38" t="s">
        <v>647</v>
      </c>
      <c r="B1616" s="32"/>
      <c r="C1616" s="32"/>
      <c r="D1616" s="32"/>
      <c r="E1616" s="32"/>
      <c r="F1616" s="43"/>
      <c r="K1616" s="3" t="s">
        <v>647</v>
      </c>
    </row>
    <row r="1617" spans="1:38" ht="18.399999999999999" customHeight="1" x14ac:dyDescent="0.15">
      <c r="A1617" s="38" t="s">
        <v>2450</v>
      </c>
      <c r="B1617" s="32"/>
      <c r="C1617" s="32"/>
      <c r="D1617" s="32"/>
      <c r="E1617" s="32"/>
      <c r="F1617" s="43"/>
      <c r="K1617" s="3" t="s">
        <v>2450</v>
      </c>
    </row>
    <row r="1618" spans="1:38" ht="18.399999999999999" customHeight="1" x14ac:dyDescent="0.15">
      <c r="A1618" s="40" t="str">
        <f>CONCATENATE("    재 료 비 :   _x001D_10,971_x001D_ / ",TEXT($AB1618,"#,##0.00")," =",TEXT($AF1618,"#,##0.00"))</f>
        <v xml:space="preserve">    재 료 비 :   _x001D_10,971_x001D_ / 28.50 =384.00</v>
      </c>
      <c r="B1618" s="32">
        <f>SUM($C1618,$D1618,$E1618)</f>
        <v>384</v>
      </c>
      <c r="C1618" s="32">
        <f>$AF1618</f>
        <v>384</v>
      </c>
      <c r="D1618" s="32"/>
      <c r="E1618" s="32"/>
      <c r="F1618" s="43" t="s">
        <v>2450</v>
      </c>
      <c r="K1618" s="3" t="s">
        <v>290</v>
      </c>
      <c r="AA1618" s="36" t="s">
        <v>881</v>
      </c>
      <c r="AB1618" s="8">
        <f>$AH1590</f>
        <v>28.5</v>
      </c>
      <c r="AC1618" s="36" t="s">
        <v>2366</v>
      </c>
      <c r="AD1618" s="7">
        <f>$AB1618</f>
        <v>28.5</v>
      </c>
      <c r="AE1618" s="37" t="s">
        <v>1798</v>
      </c>
      <c r="AF1618" s="8">
        <f>TRUNC(중기사용료목록!E10/$AD1618,0)</f>
        <v>384</v>
      </c>
      <c r="AG1618" s="37" t="s">
        <v>2021</v>
      </c>
      <c r="AH1618" s="7">
        <f>$AD1600+$AF1618</f>
        <v>4607</v>
      </c>
    </row>
    <row r="1619" spans="1:38" ht="18.399999999999999" customHeight="1" x14ac:dyDescent="0.15">
      <c r="A1619" s="38" t="s">
        <v>2450</v>
      </c>
      <c r="B1619" s="32"/>
      <c r="C1619" s="32"/>
      <c r="D1619" s="32"/>
      <c r="E1619" s="32"/>
      <c r="F1619" s="43"/>
      <c r="K1619" s="3" t="s">
        <v>2450</v>
      </c>
    </row>
    <row r="1620" spans="1:38" ht="18.399999999999999" customHeight="1" x14ac:dyDescent="0.15">
      <c r="A1620" s="40" t="str">
        <f>CONCATENATE("    노 무 비 :   _x001D_49,778_x001D_ / ",TEXT($AB1620,"#,##0.00")," =",TEXT($AF1620,"#,##0.00"))</f>
        <v xml:space="preserve">    노 무 비 :   _x001D_49,778_x001D_ / 28.50 =1,746.00</v>
      </c>
      <c r="B1620" s="32">
        <f>SUM($C1620,$D1620,$E1620)</f>
        <v>1746</v>
      </c>
      <c r="C1620" s="32"/>
      <c r="D1620" s="32">
        <f>$AF1620</f>
        <v>1746</v>
      </c>
      <c r="E1620" s="32"/>
      <c r="F1620" s="43" t="s">
        <v>2450</v>
      </c>
      <c r="K1620" s="3" t="s">
        <v>1305</v>
      </c>
      <c r="AA1620" s="36" t="s">
        <v>652</v>
      </c>
      <c r="AB1620" s="8">
        <f>$AH1590</f>
        <v>28.5</v>
      </c>
      <c r="AC1620" s="36" t="s">
        <v>1273</v>
      </c>
      <c r="AD1620" s="7">
        <f>$AB1620</f>
        <v>28.5</v>
      </c>
      <c r="AE1620" s="37" t="s">
        <v>266</v>
      </c>
      <c r="AF1620" s="8">
        <f>TRUNC(중기사용료목록!F10/$AD1620,0)</f>
        <v>1746</v>
      </c>
      <c r="AG1620" s="37" t="s">
        <v>972</v>
      </c>
      <c r="AH1620" s="7">
        <f>$AH1608+$AF1620</f>
        <v>5238</v>
      </c>
    </row>
    <row r="1621" spans="1:38" ht="18.399999999999999" customHeight="1" x14ac:dyDescent="0.15">
      <c r="A1621" s="38" t="s">
        <v>2450</v>
      </c>
      <c r="B1621" s="32"/>
      <c r="C1621" s="32"/>
      <c r="D1621" s="32"/>
      <c r="E1621" s="32"/>
      <c r="F1621" s="43"/>
      <c r="K1621" s="3" t="s">
        <v>2450</v>
      </c>
    </row>
    <row r="1622" spans="1:38" ht="18.399999999999999" customHeight="1" x14ac:dyDescent="0.15">
      <c r="A1622" s="40" t="str">
        <f>CONCATENATE("    경    비 :   _x001D_7,613_x001D_ / ",TEXT($AB1622,"#,##0.00")," =",TEXT($AF1622,"#,##0.00"))</f>
        <v xml:space="preserve">    경    비 :   _x001D_7,613_x001D_ / 28.50 =267.00</v>
      </c>
      <c r="B1622" s="32">
        <f>SUM($C1622,$D1622,$E1622)</f>
        <v>267</v>
      </c>
      <c r="C1622" s="32"/>
      <c r="D1622" s="32"/>
      <c r="E1622" s="32">
        <f>$AF1622</f>
        <v>267</v>
      </c>
      <c r="F1622" s="43" t="s">
        <v>2450</v>
      </c>
      <c r="K1622" s="3" t="s">
        <v>83</v>
      </c>
      <c r="AA1622" s="36" t="s">
        <v>1863</v>
      </c>
      <c r="AB1622" s="8">
        <f>$AH1590</f>
        <v>28.5</v>
      </c>
      <c r="AC1622" s="36" t="s">
        <v>2399</v>
      </c>
      <c r="AD1622" s="7">
        <f>$AB1622</f>
        <v>28.5</v>
      </c>
      <c r="AE1622" s="37" t="s">
        <v>815</v>
      </c>
      <c r="AF1622" s="8">
        <f>TRUNC(중기사용료목록!G10/$AD1622,0)</f>
        <v>267</v>
      </c>
      <c r="AG1622" s="37" t="s">
        <v>1302</v>
      </c>
      <c r="AH1622" s="7">
        <f>$AF1622</f>
        <v>267</v>
      </c>
    </row>
    <row r="1623" spans="1:38" ht="18.399999999999999" customHeight="1" x14ac:dyDescent="0.15">
      <c r="A1623" s="38" t="s">
        <v>2450</v>
      </c>
      <c r="B1623" s="32"/>
      <c r="C1623" s="32"/>
      <c r="D1623" s="32"/>
      <c r="E1623" s="32"/>
      <c r="F1623" s="43"/>
      <c r="K1623" s="3" t="s">
        <v>2450</v>
      </c>
    </row>
    <row r="1624" spans="1:38" ht="18.399999999999999" customHeight="1" x14ac:dyDescent="0.15">
      <c r="A1624" s="38" t="s">
        <v>569</v>
      </c>
      <c r="B1624" s="33">
        <f>SUM($C1624,$D1624,$E1624)</f>
        <v>2397</v>
      </c>
      <c r="C1624" s="33">
        <f>$AB1624</f>
        <v>384</v>
      </c>
      <c r="D1624" s="33">
        <f>$AD1624</f>
        <v>1746</v>
      </c>
      <c r="E1624" s="33">
        <f>$AF1624</f>
        <v>267</v>
      </c>
      <c r="F1624" s="44"/>
      <c r="K1624" s="3" t="s">
        <v>1529</v>
      </c>
      <c r="AA1624" s="36" t="s">
        <v>1732</v>
      </c>
      <c r="AB1624" s="7">
        <f>$AH1618-$AD1600</f>
        <v>384</v>
      </c>
      <c r="AC1624" s="36" t="s">
        <v>68</v>
      </c>
      <c r="AD1624" s="7">
        <f>$AH1620-$AH1608</f>
        <v>1746</v>
      </c>
      <c r="AE1624" s="36" t="s">
        <v>2233</v>
      </c>
      <c r="AF1624" s="7">
        <f>$AH1622</f>
        <v>267</v>
      </c>
    </row>
    <row r="1625" spans="1:38" ht="18.399999999999999" customHeight="1" x14ac:dyDescent="0.15">
      <c r="A1625" s="38" t="s">
        <v>2450</v>
      </c>
      <c r="B1625" s="32"/>
      <c r="C1625" s="32"/>
      <c r="D1625" s="32"/>
      <c r="E1625" s="32"/>
      <c r="F1625" s="43"/>
      <c r="K1625" s="3" t="s">
        <v>2450</v>
      </c>
    </row>
    <row r="1626" spans="1:38" ht="18.399999999999999" customHeight="1" x14ac:dyDescent="0.15">
      <c r="A1626" s="38" t="s">
        <v>2450</v>
      </c>
      <c r="B1626" s="32"/>
      <c r="C1626" s="32"/>
      <c r="D1626" s="32"/>
      <c r="E1626" s="32"/>
      <c r="F1626" s="43"/>
      <c r="K1626" s="3" t="s">
        <v>2450</v>
      </c>
    </row>
    <row r="1627" spans="1:38" ht="18.399999999999999" customHeight="1" x14ac:dyDescent="0.15">
      <c r="A1627" s="38" t="s">
        <v>125</v>
      </c>
      <c r="B1627" s="32"/>
      <c r="C1627" s="32"/>
      <c r="D1627" s="32"/>
      <c r="E1627" s="32"/>
      <c r="F1627" s="43"/>
      <c r="K1627" s="3" t="s">
        <v>125</v>
      </c>
    </row>
    <row r="1628" spans="1:38" ht="18.399999999999999" customHeight="1" x14ac:dyDescent="0.15">
      <c r="A1628" s="38" t="s">
        <v>2450</v>
      </c>
      <c r="B1628" s="32"/>
      <c r="C1628" s="32"/>
      <c r="D1628" s="32"/>
      <c r="E1628" s="32"/>
      <c r="F1628" s="43"/>
      <c r="K1628" s="3" t="s">
        <v>2450</v>
      </c>
    </row>
    <row r="1629" spans="1:38" ht="18.399999999999999" customHeight="1" x14ac:dyDescent="0.15">
      <c r="A1629" s="40" t="str">
        <f>CONCATENATE("   ( ",TEXT($AB1629,"#,##0.00")," + ",TEXT($AF1629,"#,##0.00")," ) * 0.03 = ",TEXT($AJ1629,"#,##0.00"))</f>
        <v xml:space="preserve">   ( 1,509.00 + 1,983.00 ) * 0.03 = 104.00</v>
      </c>
      <c r="B1629" s="32">
        <f>SUM($C1629,$D1629,$E1629)</f>
        <v>104</v>
      </c>
      <c r="C1629" s="32">
        <f>$AJ1629</f>
        <v>104</v>
      </c>
      <c r="D1629" s="32"/>
      <c r="E1629" s="32"/>
      <c r="F1629" s="43"/>
      <c r="K1629" s="3" t="s">
        <v>2110</v>
      </c>
      <c r="AA1629" s="36" t="s">
        <v>240</v>
      </c>
      <c r="AB1629" s="8">
        <f>$AL1606</f>
        <v>1509</v>
      </c>
      <c r="AC1629" s="36" t="s">
        <v>1632</v>
      </c>
      <c r="AD1629" s="7">
        <f>$AB1629</f>
        <v>1509</v>
      </c>
      <c r="AE1629" s="36" t="s">
        <v>1902</v>
      </c>
      <c r="AF1629" s="8">
        <f>$AL1608</f>
        <v>1983</v>
      </c>
      <c r="AG1629" s="36" t="s">
        <v>655</v>
      </c>
      <c r="AH1629" s="7">
        <f>$AF1629</f>
        <v>1983</v>
      </c>
      <c r="AI1629" s="37" t="s">
        <v>1798</v>
      </c>
      <c r="AJ1629" s="8">
        <f>TRUNC(($AD1629+$AH1629)*0.03,0)</f>
        <v>104</v>
      </c>
      <c r="AK1629" s="37" t="s">
        <v>2021</v>
      </c>
      <c r="AL1629" s="7">
        <f>$AH1618+$AJ1629</f>
        <v>4711</v>
      </c>
    </row>
    <row r="1630" spans="1:38" ht="18.399999999999999" customHeight="1" x14ac:dyDescent="0.15">
      <c r="A1630" s="38" t="s">
        <v>2450</v>
      </c>
      <c r="B1630" s="32"/>
      <c r="C1630" s="32"/>
      <c r="D1630" s="32"/>
      <c r="E1630" s="32"/>
      <c r="F1630" s="43"/>
      <c r="K1630" s="3" t="s">
        <v>2450</v>
      </c>
    </row>
    <row r="1631" spans="1:38" ht="18.399999999999999" customHeight="1" x14ac:dyDescent="0.15">
      <c r="A1631" s="38" t="s">
        <v>569</v>
      </c>
      <c r="B1631" s="33">
        <f>SUM($C1631,$D1631,$E1631)</f>
        <v>104</v>
      </c>
      <c r="C1631" s="33">
        <f>$AB1631</f>
        <v>104</v>
      </c>
      <c r="D1631" s="33">
        <f>$AD1631</f>
        <v>0</v>
      </c>
      <c r="E1631" s="33">
        <f>$AF1631</f>
        <v>0</v>
      </c>
      <c r="F1631" s="44"/>
      <c r="K1631" s="3" t="s">
        <v>1529</v>
      </c>
      <c r="AA1631" s="36" t="s">
        <v>1732</v>
      </c>
      <c r="AB1631" s="7">
        <f>$AL1629-$AH1618</f>
        <v>104</v>
      </c>
      <c r="AC1631" s="36" t="s">
        <v>68</v>
      </c>
      <c r="AD1631" s="7">
        <f>$AH1620-$AH1620</f>
        <v>0</v>
      </c>
      <c r="AE1631" s="36" t="s">
        <v>2233</v>
      </c>
      <c r="AF1631" s="7">
        <f>$AH1622-$AH1622</f>
        <v>0</v>
      </c>
    </row>
    <row r="1632" spans="1:38" ht="18.399999999999999" customHeight="1" x14ac:dyDescent="0.15">
      <c r="A1632" s="38" t="s">
        <v>2450</v>
      </c>
      <c r="B1632" s="32"/>
      <c r="C1632" s="32"/>
      <c r="D1632" s="32"/>
      <c r="E1632" s="32"/>
      <c r="F1632" s="43"/>
      <c r="K1632" s="3" t="s">
        <v>2450</v>
      </c>
    </row>
    <row r="1633" spans="1:38" ht="18.399999999999999" customHeight="1" x14ac:dyDescent="0.15">
      <c r="A1633" s="38" t="s">
        <v>1222</v>
      </c>
      <c r="B1633" s="32"/>
      <c r="C1633" s="32"/>
      <c r="D1633" s="32"/>
      <c r="E1633" s="32"/>
      <c r="F1633" s="43"/>
      <c r="K1633" s="3" t="s">
        <v>1222</v>
      </c>
    </row>
    <row r="1634" spans="1:38" ht="18.399999999999999" customHeight="1" x14ac:dyDescent="0.15">
      <c r="A1634" s="38" t="s">
        <v>2450</v>
      </c>
      <c r="B1634" s="32"/>
      <c r="C1634" s="32"/>
      <c r="D1634" s="32"/>
      <c r="E1634" s="32"/>
      <c r="F1634" s="43"/>
      <c r="K1634" s="3" t="s">
        <v>2450</v>
      </c>
    </row>
    <row r="1635" spans="1:38" ht="18.399999999999999" customHeight="1" x14ac:dyDescent="0.15">
      <c r="A1635" s="40" t="str">
        <f>CONCATENATE("   ( ",TEXT($AB1635,"#,##0.00")," + ",TEXT($AF1635,"#,##0.00")," ) * 0.01 = ",TEXT($AJ1635,"#,##0.00"))</f>
        <v xml:space="preserve">   ( 3,696.00 + 527.00 ) * 0.01 = 42.00</v>
      </c>
      <c r="B1635" s="32">
        <f>SUM($C1635,$D1635,$E1635)</f>
        <v>42</v>
      </c>
      <c r="C1635" s="32">
        <f>$AJ1635</f>
        <v>42</v>
      </c>
      <c r="D1635" s="32"/>
      <c r="E1635" s="32"/>
      <c r="F1635" s="43"/>
      <c r="K1635" s="3" t="s">
        <v>1666</v>
      </c>
      <c r="AA1635" s="36" t="s">
        <v>497</v>
      </c>
      <c r="AB1635" s="8">
        <f>$AH1596</f>
        <v>3696</v>
      </c>
      <c r="AC1635" s="36" t="s">
        <v>1536</v>
      </c>
      <c r="AD1635" s="7">
        <f>$AB1635</f>
        <v>3696</v>
      </c>
      <c r="AE1635" s="36" t="s">
        <v>2182</v>
      </c>
      <c r="AF1635" s="8">
        <f>$AH1600</f>
        <v>527</v>
      </c>
      <c r="AG1635" s="36" t="s">
        <v>792</v>
      </c>
      <c r="AH1635" s="7">
        <f>$AF1635</f>
        <v>527</v>
      </c>
      <c r="AI1635" s="37" t="s">
        <v>1798</v>
      </c>
      <c r="AJ1635" s="8">
        <f>TRUNC(($AD1635+$AH1635)*0.01,0)</f>
        <v>42</v>
      </c>
      <c r="AK1635" s="37" t="s">
        <v>2021</v>
      </c>
      <c r="AL1635" s="7">
        <f>$AL1629+$AJ1635</f>
        <v>4753</v>
      </c>
    </row>
    <row r="1636" spans="1:38" ht="18.399999999999999" customHeight="1" x14ac:dyDescent="0.15">
      <c r="A1636" s="38" t="s">
        <v>2450</v>
      </c>
      <c r="B1636" s="32"/>
      <c r="C1636" s="32"/>
      <c r="D1636" s="32"/>
      <c r="E1636" s="32"/>
      <c r="F1636" s="43"/>
      <c r="K1636" s="3" t="s">
        <v>2450</v>
      </c>
    </row>
    <row r="1637" spans="1:38" ht="18.399999999999999" customHeight="1" x14ac:dyDescent="0.15">
      <c r="A1637" s="38" t="s">
        <v>569</v>
      </c>
      <c r="B1637" s="33">
        <f>SUM($C1637,$D1637,$E1637)</f>
        <v>42</v>
      </c>
      <c r="C1637" s="33">
        <f>$AB1637</f>
        <v>42</v>
      </c>
      <c r="D1637" s="33">
        <f>$AD1637</f>
        <v>0</v>
      </c>
      <c r="E1637" s="33">
        <f>$AF1637</f>
        <v>0</v>
      </c>
      <c r="F1637" s="44"/>
      <c r="K1637" s="3" t="s">
        <v>1529</v>
      </c>
      <c r="AA1637" s="36" t="s">
        <v>1732</v>
      </c>
      <c r="AB1637" s="7">
        <f>$AL1635-$AL1629</f>
        <v>42</v>
      </c>
      <c r="AC1637" s="36" t="s">
        <v>68</v>
      </c>
      <c r="AD1637" s="7">
        <f>$AH1620-$AH1620</f>
        <v>0</v>
      </c>
      <c r="AE1637" s="36" t="s">
        <v>2233</v>
      </c>
      <c r="AF1637" s="7">
        <f>$AH1622-$AH1622</f>
        <v>0</v>
      </c>
    </row>
    <row r="1638" spans="1:38" ht="18.399999999999999" customHeight="1" x14ac:dyDescent="0.15">
      <c r="A1638" s="38" t="s">
        <v>2450</v>
      </c>
      <c r="B1638" s="32"/>
      <c r="C1638" s="32"/>
      <c r="D1638" s="32"/>
      <c r="E1638" s="32"/>
      <c r="F1638" s="43"/>
      <c r="K1638" s="3" t="s">
        <v>2450</v>
      </c>
    </row>
    <row r="1639" spans="1:38" ht="18.399999999999999" customHeight="1" x14ac:dyDescent="0.15">
      <c r="A1639" s="38" t="s">
        <v>2337</v>
      </c>
      <c r="B1639" s="34">
        <f>SUM($C1639,$D1639,$E1639)</f>
        <v>10258</v>
      </c>
      <c r="C1639" s="34">
        <f>$AB1639</f>
        <v>4753</v>
      </c>
      <c r="D1639" s="34">
        <f>$AD1639</f>
        <v>5238</v>
      </c>
      <c r="E1639" s="34">
        <f>$AF1639</f>
        <v>267</v>
      </c>
      <c r="F1639" s="45"/>
      <c r="K1639" s="3" t="s">
        <v>733</v>
      </c>
      <c r="AA1639" s="36" t="s">
        <v>989</v>
      </c>
      <c r="AB1639" s="7">
        <f>$AL1635</f>
        <v>4753</v>
      </c>
      <c r="AC1639" s="36" t="s">
        <v>2036</v>
      </c>
      <c r="AD1639" s="7">
        <f>$AH1620</f>
        <v>5238</v>
      </c>
      <c r="AE1639" s="36" t="s">
        <v>579</v>
      </c>
      <c r="AF1639" s="7">
        <f>$AH1622</f>
        <v>267</v>
      </c>
    </row>
    <row r="1640" spans="1:38" ht="18.399999999999999" customHeight="1" x14ac:dyDescent="0.15">
      <c r="A1640" s="38"/>
      <c r="B1640" s="3"/>
      <c r="C1640" s="3"/>
      <c r="D1640" s="3"/>
      <c r="E1640" s="3"/>
      <c r="F1640" s="42"/>
    </row>
    <row r="1641" spans="1:38" ht="18.399999999999999" customHeight="1" x14ac:dyDescent="0.15">
      <c r="A1641" s="41" t="s">
        <v>1388</v>
      </c>
      <c r="B1641" s="35">
        <f>SUM($C1641,$D1641,$E1641)</f>
        <v>10258</v>
      </c>
      <c r="C1641" s="35">
        <f>TRUNC(SUM($AL1635),0)</f>
        <v>4753</v>
      </c>
      <c r="D1641" s="35">
        <f>TRUNC(SUM($AH1620),0)</f>
        <v>5238</v>
      </c>
      <c r="E1641" s="35">
        <f>TRUNC(SUM($AH1622),0)</f>
        <v>267</v>
      </c>
      <c r="F1641" s="47"/>
    </row>
    <row r="1642" spans="1:38" ht="18.399999999999999" customHeight="1" x14ac:dyDescent="0.15">
      <c r="A1642" s="38"/>
      <c r="B1642" s="3"/>
      <c r="C1642" s="3"/>
      <c r="D1642" s="3"/>
      <c r="E1642" s="3"/>
      <c r="F1642" s="42"/>
    </row>
    <row r="1643" spans="1:38" ht="18.399999999999999" customHeight="1" x14ac:dyDescent="0.15">
      <c r="A1643" s="38" t="s">
        <v>1187</v>
      </c>
      <c r="B1643" s="32">
        <f>$B1696</f>
        <v>1949175</v>
      </c>
      <c r="C1643" s="32">
        <f>$C1696</f>
        <v>534000</v>
      </c>
      <c r="D1643" s="32">
        <f>$D1696</f>
        <v>1415175</v>
      </c>
      <c r="E1643" s="32">
        <v>0</v>
      </c>
      <c r="F1643" s="42" t="s">
        <v>2450</v>
      </c>
      <c r="G1643" t="s">
        <v>2450</v>
      </c>
      <c r="H1643" t="s">
        <v>1895</v>
      </c>
      <c r="K1643">
        <v>1</v>
      </c>
      <c r="Y1643" s="7" t="b">
        <f>EXACT($Z1643,$B1696)</f>
        <v>1</v>
      </c>
      <c r="Z1643" s="35">
        <v>1949175</v>
      </c>
    </row>
    <row r="1644" spans="1:38" ht="18.399999999999999" customHeight="1" x14ac:dyDescent="0.15">
      <c r="A1644" s="39"/>
      <c r="B1644" s="3"/>
      <c r="C1644" s="3"/>
      <c r="D1644" s="3"/>
      <c r="E1644" s="3"/>
      <c r="F1644" s="42"/>
    </row>
    <row r="1645" spans="1:38" ht="18.399999999999999" customHeight="1" x14ac:dyDescent="0.15">
      <c r="A1645" s="38" t="s">
        <v>2450</v>
      </c>
      <c r="B1645" s="3"/>
      <c r="C1645" s="3"/>
      <c r="D1645" s="3"/>
      <c r="E1645" s="3"/>
      <c r="F1645" s="42"/>
      <c r="G1645" t="s">
        <v>2450</v>
      </c>
      <c r="I1645" t="s">
        <v>286</v>
      </c>
      <c r="J1645" t="s">
        <v>2450</v>
      </c>
      <c r="K1645" t="s">
        <v>2053</v>
      </c>
    </row>
    <row r="1646" spans="1:38" ht="18.399999999999999" customHeight="1" x14ac:dyDescent="0.15">
      <c r="A1646" s="38" t="s">
        <v>854</v>
      </c>
      <c r="B1646" s="32"/>
      <c r="C1646" s="32"/>
      <c r="D1646" s="32"/>
      <c r="E1646" s="32"/>
      <c r="F1646" s="43"/>
      <c r="K1646" s="3" t="s">
        <v>854</v>
      </c>
    </row>
    <row r="1647" spans="1:38" ht="18.399999999999999" customHeight="1" x14ac:dyDescent="0.15">
      <c r="A1647" s="38" t="s">
        <v>2450</v>
      </c>
      <c r="B1647" s="32"/>
      <c r="C1647" s="32"/>
      <c r="D1647" s="32"/>
      <c r="E1647" s="32"/>
      <c r="F1647" s="43"/>
      <c r="K1647" s="3" t="s">
        <v>2450</v>
      </c>
    </row>
    <row r="1648" spans="1:38" ht="18.399999999999999" customHeight="1" x14ac:dyDescent="0.15">
      <c r="A1648" s="38" t="s">
        <v>163</v>
      </c>
      <c r="B1648" s="32"/>
      <c r="C1648" s="32"/>
      <c r="D1648" s="32"/>
      <c r="E1648" s="32"/>
      <c r="F1648" s="43"/>
      <c r="K1648" s="3" t="s">
        <v>163</v>
      </c>
    </row>
    <row r="1649" spans="1:34" ht="18.399999999999999" customHeight="1" x14ac:dyDescent="0.15">
      <c r="A1649" s="38" t="s">
        <v>2450</v>
      </c>
      <c r="B1649" s="32"/>
      <c r="C1649" s="32"/>
      <c r="D1649" s="32"/>
      <c r="E1649" s="32"/>
      <c r="F1649" s="43"/>
      <c r="K1649" s="3" t="s">
        <v>2450</v>
      </c>
    </row>
    <row r="1650" spans="1:34" ht="18.399999999999999" customHeight="1" x14ac:dyDescent="0.15">
      <c r="A1650" s="40" t="str">
        <f>CONCATENATE("    재 료 비 : _x001D_315,000_x001D_ * 4 &lt;EA&gt; * 0.15 =  ",TEXT($AB1650,"#,##0.00"))</f>
        <v xml:space="preserve">    재 료 비 : _x001D_315,000_x001D_ * 4 &lt;EA&gt; * 0.15 =  189,000.00</v>
      </c>
      <c r="B1650" s="32">
        <f>SUM($C1650,$D1650,$E1650)</f>
        <v>189000</v>
      </c>
      <c r="C1650" s="32">
        <f>$AB1650</f>
        <v>189000</v>
      </c>
      <c r="D1650" s="32"/>
      <c r="E1650" s="32"/>
      <c r="F1650" s="43" t="s">
        <v>2450</v>
      </c>
      <c r="K1650" s="3" t="s">
        <v>1319</v>
      </c>
      <c r="AA1650" s="37" t="s">
        <v>1798</v>
      </c>
      <c r="AB1650" s="8">
        <f>TRUNC(자재!D7*4*0.15,0)</f>
        <v>189000</v>
      </c>
      <c r="AC1650" s="37" t="s">
        <v>2021</v>
      </c>
      <c r="AD1650" s="7">
        <f>$AB1650</f>
        <v>189000</v>
      </c>
    </row>
    <row r="1651" spans="1:34" ht="18.399999999999999" customHeight="1" x14ac:dyDescent="0.15">
      <c r="A1651" s="38" t="s">
        <v>2450</v>
      </c>
      <c r="B1651" s="32"/>
      <c r="C1651" s="32"/>
      <c r="D1651" s="32"/>
      <c r="E1651" s="32"/>
      <c r="F1651" s="43"/>
      <c r="K1651" s="3" t="s">
        <v>2450</v>
      </c>
    </row>
    <row r="1652" spans="1:34" ht="18.399999999999999" customHeight="1" x14ac:dyDescent="0.15">
      <c r="A1652" s="38" t="s">
        <v>1063</v>
      </c>
      <c r="B1652" s="32"/>
      <c r="C1652" s="32"/>
      <c r="D1652" s="32"/>
      <c r="E1652" s="32"/>
      <c r="F1652" s="43"/>
      <c r="K1652" s="3" t="s">
        <v>1063</v>
      </c>
    </row>
    <row r="1653" spans="1:34" ht="18.399999999999999" customHeight="1" x14ac:dyDescent="0.15">
      <c r="A1653" s="38" t="s">
        <v>2450</v>
      </c>
      <c r="B1653" s="32"/>
      <c r="C1653" s="32"/>
      <c r="D1653" s="32"/>
      <c r="E1653" s="32"/>
      <c r="F1653" s="43"/>
      <c r="K1653" s="3" t="s">
        <v>2450</v>
      </c>
    </row>
    <row r="1654" spans="1:34" ht="18.399999999999999" customHeight="1" x14ac:dyDescent="0.15">
      <c r="A1654" s="38" t="s">
        <v>359</v>
      </c>
      <c r="B1654" s="32"/>
      <c r="C1654" s="32"/>
      <c r="D1654" s="32"/>
      <c r="E1654" s="32"/>
      <c r="F1654" s="43"/>
      <c r="K1654" s="3" t="s">
        <v>359</v>
      </c>
    </row>
    <row r="1655" spans="1:34" ht="18.399999999999999" customHeight="1" x14ac:dyDescent="0.15">
      <c r="A1655" s="38" t="s">
        <v>2450</v>
      </c>
      <c r="B1655" s="32"/>
      <c r="C1655" s="32"/>
      <c r="D1655" s="32"/>
      <c r="E1655" s="32"/>
      <c r="F1655" s="43"/>
      <c r="K1655" s="3" t="s">
        <v>2450</v>
      </c>
    </row>
    <row r="1656" spans="1:34" ht="18.399999999999999" customHeight="1" x14ac:dyDescent="0.15">
      <c r="A1656" s="40" t="str">
        <f>CONCATENATE("          보통인부 : 0.55 인/개 * _x001D_172,068_x001D_ * ",TEXT($AB1656,"#,##0.00")," 개   =  ",TEXT($AF1656,"#,##0.00"))</f>
        <v xml:space="preserve">          보통인부 : 0.55 인/개 * _x001D_172,068_x001D_ * 4.00 개   =  378,549.00</v>
      </c>
      <c r="B1656" s="32">
        <f>SUM($C1656,$D1656,$E1656)</f>
        <v>378549</v>
      </c>
      <c r="C1656" s="32"/>
      <c r="D1656" s="32">
        <f>$AF1656</f>
        <v>378549</v>
      </c>
      <c r="E1656" s="32"/>
      <c r="F1656" s="43" t="s">
        <v>2450</v>
      </c>
      <c r="K1656" s="3" t="s">
        <v>1044</v>
      </c>
      <c r="AA1656" s="36" t="s">
        <v>430</v>
      </c>
      <c r="AB1656" s="6">
        <v>4</v>
      </c>
      <c r="AC1656" s="36" t="s">
        <v>430</v>
      </c>
      <c r="AD1656" s="7">
        <f>$AB1656</f>
        <v>4</v>
      </c>
      <c r="AE1656" s="37" t="s">
        <v>266</v>
      </c>
      <c r="AF1656" s="8">
        <f>TRUNC(0.55*노임!D10*$AD1656,0)</f>
        <v>378549</v>
      </c>
      <c r="AG1656" s="37" t="s">
        <v>972</v>
      </c>
      <c r="AH1656" s="7">
        <f>$AF1656</f>
        <v>378549</v>
      </c>
    </row>
    <row r="1657" spans="1:34" ht="18.399999999999999" customHeight="1" x14ac:dyDescent="0.15">
      <c r="A1657" s="38" t="s">
        <v>2450</v>
      </c>
      <c r="B1657" s="32"/>
      <c r="C1657" s="32"/>
      <c r="D1657" s="32"/>
      <c r="E1657" s="32"/>
      <c r="F1657" s="43"/>
      <c r="K1657" s="3" t="s">
        <v>2450</v>
      </c>
    </row>
    <row r="1658" spans="1:34" ht="18.399999999999999" customHeight="1" x14ac:dyDescent="0.15">
      <c r="A1658" s="38" t="s">
        <v>1540</v>
      </c>
      <c r="B1658" s="32"/>
      <c r="C1658" s="32"/>
      <c r="D1658" s="32"/>
      <c r="E1658" s="32"/>
      <c r="F1658" s="43"/>
      <c r="K1658" s="3" t="s">
        <v>1540</v>
      </c>
    </row>
    <row r="1659" spans="1:34" ht="18.399999999999999" customHeight="1" x14ac:dyDescent="0.15">
      <c r="A1659" s="38" t="s">
        <v>2450</v>
      </c>
      <c r="B1659" s="32"/>
      <c r="C1659" s="32"/>
      <c r="D1659" s="32"/>
      <c r="E1659" s="32"/>
      <c r="F1659" s="43"/>
      <c r="K1659" s="3" t="s">
        <v>2450</v>
      </c>
    </row>
    <row r="1660" spans="1:34" ht="18.399999999999999" customHeight="1" x14ac:dyDescent="0.15">
      <c r="A1660" s="40" t="str">
        <f>CONCATENATE("          보통인부 : 0.18 인/개 * _x001D_172,068_x001D_ * ",TEXT($AB1660,"#,##0.00")," 개   =  ",TEXT($AF1660,"#,##0.00"))</f>
        <v xml:space="preserve">          보통인부 : 0.18 인/개 * _x001D_172,068_x001D_ * 4.00 개   =  123,888.00</v>
      </c>
      <c r="B1660" s="32">
        <f>SUM($C1660,$D1660,$E1660)</f>
        <v>123888</v>
      </c>
      <c r="C1660" s="32"/>
      <c r="D1660" s="32">
        <f>$AF1660</f>
        <v>123888</v>
      </c>
      <c r="E1660" s="32"/>
      <c r="F1660" s="43" t="s">
        <v>2450</v>
      </c>
      <c r="K1660" s="3" t="s">
        <v>516</v>
      </c>
      <c r="AA1660" s="36" t="s">
        <v>554</v>
      </c>
      <c r="AB1660" s="8">
        <f>$AD1656</f>
        <v>4</v>
      </c>
      <c r="AC1660" s="36" t="s">
        <v>1311</v>
      </c>
      <c r="AD1660" s="7">
        <f>$AB1660</f>
        <v>4</v>
      </c>
      <c r="AE1660" s="37" t="s">
        <v>266</v>
      </c>
      <c r="AF1660" s="8">
        <f>TRUNC(0.18*노임!D10*$AD1660,0)</f>
        <v>123888</v>
      </c>
      <c r="AG1660" s="37" t="s">
        <v>972</v>
      </c>
      <c r="AH1660" s="7">
        <f>$AH1656+$AF1660</f>
        <v>502437</v>
      </c>
    </row>
    <row r="1661" spans="1:34" ht="18.399999999999999" customHeight="1" x14ac:dyDescent="0.15">
      <c r="A1661" s="38" t="s">
        <v>2450</v>
      </c>
      <c r="B1661" s="32"/>
      <c r="C1661" s="32"/>
      <c r="D1661" s="32"/>
      <c r="E1661" s="32"/>
      <c r="F1661" s="43"/>
      <c r="K1661" s="3" t="s">
        <v>2450</v>
      </c>
    </row>
    <row r="1662" spans="1:34" ht="18.399999999999999" customHeight="1" x14ac:dyDescent="0.15">
      <c r="A1662" s="38" t="s">
        <v>324</v>
      </c>
      <c r="B1662" s="33">
        <f>SUM($C1662,$D1662,$E1662)</f>
        <v>691437</v>
      </c>
      <c r="C1662" s="33">
        <f>$AB1662</f>
        <v>189000</v>
      </c>
      <c r="D1662" s="33">
        <f>$AD1662</f>
        <v>502437</v>
      </c>
      <c r="E1662" s="33">
        <f>$AF1662</f>
        <v>0</v>
      </c>
      <c r="F1662" s="44"/>
      <c r="K1662" s="3" t="s">
        <v>1513</v>
      </c>
      <c r="AA1662" s="36" t="s">
        <v>1732</v>
      </c>
      <c r="AB1662" s="7">
        <f>$AD1650</f>
        <v>189000</v>
      </c>
      <c r="AC1662" s="36" t="s">
        <v>68</v>
      </c>
      <c r="AD1662" s="7">
        <f>$AH1660</f>
        <v>502437</v>
      </c>
    </row>
    <row r="1663" spans="1:34" ht="18.399999999999999" customHeight="1" x14ac:dyDescent="0.15">
      <c r="A1663" s="38" t="s">
        <v>2450</v>
      </c>
      <c r="B1663" s="32"/>
      <c r="C1663" s="32"/>
      <c r="D1663" s="32"/>
      <c r="E1663" s="32"/>
      <c r="F1663" s="43"/>
      <c r="K1663" s="3" t="s">
        <v>2450</v>
      </c>
    </row>
    <row r="1664" spans="1:34" ht="18.399999999999999" customHeight="1" x14ac:dyDescent="0.15">
      <c r="A1664" s="38" t="s">
        <v>1687</v>
      </c>
      <c r="B1664" s="32"/>
      <c r="C1664" s="32"/>
      <c r="D1664" s="32"/>
      <c r="E1664" s="32"/>
      <c r="F1664" s="43"/>
      <c r="K1664" s="3" t="s">
        <v>1687</v>
      </c>
    </row>
    <row r="1665" spans="1:34" ht="18.399999999999999" customHeight="1" x14ac:dyDescent="0.15">
      <c r="A1665" s="38" t="s">
        <v>2450</v>
      </c>
      <c r="B1665" s="32"/>
      <c r="C1665" s="32"/>
      <c r="D1665" s="32"/>
      <c r="E1665" s="32"/>
      <c r="F1665" s="43"/>
      <c r="K1665" s="3" t="s">
        <v>2450</v>
      </c>
    </row>
    <row r="1666" spans="1:34" ht="18.399999999999999" customHeight="1" x14ac:dyDescent="0.15">
      <c r="A1666" s="40" t="str">
        <f>CONCATENATE("    재 료 비 : _x001D_21,000_x001D_ * 50 EA  * 0.15 =  ",TEXT($AB1666,"#,##0.00"))</f>
        <v xml:space="preserve">    재 료 비 : _x001D_21,000_x001D_ * 50 EA  * 0.15 =  157,500.00</v>
      </c>
      <c r="B1666" s="32">
        <f>SUM($C1666,$D1666,$E1666)</f>
        <v>157500</v>
      </c>
      <c r="C1666" s="32">
        <f>$AB1666</f>
        <v>157500</v>
      </c>
      <c r="D1666" s="32"/>
      <c r="E1666" s="32"/>
      <c r="F1666" s="43" t="s">
        <v>2450</v>
      </c>
      <c r="K1666" s="3" t="s">
        <v>310</v>
      </c>
      <c r="AA1666" s="37" t="s">
        <v>1798</v>
      </c>
      <c r="AB1666" s="8">
        <f>TRUNC(자재!D9*50*0.15,0)</f>
        <v>157500</v>
      </c>
      <c r="AC1666" s="37" t="s">
        <v>2021</v>
      </c>
      <c r="AD1666" s="7">
        <f>$AD1650+$AB1666</f>
        <v>346500</v>
      </c>
    </row>
    <row r="1667" spans="1:34" ht="18.399999999999999" customHeight="1" x14ac:dyDescent="0.15">
      <c r="A1667" s="38" t="s">
        <v>2450</v>
      </c>
      <c r="B1667" s="32"/>
      <c r="C1667" s="32"/>
      <c r="D1667" s="32"/>
      <c r="E1667" s="32"/>
      <c r="F1667" s="43"/>
      <c r="K1667" s="3" t="s">
        <v>2450</v>
      </c>
    </row>
    <row r="1668" spans="1:34" ht="18.399999999999999" customHeight="1" x14ac:dyDescent="0.15">
      <c r="A1668" s="38" t="s">
        <v>1063</v>
      </c>
      <c r="B1668" s="32"/>
      <c r="C1668" s="32"/>
      <c r="D1668" s="32"/>
      <c r="E1668" s="32"/>
      <c r="F1668" s="43"/>
      <c r="K1668" s="3" t="s">
        <v>1063</v>
      </c>
    </row>
    <row r="1669" spans="1:34" ht="18.399999999999999" customHeight="1" x14ac:dyDescent="0.15">
      <c r="A1669" s="38" t="s">
        <v>2450</v>
      </c>
      <c r="B1669" s="32"/>
      <c r="C1669" s="32"/>
      <c r="D1669" s="32"/>
      <c r="E1669" s="32"/>
      <c r="F1669" s="43"/>
      <c r="K1669" s="3" t="s">
        <v>2450</v>
      </c>
    </row>
    <row r="1670" spans="1:34" ht="18.399999999999999" customHeight="1" x14ac:dyDescent="0.15">
      <c r="A1670" s="40" t="str">
        <f>CONCATENATE("    특별인부 : 0.06 인/EA * _x001D_226,122_x001D_ * 50 EA   =  ",TEXT($AB1670,"#,##0.00"))</f>
        <v xml:space="preserve">    특별인부 : 0.06 인/EA * _x001D_226,122_x001D_ * 50 EA   =  678,366.00</v>
      </c>
      <c r="B1670" s="32">
        <f>SUM($C1670,$D1670,$E1670)</f>
        <v>678366</v>
      </c>
      <c r="C1670" s="32"/>
      <c r="D1670" s="32">
        <f>$AB1670</f>
        <v>678366</v>
      </c>
      <c r="E1670" s="32"/>
      <c r="F1670" s="43" t="s">
        <v>2450</v>
      </c>
      <c r="K1670" s="3" t="s">
        <v>1530</v>
      </c>
      <c r="AA1670" s="37" t="s">
        <v>266</v>
      </c>
      <c r="AB1670" s="8">
        <f>TRUNC(0.06*노임!D9*50,0)</f>
        <v>678366</v>
      </c>
      <c r="AC1670" s="37" t="s">
        <v>972</v>
      </c>
      <c r="AD1670" s="7">
        <f>$AH1660+$AB1670</f>
        <v>1180803</v>
      </c>
    </row>
    <row r="1671" spans="1:34" ht="18.399999999999999" customHeight="1" x14ac:dyDescent="0.15">
      <c r="A1671" s="38" t="s">
        <v>2450</v>
      </c>
      <c r="B1671" s="32"/>
      <c r="C1671" s="32"/>
      <c r="D1671" s="32"/>
      <c r="E1671" s="32"/>
      <c r="F1671" s="43"/>
      <c r="K1671" s="3" t="s">
        <v>2450</v>
      </c>
    </row>
    <row r="1672" spans="1:34" ht="18.399999999999999" customHeight="1" x14ac:dyDescent="0.15">
      <c r="A1672" s="38" t="s">
        <v>664</v>
      </c>
      <c r="B1672" s="33">
        <f>SUM($C1672,$D1672,$E1672)</f>
        <v>835866</v>
      </c>
      <c r="C1672" s="33">
        <f>$AB1672</f>
        <v>157500</v>
      </c>
      <c r="D1672" s="33">
        <f>$AD1672</f>
        <v>678366</v>
      </c>
      <c r="E1672" s="33">
        <f>$AF1672</f>
        <v>0</v>
      </c>
      <c r="F1672" s="44"/>
      <c r="K1672" s="3" t="s">
        <v>1148</v>
      </c>
      <c r="AA1672" s="36" t="s">
        <v>1732</v>
      </c>
      <c r="AB1672" s="7">
        <f>$AD1666-$AD1650</f>
        <v>157500</v>
      </c>
      <c r="AC1672" s="36" t="s">
        <v>68</v>
      </c>
      <c r="AD1672" s="7">
        <f>$AD1670-$AH1660</f>
        <v>678366</v>
      </c>
    </row>
    <row r="1673" spans="1:34" ht="18.399999999999999" customHeight="1" x14ac:dyDescent="0.15">
      <c r="A1673" s="38" t="s">
        <v>2450</v>
      </c>
      <c r="B1673" s="32"/>
      <c r="C1673" s="32"/>
      <c r="D1673" s="32"/>
      <c r="E1673" s="32"/>
      <c r="F1673" s="43"/>
      <c r="K1673" s="3" t="s">
        <v>2450</v>
      </c>
    </row>
    <row r="1674" spans="1:34" ht="18.399999999999999" customHeight="1" x14ac:dyDescent="0.15">
      <c r="A1674" s="38" t="s">
        <v>2396</v>
      </c>
      <c r="B1674" s="32"/>
      <c r="C1674" s="32"/>
      <c r="D1674" s="32"/>
      <c r="E1674" s="32"/>
      <c r="F1674" s="43"/>
      <c r="K1674" s="3" t="s">
        <v>2396</v>
      </c>
    </row>
    <row r="1675" spans="1:34" ht="18.399999999999999" customHeight="1" x14ac:dyDescent="0.15">
      <c r="A1675" s="38" t="s">
        <v>2450</v>
      </c>
      <c r="B1675" s="32"/>
      <c r="C1675" s="32"/>
      <c r="D1675" s="32"/>
      <c r="E1675" s="32"/>
      <c r="F1675" s="43"/>
      <c r="K1675" s="3" t="s">
        <v>2450</v>
      </c>
    </row>
    <row r="1676" spans="1:34" ht="18.399999999999999" customHeight="1" x14ac:dyDescent="0.15">
      <c r="A1676" s="38" t="s">
        <v>433</v>
      </c>
      <c r="B1676" s="32"/>
      <c r="C1676" s="32"/>
      <c r="D1676" s="32"/>
      <c r="E1676" s="32"/>
      <c r="F1676" s="43"/>
      <c r="K1676" s="3" t="s">
        <v>433</v>
      </c>
    </row>
    <row r="1677" spans="1:34" ht="18.399999999999999" customHeight="1" x14ac:dyDescent="0.15">
      <c r="A1677" s="38" t="s">
        <v>2450</v>
      </c>
      <c r="B1677" s="32"/>
      <c r="C1677" s="32"/>
      <c r="D1677" s="32"/>
      <c r="E1677" s="32"/>
      <c r="F1677" s="43"/>
      <c r="K1677" s="3" t="s">
        <v>2450</v>
      </c>
    </row>
    <row r="1678" spans="1:34" ht="18.399999999999999" customHeight="1" x14ac:dyDescent="0.15">
      <c r="A1678" s="40" t="str">
        <f>CONCATENATE("     재 료 비 :  _x001D_1,500_x001D_ * ",TEXT($AB1678,"#,##0.00")," m * 0.15 = ",TEXT($AF1678,"#,##0.00"))</f>
        <v xml:space="preserve">     재 료 비 :  _x001D_1,500_x001D_ * 100.00 m * 0.15 = 22,500.00</v>
      </c>
      <c r="B1678" s="32">
        <f>SUM($C1678,$D1678,$E1678)</f>
        <v>22500</v>
      </c>
      <c r="C1678" s="32">
        <f>$AF1678</f>
        <v>22500</v>
      </c>
      <c r="D1678" s="32"/>
      <c r="E1678" s="32"/>
      <c r="F1678" s="43" t="s">
        <v>2450</v>
      </c>
      <c r="K1678" s="3" t="s">
        <v>2406</v>
      </c>
      <c r="AA1678" s="36" t="s">
        <v>1199</v>
      </c>
      <c r="AB1678" s="6">
        <v>100</v>
      </c>
      <c r="AC1678" s="36" t="s">
        <v>1199</v>
      </c>
      <c r="AD1678" s="7">
        <f>$AB1678</f>
        <v>100</v>
      </c>
      <c r="AE1678" s="37" t="s">
        <v>1798</v>
      </c>
      <c r="AF1678" s="8">
        <f>TRUNC(자재!D8*$AD1678*0.15,0)</f>
        <v>22500</v>
      </c>
      <c r="AG1678" s="37" t="s">
        <v>2021</v>
      </c>
      <c r="AH1678" s="7">
        <f>$AD1666+$AF1678</f>
        <v>369000</v>
      </c>
    </row>
    <row r="1679" spans="1:34" ht="18.399999999999999" customHeight="1" x14ac:dyDescent="0.15">
      <c r="A1679" s="38" t="s">
        <v>2450</v>
      </c>
      <c r="B1679" s="32"/>
      <c r="C1679" s="32"/>
      <c r="D1679" s="32"/>
      <c r="E1679" s="32"/>
      <c r="F1679" s="43"/>
      <c r="K1679" s="3" t="s">
        <v>2450</v>
      </c>
    </row>
    <row r="1680" spans="1:34" ht="18.399999999999999" customHeight="1" x14ac:dyDescent="0.15">
      <c r="A1680" s="38" t="s">
        <v>1063</v>
      </c>
      <c r="B1680" s="32"/>
      <c r="C1680" s="32"/>
      <c r="D1680" s="32"/>
      <c r="E1680" s="32"/>
      <c r="F1680" s="43"/>
      <c r="K1680" s="3" t="s">
        <v>1063</v>
      </c>
    </row>
    <row r="1681" spans="1:38" ht="18.399999999999999" customHeight="1" x14ac:dyDescent="0.15">
      <c r="A1681" s="38" t="s">
        <v>2450</v>
      </c>
      <c r="B1681" s="32"/>
      <c r="C1681" s="32"/>
      <c r="D1681" s="32"/>
      <c r="E1681" s="32"/>
      <c r="F1681" s="43"/>
      <c r="K1681" s="3" t="s">
        <v>2450</v>
      </c>
    </row>
    <row r="1682" spans="1:38" ht="18.399999999999999" customHeight="1" x14ac:dyDescent="0.15">
      <c r="A1682" s="40" t="str">
        <f>CONCATENATE("     특별인부 : 0.01 인/m * _x001D_226,122_x001D_ * 100 m   =  ",TEXT($AB1682,"#,##0.00"))</f>
        <v xml:space="preserve">     특별인부 : 0.01 인/m * _x001D_226,122_x001D_ * 100 m   =  226,122.00</v>
      </c>
      <c r="B1682" s="32">
        <f>SUM($C1682,$D1682,$E1682)</f>
        <v>226122</v>
      </c>
      <c r="C1682" s="32"/>
      <c r="D1682" s="32">
        <f>$AB1682</f>
        <v>226122</v>
      </c>
      <c r="E1682" s="32"/>
      <c r="F1682" s="43" t="s">
        <v>2450</v>
      </c>
      <c r="K1682" s="3" t="s">
        <v>2105</v>
      </c>
      <c r="AA1682" s="37" t="s">
        <v>266</v>
      </c>
      <c r="AB1682" s="8">
        <f>TRUNC(0.01*노임!D9*100,0)</f>
        <v>226122</v>
      </c>
      <c r="AC1682" s="37" t="s">
        <v>972</v>
      </c>
      <c r="AD1682" s="7">
        <f>$AD1670+$AB1682</f>
        <v>1406925</v>
      </c>
    </row>
    <row r="1683" spans="1:38" ht="18.399999999999999" customHeight="1" x14ac:dyDescent="0.15">
      <c r="A1683" s="38" t="s">
        <v>2450</v>
      </c>
      <c r="B1683" s="32"/>
      <c r="C1683" s="32"/>
      <c r="D1683" s="32"/>
      <c r="E1683" s="32"/>
      <c r="F1683" s="43"/>
      <c r="K1683" s="3" t="s">
        <v>2450</v>
      </c>
    </row>
    <row r="1684" spans="1:38" ht="18.399999999999999" customHeight="1" x14ac:dyDescent="0.15">
      <c r="A1684" s="38" t="s">
        <v>1353</v>
      </c>
      <c r="B1684" s="32"/>
      <c r="C1684" s="32"/>
      <c r="D1684" s="32"/>
      <c r="E1684" s="32"/>
      <c r="F1684" s="43"/>
      <c r="K1684" s="3" t="s">
        <v>1353</v>
      </c>
    </row>
    <row r="1685" spans="1:38" ht="18.399999999999999" customHeight="1" x14ac:dyDescent="0.15">
      <c r="A1685" s="38" t="s">
        <v>2450</v>
      </c>
      <c r="B1685" s="32"/>
      <c r="C1685" s="32"/>
      <c r="D1685" s="32"/>
      <c r="E1685" s="32"/>
      <c r="F1685" s="43"/>
      <c r="K1685" s="3" t="s">
        <v>2450</v>
      </c>
    </row>
    <row r="1686" spans="1:38" ht="18.399999999999999" customHeight="1" x14ac:dyDescent="0.15">
      <c r="A1686" s="40" t="str">
        <f>CONCATENATE("     재 료 비 :  _x001D_22,000_x001D_ * ",TEXT($AB1686,"#,##0.00")," &lt;개&gt; * 0.15 = ",TEXT($AF1686,"#,##0.00"))</f>
        <v xml:space="preserve">     재 료 비 :  _x001D_22,000_x001D_ * 50.00 &lt;개&gt; * 0.15 = 165,000.00</v>
      </c>
      <c r="B1686" s="32">
        <f>SUM($C1686,$D1686,$E1686)</f>
        <v>165000</v>
      </c>
      <c r="C1686" s="32">
        <f>$AF1686</f>
        <v>165000</v>
      </c>
      <c r="D1686" s="32"/>
      <c r="E1686" s="32"/>
      <c r="F1686" s="43" t="s">
        <v>2450</v>
      </c>
      <c r="K1686" s="3" t="s">
        <v>719</v>
      </c>
      <c r="AA1686" s="36" t="s">
        <v>1512</v>
      </c>
      <c r="AB1686" s="6">
        <v>50</v>
      </c>
      <c r="AC1686" s="36" t="s">
        <v>1512</v>
      </c>
      <c r="AD1686" s="7">
        <f>$AB1686</f>
        <v>50</v>
      </c>
      <c r="AE1686" s="37" t="s">
        <v>1798</v>
      </c>
      <c r="AF1686" s="8">
        <f>TRUNC(자재!D10*$AD1686*0.15,0)</f>
        <v>165000</v>
      </c>
      <c r="AG1686" s="37" t="s">
        <v>2021</v>
      </c>
      <c r="AH1686" s="7">
        <f>$AH1678+$AF1686</f>
        <v>534000</v>
      </c>
      <c r="AI1686" s="36" t="s">
        <v>1205</v>
      </c>
      <c r="AJ1686" s="8">
        <f>$AF1686</f>
        <v>165000</v>
      </c>
      <c r="AK1686" s="36" t="s">
        <v>443</v>
      </c>
      <c r="AL1686" s="7">
        <f>$AJ1686</f>
        <v>165000</v>
      </c>
    </row>
    <row r="1687" spans="1:38" ht="18.399999999999999" customHeight="1" x14ac:dyDescent="0.15">
      <c r="A1687" s="38" t="s">
        <v>2450</v>
      </c>
      <c r="B1687" s="32"/>
      <c r="C1687" s="32"/>
      <c r="D1687" s="32"/>
      <c r="E1687" s="32"/>
      <c r="F1687" s="43"/>
      <c r="K1687" s="3" t="s">
        <v>2450</v>
      </c>
    </row>
    <row r="1688" spans="1:38" ht="18.399999999999999" customHeight="1" x14ac:dyDescent="0.15">
      <c r="A1688" s="38" t="s">
        <v>1009</v>
      </c>
      <c r="B1688" s="32"/>
      <c r="C1688" s="32"/>
      <c r="D1688" s="32"/>
      <c r="E1688" s="32"/>
      <c r="F1688" s="43"/>
      <c r="K1688" s="3" t="s">
        <v>1009</v>
      </c>
    </row>
    <row r="1689" spans="1:38" ht="18.399999999999999" customHeight="1" x14ac:dyDescent="0.15">
      <c r="A1689" s="38" t="s">
        <v>2450</v>
      </c>
      <c r="B1689" s="32"/>
      <c r="C1689" s="32"/>
      <c r="D1689" s="32"/>
      <c r="E1689" s="32"/>
      <c r="F1689" s="43"/>
      <c r="K1689" s="3" t="s">
        <v>2450</v>
      </c>
    </row>
    <row r="1690" spans="1:38" ht="18.399999999999999" customHeight="1" x14ac:dyDescent="0.15">
      <c r="A1690" s="40" t="str">
        <f>CONCATENATE(TEXT($AB1690,"#,##0.00")," * ",TEXT($AF1690,"#,##0.00"),"   = ",TEXT($AJ1690,"#,##0.00"))</f>
        <v>165,000.00 * 0.05   = 8,250.00</v>
      </c>
      <c r="B1690" s="32">
        <f>SUM($C1690,$D1690,$E1690)</f>
        <v>8250</v>
      </c>
      <c r="C1690" s="32"/>
      <c r="D1690" s="32">
        <f>$AJ1690</f>
        <v>8250</v>
      </c>
      <c r="E1690" s="32"/>
      <c r="F1690" s="43"/>
      <c r="K1690" s="3" t="s">
        <v>91</v>
      </c>
      <c r="AA1690" s="36" t="s">
        <v>1715</v>
      </c>
      <c r="AB1690" s="8">
        <f>$AL1686</f>
        <v>165000</v>
      </c>
      <c r="AC1690" s="36" t="s">
        <v>894</v>
      </c>
      <c r="AD1690" s="7">
        <f>$AB1690</f>
        <v>165000</v>
      </c>
      <c r="AE1690" s="36" t="s">
        <v>1694</v>
      </c>
      <c r="AF1690" s="6">
        <v>0.05</v>
      </c>
      <c r="AG1690" s="36" t="s">
        <v>1694</v>
      </c>
      <c r="AH1690" s="7">
        <f>$AF1690</f>
        <v>0.05</v>
      </c>
      <c r="AI1690" s="37" t="s">
        <v>266</v>
      </c>
      <c r="AJ1690" s="8">
        <f>TRUNC($AD1690*$AH1690,0)</f>
        <v>8250</v>
      </c>
      <c r="AK1690" s="37" t="s">
        <v>972</v>
      </c>
      <c r="AL1690" s="7">
        <f>$AD1682+$AJ1690</f>
        <v>1415175</v>
      </c>
    </row>
    <row r="1691" spans="1:38" ht="18.399999999999999" customHeight="1" x14ac:dyDescent="0.15">
      <c r="A1691" s="38" t="s">
        <v>2450</v>
      </c>
      <c r="B1691" s="32"/>
      <c r="C1691" s="32"/>
      <c r="D1691" s="32"/>
      <c r="E1691" s="32"/>
      <c r="F1691" s="43"/>
      <c r="K1691" s="3" t="s">
        <v>2450</v>
      </c>
    </row>
    <row r="1692" spans="1:38" ht="18.399999999999999" customHeight="1" x14ac:dyDescent="0.15">
      <c r="A1692" s="38" t="s">
        <v>324</v>
      </c>
      <c r="B1692" s="33">
        <f>SUM($C1692,$D1692,$E1692)</f>
        <v>421872</v>
      </c>
      <c r="C1692" s="33">
        <f>$AB1692</f>
        <v>187500</v>
      </c>
      <c r="D1692" s="33">
        <f>$AD1692</f>
        <v>234372</v>
      </c>
      <c r="E1692" s="33">
        <f>$AF1692</f>
        <v>0</v>
      </c>
      <c r="F1692" s="44"/>
      <c r="K1692" s="3" t="s">
        <v>1513</v>
      </c>
      <c r="AA1692" s="36" t="s">
        <v>1732</v>
      </c>
      <c r="AB1692" s="7">
        <f>$AH1686-$AD1666</f>
        <v>187500</v>
      </c>
      <c r="AC1692" s="36" t="s">
        <v>68</v>
      </c>
      <c r="AD1692" s="7">
        <f>$AL1690-$AD1670</f>
        <v>234372</v>
      </c>
    </row>
    <row r="1693" spans="1:38" ht="18.399999999999999" customHeight="1" x14ac:dyDescent="0.15">
      <c r="A1693" s="38" t="s">
        <v>2450</v>
      </c>
      <c r="B1693" s="32"/>
      <c r="C1693" s="32"/>
      <c r="D1693" s="32"/>
      <c r="E1693" s="32"/>
      <c r="F1693" s="43"/>
      <c r="K1693" s="3" t="s">
        <v>2450</v>
      </c>
    </row>
    <row r="1694" spans="1:38" ht="18.399999999999999" customHeight="1" x14ac:dyDescent="0.15">
      <c r="A1694" s="38" t="s">
        <v>2337</v>
      </c>
      <c r="B1694" s="34">
        <f>SUM($C1694,$D1694,$E1694)</f>
        <v>1949175</v>
      </c>
      <c r="C1694" s="34">
        <f>$AB1694</f>
        <v>534000</v>
      </c>
      <c r="D1694" s="34">
        <f>$AD1694</f>
        <v>1415175</v>
      </c>
      <c r="E1694" s="34">
        <f>$AF1694</f>
        <v>0</v>
      </c>
      <c r="F1694" s="45"/>
      <c r="K1694" s="3" t="s">
        <v>733</v>
      </c>
      <c r="AA1694" s="36" t="s">
        <v>989</v>
      </c>
      <c r="AB1694" s="7">
        <f>$AH1686</f>
        <v>534000</v>
      </c>
      <c r="AC1694" s="36" t="s">
        <v>2036</v>
      </c>
      <c r="AD1694" s="7">
        <f>$AL1690</f>
        <v>1415175</v>
      </c>
    </row>
    <row r="1695" spans="1:38" ht="18.399999999999999" customHeight="1" x14ac:dyDescent="0.15">
      <c r="A1695" s="38"/>
      <c r="B1695" s="3"/>
      <c r="C1695" s="3"/>
      <c r="D1695" s="3"/>
      <c r="E1695" s="3"/>
      <c r="F1695" s="42"/>
    </row>
    <row r="1696" spans="1:38" ht="18.399999999999999" customHeight="1" x14ac:dyDescent="0.15">
      <c r="A1696" s="41" t="s">
        <v>1388</v>
      </c>
      <c r="B1696" s="35">
        <f>SUM($C1696,$D1696,$E1696)</f>
        <v>1949175</v>
      </c>
      <c r="C1696" s="35">
        <f>TRUNC(SUM($AH1686),0)</f>
        <v>534000</v>
      </c>
      <c r="D1696" s="35">
        <f>TRUNC(SUM($AL1690),0)</f>
        <v>1415175</v>
      </c>
      <c r="E1696" s="35">
        <v>0</v>
      </c>
      <c r="F1696" s="47"/>
    </row>
    <row r="1697" spans="1:30" ht="18.399999999999999" customHeight="1" x14ac:dyDescent="0.15">
      <c r="A1697" s="38"/>
      <c r="B1697" s="3"/>
      <c r="C1697" s="3"/>
      <c r="D1697" s="3"/>
      <c r="E1697" s="3"/>
      <c r="F1697" s="42"/>
    </row>
    <row r="1698" spans="1:30" ht="18.399999999999999" customHeight="1" x14ac:dyDescent="0.15">
      <c r="A1698" s="38" t="s">
        <v>1425</v>
      </c>
      <c r="B1698" s="32">
        <f>$B1716</f>
        <v>19522</v>
      </c>
      <c r="C1698" s="32">
        <f>$C1716</f>
        <v>15000</v>
      </c>
      <c r="D1698" s="32">
        <f>$D1716</f>
        <v>4522</v>
      </c>
      <c r="E1698" s="32">
        <v>0</v>
      </c>
      <c r="F1698" s="42" t="s">
        <v>2450</v>
      </c>
      <c r="G1698" t="s">
        <v>2450</v>
      </c>
      <c r="H1698" t="s">
        <v>713</v>
      </c>
      <c r="K1698">
        <v>1</v>
      </c>
      <c r="Y1698" s="7" t="b">
        <f>EXACT($Z1698,$B1716)</f>
        <v>1</v>
      </c>
      <c r="Z1698" s="35">
        <v>19522</v>
      </c>
    </row>
    <row r="1699" spans="1:30" ht="18.399999999999999" customHeight="1" x14ac:dyDescent="0.15">
      <c r="A1699" s="39"/>
      <c r="B1699" s="3"/>
      <c r="C1699" s="3"/>
      <c r="D1699" s="3"/>
      <c r="E1699" s="3"/>
      <c r="F1699" s="42"/>
    </row>
    <row r="1700" spans="1:30" ht="18.399999999999999" customHeight="1" x14ac:dyDescent="0.15">
      <c r="A1700" s="38" t="s">
        <v>2450</v>
      </c>
      <c r="B1700" s="3"/>
      <c r="C1700" s="3"/>
      <c r="D1700" s="3"/>
      <c r="E1700" s="3"/>
      <c r="F1700" s="42"/>
      <c r="G1700" t="s">
        <v>2450</v>
      </c>
      <c r="I1700" t="s">
        <v>286</v>
      </c>
      <c r="J1700" t="s">
        <v>2450</v>
      </c>
      <c r="K1700" t="s">
        <v>2053</v>
      </c>
    </row>
    <row r="1701" spans="1:30" ht="18.399999999999999" customHeight="1" x14ac:dyDescent="0.15">
      <c r="A1701" s="38" t="s">
        <v>854</v>
      </c>
      <c r="B1701" s="32"/>
      <c r="C1701" s="32"/>
      <c r="D1701" s="32"/>
      <c r="E1701" s="32"/>
      <c r="F1701" s="43"/>
      <c r="K1701" s="3" t="s">
        <v>854</v>
      </c>
    </row>
    <row r="1702" spans="1:30" ht="18.399999999999999" customHeight="1" x14ac:dyDescent="0.15">
      <c r="A1702" s="38" t="s">
        <v>2450</v>
      </c>
      <c r="B1702" s="32"/>
      <c r="C1702" s="32"/>
      <c r="D1702" s="32"/>
      <c r="E1702" s="32"/>
      <c r="F1702" s="43"/>
      <c r="K1702" s="3" t="s">
        <v>2450</v>
      </c>
    </row>
    <row r="1703" spans="1:30" ht="18.399999999999999" customHeight="1" x14ac:dyDescent="0.15">
      <c r="A1703" s="38" t="s">
        <v>271</v>
      </c>
      <c r="B1703" s="32"/>
      <c r="C1703" s="32"/>
      <c r="D1703" s="32"/>
      <c r="E1703" s="32"/>
      <c r="F1703" s="43"/>
      <c r="K1703" s="3" t="s">
        <v>271</v>
      </c>
    </row>
    <row r="1704" spans="1:30" ht="18.399999999999999" customHeight="1" x14ac:dyDescent="0.15">
      <c r="A1704" s="38" t="s">
        <v>2450</v>
      </c>
      <c r="B1704" s="32"/>
      <c r="C1704" s="32"/>
      <c r="D1704" s="32"/>
      <c r="E1704" s="32"/>
      <c r="F1704" s="43"/>
      <c r="K1704" s="3" t="s">
        <v>2450</v>
      </c>
    </row>
    <row r="1705" spans="1:30" ht="18.399999999999999" customHeight="1" x14ac:dyDescent="0.15">
      <c r="A1705" s="38" t="s">
        <v>1476</v>
      </c>
      <c r="B1705" s="32"/>
      <c r="C1705" s="32"/>
      <c r="D1705" s="32"/>
      <c r="E1705" s="32"/>
      <c r="F1705" s="43"/>
      <c r="K1705" s="3" t="s">
        <v>1476</v>
      </c>
    </row>
    <row r="1706" spans="1:30" ht="18.399999999999999" customHeight="1" x14ac:dyDescent="0.15">
      <c r="A1706" s="38" t="s">
        <v>2450</v>
      </c>
      <c r="B1706" s="32"/>
      <c r="C1706" s="32"/>
      <c r="D1706" s="32"/>
      <c r="E1706" s="32"/>
      <c r="F1706" s="43"/>
      <c r="K1706" s="3" t="s">
        <v>2450</v>
      </c>
    </row>
    <row r="1707" spans="1:30" ht="18.399999999999999" customHeight="1" x14ac:dyDescent="0.15">
      <c r="A1707" s="40" t="str">
        <f>CONCATENATE("    재 료 비 : _x001D_200,000_x001D_ * 0.5 EA  * 0.15 =  ",TEXT($AB1707,"#,##0.00"))</f>
        <v xml:space="preserve">    재 료 비 : _x001D_200,000_x001D_ * 0.5 EA  * 0.15 =  15,000.00</v>
      </c>
      <c r="B1707" s="32">
        <f>SUM($C1707,$D1707,$E1707)</f>
        <v>15000</v>
      </c>
      <c r="C1707" s="32">
        <f>$AB1707</f>
        <v>15000</v>
      </c>
      <c r="D1707" s="32"/>
      <c r="E1707" s="32"/>
      <c r="F1707" s="43" t="s">
        <v>2450</v>
      </c>
      <c r="K1707" s="3" t="s">
        <v>1943</v>
      </c>
      <c r="AA1707" s="37" t="s">
        <v>1798</v>
      </c>
      <c r="AB1707" s="8">
        <f>TRUNC(자재!D15*0.5*0.15,0)</f>
        <v>15000</v>
      </c>
      <c r="AC1707" s="37" t="s">
        <v>2021</v>
      </c>
      <c r="AD1707" s="7">
        <f>$AB1707</f>
        <v>15000</v>
      </c>
    </row>
    <row r="1708" spans="1:30" ht="18.399999999999999" customHeight="1" x14ac:dyDescent="0.15">
      <c r="A1708" s="38" t="s">
        <v>2450</v>
      </c>
      <c r="B1708" s="32"/>
      <c r="C1708" s="32"/>
      <c r="D1708" s="32"/>
      <c r="E1708" s="32"/>
      <c r="F1708" s="43"/>
      <c r="K1708" s="3" t="s">
        <v>2450</v>
      </c>
    </row>
    <row r="1709" spans="1:30" ht="18.399999999999999" customHeight="1" x14ac:dyDescent="0.15">
      <c r="A1709" s="38" t="s">
        <v>1063</v>
      </c>
      <c r="B1709" s="32"/>
      <c r="C1709" s="32"/>
      <c r="D1709" s="32"/>
      <c r="E1709" s="32"/>
      <c r="F1709" s="43"/>
      <c r="K1709" s="3" t="s">
        <v>1063</v>
      </c>
    </row>
    <row r="1710" spans="1:30" ht="18.399999999999999" customHeight="1" x14ac:dyDescent="0.15">
      <c r="A1710" s="38" t="s">
        <v>2450</v>
      </c>
      <c r="B1710" s="32"/>
      <c r="C1710" s="32"/>
      <c r="D1710" s="32"/>
      <c r="E1710" s="32"/>
      <c r="F1710" s="43"/>
      <c r="K1710" s="3" t="s">
        <v>2450</v>
      </c>
    </row>
    <row r="1711" spans="1:30" ht="18.399999999999999" customHeight="1" x14ac:dyDescent="0.15">
      <c r="A1711" s="40" t="str">
        <f>CONCATENATE("    특별인부 : 0.04 인/EA * _x001D_226,122_x001D_ * 0.5 EA   =  ",TEXT($AB1711,"#,##0.00"))</f>
        <v xml:space="preserve">    특별인부 : 0.04 인/EA * _x001D_226,122_x001D_ * 0.5 EA   =  4,522.00</v>
      </c>
      <c r="B1711" s="32">
        <f>SUM($C1711,$D1711,$E1711)</f>
        <v>4522</v>
      </c>
      <c r="C1711" s="32"/>
      <c r="D1711" s="32">
        <f>$AB1711</f>
        <v>4522</v>
      </c>
      <c r="E1711" s="32"/>
      <c r="F1711" s="43" t="s">
        <v>2450</v>
      </c>
      <c r="K1711" s="3" t="s">
        <v>2211</v>
      </c>
      <c r="AA1711" s="37" t="s">
        <v>266</v>
      </c>
      <c r="AB1711" s="8">
        <f>TRUNC(0.04*노임!D9*0.5,0)</f>
        <v>4522</v>
      </c>
      <c r="AC1711" s="37" t="s">
        <v>972</v>
      </c>
      <c r="AD1711" s="7">
        <f>$AB1711</f>
        <v>4522</v>
      </c>
    </row>
    <row r="1712" spans="1:30" ht="18.399999999999999" customHeight="1" x14ac:dyDescent="0.15">
      <c r="A1712" s="38" t="s">
        <v>2450</v>
      </c>
      <c r="B1712" s="32"/>
      <c r="C1712" s="32"/>
      <c r="D1712" s="32"/>
      <c r="E1712" s="32"/>
      <c r="F1712" s="43"/>
      <c r="K1712" s="3" t="s">
        <v>2450</v>
      </c>
    </row>
    <row r="1713" spans="1:34" ht="18.399999999999999" customHeight="1" x14ac:dyDescent="0.15">
      <c r="A1713" s="38" t="s">
        <v>664</v>
      </c>
      <c r="B1713" s="33">
        <f>SUM($C1713,$D1713,$E1713)</f>
        <v>19522</v>
      </c>
      <c r="C1713" s="33">
        <f>$AB1713</f>
        <v>15000</v>
      </c>
      <c r="D1713" s="33">
        <f>$AD1713</f>
        <v>4522</v>
      </c>
      <c r="E1713" s="33">
        <f>$AF1713</f>
        <v>0</v>
      </c>
      <c r="F1713" s="44"/>
      <c r="K1713" s="3" t="s">
        <v>1148</v>
      </c>
      <c r="AA1713" s="36" t="s">
        <v>1732</v>
      </c>
      <c r="AB1713" s="7">
        <f>$AD1707</f>
        <v>15000</v>
      </c>
      <c r="AC1713" s="36" t="s">
        <v>68</v>
      </c>
      <c r="AD1713" s="7">
        <f>$AD1711</f>
        <v>4522</v>
      </c>
    </row>
    <row r="1714" spans="1:34" ht="18.399999999999999" customHeight="1" x14ac:dyDescent="0.15">
      <c r="A1714" s="38" t="s">
        <v>2450</v>
      </c>
      <c r="B1714" s="32"/>
      <c r="C1714" s="32"/>
      <c r="D1714" s="32"/>
      <c r="E1714" s="32"/>
      <c r="F1714" s="43"/>
      <c r="K1714" s="3" t="s">
        <v>2450</v>
      </c>
    </row>
    <row r="1715" spans="1:34" ht="18.399999999999999" customHeight="1" x14ac:dyDescent="0.15">
      <c r="A1715" s="38"/>
      <c r="B1715" s="3"/>
      <c r="C1715" s="3"/>
      <c r="D1715" s="3"/>
      <c r="E1715" s="3"/>
      <c r="F1715" s="42"/>
    </row>
    <row r="1716" spans="1:34" ht="18.399999999999999" customHeight="1" x14ac:dyDescent="0.15">
      <c r="A1716" s="41" t="s">
        <v>1388</v>
      </c>
      <c r="B1716" s="35">
        <f>SUM($C1716,$D1716,$E1716)</f>
        <v>19522</v>
      </c>
      <c r="C1716" s="35">
        <f>TRUNC(SUM($AD1707),0)</f>
        <v>15000</v>
      </c>
      <c r="D1716" s="35">
        <f>TRUNC(SUM($AD1711),0)</f>
        <v>4522</v>
      </c>
      <c r="E1716" s="35">
        <v>0</v>
      </c>
      <c r="F1716" s="47"/>
    </row>
    <row r="1717" spans="1:34" ht="18.399999999999999" customHeight="1" x14ac:dyDescent="0.15">
      <c r="A1717" s="38"/>
      <c r="B1717" s="3"/>
      <c r="C1717" s="3"/>
      <c r="D1717" s="3"/>
      <c r="E1717" s="3"/>
      <c r="F1717" s="42"/>
    </row>
    <row r="1718" spans="1:34" ht="18.399999999999999" customHeight="1" x14ac:dyDescent="0.15">
      <c r="A1718" s="38" t="s">
        <v>1028</v>
      </c>
      <c r="B1718" s="32">
        <f>$B1732</f>
        <v>344136</v>
      </c>
      <c r="C1718" s="32">
        <v>0</v>
      </c>
      <c r="D1718" s="32">
        <f>$D1732</f>
        <v>344136</v>
      </c>
      <c r="E1718" s="32">
        <v>0</v>
      </c>
      <c r="F1718" s="42" t="s">
        <v>2450</v>
      </c>
      <c r="G1718" t="s">
        <v>2450</v>
      </c>
      <c r="H1718" t="s">
        <v>6</v>
      </c>
      <c r="K1718">
        <v>1</v>
      </c>
      <c r="Y1718" s="7" t="b">
        <f>EXACT($Z1718,$B1732)</f>
        <v>1</v>
      </c>
      <c r="Z1718" s="35">
        <v>344136</v>
      </c>
    </row>
    <row r="1719" spans="1:34" ht="18.399999999999999" customHeight="1" x14ac:dyDescent="0.15">
      <c r="A1719" s="39"/>
      <c r="B1719" s="3"/>
      <c r="C1719" s="3"/>
      <c r="D1719" s="3"/>
      <c r="E1719" s="3"/>
      <c r="F1719" s="42"/>
    </row>
    <row r="1720" spans="1:34" ht="18.399999999999999" customHeight="1" x14ac:dyDescent="0.15">
      <c r="A1720" s="38" t="s">
        <v>2450</v>
      </c>
      <c r="B1720" s="3"/>
      <c r="C1720" s="3"/>
      <c r="D1720" s="3"/>
      <c r="E1720" s="3"/>
      <c r="F1720" s="42"/>
      <c r="G1720" t="s">
        <v>2450</v>
      </c>
      <c r="I1720" t="s">
        <v>286</v>
      </c>
      <c r="J1720" t="s">
        <v>2450</v>
      </c>
      <c r="K1720" t="s">
        <v>2053</v>
      </c>
    </row>
    <row r="1721" spans="1:34" ht="18.399999999999999" customHeight="1" x14ac:dyDescent="0.15">
      <c r="A1721" s="38" t="s">
        <v>1995</v>
      </c>
      <c r="B1721" s="32"/>
      <c r="C1721" s="32"/>
      <c r="D1721" s="32"/>
      <c r="E1721" s="32"/>
      <c r="F1721" s="43"/>
      <c r="K1721" s="3" t="s">
        <v>1995</v>
      </c>
    </row>
    <row r="1722" spans="1:34" ht="18.399999999999999" customHeight="1" x14ac:dyDescent="0.15">
      <c r="A1722" s="38" t="s">
        <v>2450</v>
      </c>
      <c r="B1722" s="32"/>
      <c r="C1722" s="32"/>
      <c r="D1722" s="32"/>
      <c r="E1722" s="32"/>
      <c r="F1722" s="43"/>
      <c r="K1722" s="3" t="s">
        <v>2450</v>
      </c>
    </row>
    <row r="1723" spans="1:34" ht="18.399999999999999" customHeight="1" x14ac:dyDescent="0.15">
      <c r="A1723" s="38" t="s">
        <v>2450</v>
      </c>
      <c r="B1723" s="32"/>
      <c r="C1723" s="32"/>
      <c r="D1723" s="32"/>
      <c r="E1723" s="32"/>
      <c r="F1723" s="43"/>
      <c r="K1723" s="3" t="s">
        <v>1251</v>
      </c>
      <c r="AA1723" s="36" t="s">
        <v>430</v>
      </c>
      <c r="AB1723" s="6">
        <v>1</v>
      </c>
      <c r="AC1723" s="36" t="s">
        <v>430</v>
      </c>
      <c r="AD1723" s="7">
        <f>$AB1723</f>
        <v>1</v>
      </c>
    </row>
    <row r="1724" spans="1:34" ht="18.399999999999999" customHeight="1" x14ac:dyDescent="0.15">
      <c r="A1724" s="40" t="str">
        <f>CONCATENATE("    실 공 기:   ",TEXT($AB1724,"#,##0.00"),"  일")</f>
        <v xml:space="preserve">    실 공 기:   1.00  일</v>
      </c>
      <c r="B1724" s="32">
        <f>SUM($C1724,$D1724,$E1724)</f>
        <v>0</v>
      </c>
      <c r="C1724" s="32"/>
      <c r="D1724" s="32"/>
      <c r="E1724" s="32"/>
      <c r="F1724" s="43"/>
      <c r="K1724" s="3" t="s">
        <v>1664</v>
      </c>
      <c r="AA1724" s="36" t="s">
        <v>1349</v>
      </c>
      <c r="AB1724" s="8">
        <f>$AD1723</f>
        <v>1</v>
      </c>
      <c r="AC1724" s="36" t="s">
        <v>667</v>
      </c>
      <c r="AD1724" s="7">
        <f>$AB1724</f>
        <v>1</v>
      </c>
    </row>
    <row r="1725" spans="1:34" ht="18.399999999999999" customHeight="1" x14ac:dyDescent="0.15">
      <c r="A1725" s="38" t="s">
        <v>2450</v>
      </c>
      <c r="B1725" s="32"/>
      <c r="C1725" s="32"/>
      <c r="D1725" s="32"/>
      <c r="E1725" s="32"/>
      <c r="F1725" s="43"/>
      <c r="K1725" s="3" t="s">
        <v>2450</v>
      </c>
    </row>
    <row r="1726" spans="1:34" ht="18.399999999999999" customHeight="1" x14ac:dyDescent="0.15">
      <c r="A1726" s="38" t="s">
        <v>1070</v>
      </c>
      <c r="B1726" s="32"/>
      <c r="C1726" s="32"/>
      <c r="D1726" s="32"/>
      <c r="E1726" s="32"/>
      <c r="F1726" s="43"/>
      <c r="K1726" s="3" t="s">
        <v>1070</v>
      </c>
    </row>
    <row r="1727" spans="1:34" ht="18.399999999999999" customHeight="1" x14ac:dyDescent="0.15">
      <c r="A1727" s="38" t="s">
        <v>2450</v>
      </c>
      <c r="B1727" s="32"/>
      <c r="C1727" s="32"/>
      <c r="D1727" s="32"/>
      <c r="E1727" s="32"/>
      <c r="F1727" s="43"/>
      <c r="K1727" s="3" t="s">
        <v>2450</v>
      </c>
    </row>
    <row r="1728" spans="1:34" ht="18.399999999999999" customHeight="1" x14ac:dyDescent="0.15">
      <c r="A1728" s="40" t="str">
        <f>CONCATENATE("    _x001D_172,068_x001D_ * 2  인  * ",TEXT($AB1728,"#,##0.00"),"  일  =",TEXT($AF1728,"#,##0.00"))</f>
        <v xml:space="preserve">    _x001D_172,068_x001D_ * 2  인  * 1.00  일  =344,136.00</v>
      </c>
      <c r="B1728" s="32">
        <f>SUM($C1728,$D1728,$E1728)</f>
        <v>344136</v>
      </c>
      <c r="C1728" s="32"/>
      <c r="D1728" s="32">
        <f>$AF1728</f>
        <v>344136</v>
      </c>
      <c r="E1728" s="32"/>
      <c r="F1728" s="43" t="s">
        <v>2450</v>
      </c>
      <c r="K1728" s="3" t="s">
        <v>787</v>
      </c>
      <c r="AA1728" s="36" t="s">
        <v>1468</v>
      </c>
      <c r="AB1728" s="8">
        <f>$AD1723</f>
        <v>1</v>
      </c>
      <c r="AC1728" s="36" t="s">
        <v>110</v>
      </c>
      <c r="AD1728" s="7">
        <f>$AB1728</f>
        <v>1</v>
      </c>
      <c r="AE1728" s="37" t="s">
        <v>266</v>
      </c>
      <c r="AF1728" s="8">
        <f>TRUNC(노임!D10*2*$AD1728,0)</f>
        <v>344136</v>
      </c>
      <c r="AG1728" s="37" t="s">
        <v>972</v>
      </c>
      <c r="AH1728" s="7">
        <f>$AF1728</f>
        <v>344136</v>
      </c>
    </row>
    <row r="1729" spans="1:38" ht="18.399999999999999" customHeight="1" x14ac:dyDescent="0.15">
      <c r="A1729" s="38" t="s">
        <v>2450</v>
      </c>
      <c r="B1729" s="32"/>
      <c r="C1729" s="32"/>
      <c r="D1729" s="32"/>
      <c r="E1729" s="32"/>
      <c r="F1729" s="43"/>
      <c r="K1729" s="3" t="s">
        <v>2450</v>
      </c>
    </row>
    <row r="1730" spans="1:38" ht="18.399999999999999" customHeight="1" x14ac:dyDescent="0.15">
      <c r="A1730" s="38" t="s">
        <v>2450</v>
      </c>
      <c r="B1730" s="33">
        <f>SUM($C1730,$D1730,$E1730)</f>
        <v>344136</v>
      </c>
      <c r="C1730" s="33">
        <f>$AB1730</f>
        <v>0</v>
      </c>
      <c r="D1730" s="33">
        <f>$AD1730</f>
        <v>344136</v>
      </c>
      <c r="E1730" s="33">
        <f>$AF1730</f>
        <v>0</v>
      </c>
      <c r="F1730" s="44"/>
      <c r="K1730" s="3" t="s">
        <v>531</v>
      </c>
      <c r="AC1730" s="36" t="s">
        <v>68</v>
      </c>
      <c r="AD1730" s="7">
        <f>$AH1728</f>
        <v>344136</v>
      </c>
    </row>
    <row r="1731" spans="1:38" ht="18.399999999999999" customHeight="1" x14ac:dyDescent="0.15">
      <c r="A1731" s="38"/>
      <c r="B1731" s="3"/>
      <c r="C1731" s="3"/>
      <c r="D1731" s="3"/>
      <c r="E1731" s="3"/>
      <c r="F1731" s="42"/>
    </row>
    <row r="1732" spans="1:38" ht="18.399999999999999" customHeight="1" x14ac:dyDescent="0.15">
      <c r="A1732" s="41" t="s">
        <v>1388</v>
      </c>
      <c r="B1732" s="35">
        <f>SUM($C1732,$D1732,$E1732)</f>
        <v>344136</v>
      </c>
      <c r="C1732" s="35">
        <v>0</v>
      </c>
      <c r="D1732" s="35">
        <f>TRUNC(SUM($AH1728),0)</f>
        <v>344136</v>
      </c>
      <c r="E1732" s="35">
        <v>0</v>
      </c>
      <c r="F1732" s="47"/>
    </row>
    <row r="1733" spans="1:38" ht="18.399999999999999" customHeight="1" x14ac:dyDescent="0.15">
      <c r="A1733" s="38"/>
      <c r="B1733" s="3"/>
      <c r="C1733" s="3"/>
      <c r="D1733" s="3"/>
      <c r="E1733" s="3"/>
      <c r="F1733" s="42"/>
    </row>
    <row r="1734" spans="1:38" ht="18.399999999999999" customHeight="1" x14ac:dyDescent="0.15">
      <c r="A1734" s="38" t="s">
        <v>1335</v>
      </c>
      <c r="B1734" s="32">
        <f>$B1763</f>
        <v>12112</v>
      </c>
      <c r="C1734" s="32">
        <f>$C1763</f>
        <v>2458</v>
      </c>
      <c r="D1734" s="32">
        <f>$D1763</f>
        <v>8041</v>
      </c>
      <c r="E1734" s="32">
        <f>$E1763</f>
        <v>1613</v>
      </c>
      <c r="F1734" s="42" t="s">
        <v>2450</v>
      </c>
      <c r="G1734" t="s">
        <v>2450</v>
      </c>
      <c r="H1734" t="s">
        <v>1231</v>
      </c>
      <c r="K1734">
        <v>1</v>
      </c>
      <c r="Y1734" s="7" t="b">
        <f>EXACT($Z1734,$B1763)</f>
        <v>1</v>
      </c>
      <c r="Z1734" s="35">
        <v>12112</v>
      </c>
    </row>
    <row r="1735" spans="1:38" ht="18.399999999999999" customHeight="1" x14ac:dyDescent="0.15">
      <c r="A1735" s="39"/>
      <c r="B1735" s="3"/>
      <c r="C1735" s="3"/>
      <c r="D1735" s="3"/>
      <c r="E1735" s="3"/>
      <c r="F1735" s="42"/>
    </row>
    <row r="1736" spans="1:38" ht="18.399999999999999" customHeight="1" x14ac:dyDescent="0.15">
      <c r="A1736" s="38" t="s">
        <v>2450</v>
      </c>
      <c r="B1736" s="3"/>
      <c r="C1736" s="3"/>
      <c r="D1736" s="3"/>
      <c r="E1736" s="3"/>
      <c r="F1736" s="42"/>
      <c r="G1736" t="s">
        <v>2450</v>
      </c>
      <c r="I1736" t="s">
        <v>286</v>
      </c>
      <c r="J1736" t="s">
        <v>2450</v>
      </c>
      <c r="K1736" t="s">
        <v>2053</v>
      </c>
    </row>
    <row r="1737" spans="1:38" ht="18.399999999999999" customHeight="1" x14ac:dyDescent="0.15">
      <c r="A1737" s="38" t="s">
        <v>920</v>
      </c>
      <c r="B1737" s="32"/>
      <c r="C1737" s="32"/>
      <c r="D1737" s="32"/>
      <c r="E1737" s="32"/>
      <c r="F1737" s="43"/>
      <c r="K1737" s="3" t="s">
        <v>920</v>
      </c>
    </row>
    <row r="1738" spans="1:38" ht="18.399999999999999" customHeight="1" x14ac:dyDescent="0.15">
      <c r="A1738" s="38" t="s">
        <v>2450</v>
      </c>
      <c r="B1738" s="32"/>
      <c r="C1738" s="32"/>
      <c r="D1738" s="32"/>
      <c r="E1738" s="32"/>
      <c r="F1738" s="43"/>
      <c r="K1738" s="3" t="s">
        <v>2450</v>
      </c>
    </row>
    <row r="1739" spans="1:38" ht="18.399999999999999" customHeight="1" x14ac:dyDescent="0.15">
      <c r="A1739" s="38" t="s">
        <v>1182</v>
      </c>
      <c r="B1739" s="32"/>
      <c r="C1739" s="32"/>
      <c r="D1739" s="32"/>
      <c r="E1739" s="32"/>
      <c r="F1739" s="43"/>
      <c r="K1739" s="3" t="s">
        <v>1182</v>
      </c>
    </row>
    <row r="1740" spans="1:38" ht="18.399999999999999" customHeight="1" x14ac:dyDescent="0.15">
      <c r="A1740" s="38" t="s">
        <v>2450</v>
      </c>
      <c r="B1740" s="32"/>
      <c r="C1740" s="32"/>
      <c r="D1740" s="32"/>
      <c r="E1740" s="32"/>
      <c r="F1740" s="43"/>
      <c r="K1740" s="3" t="s">
        <v>2450</v>
      </c>
    </row>
    <row r="1741" spans="1:38" ht="18.399999999999999" customHeight="1" x14ac:dyDescent="0.15">
      <c r="A1741" s="40" t="str">
        <f>CONCATENATE("   E=",TEXT($AB1741,"#,##0.0"),",  L=",TEXT($AF1741,"#,##0.0"),"  KM ,  V1=",TEXT($AJ1741,"#,##0.0"))</f>
        <v xml:space="preserve">   E=0.9,  L=1.0  KM ,  V1=15.0</v>
      </c>
      <c r="B1741" s="32"/>
      <c r="C1741" s="32"/>
      <c r="D1741" s="32"/>
      <c r="E1741" s="32"/>
      <c r="F1741" s="43"/>
      <c r="K1741" s="10" t="str">
        <f>SUBSTITUTE(SUBSTITUTE(SUBSTITUTE(SUBSTITUTE("   E = 0.9,  L = 1.0 _x001D_KM_x001D_,  V1 = 15.0","0.9",TEXT($AB1741,"#,##0.0"),1),"1.0",TEXT($AF1741,"#,##0.0"),1),"15.0",TEXT($AJ1741,"#,##0.0"),1),"_x001D_","'")</f>
        <v xml:space="preserve">   E = 0.9,  L = 1.0 'KM',  V1 = 15.0</v>
      </c>
      <c r="AA1741" s="36" t="s">
        <v>1179</v>
      </c>
      <c r="AB1741" s="6">
        <v>0.9</v>
      </c>
      <c r="AC1741" s="36" t="s">
        <v>1179</v>
      </c>
      <c r="AD1741" s="7">
        <f>$AB1741</f>
        <v>0.9</v>
      </c>
      <c r="AE1741" s="36" t="s">
        <v>2305</v>
      </c>
      <c r="AF1741" s="6">
        <v>1</v>
      </c>
      <c r="AG1741" s="36" t="s">
        <v>2305</v>
      </c>
      <c r="AH1741" s="7">
        <f>$AF1741</f>
        <v>1</v>
      </c>
      <c r="AI1741" s="36" t="s">
        <v>2096</v>
      </c>
      <c r="AJ1741" s="6">
        <v>15</v>
      </c>
      <c r="AK1741" s="36" t="s">
        <v>2096</v>
      </c>
      <c r="AL1741" s="7">
        <f>$AJ1741</f>
        <v>15</v>
      </c>
    </row>
    <row r="1742" spans="1:38" ht="18.399999999999999" customHeight="1" x14ac:dyDescent="0.15">
      <c r="A1742" s="38" t="s">
        <v>2450</v>
      </c>
      <c r="B1742" s="32"/>
      <c r="C1742" s="32"/>
      <c r="D1742" s="32"/>
      <c r="E1742" s="32"/>
      <c r="F1742" s="43"/>
      <c r="K1742" s="3" t="s">
        <v>2450</v>
      </c>
    </row>
    <row r="1743" spans="1:38" ht="18.399999999999999" customHeight="1" x14ac:dyDescent="0.15">
      <c r="A1743" s="38" t="s">
        <v>2109</v>
      </c>
      <c r="B1743" s="32"/>
      <c r="C1743" s="32"/>
      <c r="D1743" s="32"/>
      <c r="E1743" s="32"/>
      <c r="F1743" s="43"/>
      <c r="K1743" s="3" t="s">
        <v>2109</v>
      </c>
    </row>
    <row r="1744" spans="1:38" ht="18.399999999999999" customHeight="1" x14ac:dyDescent="0.15">
      <c r="A1744" s="38" t="s">
        <v>2450</v>
      </c>
      <c r="B1744" s="32"/>
      <c r="C1744" s="32"/>
      <c r="D1744" s="32"/>
      <c r="E1744" s="32"/>
      <c r="F1744" s="43"/>
      <c r="K1744" s="3" t="s">
        <v>2450</v>
      </c>
    </row>
    <row r="1745" spans="1:42" ht="18.399999999999999" customHeight="1" x14ac:dyDescent="0.15">
      <c r="A1745" s="38" t="s">
        <v>1785</v>
      </c>
      <c r="B1745" s="32"/>
      <c r="C1745" s="32"/>
      <c r="D1745" s="32"/>
      <c r="E1745" s="32"/>
      <c r="F1745" s="43"/>
      <c r="K1745" s="3" t="s">
        <v>1785</v>
      </c>
    </row>
    <row r="1746" spans="1:42" ht="18.399999999999999" customHeight="1" x14ac:dyDescent="0.15">
      <c r="A1746" s="38" t="s">
        <v>2450</v>
      </c>
      <c r="B1746" s="32"/>
      <c r="C1746" s="32"/>
      <c r="D1746" s="32"/>
      <c r="E1746" s="32"/>
      <c r="F1746" s="43"/>
      <c r="K1746" s="3" t="s">
        <v>2450</v>
      </c>
    </row>
    <row r="1747" spans="1:42" ht="18.399999999999999" customHeight="1" x14ac:dyDescent="0.15">
      <c r="A1747" s="40" t="str">
        <f>CONCATENATE("   T2 = ( ",TEXT($AB1747,"#,##0.00")," / ",TEXT($AF1747,"#,##0.00")," ) * 2 * 60 = ",TEXT($AN1747,"#,##0.00"))</f>
        <v xml:space="preserve">   T2 = ( 1.00 / 15.00 ) * 2 * 60 = 8.00</v>
      </c>
      <c r="B1747" s="32">
        <f>SUM($C1747,$D1747,$E1747)</f>
        <v>0</v>
      </c>
      <c r="C1747" s="32"/>
      <c r="D1747" s="32"/>
      <c r="E1747" s="32"/>
      <c r="F1747" s="43"/>
      <c r="K1747" s="3" t="s">
        <v>1925</v>
      </c>
      <c r="AA1747" s="36" t="s">
        <v>111</v>
      </c>
      <c r="AB1747" s="8">
        <f>$AH1741</f>
        <v>1</v>
      </c>
      <c r="AC1747" s="36" t="s">
        <v>413</v>
      </c>
      <c r="AD1747" s="7">
        <f>$AB1747</f>
        <v>1</v>
      </c>
      <c r="AE1747" s="36" t="s">
        <v>2104</v>
      </c>
      <c r="AF1747" s="8">
        <f>$AL1741</f>
        <v>15</v>
      </c>
      <c r="AG1747" s="36" t="s">
        <v>1862</v>
      </c>
      <c r="AH1747" s="7">
        <f>$AF1747</f>
        <v>15</v>
      </c>
      <c r="AI1747" s="36" t="s">
        <v>2319</v>
      </c>
      <c r="AJ1747" s="8">
        <f>ROUND(($AD1747/$AH1747)*2*60,2)</f>
        <v>8</v>
      </c>
      <c r="AK1747" s="36" t="s">
        <v>848</v>
      </c>
      <c r="AL1747" s="7">
        <f>$AJ1747</f>
        <v>8</v>
      </c>
      <c r="AM1747" s="36" t="s">
        <v>1051</v>
      </c>
      <c r="AN1747" s="8">
        <f>ROUND(ROUND(($AD1747/$AH1747)*2*60,2),2)</f>
        <v>8</v>
      </c>
      <c r="AO1747" s="36" t="s">
        <v>1546</v>
      </c>
      <c r="AP1747" s="7">
        <f>$AN1747</f>
        <v>8</v>
      </c>
    </row>
    <row r="1748" spans="1:42" ht="18.399999999999999" customHeight="1" x14ac:dyDescent="0.15">
      <c r="A1748" s="38" t="s">
        <v>2450</v>
      </c>
      <c r="B1748" s="32"/>
      <c r="C1748" s="32"/>
      <c r="D1748" s="32"/>
      <c r="E1748" s="32"/>
      <c r="F1748" s="43"/>
      <c r="K1748" s="3" t="s">
        <v>2450</v>
      </c>
    </row>
    <row r="1749" spans="1:42" ht="18.399999999999999" customHeight="1" x14ac:dyDescent="0.15">
      <c r="A1749" s="40" t="str">
        <f>CONCATENATE("   CM = 5.0 + 10 + 5 + 20 + ",TEXT($AB1749,"#,##0.00")," = ",TEXT($AJ1749,"#,##0.00"))</f>
        <v xml:space="preserve">   CM = 5.0 + 10 + 5 + 20 + 8.00 = 48.00</v>
      </c>
      <c r="B1749" s="32">
        <f>SUM($C1749,$D1749,$E1749)</f>
        <v>0</v>
      </c>
      <c r="C1749" s="32"/>
      <c r="D1749" s="32"/>
      <c r="E1749" s="32"/>
      <c r="F1749" s="43"/>
      <c r="K1749" s="3" t="s">
        <v>2209</v>
      </c>
      <c r="AA1749" s="36" t="s">
        <v>1506</v>
      </c>
      <c r="AB1749" s="8">
        <f>$AL1747</f>
        <v>8</v>
      </c>
      <c r="AC1749" s="36" t="s">
        <v>228</v>
      </c>
      <c r="AD1749" s="7">
        <f>$AB1749</f>
        <v>8</v>
      </c>
      <c r="AE1749" s="36" t="s">
        <v>1972</v>
      </c>
      <c r="AF1749" s="8">
        <f>ROUND(5+10+5+20+$AD1749,2)</f>
        <v>48</v>
      </c>
      <c r="AG1749" s="36" t="s">
        <v>122</v>
      </c>
      <c r="AH1749" s="7">
        <f>$AF1749</f>
        <v>48</v>
      </c>
      <c r="AI1749" s="36" t="s">
        <v>785</v>
      </c>
      <c r="AJ1749" s="8">
        <f>ROUND(ROUND(5+10+5+20+$AD1749,2),2)</f>
        <v>48</v>
      </c>
      <c r="AK1749" s="36" t="s">
        <v>2358</v>
      </c>
      <c r="AL1749" s="7">
        <f>$AJ1749</f>
        <v>48</v>
      </c>
    </row>
    <row r="1750" spans="1:42" ht="18.399999999999999" customHeight="1" x14ac:dyDescent="0.15">
      <c r="A1750" s="38" t="s">
        <v>2450</v>
      </c>
      <c r="B1750" s="32"/>
      <c r="C1750" s="32"/>
      <c r="D1750" s="32"/>
      <c r="E1750" s="32"/>
      <c r="F1750" s="43"/>
      <c r="K1750" s="3" t="s">
        <v>2450</v>
      </c>
    </row>
    <row r="1751" spans="1:42" ht="18.399999999999999" customHeight="1" x14ac:dyDescent="0.15">
      <c r="A1751" s="40" t="str">
        <f>CONCATENATE("   Q = 60 * 5.5 * ",TEXT($AB1751,"#,##0.00")," / ",TEXT($AF1751,"#,##0.00")," =",TEXT($AN1751,"#,##0.00"))</f>
        <v xml:space="preserve">   Q = 60 * 5.5 * 0.90 / 48.00 =6.19</v>
      </c>
      <c r="B1751" s="32">
        <f>SUM($C1751,$D1751,$E1751)</f>
        <v>0</v>
      </c>
      <c r="C1751" s="32"/>
      <c r="D1751" s="32"/>
      <c r="E1751" s="32"/>
      <c r="F1751" s="43"/>
      <c r="K1751" s="3" t="s">
        <v>752</v>
      </c>
      <c r="AA1751" s="36" t="s">
        <v>1749</v>
      </c>
      <c r="AB1751" s="8">
        <f>$AD1741</f>
        <v>0.9</v>
      </c>
      <c r="AC1751" s="36" t="s">
        <v>2280</v>
      </c>
      <c r="AD1751" s="7">
        <f>$AB1751</f>
        <v>0.9</v>
      </c>
      <c r="AE1751" s="36" t="s">
        <v>1018</v>
      </c>
      <c r="AF1751" s="8">
        <f>$AH1749</f>
        <v>48</v>
      </c>
      <c r="AG1751" s="36" t="s">
        <v>7</v>
      </c>
      <c r="AH1751" s="7">
        <f>$AF1751</f>
        <v>48</v>
      </c>
      <c r="AI1751" s="36" t="s">
        <v>461</v>
      </c>
      <c r="AJ1751" s="8">
        <f>ROUND(60*5.5*$AD1751/$AH1751,2)</f>
        <v>6.19</v>
      </c>
      <c r="AK1751" s="36" t="s">
        <v>1686</v>
      </c>
      <c r="AL1751" s="7">
        <f>$AJ1751</f>
        <v>6.19</v>
      </c>
      <c r="AM1751" s="36" t="s">
        <v>2056</v>
      </c>
      <c r="AN1751" s="8">
        <f>ROUND(ROUND(60*5.5*$AD1751/$AH1751,2),2)</f>
        <v>6.19</v>
      </c>
      <c r="AO1751" s="36" t="s">
        <v>991</v>
      </c>
      <c r="AP1751" s="7">
        <f>$AN1751</f>
        <v>6.19</v>
      </c>
    </row>
    <row r="1752" spans="1:42" ht="18.399999999999999" customHeight="1" x14ac:dyDescent="0.15">
      <c r="A1752" s="38" t="s">
        <v>2450</v>
      </c>
      <c r="B1752" s="32"/>
      <c r="C1752" s="32"/>
      <c r="D1752" s="32"/>
      <c r="E1752" s="32"/>
      <c r="F1752" s="43"/>
      <c r="K1752" s="3" t="s">
        <v>2450</v>
      </c>
    </row>
    <row r="1753" spans="1:42" ht="18.399999999999999" customHeight="1" x14ac:dyDescent="0.15">
      <c r="A1753" s="40" t="str">
        <f>CONCATENATE("   T0 = 10 + 20 + T2 = ",TEXT($AF1753,"#,##0.00"))</f>
        <v xml:space="preserve">   T0 = 10 + 20 + T2 = 38.00</v>
      </c>
      <c r="B1753" s="32">
        <f>SUM($C1753,$D1753,$E1753)</f>
        <v>0</v>
      </c>
      <c r="C1753" s="32"/>
      <c r="D1753" s="32"/>
      <c r="E1753" s="32"/>
      <c r="F1753" s="43"/>
      <c r="K1753" s="3" t="s">
        <v>480</v>
      </c>
      <c r="AA1753" s="36" t="s">
        <v>1386</v>
      </c>
      <c r="AB1753" s="8">
        <f>ROUND(10+20+$AL1747,2)</f>
        <v>38</v>
      </c>
      <c r="AC1753" s="36" t="s">
        <v>2124</v>
      </c>
      <c r="AD1753" s="7">
        <f>$AB1753</f>
        <v>38</v>
      </c>
      <c r="AE1753" s="36" t="s">
        <v>618</v>
      </c>
      <c r="AF1753" s="8">
        <f>ROUND(ROUND(10+20+$AL1747,2),2)</f>
        <v>38</v>
      </c>
      <c r="AG1753" s="36" t="s">
        <v>1395</v>
      </c>
      <c r="AH1753" s="7">
        <f>$AF1753</f>
        <v>38</v>
      </c>
    </row>
    <row r="1754" spans="1:42" ht="18.399999999999999" customHeight="1" x14ac:dyDescent="0.15">
      <c r="A1754" s="38" t="s">
        <v>2450</v>
      </c>
      <c r="B1754" s="32"/>
      <c r="C1754" s="32"/>
      <c r="D1754" s="32"/>
      <c r="E1754" s="32"/>
      <c r="F1754" s="43"/>
      <c r="K1754" s="3" t="s">
        <v>2450</v>
      </c>
    </row>
    <row r="1755" spans="1:42" ht="18.399999999999999" customHeight="1" x14ac:dyDescent="0.15">
      <c r="A1755" s="40" t="str">
        <f>CONCATENATE("   재 료 비 :  _x001D_19,223_x001D_ / ",TEXT($AB1755,"#,##0.00")," * ",TEXT($AF1755,"#,##0.00")," / ",TEXT($AJ1755,"#,##0.00")," = ",TEXT($AN1755,"#,##0.00"))</f>
        <v xml:space="preserve">   재 료 비 :  _x001D_19,223_x001D_ / 6.19 * 38.00 / 48.00 = 2,458.00</v>
      </c>
      <c r="B1755" s="32">
        <f>SUM($C1755,$D1755,$E1755)</f>
        <v>2458</v>
      </c>
      <c r="C1755" s="32">
        <f>$AN1755</f>
        <v>2458</v>
      </c>
      <c r="D1755" s="32"/>
      <c r="E1755" s="32"/>
      <c r="F1755" s="43" t="s">
        <v>2450</v>
      </c>
      <c r="K1755" s="3" t="s">
        <v>236</v>
      </c>
      <c r="AA1755" s="36" t="s">
        <v>1703</v>
      </c>
      <c r="AB1755" s="8">
        <f>$AL1751</f>
        <v>6.19</v>
      </c>
      <c r="AC1755" s="36" t="s">
        <v>193</v>
      </c>
      <c r="AD1755" s="7">
        <f>$AB1755</f>
        <v>6.19</v>
      </c>
      <c r="AE1755" s="36" t="s">
        <v>974</v>
      </c>
      <c r="AF1755" s="8">
        <f>$AD1753</f>
        <v>38</v>
      </c>
      <c r="AG1755" s="36" t="s">
        <v>2398</v>
      </c>
      <c r="AH1755" s="7">
        <f>$AF1755</f>
        <v>38</v>
      </c>
      <c r="AI1755" s="36" t="s">
        <v>2028</v>
      </c>
      <c r="AJ1755" s="8">
        <f>$AH1749</f>
        <v>48</v>
      </c>
      <c r="AK1755" s="36" t="s">
        <v>1524</v>
      </c>
      <c r="AL1755" s="7">
        <f>$AJ1755</f>
        <v>48</v>
      </c>
      <c r="AM1755" s="37" t="s">
        <v>1798</v>
      </c>
      <c r="AN1755" s="8">
        <f>TRUNC(중기사용료목록!E27/$AD1755*$AH1755/$AL1755,0)</f>
        <v>2458</v>
      </c>
      <c r="AO1755" s="37" t="s">
        <v>2021</v>
      </c>
      <c r="AP1755" s="7">
        <f>$AN1755</f>
        <v>2458</v>
      </c>
    </row>
    <row r="1756" spans="1:42" ht="18.399999999999999" customHeight="1" x14ac:dyDescent="0.15">
      <c r="A1756" s="38" t="s">
        <v>2450</v>
      </c>
      <c r="B1756" s="32"/>
      <c r="C1756" s="32"/>
      <c r="D1756" s="32"/>
      <c r="E1756" s="32"/>
      <c r="F1756" s="43"/>
      <c r="K1756" s="3" t="s">
        <v>2450</v>
      </c>
    </row>
    <row r="1757" spans="1:42" ht="18.399999999999999" customHeight="1" x14ac:dyDescent="0.15">
      <c r="A1757" s="40" t="str">
        <f>CONCATENATE("   노 무 비 :  _x001D_49,778_x001D_ / ",TEXT($AB1757,"#,##0.00")," = ",TEXT($AF1757,"#,##0.00"))</f>
        <v xml:space="preserve">   노 무 비 :  _x001D_49,778_x001D_ / 6.19 = 8,041.00</v>
      </c>
      <c r="B1757" s="32">
        <f>SUM($C1757,$D1757,$E1757)</f>
        <v>8041</v>
      </c>
      <c r="C1757" s="32"/>
      <c r="D1757" s="32">
        <f>$AF1757</f>
        <v>8041</v>
      </c>
      <c r="E1757" s="32"/>
      <c r="F1757" s="43" t="s">
        <v>2450</v>
      </c>
      <c r="K1757" s="3" t="s">
        <v>1106</v>
      </c>
      <c r="AA1757" s="36" t="s">
        <v>490</v>
      </c>
      <c r="AB1757" s="8">
        <f>$AL1751</f>
        <v>6.19</v>
      </c>
      <c r="AC1757" s="36" t="s">
        <v>1026</v>
      </c>
      <c r="AD1757" s="7">
        <f>$AB1757</f>
        <v>6.19</v>
      </c>
      <c r="AE1757" s="37" t="s">
        <v>266</v>
      </c>
      <c r="AF1757" s="8">
        <f>TRUNC(중기사용료목록!F27/$AD1757,0)</f>
        <v>8041</v>
      </c>
      <c r="AG1757" s="37" t="s">
        <v>972</v>
      </c>
      <c r="AH1757" s="7">
        <f>$AF1757</f>
        <v>8041</v>
      </c>
    </row>
    <row r="1758" spans="1:42" ht="18.399999999999999" customHeight="1" x14ac:dyDescent="0.15">
      <c r="A1758" s="38" t="s">
        <v>2450</v>
      </c>
      <c r="B1758" s="32"/>
      <c r="C1758" s="32"/>
      <c r="D1758" s="32"/>
      <c r="E1758" s="32"/>
      <c r="F1758" s="43"/>
      <c r="K1758" s="3" t="s">
        <v>2450</v>
      </c>
    </row>
    <row r="1759" spans="1:42" ht="18.399999999999999" customHeight="1" x14ac:dyDescent="0.15">
      <c r="A1759" s="40" t="str">
        <f>CONCATENATE("   경    비 :  _x001D_9,986_x001D_ / ",TEXT($AB1759,"#,##0.00")," = ",TEXT($AF1759,"#,##0.00"))</f>
        <v xml:space="preserve">   경    비 :  _x001D_9,986_x001D_ / 6.19 = 1,613.00</v>
      </c>
      <c r="B1759" s="32">
        <f>SUM($C1759,$D1759,$E1759)</f>
        <v>1613</v>
      </c>
      <c r="C1759" s="32"/>
      <c r="D1759" s="32"/>
      <c r="E1759" s="32">
        <f>$AF1759</f>
        <v>1613</v>
      </c>
      <c r="F1759" s="43" t="s">
        <v>2450</v>
      </c>
      <c r="K1759" s="3" t="s">
        <v>1260</v>
      </c>
      <c r="AA1759" s="36" t="s">
        <v>1527</v>
      </c>
      <c r="AB1759" s="8">
        <f>$AL1751</f>
        <v>6.19</v>
      </c>
      <c r="AC1759" s="36" t="s">
        <v>906</v>
      </c>
      <c r="AD1759" s="7">
        <f>$AB1759</f>
        <v>6.19</v>
      </c>
      <c r="AE1759" s="37" t="s">
        <v>815</v>
      </c>
      <c r="AF1759" s="8">
        <f>TRUNC(중기사용료목록!G27/$AD1759,0)</f>
        <v>1613</v>
      </c>
      <c r="AG1759" s="37" t="s">
        <v>1302</v>
      </c>
      <c r="AH1759" s="7">
        <f>$AF1759</f>
        <v>1613</v>
      </c>
    </row>
    <row r="1760" spans="1:42" ht="18.399999999999999" customHeight="1" x14ac:dyDescent="0.15">
      <c r="A1760" s="38" t="s">
        <v>2450</v>
      </c>
      <c r="B1760" s="32"/>
      <c r="C1760" s="32"/>
      <c r="D1760" s="32"/>
      <c r="E1760" s="32"/>
      <c r="F1760" s="43"/>
      <c r="K1760" s="3" t="s">
        <v>2450</v>
      </c>
    </row>
    <row r="1761" spans="1:34" ht="18.399999999999999" customHeight="1" x14ac:dyDescent="0.15">
      <c r="A1761" s="38" t="s">
        <v>324</v>
      </c>
      <c r="B1761" s="33">
        <f>SUM($C1761,$D1761,$E1761)</f>
        <v>12112</v>
      </c>
      <c r="C1761" s="33">
        <f>$AB1761</f>
        <v>2458</v>
      </c>
      <c r="D1761" s="33">
        <f>$AD1761</f>
        <v>8041</v>
      </c>
      <c r="E1761" s="33">
        <f>$AF1761</f>
        <v>1613</v>
      </c>
      <c r="F1761" s="44"/>
      <c r="K1761" s="3" t="s">
        <v>1513</v>
      </c>
      <c r="AA1761" s="36" t="s">
        <v>1732</v>
      </c>
      <c r="AB1761" s="7">
        <f>$AP1755</f>
        <v>2458</v>
      </c>
      <c r="AC1761" s="36" t="s">
        <v>68</v>
      </c>
      <c r="AD1761" s="7">
        <f>$AH1757</f>
        <v>8041</v>
      </c>
      <c r="AE1761" s="36" t="s">
        <v>2233</v>
      </c>
      <c r="AF1761" s="7">
        <f>$AH1759</f>
        <v>1613</v>
      </c>
    </row>
    <row r="1762" spans="1:34" ht="18.399999999999999" customHeight="1" x14ac:dyDescent="0.15">
      <c r="A1762" s="38"/>
      <c r="B1762" s="3"/>
      <c r="C1762" s="3"/>
      <c r="D1762" s="3"/>
      <c r="E1762" s="3"/>
      <c r="F1762" s="42"/>
    </row>
    <row r="1763" spans="1:34" ht="18.399999999999999" customHeight="1" x14ac:dyDescent="0.15">
      <c r="A1763" s="41" t="s">
        <v>1388</v>
      </c>
      <c r="B1763" s="35">
        <f>SUM($C1763,$D1763,$E1763)</f>
        <v>12112</v>
      </c>
      <c r="C1763" s="35">
        <f>TRUNC(SUM($AP1755),0)</f>
        <v>2458</v>
      </c>
      <c r="D1763" s="35">
        <f>TRUNC(SUM($AH1757),0)</f>
        <v>8041</v>
      </c>
      <c r="E1763" s="35">
        <f>TRUNC(SUM($AH1759),0)</f>
        <v>1613</v>
      </c>
      <c r="F1763" s="47"/>
    </row>
    <row r="1764" spans="1:34" ht="18.399999999999999" customHeight="1" x14ac:dyDescent="0.15">
      <c r="A1764" s="38"/>
      <c r="B1764" s="3"/>
      <c r="C1764" s="3"/>
      <c r="D1764" s="3"/>
      <c r="E1764" s="3"/>
      <c r="F1764" s="42"/>
    </row>
    <row r="1765" spans="1:34" ht="18.399999999999999" customHeight="1" x14ac:dyDescent="0.15">
      <c r="A1765" s="38" t="s">
        <v>1736</v>
      </c>
      <c r="B1765" s="32">
        <f>$B1802</f>
        <v>229225</v>
      </c>
      <c r="C1765" s="32">
        <f>$C1802</f>
        <v>7620</v>
      </c>
      <c r="D1765" s="32">
        <f>$D1802</f>
        <v>219889</v>
      </c>
      <c r="E1765" s="32">
        <f>$E1802</f>
        <v>1716</v>
      </c>
      <c r="F1765" s="42" t="s">
        <v>2450</v>
      </c>
      <c r="G1765" t="s">
        <v>2450</v>
      </c>
      <c r="H1765" t="s">
        <v>955</v>
      </c>
      <c r="K1765">
        <v>1</v>
      </c>
      <c r="Y1765" s="7" t="b">
        <f>EXACT($Z1765,$B1802)</f>
        <v>1</v>
      </c>
      <c r="Z1765" s="35">
        <v>229225</v>
      </c>
    </row>
    <row r="1766" spans="1:34" ht="18.399999999999999" customHeight="1" x14ac:dyDescent="0.15">
      <c r="A1766" s="39"/>
      <c r="B1766" s="3"/>
      <c r="C1766" s="3"/>
      <c r="D1766" s="3"/>
      <c r="E1766" s="3"/>
      <c r="F1766" s="42"/>
    </row>
    <row r="1767" spans="1:34" ht="18.399999999999999" customHeight="1" x14ac:dyDescent="0.15">
      <c r="A1767" s="38" t="s">
        <v>2450</v>
      </c>
      <c r="B1767" s="3"/>
      <c r="C1767" s="3"/>
      <c r="D1767" s="3"/>
      <c r="E1767" s="3"/>
      <c r="F1767" s="42"/>
      <c r="G1767" t="s">
        <v>2450</v>
      </c>
      <c r="I1767" t="s">
        <v>286</v>
      </c>
      <c r="J1767" t="s">
        <v>2450</v>
      </c>
      <c r="K1767" t="s">
        <v>2053</v>
      </c>
    </row>
    <row r="1768" spans="1:34" ht="18.399999999999999" customHeight="1" x14ac:dyDescent="0.15">
      <c r="A1768" s="38" t="s">
        <v>2100</v>
      </c>
      <c r="B1768" s="32"/>
      <c r="C1768" s="32"/>
      <c r="D1768" s="32"/>
      <c r="E1768" s="32"/>
      <c r="F1768" s="43"/>
      <c r="K1768" s="3" t="s">
        <v>2100</v>
      </c>
    </row>
    <row r="1769" spans="1:34" ht="18.399999999999999" customHeight="1" x14ac:dyDescent="0.15">
      <c r="A1769" s="38" t="s">
        <v>2450</v>
      </c>
      <c r="B1769" s="32"/>
      <c r="C1769" s="32"/>
      <c r="D1769" s="32"/>
      <c r="E1769" s="32"/>
      <c r="F1769" s="43"/>
      <c r="K1769" s="3" t="s">
        <v>2450</v>
      </c>
    </row>
    <row r="1770" spans="1:34" ht="18.399999999999999" customHeight="1" x14ac:dyDescent="0.15">
      <c r="A1770" s="38" t="s">
        <v>1938</v>
      </c>
      <c r="B1770" s="32"/>
      <c r="C1770" s="32"/>
      <c r="D1770" s="32"/>
      <c r="E1770" s="32"/>
      <c r="F1770" s="43"/>
      <c r="K1770" s="3" t="s">
        <v>1938</v>
      </c>
    </row>
    <row r="1771" spans="1:34" ht="18.399999999999999" customHeight="1" x14ac:dyDescent="0.15">
      <c r="A1771" s="38" t="s">
        <v>2450</v>
      </c>
      <c r="B1771" s="32"/>
      <c r="C1771" s="32"/>
      <c r="D1771" s="32"/>
      <c r="E1771" s="32"/>
      <c r="F1771" s="43"/>
      <c r="K1771" s="3" t="s">
        <v>2450</v>
      </c>
    </row>
    <row r="1772" spans="1:34" ht="18.399999999999999" customHeight="1" x14ac:dyDescent="0.15">
      <c r="A1772" s="38" t="s">
        <v>2106</v>
      </c>
      <c r="B1772" s="32"/>
      <c r="C1772" s="32"/>
      <c r="D1772" s="32"/>
      <c r="E1772" s="32"/>
      <c r="F1772" s="43"/>
      <c r="K1772" s="3" t="s">
        <v>2106</v>
      </c>
    </row>
    <row r="1773" spans="1:34" ht="18.399999999999999" customHeight="1" x14ac:dyDescent="0.15">
      <c r="A1773" s="38" t="s">
        <v>2450</v>
      </c>
      <c r="B1773" s="32"/>
      <c r="C1773" s="32"/>
      <c r="D1773" s="32"/>
      <c r="E1773" s="32"/>
      <c r="F1773" s="43"/>
      <c r="K1773" s="3" t="s">
        <v>763</v>
      </c>
      <c r="AA1773" s="36" t="s">
        <v>430</v>
      </c>
      <c r="AB1773" s="6">
        <v>0.56999999999999995</v>
      </c>
      <c r="AC1773" s="36" t="s">
        <v>430</v>
      </c>
      <c r="AD1773" s="7">
        <f>$AB1773</f>
        <v>0.56999999999999995</v>
      </c>
    </row>
    <row r="1774" spans="1:34" ht="18.399999999999999" customHeight="1" x14ac:dyDescent="0.15">
      <c r="A1774" s="40" t="str">
        <f>CONCATENATE(TEXT($AB1774,"#,##0.00"),"  인  * _x001D_222,306_x001D_ =",TEXT($AF1774,"#,##0.00"))</f>
        <v>0.57  인  * _x001D_222,306_x001D_ =126,714.00</v>
      </c>
      <c r="B1774" s="32">
        <f>SUM($C1774,$D1774,$E1774)</f>
        <v>126714</v>
      </c>
      <c r="C1774" s="32"/>
      <c r="D1774" s="32">
        <f>$AF1774</f>
        <v>126714</v>
      </c>
      <c r="E1774" s="32"/>
      <c r="F1774" s="43" t="s">
        <v>2450</v>
      </c>
      <c r="K1774" s="3" t="s">
        <v>2440</v>
      </c>
      <c r="AA1774" s="36" t="s">
        <v>1909</v>
      </c>
      <c r="AB1774" s="8">
        <f>$AD1773</f>
        <v>0.56999999999999995</v>
      </c>
      <c r="AC1774" s="36" t="s">
        <v>103</v>
      </c>
      <c r="AD1774" s="7">
        <f>$AB1774</f>
        <v>0.56999999999999995</v>
      </c>
      <c r="AE1774" s="37" t="s">
        <v>266</v>
      </c>
      <c r="AF1774" s="8">
        <f>TRUNC($AD1774*노임!D5,0)</f>
        <v>126714</v>
      </c>
      <c r="AG1774" s="37" t="s">
        <v>972</v>
      </c>
      <c r="AH1774" s="7">
        <f>$AF1774</f>
        <v>126714</v>
      </c>
    </row>
    <row r="1775" spans="1:34" ht="18.399999999999999" customHeight="1" x14ac:dyDescent="0.15">
      <c r="A1775" s="38" t="s">
        <v>2450</v>
      </c>
      <c r="B1775" s="32"/>
      <c r="C1775" s="32"/>
      <c r="D1775" s="32"/>
      <c r="E1775" s="32"/>
      <c r="F1775" s="43"/>
      <c r="K1775" s="3" t="s">
        <v>2450</v>
      </c>
    </row>
    <row r="1776" spans="1:34" ht="18.399999999999999" customHeight="1" x14ac:dyDescent="0.15">
      <c r="A1776" s="38" t="s">
        <v>47</v>
      </c>
      <c r="B1776" s="32"/>
      <c r="C1776" s="32"/>
      <c r="D1776" s="32"/>
      <c r="E1776" s="32"/>
      <c r="F1776" s="43"/>
      <c r="K1776" s="3" t="s">
        <v>47</v>
      </c>
    </row>
    <row r="1777" spans="1:38" ht="18.399999999999999" customHeight="1" x14ac:dyDescent="0.15">
      <c r="A1777" s="38" t="s">
        <v>2450</v>
      </c>
      <c r="B1777" s="32"/>
      <c r="C1777" s="32"/>
      <c r="D1777" s="32"/>
      <c r="E1777" s="32"/>
      <c r="F1777" s="43"/>
      <c r="K1777" s="3" t="s">
        <v>978</v>
      </c>
      <c r="AA1777" s="36" t="s">
        <v>1853</v>
      </c>
      <c r="AB1777" s="6">
        <v>0.37</v>
      </c>
      <c r="AC1777" s="36" t="s">
        <v>1853</v>
      </c>
      <c r="AD1777" s="7">
        <f>$AB1777</f>
        <v>0.37</v>
      </c>
    </row>
    <row r="1778" spans="1:38" ht="18.399999999999999" customHeight="1" x14ac:dyDescent="0.15">
      <c r="A1778" s="40" t="str">
        <f>CONCATENATE(TEXT($AB1778,"#,##0.00"),"  인  * _x001D_172,068_x001D_ =",TEXT($AF1778,"#,##0.00"))</f>
        <v>0.37  인  * _x001D_172,068_x001D_ =63,665.00</v>
      </c>
      <c r="B1778" s="32">
        <f>SUM($C1778,$D1778,$E1778)</f>
        <v>63665</v>
      </c>
      <c r="C1778" s="32"/>
      <c r="D1778" s="32">
        <f>$AF1778</f>
        <v>63665</v>
      </c>
      <c r="E1778" s="32"/>
      <c r="F1778" s="43" t="s">
        <v>2450</v>
      </c>
      <c r="K1778" s="3" t="s">
        <v>409</v>
      </c>
      <c r="AA1778" s="36" t="s">
        <v>2123</v>
      </c>
      <c r="AB1778" s="8">
        <f>$AD1777</f>
        <v>0.37</v>
      </c>
      <c r="AC1778" s="36" t="s">
        <v>668</v>
      </c>
      <c r="AD1778" s="7">
        <f>$AB1778</f>
        <v>0.37</v>
      </c>
      <c r="AE1778" s="37" t="s">
        <v>266</v>
      </c>
      <c r="AF1778" s="8">
        <f>TRUNC($AD1778*노임!D10,0)</f>
        <v>63665</v>
      </c>
      <c r="AG1778" s="37" t="s">
        <v>972</v>
      </c>
      <c r="AH1778" s="7">
        <f>$AH1774+$AF1778</f>
        <v>190379</v>
      </c>
    </row>
    <row r="1779" spans="1:38" ht="18.399999999999999" customHeight="1" x14ac:dyDescent="0.15">
      <c r="A1779" s="38" t="s">
        <v>2450</v>
      </c>
      <c r="B1779" s="32"/>
      <c r="C1779" s="32"/>
      <c r="D1779" s="32"/>
      <c r="E1779" s="32"/>
      <c r="F1779" s="43"/>
      <c r="K1779" s="3" t="s">
        <v>2450</v>
      </c>
    </row>
    <row r="1780" spans="1:38" ht="18.399999999999999" customHeight="1" x14ac:dyDescent="0.15">
      <c r="A1780" s="38" t="s">
        <v>1474</v>
      </c>
      <c r="B1780" s="32"/>
      <c r="C1780" s="32"/>
      <c r="D1780" s="32"/>
      <c r="E1780" s="32"/>
      <c r="F1780" s="43"/>
      <c r="K1780" s="3" t="s">
        <v>1474</v>
      </c>
    </row>
    <row r="1781" spans="1:38" ht="18.399999999999999" customHeight="1" x14ac:dyDescent="0.15">
      <c r="A1781" s="38" t="s">
        <v>2450</v>
      </c>
      <c r="B1781" s="32"/>
      <c r="C1781" s="32"/>
      <c r="D1781" s="32"/>
      <c r="E1781" s="32"/>
      <c r="F1781" s="43"/>
      <c r="K1781" s="3" t="s">
        <v>550</v>
      </c>
      <c r="AA1781" s="36" t="s">
        <v>1586</v>
      </c>
      <c r="AB1781" s="6">
        <v>0.01</v>
      </c>
      <c r="AC1781" s="36" t="s">
        <v>1586</v>
      </c>
      <c r="AD1781" s="7">
        <f>$AB1781</f>
        <v>0.01</v>
      </c>
    </row>
    <row r="1782" spans="1:38" ht="18.399999999999999" customHeight="1" x14ac:dyDescent="0.15">
      <c r="A1782" s="40" t="str">
        <f>CONCATENATE(TEXT($AB1782,"#,##0.00")," * ",TEXT($AF1782,"#,##0.00"),"  %  =",TEXT($AJ1782,"#,##0.00"))</f>
        <v>190,379.00 * 0.01  %  =1,903.00</v>
      </c>
      <c r="B1782" s="32">
        <f>SUM($C1782,$D1782,$E1782)</f>
        <v>1903</v>
      </c>
      <c r="C1782" s="32">
        <f>$AJ1782</f>
        <v>1903</v>
      </c>
      <c r="D1782" s="32"/>
      <c r="E1782" s="32"/>
      <c r="F1782" s="43"/>
      <c r="K1782" s="3" t="s">
        <v>24</v>
      </c>
      <c r="AA1782" s="36" t="s">
        <v>1947</v>
      </c>
      <c r="AB1782" s="8">
        <f>$AH1778</f>
        <v>190379</v>
      </c>
      <c r="AC1782" s="36" t="s">
        <v>895</v>
      </c>
      <c r="AD1782" s="7">
        <f>$AB1782</f>
        <v>190379</v>
      </c>
      <c r="AE1782" s="36" t="s">
        <v>276</v>
      </c>
      <c r="AF1782" s="8">
        <f>$AD1781</f>
        <v>0.01</v>
      </c>
      <c r="AG1782" s="36" t="s">
        <v>1701</v>
      </c>
      <c r="AH1782" s="7">
        <f>$AF1782</f>
        <v>0.01</v>
      </c>
      <c r="AI1782" s="37" t="s">
        <v>1798</v>
      </c>
      <c r="AJ1782" s="8">
        <f>TRUNC($AD1782*$AH1782,0)</f>
        <v>1903</v>
      </c>
      <c r="AK1782" s="37" t="s">
        <v>2021</v>
      </c>
      <c r="AL1782" s="7">
        <f>$AJ1782</f>
        <v>1903</v>
      </c>
    </row>
    <row r="1783" spans="1:38" ht="18.399999999999999" customHeight="1" x14ac:dyDescent="0.15">
      <c r="A1783" s="38" t="s">
        <v>2450</v>
      </c>
      <c r="B1783" s="32"/>
      <c r="C1783" s="32"/>
      <c r="D1783" s="32"/>
      <c r="E1783" s="32"/>
      <c r="F1783" s="43"/>
      <c r="K1783" s="3" t="s">
        <v>2450</v>
      </c>
    </row>
    <row r="1784" spans="1:38" ht="18.399999999999999" customHeight="1" x14ac:dyDescent="0.15">
      <c r="A1784" s="38" t="s">
        <v>46</v>
      </c>
      <c r="B1784" s="32"/>
      <c r="C1784" s="32"/>
      <c r="D1784" s="32"/>
      <c r="E1784" s="32"/>
      <c r="F1784" s="43"/>
      <c r="K1784" s="3" t="s">
        <v>46</v>
      </c>
    </row>
    <row r="1785" spans="1:38" ht="18.399999999999999" customHeight="1" x14ac:dyDescent="0.15">
      <c r="A1785" s="38" t="s">
        <v>2450</v>
      </c>
      <c r="B1785" s="32"/>
      <c r="C1785" s="32"/>
      <c r="D1785" s="32"/>
      <c r="E1785" s="32"/>
      <c r="F1785" s="43"/>
      <c r="K1785" s="3" t="s">
        <v>1145</v>
      </c>
      <c r="AA1785" s="36" t="s">
        <v>298</v>
      </c>
      <c r="AB1785" s="6">
        <v>1</v>
      </c>
      <c r="AC1785" s="36" t="s">
        <v>298</v>
      </c>
      <c r="AD1785" s="7">
        <f>$AB1785</f>
        <v>1</v>
      </c>
    </row>
    <row r="1786" spans="1:38" ht="18.399999999999999" customHeight="1" x14ac:dyDescent="0.15">
      <c r="A1786" s="40" t="str">
        <f>CONCATENATE("     Q = ",TEXT($AB1786,"#,##0.00"),"  대  * 1  hr  =",TEXT($AJ1786,"#,##0.00"))</f>
        <v xml:space="preserve">     Q = 1.00  대  * 1  hr  =1.00</v>
      </c>
      <c r="B1786" s="32">
        <f>SUM($C1786,$D1786,$E1786)</f>
        <v>0</v>
      </c>
      <c r="C1786" s="32"/>
      <c r="D1786" s="32"/>
      <c r="E1786" s="32"/>
      <c r="F1786" s="43"/>
      <c r="K1786" s="3" t="s">
        <v>1593</v>
      </c>
      <c r="AA1786" s="36" t="s">
        <v>1832</v>
      </c>
      <c r="AB1786" s="8">
        <f>$AD1785</f>
        <v>1</v>
      </c>
      <c r="AC1786" s="36" t="s">
        <v>1534</v>
      </c>
      <c r="AD1786" s="7">
        <f>$AB1786</f>
        <v>1</v>
      </c>
      <c r="AE1786" s="36" t="s">
        <v>461</v>
      </c>
      <c r="AF1786" s="8">
        <f>ROUND($AD1786*1,2)</f>
        <v>1</v>
      </c>
      <c r="AG1786" s="36" t="s">
        <v>1686</v>
      </c>
      <c r="AH1786" s="7">
        <f>$AF1786</f>
        <v>1</v>
      </c>
      <c r="AI1786" s="36" t="s">
        <v>160</v>
      </c>
      <c r="AJ1786" s="8">
        <f>ROUND(ROUND($AD1786*1,2),2)</f>
        <v>1</v>
      </c>
      <c r="AK1786" s="36" t="s">
        <v>786</v>
      </c>
      <c r="AL1786" s="7">
        <f>$AJ1786</f>
        <v>1</v>
      </c>
    </row>
    <row r="1787" spans="1:38" ht="18.399999999999999" customHeight="1" x14ac:dyDescent="0.15">
      <c r="A1787" s="38" t="s">
        <v>2450</v>
      </c>
      <c r="B1787" s="32"/>
      <c r="C1787" s="32"/>
      <c r="D1787" s="32"/>
      <c r="E1787" s="32"/>
      <c r="F1787" s="43"/>
      <c r="K1787" s="3" t="s">
        <v>2450</v>
      </c>
    </row>
    <row r="1788" spans="1:38" ht="18.399999999999999" customHeight="1" x14ac:dyDescent="0.15">
      <c r="A1788" s="40" t="str">
        <f>CONCATENATE("     경    비 :  _x001D_494_x001D_ * ",TEXT($AB1788,"#,##0.00")," =",TEXT($AF1788,"#,##0.00"))</f>
        <v xml:space="preserve">     경    비 :  _x001D_494_x001D_ * 1.00 =494.00</v>
      </c>
      <c r="B1788" s="32">
        <f>SUM($C1788,$D1788,$E1788)</f>
        <v>494</v>
      </c>
      <c r="C1788" s="32"/>
      <c r="D1788" s="32"/>
      <c r="E1788" s="32">
        <f>$AF1788</f>
        <v>494</v>
      </c>
      <c r="F1788" s="43" t="s">
        <v>2450</v>
      </c>
      <c r="K1788" s="3" t="s">
        <v>2181</v>
      </c>
      <c r="AA1788" s="36" t="s">
        <v>828</v>
      </c>
      <c r="AB1788" s="8">
        <f>$AH1786</f>
        <v>1</v>
      </c>
      <c r="AC1788" s="36" t="s">
        <v>1391</v>
      </c>
      <c r="AD1788" s="7">
        <f>$AB1788</f>
        <v>1</v>
      </c>
      <c r="AE1788" s="37" t="s">
        <v>815</v>
      </c>
      <c r="AF1788" s="8">
        <f>TRUNC(중기사용료목록!G26*$AD1788,0)</f>
        <v>494</v>
      </c>
      <c r="AG1788" s="37" t="s">
        <v>1302</v>
      </c>
      <c r="AH1788" s="7">
        <f>$AF1788</f>
        <v>494</v>
      </c>
    </row>
    <row r="1789" spans="1:38" ht="18.399999999999999" customHeight="1" x14ac:dyDescent="0.15">
      <c r="A1789" s="38" t="s">
        <v>2450</v>
      </c>
      <c r="B1789" s="32"/>
      <c r="C1789" s="32"/>
      <c r="D1789" s="32"/>
      <c r="E1789" s="32"/>
      <c r="F1789" s="43"/>
      <c r="K1789" s="3" t="s">
        <v>2450</v>
      </c>
    </row>
    <row r="1790" spans="1:38" ht="18.399999999999999" customHeight="1" x14ac:dyDescent="0.15">
      <c r="A1790" s="38" t="s">
        <v>1913</v>
      </c>
      <c r="B1790" s="32"/>
      <c r="C1790" s="32"/>
      <c r="D1790" s="32"/>
      <c r="E1790" s="32"/>
      <c r="F1790" s="43"/>
      <c r="K1790" s="3" t="s">
        <v>1913</v>
      </c>
    </row>
    <row r="1791" spans="1:38" ht="18.399999999999999" customHeight="1" x14ac:dyDescent="0.15">
      <c r="A1791" s="38" t="s">
        <v>2450</v>
      </c>
      <c r="B1791" s="32"/>
      <c r="C1791" s="32"/>
      <c r="D1791" s="32"/>
      <c r="E1791" s="32"/>
      <c r="F1791" s="43"/>
      <c r="K1791" s="3" t="s">
        <v>1829</v>
      </c>
      <c r="AA1791" s="36" t="s">
        <v>1179</v>
      </c>
      <c r="AB1791" s="6">
        <v>0.5</v>
      </c>
      <c r="AC1791" s="36" t="s">
        <v>1179</v>
      </c>
      <c r="AD1791" s="7">
        <f>$AB1791</f>
        <v>0.5</v>
      </c>
    </row>
    <row r="1792" spans="1:38" ht="18.399999999999999" customHeight="1" x14ac:dyDescent="0.15">
      <c r="A1792" s="40" t="str">
        <f>CONCATENATE("     Q1 =",TEXT($AB1792,"#,##0.00"),"  hr  =",TEXT($AJ1792,"#,##0.00"))</f>
        <v xml:space="preserve">     Q1 =0.50  hr  =0.50</v>
      </c>
      <c r="B1792" s="32">
        <f>SUM($C1792,$D1792,$E1792)</f>
        <v>0</v>
      </c>
      <c r="C1792" s="32"/>
      <c r="D1792" s="32"/>
      <c r="E1792" s="32"/>
      <c r="F1792" s="43"/>
      <c r="K1792" s="3" t="s">
        <v>509</v>
      </c>
      <c r="AA1792" s="36" t="s">
        <v>2325</v>
      </c>
      <c r="AB1792" s="8">
        <f>$AD1791</f>
        <v>0.5</v>
      </c>
      <c r="AC1792" s="36" t="s">
        <v>244</v>
      </c>
      <c r="AD1792" s="7">
        <f>$AB1792</f>
        <v>0.5</v>
      </c>
      <c r="AE1792" s="36" t="s">
        <v>1375</v>
      </c>
      <c r="AF1792" s="8">
        <f>ROUND($AD1792,2)</f>
        <v>0.5</v>
      </c>
      <c r="AG1792" s="36" t="s">
        <v>1921</v>
      </c>
      <c r="AH1792" s="7">
        <f>$AF1792</f>
        <v>0.5</v>
      </c>
      <c r="AI1792" s="36" t="s">
        <v>340</v>
      </c>
      <c r="AJ1792" s="8">
        <f>ROUND(ROUND($AD1792,2),2)</f>
        <v>0.5</v>
      </c>
      <c r="AK1792" s="36" t="s">
        <v>2365</v>
      </c>
      <c r="AL1792" s="7">
        <f>$AJ1792</f>
        <v>0.5</v>
      </c>
    </row>
    <row r="1793" spans="1:34" ht="18.399999999999999" customHeight="1" x14ac:dyDescent="0.15">
      <c r="A1793" s="38" t="s">
        <v>2450</v>
      </c>
      <c r="B1793" s="32"/>
      <c r="C1793" s="32"/>
      <c r="D1793" s="32"/>
      <c r="E1793" s="32"/>
      <c r="F1793" s="43"/>
      <c r="K1793" s="3" t="s">
        <v>2450</v>
      </c>
    </row>
    <row r="1794" spans="1:34" ht="18.399999999999999" customHeight="1" x14ac:dyDescent="0.15">
      <c r="A1794" s="40" t="str">
        <f>CONCATENATE("     재 료 비 :  _x001D_11,435_x001D_ * ",TEXT($AB1794,"#,##0.00")," =",TEXT($AF1794,"#,##0.00"))</f>
        <v xml:space="preserve">     재 료 비 :  _x001D_11,435_x001D_ * 0.50 =5,717.00</v>
      </c>
      <c r="B1794" s="32">
        <f>SUM($C1794,$D1794,$E1794)</f>
        <v>5717</v>
      </c>
      <c r="C1794" s="32">
        <f>$AF1794</f>
        <v>5717</v>
      </c>
      <c r="D1794" s="32"/>
      <c r="E1794" s="32"/>
      <c r="F1794" s="43" t="s">
        <v>2450</v>
      </c>
      <c r="K1794" s="3" t="s">
        <v>1814</v>
      </c>
      <c r="AA1794" s="36" t="s">
        <v>1171</v>
      </c>
      <c r="AB1794" s="8">
        <f>$AH1792</f>
        <v>0.5</v>
      </c>
      <c r="AC1794" s="36" t="s">
        <v>1510</v>
      </c>
      <c r="AD1794" s="7">
        <f>$AB1794</f>
        <v>0.5</v>
      </c>
      <c r="AE1794" s="37" t="s">
        <v>1798</v>
      </c>
      <c r="AF1794" s="8">
        <f>TRUNC(중기사용료목록!E25*$AD1794,0)</f>
        <v>5717</v>
      </c>
      <c r="AG1794" s="37" t="s">
        <v>2021</v>
      </c>
      <c r="AH1794" s="7">
        <f>$AL1782+$AF1794</f>
        <v>7620</v>
      </c>
    </row>
    <row r="1795" spans="1:34" ht="18.399999999999999" customHeight="1" x14ac:dyDescent="0.15">
      <c r="A1795" s="40" t="str">
        <f>CONCATENATE("     노 무 비 :  _x001D_59,020_x001D_ * ",TEXT($AB1795,"#,##0.00")," =",TEXT($AF1795,"#,##0.00"))</f>
        <v xml:space="preserve">     노 무 비 :  _x001D_59,020_x001D_ * 0.50 =29,510.00</v>
      </c>
      <c r="B1795" s="32">
        <f>SUM($C1795,$D1795,$E1795)</f>
        <v>29510</v>
      </c>
      <c r="C1795" s="32"/>
      <c r="D1795" s="32">
        <f>$AF1795</f>
        <v>29510</v>
      </c>
      <c r="E1795" s="32"/>
      <c r="F1795" s="43" t="s">
        <v>2450</v>
      </c>
      <c r="K1795" s="3" t="s">
        <v>640</v>
      </c>
      <c r="AA1795" s="36" t="s">
        <v>571</v>
      </c>
      <c r="AB1795" s="8">
        <f>$AH1792</f>
        <v>0.5</v>
      </c>
      <c r="AC1795" s="36" t="s">
        <v>10</v>
      </c>
      <c r="AD1795" s="7">
        <f>$AB1795</f>
        <v>0.5</v>
      </c>
      <c r="AE1795" s="37" t="s">
        <v>266</v>
      </c>
      <c r="AF1795" s="8">
        <f>TRUNC(중기사용료목록!F25*$AD1795,0)</f>
        <v>29510</v>
      </c>
      <c r="AG1795" s="37" t="s">
        <v>972</v>
      </c>
      <c r="AH1795" s="7">
        <f>$AH1778+$AF1795</f>
        <v>219889</v>
      </c>
    </row>
    <row r="1796" spans="1:34" ht="18.399999999999999" customHeight="1" x14ac:dyDescent="0.15">
      <c r="A1796" s="40" t="str">
        <f>CONCATENATE("     경    비 :  _x001D_2,445_x001D_ * ",TEXT($AB1796,"#,##0.00")," =",TEXT($AF1796,"#,##0.00"))</f>
        <v xml:space="preserve">     경    비 :  _x001D_2,445_x001D_ * 0.50 =1,222.00</v>
      </c>
      <c r="B1796" s="32">
        <f>SUM($C1796,$D1796,$E1796)</f>
        <v>1222</v>
      </c>
      <c r="C1796" s="32"/>
      <c r="D1796" s="32"/>
      <c r="E1796" s="32">
        <f>$AF1796</f>
        <v>1222</v>
      </c>
      <c r="F1796" s="43" t="s">
        <v>2450</v>
      </c>
      <c r="K1796" s="3" t="s">
        <v>1334</v>
      </c>
      <c r="AA1796" s="36" t="s">
        <v>2445</v>
      </c>
      <c r="AB1796" s="8">
        <f>$AH1792</f>
        <v>0.5</v>
      </c>
      <c r="AC1796" s="36" t="s">
        <v>2188</v>
      </c>
      <c r="AD1796" s="7">
        <f>$AB1796</f>
        <v>0.5</v>
      </c>
      <c r="AE1796" s="37" t="s">
        <v>815</v>
      </c>
      <c r="AF1796" s="8">
        <f>TRUNC(중기사용료목록!G25*$AD1796,0)</f>
        <v>1222</v>
      </c>
      <c r="AG1796" s="37" t="s">
        <v>1302</v>
      </c>
      <c r="AH1796" s="7">
        <f>$AH1788+$AF1796</f>
        <v>1716</v>
      </c>
    </row>
    <row r="1797" spans="1:34" ht="18.399999999999999" customHeight="1" x14ac:dyDescent="0.15">
      <c r="A1797" s="38" t="s">
        <v>2450</v>
      </c>
      <c r="B1797" s="32"/>
      <c r="C1797" s="32"/>
      <c r="D1797" s="32"/>
      <c r="E1797" s="32"/>
      <c r="F1797" s="43"/>
      <c r="K1797" s="3" t="s">
        <v>2450</v>
      </c>
    </row>
    <row r="1798" spans="1:34" ht="18.399999999999999" customHeight="1" x14ac:dyDescent="0.15">
      <c r="A1798" s="38" t="s">
        <v>2337</v>
      </c>
      <c r="B1798" s="34">
        <f>SUM($C1798,$D1798,$E1798)</f>
        <v>229225</v>
      </c>
      <c r="C1798" s="34">
        <f>$AB1798</f>
        <v>7620</v>
      </c>
      <c r="D1798" s="34">
        <f>$AD1798</f>
        <v>219889</v>
      </c>
      <c r="E1798" s="34">
        <f>$AF1798</f>
        <v>1716</v>
      </c>
      <c r="F1798" s="45"/>
      <c r="K1798" s="3" t="s">
        <v>733</v>
      </c>
      <c r="AA1798" s="36" t="s">
        <v>984</v>
      </c>
      <c r="AB1798" s="7">
        <f>$AH1794</f>
        <v>7620</v>
      </c>
      <c r="AC1798" s="36" t="s">
        <v>2036</v>
      </c>
      <c r="AD1798" s="7">
        <f>$AH1795</f>
        <v>219889</v>
      </c>
      <c r="AE1798" s="36" t="s">
        <v>579</v>
      </c>
      <c r="AF1798" s="7">
        <f>$AH1796</f>
        <v>1716</v>
      </c>
    </row>
    <row r="1799" spans="1:34" ht="18.399999999999999" customHeight="1" x14ac:dyDescent="0.15">
      <c r="A1799" s="38" t="s">
        <v>2450</v>
      </c>
      <c r="B1799" s="32"/>
      <c r="C1799" s="32"/>
      <c r="D1799" s="32"/>
      <c r="E1799" s="32"/>
      <c r="F1799" s="43"/>
      <c r="K1799" s="3" t="s">
        <v>2450</v>
      </c>
    </row>
    <row r="1800" spans="1:34" ht="18.399999999999999" customHeight="1" x14ac:dyDescent="0.15">
      <c r="A1800" s="38" t="s">
        <v>2064</v>
      </c>
      <c r="B1800" s="35">
        <f>SUM($C1800,$D1800,$E1800)</f>
        <v>229225</v>
      </c>
      <c r="C1800" s="35">
        <f>$AB1800</f>
        <v>7620</v>
      </c>
      <c r="D1800" s="35">
        <f>$AD1800</f>
        <v>219889</v>
      </c>
      <c r="E1800" s="35">
        <f>$AF1800</f>
        <v>1716</v>
      </c>
      <c r="F1800" s="46"/>
      <c r="K1800" s="3" t="s">
        <v>1522</v>
      </c>
      <c r="AA1800" s="36" t="s">
        <v>604</v>
      </c>
      <c r="AB1800" s="7">
        <f>$AH1794</f>
        <v>7620</v>
      </c>
      <c r="AC1800" s="36" t="s">
        <v>1333</v>
      </c>
      <c r="AD1800" s="7">
        <f>$AH1795</f>
        <v>219889</v>
      </c>
      <c r="AE1800" s="36" t="s">
        <v>963</v>
      </c>
      <c r="AF1800" s="7">
        <f>$AH1796</f>
        <v>1716</v>
      </c>
    </row>
    <row r="1801" spans="1:34" ht="18.399999999999999" customHeight="1" x14ac:dyDescent="0.15">
      <c r="A1801" s="38"/>
      <c r="B1801" s="3"/>
      <c r="C1801" s="3"/>
      <c r="D1801" s="3"/>
      <c r="E1801" s="3"/>
      <c r="F1801" s="42"/>
    </row>
    <row r="1802" spans="1:34" ht="18.399999999999999" customHeight="1" x14ac:dyDescent="0.15">
      <c r="A1802" s="41" t="s">
        <v>1388</v>
      </c>
      <c r="B1802" s="35">
        <f>SUM($C1802,$D1802,$E1802)</f>
        <v>229225</v>
      </c>
      <c r="C1802" s="35">
        <f>TRUNC(SUM($AH1794),0)</f>
        <v>7620</v>
      </c>
      <c r="D1802" s="35">
        <f>TRUNC(SUM($AH1795),0)</f>
        <v>219889</v>
      </c>
      <c r="E1802" s="35">
        <f>TRUNC(SUM($AH1796),0)</f>
        <v>1716</v>
      </c>
      <c r="F1802" s="47"/>
    </row>
    <row r="1803" spans="1:34" ht="18.399999999999999" customHeight="1" x14ac:dyDescent="0.15">
      <c r="A1803" s="38"/>
      <c r="B1803" s="3"/>
      <c r="C1803" s="3"/>
      <c r="D1803" s="3"/>
      <c r="E1803" s="3"/>
      <c r="F1803" s="42"/>
    </row>
    <row r="1804" spans="1:34" ht="18.399999999999999" customHeight="1" x14ac:dyDescent="0.15">
      <c r="A1804" s="38" t="s">
        <v>410</v>
      </c>
      <c r="B1804" s="32">
        <f>$B1817</f>
        <v>241981</v>
      </c>
      <c r="C1804" s="32">
        <f>$C1817</f>
        <v>128417</v>
      </c>
      <c r="D1804" s="32">
        <f>$D1817</f>
        <v>113564</v>
      </c>
      <c r="E1804" s="32">
        <v>0</v>
      </c>
      <c r="F1804" s="42" t="s">
        <v>2450</v>
      </c>
      <c r="G1804" t="s">
        <v>2450</v>
      </c>
      <c r="H1804" t="s">
        <v>1627</v>
      </c>
      <c r="K1804">
        <v>1</v>
      </c>
      <c r="Y1804" s="7" t="b">
        <f>EXACT($Z1804,$B1817)</f>
        <v>1</v>
      </c>
      <c r="Z1804" s="35">
        <v>241981</v>
      </c>
    </row>
    <row r="1805" spans="1:34" ht="18.399999999999999" customHeight="1" x14ac:dyDescent="0.15">
      <c r="A1805" s="39"/>
      <c r="B1805" s="3"/>
      <c r="C1805" s="3"/>
      <c r="D1805" s="3"/>
      <c r="E1805" s="3"/>
      <c r="F1805" s="42"/>
    </row>
    <row r="1806" spans="1:34" ht="18.399999999999999" customHeight="1" x14ac:dyDescent="0.15">
      <c r="A1806" s="38" t="s">
        <v>2450</v>
      </c>
      <c r="B1806" s="3"/>
      <c r="C1806" s="3"/>
      <c r="D1806" s="3"/>
      <c r="E1806" s="3"/>
      <c r="F1806" s="42"/>
      <c r="G1806" t="s">
        <v>2450</v>
      </c>
      <c r="I1806" t="s">
        <v>286</v>
      </c>
      <c r="J1806" t="s">
        <v>2450</v>
      </c>
      <c r="K1806" t="s">
        <v>2053</v>
      </c>
    </row>
    <row r="1807" spans="1:34" ht="18.399999999999999" customHeight="1" x14ac:dyDescent="0.15">
      <c r="A1807" s="38" t="s">
        <v>347</v>
      </c>
      <c r="B1807" s="32"/>
      <c r="C1807" s="32"/>
      <c r="D1807" s="32"/>
      <c r="E1807" s="32"/>
      <c r="F1807" s="43"/>
      <c r="K1807" s="3" t="s">
        <v>347</v>
      </c>
    </row>
    <row r="1808" spans="1:34" ht="18.399999999999999" customHeight="1" x14ac:dyDescent="0.15">
      <c r="A1808" s="38" t="s">
        <v>2450</v>
      </c>
      <c r="B1808" s="32"/>
      <c r="C1808" s="32"/>
      <c r="D1808" s="32"/>
      <c r="E1808" s="32"/>
      <c r="F1808" s="43"/>
      <c r="K1808" s="3" t="s">
        <v>2450</v>
      </c>
    </row>
    <row r="1809" spans="1:34" ht="18.399999999999999" customHeight="1" x14ac:dyDescent="0.15">
      <c r="A1809" s="40" t="str">
        <f>CONCATENATE(" 1. 시멘트 :  510  KG  * 7570 / 40 =",TEXT($AB1809,"#,##0.00"))</f>
        <v xml:space="preserve"> 1. 시멘트 :  510  KG  * 7570 / 40 =96,517.00</v>
      </c>
      <c r="B1809" s="32">
        <f>SUM($C1809,$D1809,$E1809)</f>
        <v>96517</v>
      </c>
      <c r="C1809" s="32">
        <f>$AB1809</f>
        <v>96517</v>
      </c>
      <c r="D1809" s="32"/>
      <c r="E1809" s="32"/>
      <c r="F1809" s="43"/>
      <c r="K1809" s="3" t="s">
        <v>339</v>
      </c>
      <c r="AA1809" s="37" t="s">
        <v>1798</v>
      </c>
      <c r="AB1809" s="8">
        <f>TRUNC(510*7570/40,0)</f>
        <v>96517</v>
      </c>
      <c r="AC1809" s="37" t="s">
        <v>2021</v>
      </c>
      <c r="AD1809" s="7">
        <f>$AB1809</f>
        <v>96517</v>
      </c>
    </row>
    <row r="1810" spans="1:34" ht="18.399999999999999" customHeight="1" x14ac:dyDescent="0.15">
      <c r="A1810" s="38" t="s">
        <v>2450</v>
      </c>
      <c r="B1810" s="32"/>
      <c r="C1810" s="32"/>
      <c r="D1810" s="32"/>
      <c r="E1810" s="32"/>
      <c r="F1810" s="43"/>
      <c r="K1810" s="3" t="s">
        <v>2450</v>
      </c>
    </row>
    <row r="1811" spans="1:34" ht="18.399999999999999" customHeight="1" x14ac:dyDescent="0.15">
      <c r="A1811" s="40" t="str">
        <f>CONCATENATE(" 2. 모  래 :  1.10  M3   * _x001D_29,000_x001D_ =",TEXT($AB1811,"#,##0.00"))</f>
        <v xml:space="preserve"> 2. 모  래 :  1.10  M3   * _x001D_29,000_x001D_ =31,900.00</v>
      </c>
      <c r="B1811" s="32">
        <f>SUM($C1811,$D1811,$E1811)</f>
        <v>31900</v>
      </c>
      <c r="C1811" s="32">
        <f>$AB1811</f>
        <v>31900</v>
      </c>
      <c r="D1811" s="32"/>
      <c r="E1811" s="32"/>
      <c r="F1811" s="43" t="s">
        <v>2450</v>
      </c>
      <c r="K1811" s="3" t="s">
        <v>1982</v>
      </c>
      <c r="AA1811" s="37" t="s">
        <v>1798</v>
      </c>
      <c r="AB1811" s="8">
        <f>TRUNC(1.1*자재!D17,0)</f>
        <v>31900</v>
      </c>
      <c r="AC1811" s="37" t="s">
        <v>2021</v>
      </c>
      <c r="AD1811" s="7">
        <f>$AD1809+$AB1811</f>
        <v>128417</v>
      </c>
    </row>
    <row r="1812" spans="1:34" ht="18.399999999999999" customHeight="1" x14ac:dyDescent="0.15">
      <c r="A1812" s="38" t="s">
        <v>2450</v>
      </c>
      <c r="B1812" s="32"/>
      <c r="C1812" s="32"/>
      <c r="D1812" s="32"/>
      <c r="E1812" s="32"/>
      <c r="F1812" s="43"/>
      <c r="K1812" s="3" t="s">
        <v>238</v>
      </c>
      <c r="AA1812" s="36" t="s">
        <v>430</v>
      </c>
      <c r="AB1812" s="6">
        <v>0.66</v>
      </c>
      <c r="AC1812" s="36" t="s">
        <v>430</v>
      </c>
      <c r="AD1812" s="7">
        <f>$AB1812</f>
        <v>0.66</v>
      </c>
    </row>
    <row r="1813" spans="1:34" ht="18.399999999999999" customHeight="1" x14ac:dyDescent="0.15">
      <c r="A1813" s="40" t="str">
        <f>CONCATENATE(" 3. 인  부 : ",TEXT($AB1813,"#,##0.00")," 인  * _x001D_172,068_x001D_ =",TEXT($AF1813,"#,##0.00"))</f>
        <v xml:space="preserve"> 3. 인  부 : 0.66 인  * _x001D_172,068_x001D_ =113,564.00</v>
      </c>
      <c r="B1813" s="32">
        <f>SUM($C1813,$D1813,$E1813)</f>
        <v>113564</v>
      </c>
      <c r="C1813" s="32"/>
      <c r="D1813" s="32">
        <f>$AF1813</f>
        <v>113564</v>
      </c>
      <c r="E1813" s="32"/>
      <c r="F1813" s="43" t="s">
        <v>2450</v>
      </c>
      <c r="K1813" s="3" t="s">
        <v>1419</v>
      </c>
      <c r="AA1813" s="36" t="s">
        <v>1236</v>
      </c>
      <c r="AB1813" s="8">
        <f>$AD1812</f>
        <v>0.66</v>
      </c>
      <c r="AC1813" s="36" t="s">
        <v>167</v>
      </c>
      <c r="AD1813" s="7">
        <f>$AB1813</f>
        <v>0.66</v>
      </c>
      <c r="AE1813" s="37" t="s">
        <v>266</v>
      </c>
      <c r="AF1813" s="8">
        <f>TRUNC($AD1813*노임!D10,0)</f>
        <v>113564</v>
      </c>
      <c r="AG1813" s="37" t="s">
        <v>972</v>
      </c>
      <c r="AH1813" s="7">
        <f>$AF1813</f>
        <v>113564</v>
      </c>
    </row>
    <row r="1814" spans="1:34" ht="18.399999999999999" customHeight="1" x14ac:dyDescent="0.15">
      <c r="A1814" s="38" t="s">
        <v>2450</v>
      </c>
      <c r="B1814" s="32"/>
      <c r="C1814" s="32"/>
      <c r="D1814" s="32"/>
      <c r="E1814" s="32"/>
      <c r="F1814" s="43"/>
      <c r="K1814" s="3" t="s">
        <v>2450</v>
      </c>
    </row>
    <row r="1815" spans="1:34" ht="18.399999999999999" customHeight="1" x14ac:dyDescent="0.15">
      <c r="A1815" s="38" t="s">
        <v>324</v>
      </c>
      <c r="B1815" s="33">
        <f>SUM($C1815,$D1815,$E1815)</f>
        <v>241981</v>
      </c>
      <c r="C1815" s="33">
        <f>$AB1815</f>
        <v>128417</v>
      </c>
      <c r="D1815" s="33">
        <f>$AD1815</f>
        <v>113564</v>
      </c>
      <c r="E1815" s="33">
        <f>$AF1815</f>
        <v>0</v>
      </c>
      <c r="F1815" s="44"/>
      <c r="K1815" s="3" t="s">
        <v>1513</v>
      </c>
      <c r="AA1815" s="36" t="s">
        <v>1732</v>
      </c>
      <c r="AB1815" s="7">
        <f>$AD1811</f>
        <v>128417</v>
      </c>
      <c r="AC1815" s="36" t="s">
        <v>68</v>
      </c>
      <c r="AD1815" s="7">
        <f>$AH1813</f>
        <v>113564</v>
      </c>
    </row>
    <row r="1816" spans="1:34" ht="18.399999999999999" customHeight="1" x14ac:dyDescent="0.15">
      <c r="A1816" s="38"/>
      <c r="B1816" s="3"/>
      <c r="C1816" s="3"/>
      <c r="D1816" s="3"/>
      <c r="E1816" s="3"/>
      <c r="F1816" s="42"/>
    </row>
    <row r="1817" spans="1:34" ht="18.399999999999999" customHeight="1" x14ac:dyDescent="0.15">
      <c r="A1817" s="41" t="s">
        <v>1388</v>
      </c>
      <c r="B1817" s="35">
        <f>SUM($C1817,$D1817,$E1817)</f>
        <v>241981</v>
      </c>
      <c r="C1817" s="35">
        <f>TRUNC(SUM($AD1811),0)</f>
        <v>128417</v>
      </c>
      <c r="D1817" s="35">
        <f>TRUNC(SUM($AH1813),0)</f>
        <v>113564</v>
      </c>
      <c r="E1817" s="35">
        <v>0</v>
      </c>
      <c r="F1817" s="47"/>
    </row>
  </sheetData>
  <mergeCells count="2">
    <mergeCell ref="AA3:AG3"/>
    <mergeCell ref="AA4:AG4"/>
  </mergeCells>
  <phoneticPr fontId="5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  <rowBreaks count="44" manualBreakCount="44">
    <brk id="39" min="1" max="256" man="1"/>
    <brk id="72" min="1" max="256" man="1"/>
    <brk id="137" min="1" max="256" man="1"/>
    <brk id="160" min="1" max="256" man="1"/>
    <brk id="181" min="1" max="256" man="1"/>
    <brk id="236" min="1" max="256" man="1"/>
    <brk id="257" min="1" max="256" man="1"/>
    <brk id="318" min="1" max="256" man="1"/>
    <brk id="349" min="1" max="256" man="1"/>
    <brk id="412" min="1" max="256" man="1"/>
    <brk id="447" min="1" max="256" man="1"/>
    <brk id="482" min="1" max="256" man="1"/>
    <brk id="523" min="1" max="256" man="1"/>
    <brk id="560" min="1" max="256" man="1"/>
    <brk id="595" min="1" max="256" man="1"/>
    <brk id="741" min="1" max="256" man="1"/>
    <brk id="782" min="1" max="256" man="1"/>
    <brk id="797" min="1" max="256" man="1"/>
    <brk id="822" min="1" max="256" man="1"/>
    <brk id="847" min="1" max="256" man="1"/>
    <brk id="874" min="1" max="256" man="1"/>
    <brk id="901" min="1" max="256" man="1"/>
    <brk id="930" min="1" max="256" man="1"/>
    <brk id="959" min="1" max="256" man="1"/>
    <brk id="978" min="1" max="256" man="1"/>
    <brk id="995" min="1" max="256" man="1"/>
    <brk id="1068" min="1" max="256" man="1"/>
    <brk id="1097" min="1" max="256" man="1"/>
    <brk id="1170" min="1" max="256" man="1"/>
    <brk id="1199" min="1" max="256" man="1"/>
    <brk id="1254" min="1" max="256" man="1"/>
    <brk id="1291" min="1" max="256" man="1"/>
    <brk id="1376" min="1" max="256" man="1"/>
    <brk id="1395" min="1" max="256" man="1"/>
    <brk id="1458" min="1" max="256" man="1"/>
    <brk id="1521" min="1" max="256" man="1"/>
    <brk id="1581" min="1" max="256" man="1"/>
    <brk id="1641" min="1" max="256" man="1"/>
    <brk id="1696" min="1" max="256" man="1"/>
    <brk id="1716" min="1" max="256" man="1"/>
    <brk id="1732" min="1" max="256" man="1"/>
    <brk id="1763" min="1" max="256" man="1"/>
    <brk id="1802" min="1" max="256" man="1"/>
    <brk id="1817" min="1" max="25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orkbookViewId="0">
      <selection activeCell="B2" sqref="B2"/>
    </sheetView>
  </sheetViews>
  <sheetFormatPr defaultRowHeight="18.399999999999999" customHeight="1" x14ac:dyDescent="0.15"/>
  <cols>
    <col min="1" max="1" width="25" customWidth="1"/>
    <col min="2" max="2" width="18" customWidth="1"/>
    <col min="3" max="3" width="8" customWidth="1"/>
    <col min="4" max="4" width="5" customWidth="1"/>
    <col min="5" max="8" width="13" customWidth="1"/>
    <col min="9" max="9" width="10" customWidth="1"/>
    <col min="10" max="13" width="0" hidden="1" customWidth="1"/>
  </cols>
  <sheetData>
    <row r="1" spans="1:15" ht="18.399999999999999" customHeight="1" x14ac:dyDescent="0.15">
      <c r="A1" t="s">
        <v>1908</v>
      </c>
    </row>
    <row r="2" spans="1:15" ht="18.399999999999999" customHeight="1" x14ac:dyDescent="0.15">
      <c r="A2" s="16" t="s">
        <v>402</v>
      </c>
      <c r="B2" s="17" t="s">
        <v>940</v>
      </c>
      <c r="C2" s="17" t="s">
        <v>64</v>
      </c>
      <c r="D2" s="17" t="s">
        <v>2282</v>
      </c>
      <c r="E2" s="17" t="s">
        <v>1648</v>
      </c>
      <c r="F2" s="17" t="s">
        <v>1006</v>
      </c>
      <c r="G2" s="17" t="s">
        <v>156</v>
      </c>
      <c r="H2" s="17" t="s">
        <v>2371</v>
      </c>
      <c r="I2" s="19" t="s">
        <v>659</v>
      </c>
    </row>
    <row r="3" spans="1:15" ht="18.399999999999999" customHeight="1" x14ac:dyDescent="0.15">
      <c r="A3" s="11" t="s">
        <v>802</v>
      </c>
      <c r="B3" s="2" t="s">
        <v>2112</v>
      </c>
      <c r="C3" s="2">
        <v>1</v>
      </c>
      <c r="D3" s="2" t="s">
        <v>658</v>
      </c>
      <c r="E3" s="27">
        <f>중기사용료!G10</f>
        <v>19204</v>
      </c>
      <c r="F3" s="27">
        <f>중기사용료!G12</f>
        <v>59020</v>
      </c>
      <c r="G3" s="27">
        <f>중기사용료!G7</f>
        <v>17514</v>
      </c>
      <c r="H3" s="27">
        <f t="shared" ref="H3:H30" si="0">E3+F3+G3</f>
        <v>95738</v>
      </c>
      <c r="I3" s="20" t="s">
        <v>2450</v>
      </c>
      <c r="J3" t="s">
        <v>2450</v>
      </c>
      <c r="K3" t="s">
        <v>1564</v>
      </c>
      <c r="O3" s="31" t="str">
        <f>HYPERLINK("#중기사용료!A3","E0002010040 →")</f>
        <v>E0002010040 →</v>
      </c>
    </row>
    <row r="4" spans="1:15" ht="18.399999999999999" customHeight="1" x14ac:dyDescent="0.15">
      <c r="A4" s="11" t="s">
        <v>802</v>
      </c>
      <c r="B4" s="2" t="s">
        <v>869</v>
      </c>
      <c r="C4" s="2">
        <v>1</v>
      </c>
      <c r="D4" s="2" t="s">
        <v>658</v>
      </c>
      <c r="E4" s="27">
        <f>중기사용료!G22</f>
        <v>19785</v>
      </c>
      <c r="F4" s="27">
        <f>중기사용료!G24</f>
        <v>59020</v>
      </c>
      <c r="G4" s="27">
        <f>중기사용료!G19</f>
        <v>23423</v>
      </c>
      <c r="H4" s="27">
        <f t="shared" si="0"/>
        <v>102228</v>
      </c>
      <c r="I4" s="20" t="s">
        <v>2450</v>
      </c>
      <c r="J4" t="s">
        <v>2450</v>
      </c>
      <c r="K4" t="s">
        <v>329</v>
      </c>
      <c r="O4" s="31" t="str">
        <f>HYPERLINK("#중기사용료!A15","E0002010060 →")</f>
        <v>E0002010060 →</v>
      </c>
    </row>
    <row r="5" spans="1:15" ht="18.399999999999999" customHeight="1" x14ac:dyDescent="0.15">
      <c r="A5" s="11" t="s">
        <v>802</v>
      </c>
      <c r="B5" s="2" t="s">
        <v>495</v>
      </c>
      <c r="C5" s="2">
        <v>1</v>
      </c>
      <c r="D5" s="2" t="s">
        <v>658</v>
      </c>
      <c r="E5" s="27">
        <f>중기사용료!G34</f>
        <v>22501</v>
      </c>
      <c r="F5" s="27">
        <f>중기사용료!G36</f>
        <v>59020</v>
      </c>
      <c r="G5" s="27">
        <f>중기사용료!G31</f>
        <v>24554</v>
      </c>
      <c r="H5" s="27">
        <f t="shared" si="0"/>
        <v>106075</v>
      </c>
      <c r="I5" s="20" t="s">
        <v>2450</v>
      </c>
      <c r="J5" t="s">
        <v>2450</v>
      </c>
      <c r="K5" t="s">
        <v>948</v>
      </c>
      <c r="O5" s="31" t="str">
        <f>HYPERLINK("#중기사용료!A27","E0002010070 →")</f>
        <v>E0002010070 →</v>
      </c>
    </row>
    <row r="6" spans="1:15" ht="18.399999999999999" customHeight="1" x14ac:dyDescent="0.15">
      <c r="A6" s="11" t="s">
        <v>802</v>
      </c>
      <c r="B6" s="2" t="s">
        <v>450</v>
      </c>
      <c r="C6" s="2">
        <v>1</v>
      </c>
      <c r="D6" s="2" t="s">
        <v>658</v>
      </c>
      <c r="E6" s="27">
        <f>중기사용료!G46</f>
        <v>37826</v>
      </c>
      <c r="F6" s="27">
        <f>중기사용료!G48</f>
        <v>59020</v>
      </c>
      <c r="G6" s="27">
        <f>중기사용료!G43</f>
        <v>29621</v>
      </c>
      <c r="H6" s="27">
        <f t="shared" si="0"/>
        <v>126467</v>
      </c>
      <c r="I6" s="20" t="s">
        <v>2450</v>
      </c>
      <c r="J6" t="s">
        <v>2450</v>
      </c>
      <c r="K6" t="s">
        <v>1373</v>
      </c>
      <c r="O6" s="31" t="str">
        <f>HYPERLINK("#중기사용료!A39","E0002010100 →")</f>
        <v>E0002010100 →</v>
      </c>
    </row>
    <row r="7" spans="1:15" ht="18.399999999999999" customHeight="1" x14ac:dyDescent="0.15">
      <c r="A7" s="11" t="s">
        <v>1022</v>
      </c>
      <c r="B7" s="2" t="s">
        <v>1158</v>
      </c>
      <c r="C7" s="2">
        <v>1</v>
      </c>
      <c r="D7" s="2" t="s">
        <v>658</v>
      </c>
      <c r="E7" s="27">
        <f>중기사용료!G59</f>
        <v>21395</v>
      </c>
      <c r="F7" s="27">
        <f>중기사용료!G61</f>
        <v>59020</v>
      </c>
      <c r="G7" s="27">
        <f>중기사용료!G56</f>
        <v>37850</v>
      </c>
      <c r="H7" s="27">
        <f t="shared" si="0"/>
        <v>118265</v>
      </c>
      <c r="I7" s="20" t="s">
        <v>2450</v>
      </c>
      <c r="J7" t="s">
        <v>2450</v>
      </c>
      <c r="K7" t="s">
        <v>1442</v>
      </c>
      <c r="O7" s="31" t="str">
        <f>HYPERLINK("#중기사용료!A51","E00020110701 →")</f>
        <v>E00020110701 →</v>
      </c>
    </row>
    <row r="8" spans="1:15" ht="18.399999999999999" customHeight="1" x14ac:dyDescent="0.15">
      <c r="A8" s="11" t="s">
        <v>750</v>
      </c>
      <c r="B8" s="2" t="s">
        <v>1577</v>
      </c>
      <c r="C8" s="2">
        <v>1</v>
      </c>
      <c r="D8" s="2" t="s">
        <v>658</v>
      </c>
      <c r="E8" s="27">
        <v>0</v>
      </c>
      <c r="F8" s="27">
        <v>0</v>
      </c>
      <c r="G8" s="27">
        <f>중기사용료!G68</f>
        <v>11412</v>
      </c>
      <c r="H8" s="27">
        <f t="shared" si="0"/>
        <v>11412</v>
      </c>
      <c r="I8" s="20" t="s">
        <v>2450</v>
      </c>
      <c r="J8" t="s">
        <v>2450</v>
      </c>
      <c r="K8" t="s">
        <v>254</v>
      </c>
      <c r="O8" s="31" t="str">
        <f>HYPERLINK("#중기사용료!A64","E0002300007 →")</f>
        <v>E0002300007 →</v>
      </c>
    </row>
    <row r="9" spans="1:15" ht="18.399999999999999" customHeight="1" x14ac:dyDescent="0.15">
      <c r="A9" s="11" t="s">
        <v>1085</v>
      </c>
      <c r="B9" s="2" t="s">
        <v>1017</v>
      </c>
      <c r="C9" s="2">
        <v>1</v>
      </c>
      <c r="D9" s="2" t="s">
        <v>658</v>
      </c>
      <c r="E9" s="27">
        <f>중기사용료!G82</f>
        <v>6363</v>
      </c>
      <c r="F9" s="27">
        <f>중기사용료!G84</f>
        <v>49778</v>
      </c>
      <c r="G9" s="27">
        <f>중기사용료!G79</f>
        <v>6522</v>
      </c>
      <c r="H9" s="27">
        <f t="shared" si="0"/>
        <v>62663</v>
      </c>
      <c r="I9" s="20" t="s">
        <v>2450</v>
      </c>
      <c r="J9" t="s">
        <v>2450</v>
      </c>
      <c r="K9" t="s">
        <v>1034</v>
      </c>
      <c r="O9" s="31" t="str">
        <f>HYPERLINK("#중기사용료!A75","E0006020025 →")</f>
        <v>E0006020025 →</v>
      </c>
    </row>
    <row r="10" spans="1:15" ht="18.399999999999999" customHeight="1" x14ac:dyDescent="0.15">
      <c r="A10" s="11" t="s">
        <v>1085</v>
      </c>
      <c r="B10" s="2" t="s">
        <v>316</v>
      </c>
      <c r="C10" s="2">
        <v>1</v>
      </c>
      <c r="D10" s="2" t="s">
        <v>658</v>
      </c>
      <c r="E10" s="27">
        <f>중기사용료!G94</f>
        <v>10971</v>
      </c>
      <c r="F10" s="27">
        <f>중기사용료!G96</f>
        <v>49778</v>
      </c>
      <c r="G10" s="27">
        <f>중기사용료!G91</f>
        <v>7613</v>
      </c>
      <c r="H10" s="27">
        <f t="shared" si="0"/>
        <v>68362</v>
      </c>
      <c r="I10" s="20" t="s">
        <v>2450</v>
      </c>
      <c r="J10" t="s">
        <v>2450</v>
      </c>
      <c r="K10" t="s">
        <v>2294</v>
      </c>
      <c r="O10" s="31" t="str">
        <f>HYPERLINK("#중기사용료!A87","E0006020045 →")</f>
        <v>E0006020045 →</v>
      </c>
    </row>
    <row r="11" spans="1:15" ht="18.399999999999999" customHeight="1" x14ac:dyDescent="0.15">
      <c r="A11" s="11" t="s">
        <v>1085</v>
      </c>
      <c r="B11" s="2" t="s">
        <v>1692</v>
      </c>
      <c r="C11" s="2">
        <v>1</v>
      </c>
      <c r="D11" s="2" t="s">
        <v>658</v>
      </c>
      <c r="E11" s="27">
        <f>중기사용료!G106</f>
        <v>50466</v>
      </c>
      <c r="F11" s="27">
        <f>중기사용료!G108</f>
        <v>59020</v>
      </c>
      <c r="G11" s="27">
        <f>중기사용료!G103</f>
        <v>32950</v>
      </c>
      <c r="H11" s="27">
        <f t="shared" si="0"/>
        <v>142436</v>
      </c>
      <c r="I11" s="20" t="s">
        <v>2450</v>
      </c>
      <c r="J11" t="s">
        <v>2450</v>
      </c>
      <c r="K11" t="s">
        <v>140</v>
      </c>
      <c r="O11" s="31" t="str">
        <f>HYPERLINK("#중기사용료!A99","E0006020240 →")</f>
        <v>E0006020240 →</v>
      </c>
    </row>
    <row r="12" spans="1:15" ht="18.399999999999999" customHeight="1" x14ac:dyDescent="0.15">
      <c r="A12" s="11" t="s">
        <v>70</v>
      </c>
      <c r="B12" s="2" t="s">
        <v>916</v>
      </c>
      <c r="C12" s="2">
        <v>1</v>
      </c>
      <c r="D12" s="2" t="s">
        <v>658</v>
      </c>
      <c r="E12" s="27">
        <v>0</v>
      </c>
      <c r="F12" s="27">
        <v>0</v>
      </c>
      <c r="G12" s="27">
        <f>중기사용료!G115</f>
        <v>508</v>
      </c>
      <c r="H12" s="27">
        <f t="shared" si="0"/>
        <v>508</v>
      </c>
      <c r="I12" s="20" t="s">
        <v>2450</v>
      </c>
      <c r="J12" t="s">
        <v>2450</v>
      </c>
      <c r="K12" t="s">
        <v>1933</v>
      </c>
      <c r="O12" s="31" t="str">
        <f>HYPERLINK("#중기사용료!A111","E0006100240 →")</f>
        <v>E0006100240 →</v>
      </c>
    </row>
    <row r="13" spans="1:15" ht="18.399999999999999" customHeight="1" x14ac:dyDescent="0.15">
      <c r="A13" s="11" t="s">
        <v>1625</v>
      </c>
      <c r="B13" s="2" t="s">
        <v>12</v>
      </c>
      <c r="C13" s="2">
        <v>1</v>
      </c>
      <c r="D13" s="2" t="s">
        <v>658</v>
      </c>
      <c r="E13" s="27">
        <f>중기사용료!G129</f>
        <v>17448</v>
      </c>
      <c r="F13" s="27">
        <f>중기사용료!G131</f>
        <v>59020</v>
      </c>
      <c r="G13" s="27">
        <f>중기사용료!G126</f>
        <v>12857</v>
      </c>
      <c r="H13" s="27">
        <f t="shared" si="0"/>
        <v>89325</v>
      </c>
      <c r="I13" s="20" t="s">
        <v>2450</v>
      </c>
      <c r="J13" t="s">
        <v>2450</v>
      </c>
      <c r="K13" t="s">
        <v>2075</v>
      </c>
      <c r="O13" s="31" t="str">
        <f>HYPERLINK("#중기사용료!A122","E0011060012 →")</f>
        <v>E0011060012 →</v>
      </c>
    </row>
    <row r="14" spans="1:15" ht="18.399999999999999" customHeight="1" x14ac:dyDescent="0.15">
      <c r="A14" s="11" t="s">
        <v>528</v>
      </c>
      <c r="B14" s="2" t="s">
        <v>1750</v>
      </c>
      <c r="C14" s="2">
        <v>1</v>
      </c>
      <c r="D14" s="2" t="s">
        <v>658</v>
      </c>
      <c r="E14" s="27">
        <f>중기사용료!G141</f>
        <v>9381</v>
      </c>
      <c r="F14" s="27">
        <f>중기사용료!G143</f>
        <v>59020</v>
      </c>
      <c r="G14" s="27">
        <f>중기사용료!G138</f>
        <v>9037</v>
      </c>
      <c r="H14" s="27">
        <f t="shared" si="0"/>
        <v>77438</v>
      </c>
      <c r="I14" s="20" t="s">
        <v>2450</v>
      </c>
      <c r="J14" t="s">
        <v>2450</v>
      </c>
      <c r="K14" t="s">
        <v>267</v>
      </c>
      <c r="O14" s="31" t="str">
        <f>HYPERLINK("#중기사용료!A134","E0012060008 →")</f>
        <v>E0012060008 →</v>
      </c>
    </row>
    <row r="15" spans="1:15" ht="18.399999999999999" customHeight="1" x14ac:dyDescent="0.15">
      <c r="A15" s="11" t="s">
        <v>1327</v>
      </c>
      <c r="B15" s="2" t="s">
        <v>819</v>
      </c>
      <c r="C15" s="2">
        <v>1</v>
      </c>
      <c r="D15" s="2" t="s">
        <v>658</v>
      </c>
      <c r="E15" s="27">
        <f>중기사용료!G153</f>
        <v>3952</v>
      </c>
      <c r="F15" s="27">
        <f>중기사용료!G155</f>
        <v>36248</v>
      </c>
      <c r="G15" s="27">
        <f>중기사용료!G150</f>
        <v>1967</v>
      </c>
      <c r="H15" s="27">
        <f t="shared" si="0"/>
        <v>42167</v>
      </c>
      <c r="I15" s="20" t="s">
        <v>2450</v>
      </c>
      <c r="J15" t="s">
        <v>2450</v>
      </c>
      <c r="K15" t="s">
        <v>2291</v>
      </c>
      <c r="O15" s="31" t="str">
        <f>HYPERLINK("#중기사용료!A146","E0013050007 →")</f>
        <v>E0013050007 →</v>
      </c>
    </row>
    <row r="16" spans="1:15" ht="18.399999999999999" customHeight="1" x14ac:dyDescent="0.15">
      <c r="A16" s="11" t="s">
        <v>2278</v>
      </c>
      <c r="B16" s="2" t="s">
        <v>2117</v>
      </c>
      <c r="C16" s="2">
        <v>1</v>
      </c>
      <c r="D16" s="2" t="s">
        <v>658</v>
      </c>
      <c r="E16" s="27">
        <f>중기사용료!G165</f>
        <v>29764</v>
      </c>
      <c r="F16" s="27">
        <f>중기사용료!G167</f>
        <v>59020</v>
      </c>
      <c r="G16" s="27">
        <f>중기사용료!G162</f>
        <v>26662</v>
      </c>
      <c r="H16" s="27">
        <f t="shared" si="0"/>
        <v>115446</v>
      </c>
      <c r="I16" s="20" t="s">
        <v>2450</v>
      </c>
      <c r="J16" t="s">
        <v>2450</v>
      </c>
      <c r="K16" t="s">
        <v>1619</v>
      </c>
      <c r="O16" s="31" t="str">
        <f>HYPERLINK("#중기사용료!A158","E0013060100 →")</f>
        <v>E0013060100 →</v>
      </c>
    </row>
    <row r="17" spans="1:15" ht="18.399999999999999" customHeight="1" x14ac:dyDescent="0.15">
      <c r="A17" s="11" t="s">
        <v>2278</v>
      </c>
      <c r="B17" s="2" t="s">
        <v>1795</v>
      </c>
      <c r="C17" s="2">
        <v>1</v>
      </c>
      <c r="D17" s="2" t="s">
        <v>658</v>
      </c>
      <c r="E17" s="27">
        <f>중기사용료!G177</f>
        <v>32658</v>
      </c>
      <c r="F17" s="27">
        <f>중기사용료!G179</f>
        <v>59020</v>
      </c>
      <c r="G17" s="27">
        <f>중기사용료!G174</f>
        <v>29191</v>
      </c>
      <c r="H17" s="27">
        <f t="shared" si="0"/>
        <v>120869</v>
      </c>
      <c r="I17" s="20" t="s">
        <v>2450</v>
      </c>
      <c r="J17" t="s">
        <v>2450</v>
      </c>
      <c r="K17" t="s">
        <v>391</v>
      </c>
      <c r="O17" s="31" t="str">
        <f>HYPERLINK("#중기사용료!A170","E0013060120 →")</f>
        <v>E0013060120 →</v>
      </c>
    </row>
    <row r="18" spans="1:15" ht="18.399999999999999" customHeight="1" x14ac:dyDescent="0.15">
      <c r="A18" s="11" t="s">
        <v>2072</v>
      </c>
      <c r="B18" s="2" t="s">
        <v>109</v>
      </c>
      <c r="C18" s="2">
        <v>1</v>
      </c>
      <c r="D18" s="2" t="s">
        <v>658</v>
      </c>
      <c r="E18" s="27">
        <f>중기사용료!G189</f>
        <v>15645</v>
      </c>
      <c r="F18" s="27">
        <f>중기사용료!G191</f>
        <v>59020</v>
      </c>
      <c r="G18" s="27">
        <f>중기사용료!G186</f>
        <v>19136</v>
      </c>
      <c r="H18" s="27">
        <f t="shared" si="0"/>
        <v>93801</v>
      </c>
      <c r="I18" s="20" t="s">
        <v>2450</v>
      </c>
      <c r="J18" t="s">
        <v>2450</v>
      </c>
      <c r="K18" t="s">
        <v>2116</v>
      </c>
      <c r="O18" s="31" t="str">
        <f>HYPERLINK("#중기사용료!A182","E0014060015 →")</f>
        <v>E0014060015 →</v>
      </c>
    </row>
    <row r="19" spans="1:15" ht="18.399999999999999" customHeight="1" x14ac:dyDescent="0.15">
      <c r="A19" s="11" t="s">
        <v>474</v>
      </c>
      <c r="B19" s="2" t="s">
        <v>2117</v>
      </c>
      <c r="C19" s="2">
        <v>1</v>
      </c>
      <c r="D19" s="2" t="s">
        <v>658</v>
      </c>
      <c r="E19" s="27">
        <f>중기사용료!G201</f>
        <v>8398</v>
      </c>
      <c r="F19" s="27">
        <f>중기사용료!G203</f>
        <v>49778</v>
      </c>
      <c r="G19" s="27">
        <f>중기사용료!G198</f>
        <v>31344</v>
      </c>
      <c r="H19" s="27">
        <f t="shared" si="0"/>
        <v>89520</v>
      </c>
      <c r="I19" s="20" t="s">
        <v>2450</v>
      </c>
      <c r="J19" t="s">
        <v>2450</v>
      </c>
      <c r="K19" t="s">
        <v>1152</v>
      </c>
      <c r="O19" s="31" t="str">
        <f>HYPERLINK("#중기사용료!A194","E0021040010 →")</f>
        <v>E0021040010 →</v>
      </c>
    </row>
    <row r="20" spans="1:15" ht="18.399999999999999" customHeight="1" x14ac:dyDescent="0.15">
      <c r="A20" s="11" t="s">
        <v>861</v>
      </c>
      <c r="B20" s="2" t="s">
        <v>2117</v>
      </c>
      <c r="C20" s="2">
        <v>1</v>
      </c>
      <c r="D20" s="2" t="s">
        <v>658</v>
      </c>
      <c r="E20" s="27">
        <f>중기사용료!G213</f>
        <v>19652</v>
      </c>
      <c r="F20" s="27">
        <f>중기사용료!G215</f>
        <v>49778</v>
      </c>
      <c r="G20" s="27">
        <f>중기사용료!G210</f>
        <v>23795</v>
      </c>
      <c r="H20" s="27">
        <f t="shared" si="0"/>
        <v>93225</v>
      </c>
      <c r="I20" s="20" t="s">
        <v>2450</v>
      </c>
      <c r="J20" t="s">
        <v>2450</v>
      </c>
      <c r="K20" t="s">
        <v>1880</v>
      </c>
      <c r="O20" s="31" t="str">
        <f>HYPERLINK("#중기사용료!A206","E0021050010 →")</f>
        <v>E0021050010 →</v>
      </c>
    </row>
    <row r="21" spans="1:15" ht="18.399999999999999" customHeight="1" x14ac:dyDescent="0.15">
      <c r="A21" s="11" t="s">
        <v>1993</v>
      </c>
      <c r="B21" s="2" t="s">
        <v>1113</v>
      </c>
      <c r="C21" s="2">
        <v>1</v>
      </c>
      <c r="D21" s="2" t="s">
        <v>658</v>
      </c>
      <c r="E21" s="27">
        <f>중기사용료!G225</f>
        <v>36466</v>
      </c>
      <c r="F21" s="27">
        <f>중기사용료!G227</f>
        <v>49778</v>
      </c>
      <c r="G21" s="27">
        <f>중기사용료!G222</f>
        <v>17314</v>
      </c>
      <c r="H21" s="27">
        <f t="shared" si="0"/>
        <v>103558</v>
      </c>
      <c r="I21" s="20" t="s">
        <v>2450</v>
      </c>
      <c r="J21" t="s">
        <v>2450</v>
      </c>
      <c r="K21" t="s">
        <v>459</v>
      </c>
      <c r="O21" s="31" t="str">
        <f>HYPERLINK("#중기사용료!A218","E0027020020 →")</f>
        <v>E0027020020 →</v>
      </c>
    </row>
    <row r="22" spans="1:15" ht="18.399999999999999" customHeight="1" x14ac:dyDescent="0.15">
      <c r="A22" s="11" t="s">
        <v>803</v>
      </c>
      <c r="B22" s="2" t="s">
        <v>1630</v>
      </c>
      <c r="C22" s="2">
        <v>1</v>
      </c>
      <c r="D22" s="2" t="s">
        <v>658</v>
      </c>
      <c r="E22" s="27">
        <f>중기사용료!G237</f>
        <v>22116</v>
      </c>
      <c r="F22" s="27">
        <f>중기사용료!G239</f>
        <v>59020</v>
      </c>
      <c r="G22" s="27">
        <f>중기사용료!G234</f>
        <v>59141</v>
      </c>
      <c r="H22" s="27">
        <f t="shared" si="0"/>
        <v>140277</v>
      </c>
      <c r="I22" s="20" t="s">
        <v>2450</v>
      </c>
      <c r="J22" t="s">
        <v>2450</v>
      </c>
      <c r="K22" t="s">
        <v>2438</v>
      </c>
      <c r="O22" s="31" t="str">
        <f>HYPERLINK("#중기사용료!A230","E0032010003 →")</f>
        <v>E0032010003 →</v>
      </c>
    </row>
    <row r="23" spans="1:15" ht="18.399999999999999" customHeight="1" x14ac:dyDescent="0.15">
      <c r="A23" s="11" t="s">
        <v>2354</v>
      </c>
      <c r="B23" s="2" t="s">
        <v>469</v>
      </c>
      <c r="C23" s="2">
        <v>1</v>
      </c>
      <c r="D23" s="2" t="s">
        <v>658</v>
      </c>
      <c r="E23" s="27">
        <f>중기사용료!G249</f>
        <v>21663</v>
      </c>
      <c r="F23" s="27">
        <f>중기사용료!G251</f>
        <v>59020</v>
      </c>
      <c r="G23" s="27">
        <f>중기사용료!G246</f>
        <v>16470</v>
      </c>
      <c r="H23" s="27">
        <f t="shared" si="0"/>
        <v>97153</v>
      </c>
      <c r="I23" s="20" t="s">
        <v>2450</v>
      </c>
      <c r="J23" t="s">
        <v>2450</v>
      </c>
      <c r="K23" t="s">
        <v>1997</v>
      </c>
      <c r="O23" s="31" t="str">
        <f>HYPERLINK("#중기사용료!A242","E0033020038 →")</f>
        <v>E0033020038 →</v>
      </c>
    </row>
    <row r="24" spans="1:15" ht="18.399999999999999" customHeight="1" x14ac:dyDescent="0.15">
      <c r="A24" s="11" t="s">
        <v>1105</v>
      </c>
      <c r="B24" s="2" t="s">
        <v>2126</v>
      </c>
      <c r="C24" s="2">
        <v>1</v>
      </c>
      <c r="D24" s="2" t="s">
        <v>658</v>
      </c>
      <c r="E24" s="27">
        <f>중기사용료!G261</f>
        <v>10832</v>
      </c>
      <c r="F24" s="27">
        <f>중기사용료!G263</f>
        <v>36248</v>
      </c>
      <c r="G24" s="27">
        <f>중기사용료!G258</f>
        <v>2064</v>
      </c>
      <c r="H24" s="27">
        <f t="shared" si="0"/>
        <v>49144</v>
      </c>
      <c r="I24" s="20" t="s">
        <v>2450</v>
      </c>
      <c r="J24" t="s">
        <v>2450</v>
      </c>
      <c r="K24" t="s">
        <v>1576</v>
      </c>
      <c r="O24" s="31" t="str">
        <f>HYPERLINK("#중기사용료!A254","E0044300400 →")</f>
        <v>E0044300400 →</v>
      </c>
    </row>
    <row r="25" spans="1:15" ht="18.399999999999999" customHeight="1" x14ac:dyDescent="0.15">
      <c r="A25" s="11" t="s">
        <v>748</v>
      </c>
      <c r="B25" s="2" t="s">
        <v>1604</v>
      </c>
      <c r="C25" s="2">
        <v>1</v>
      </c>
      <c r="D25" s="2" t="s">
        <v>658</v>
      </c>
      <c r="E25" s="27">
        <f>중기사용료!G273</f>
        <v>11435</v>
      </c>
      <c r="F25" s="27">
        <f>중기사용료!G275</f>
        <v>59020</v>
      </c>
      <c r="G25" s="27">
        <f>중기사용료!G270</f>
        <v>2445</v>
      </c>
      <c r="H25" s="27">
        <f t="shared" si="0"/>
        <v>72900</v>
      </c>
      <c r="I25" s="20" t="s">
        <v>2450</v>
      </c>
      <c r="J25" t="s">
        <v>2450</v>
      </c>
      <c r="K25" t="s">
        <v>805</v>
      </c>
      <c r="O25" s="31" t="str">
        <f>HYPERLINK("#중기사용료!A266","E0052050035 →")</f>
        <v>E0052050035 →</v>
      </c>
    </row>
    <row r="26" spans="1:15" ht="18.399999999999999" customHeight="1" x14ac:dyDescent="0.15">
      <c r="A26" s="11" t="s">
        <v>455</v>
      </c>
      <c r="B26" s="2" t="s">
        <v>383</v>
      </c>
      <c r="C26" s="2">
        <v>1</v>
      </c>
      <c r="D26" s="2" t="s">
        <v>658</v>
      </c>
      <c r="E26" s="27">
        <v>0</v>
      </c>
      <c r="F26" s="27">
        <v>0</v>
      </c>
      <c r="G26" s="27">
        <f>중기사용료!G282</f>
        <v>494</v>
      </c>
      <c r="H26" s="27">
        <f t="shared" si="0"/>
        <v>494</v>
      </c>
      <c r="I26" s="20" t="s">
        <v>506</v>
      </c>
      <c r="J26" t="s">
        <v>2450</v>
      </c>
      <c r="K26" t="s">
        <v>437</v>
      </c>
      <c r="O26" s="31" t="str">
        <f>HYPERLINK("#중기사용료!A278","E0052100013 →")</f>
        <v>E0052100013 →</v>
      </c>
    </row>
    <row r="27" spans="1:15" ht="18.399999999999999" customHeight="1" x14ac:dyDescent="0.15">
      <c r="A27" s="11" t="s">
        <v>484</v>
      </c>
      <c r="B27" s="2" t="s">
        <v>1494</v>
      </c>
      <c r="C27" s="2">
        <v>1</v>
      </c>
      <c r="D27" s="2" t="s">
        <v>658</v>
      </c>
      <c r="E27" s="27">
        <f>중기사용료!G296</f>
        <v>19223</v>
      </c>
      <c r="F27" s="27">
        <f>중기사용료!G298</f>
        <v>49778</v>
      </c>
      <c r="G27" s="27">
        <f>중기사용료!G293</f>
        <v>9986</v>
      </c>
      <c r="H27" s="27">
        <f t="shared" si="0"/>
        <v>78987</v>
      </c>
      <c r="I27" s="20" t="s">
        <v>2450</v>
      </c>
      <c r="J27" t="s">
        <v>2450</v>
      </c>
      <c r="K27" t="s">
        <v>45</v>
      </c>
      <c r="O27" s="31" t="str">
        <f>HYPERLINK("#중기사용료!A289","E0072040055 →")</f>
        <v>E0072040055 →</v>
      </c>
    </row>
    <row r="28" spans="1:15" ht="18.399999999999999" customHeight="1" x14ac:dyDescent="0.15">
      <c r="A28" s="11" t="s">
        <v>484</v>
      </c>
      <c r="B28" s="2" t="s">
        <v>1174</v>
      </c>
      <c r="C28" s="2">
        <v>1</v>
      </c>
      <c r="D28" s="2" t="s">
        <v>658</v>
      </c>
      <c r="E28" s="27">
        <f>중기사용료!G308</f>
        <v>26664</v>
      </c>
      <c r="F28" s="27">
        <f>중기사용료!G310</f>
        <v>49778</v>
      </c>
      <c r="G28" s="27">
        <f>중기사용료!G305</f>
        <v>19154</v>
      </c>
      <c r="H28" s="27">
        <f t="shared" si="0"/>
        <v>95596</v>
      </c>
      <c r="I28" s="20" t="s">
        <v>2450</v>
      </c>
      <c r="J28" t="s">
        <v>2450</v>
      </c>
      <c r="K28" t="s">
        <v>1218</v>
      </c>
      <c r="O28" s="31" t="str">
        <f>HYPERLINK("#중기사용료!A301","E0072040160 →")</f>
        <v>E0072040160 →</v>
      </c>
    </row>
    <row r="29" spans="1:15" ht="18.399999999999999" customHeight="1" x14ac:dyDescent="0.15">
      <c r="A29" s="11" t="s">
        <v>2052</v>
      </c>
      <c r="B29" s="2" t="s">
        <v>2219</v>
      </c>
      <c r="C29" s="2">
        <v>1</v>
      </c>
      <c r="D29" s="2" t="s">
        <v>658</v>
      </c>
      <c r="E29" s="27">
        <f>중기사용료!G320</f>
        <v>2514</v>
      </c>
      <c r="F29" s="27">
        <v>0</v>
      </c>
      <c r="G29" s="27">
        <f>중기사용료!G317</f>
        <v>258</v>
      </c>
      <c r="H29" s="27">
        <f t="shared" si="0"/>
        <v>2772</v>
      </c>
      <c r="I29" s="20" t="s">
        <v>2450</v>
      </c>
      <c r="J29" t="s">
        <v>2450</v>
      </c>
      <c r="K29" t="s">
        <v>2308</v>
      </c>
      <c r="O29" s="31" t="str">
        <f>HYPERLINK("#중기사용료!A313","E0072100485 →")</f>
        <v>E0072100485 →</v>
      </c>
    </row>
    <row r="30" spans="1:15" ht="18.399999999999999" customHeight="1" x14ac:dyDescent="0.15">
      <c r="A30" s="13" t="s">
        <v>2348</v>
      </c>
      <c r="B30" s="14" t="s">
        <v>444</v>
      </c>
      <c r="C30" s="14">
        <v>1</v>
      </c>
      <c r="D30" s="14" t="s">
        <v>658</v>
      </c>
      <c r="E30" s="28">
        <f>중기사용료!G332</f>
        <v>34229</v>
      </c>
      <c r="F30" s="28">
        <f>중기사용료!G334</f>
        <v>36248</v>
      </c>
      <c r="G30" s="28">
        <f>중기사용료!G329</f>
        <v>16131</v>
      </c>
      <c r="H30" s="28">
        <f t="shared" si="0"/>
        <v>86608</v>
      </c>
      <c r="I30" s="21" t="s">
        <v>2450</v>
      </c>
      <c r="J30" t="s">
        <v>2450</v>
      </c>
      <c r="K30" t="s">
        <v>853</v>
      </c>
      <c r="O30" s="31" t="str">
        <f>HYPERLINK("#중기사용료!A325","E0073300010 →")</f>
        <v>E0073300010 →</v>
      </c>
    </row>
  </sheetData>
  <phoneticPr fontId="5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36"/>
  <sheetViews>
    <sheetView workbookViewId="0">
      <selection activeCell="B2" sqref="B2"/>
    </sheetView>
  </sheetViews>
  <sheetFormatPr defaultRowHeight="18.399999999999999" customHeight="1" x14ac:dyDescent="0.15"/>
  <cols>
    <col min="1" max="1" width="10" customWidth="1"/>
    <col min="2" max="2" width="25" customWidth="1"/>
    <col min="3" max="3" width="20" customWidth="1"/>
    <col min="4" max="4" width="8" customWidth="1"/>
    <col min="5" max="5" width="6" customWidth="1"/>
    <col min="6" max="7" width="13" customWidth="1"/>
    <col min="8" max="8" width="10" customWidth="1"/>
    <col min="9" max="31" width="0" hidden="1" customWidth="1"/>
  </cols>
  <sheetData>
    <row r="1" spans="1:33" ht="18.399999999999999" customHeight="1" x14ac:dyDescent="0.15">
      <c r="A1" t="s">
        <v>1949</v>
      </c>
    </row>
    <row r="3" spans="1:33" ht="18.399999999999999" customHeight="1" x14ac:dyDescent="0.15">
      <c r="A3" s="4" t="s">
        <v>2172</v>
      </c>
      <c r="B3" s="4" t="s">
        <v>851</v>
      </c>
      <c r="C3" s="4"/>
      <c r="D3" s="4"/>
      <c r="E3" s="4"/>
      <c r="F3" s="4"/>
      <c r="G3" s="4"/>
      <c r="H3" s="4"/>
      <c r="I3" s="9" t="s">
        <v>2450</v>
      </c>
      <c r="J3" s="9" t="s">
        <v>1564</v>
      </c>
    </row>
    <row r="4" spans="1:33" ht="18.399999999999999" customHeight="1" x14ac:dyDescent="0.15">
      <c r="A4" s="4" t="s">
        <v>698</v>
      </c>
      <c r="B4" s="4" t="s">
        <v>2081</v>
      </c>
      <c r="C4" s="4"/>
      <c r="D4" s="4"/>
      <c r="E4" s="4"/>
      <c r="F4" s="4"/>
      <c r="G4" s="4"/>
      <c r="H4" s="4"/>
    </row>
    <row r="5" spans="1:33" ht="18.399999999999999" customHeight="1" x14ac:dyDescent="0.15">
      <c r="A5" s="29" t="s">
        <v>1874</v>
      </c>
      <c r="B5" s="29"/>
      <c r="C5" s="29" t="s">
        <v>1202</v>
      </c>
      <c r="D5" s="29" t="s">
        <v>64</v>
      </c>
      <c r="E5" s="29" t="s">
        <v>2282</v>
      </c>
      <c r="F5" s="29" t="s">
        <v>575</v>
      </c>
      <c r="G5" s="29" t="s">
        <v>320</v>
      </c>
      <c r="H5" s="29" t="s">
        <v>659</v>
      </c>
    </row>
    <row r="6" spans="1:33" ht="18.399999999999999" customHeight="1" x14ac:dyDescent="0.15">
      <c r="A6" s="9" t="s">
        <v>156</v>
      </c>
      <c r="B6" s="9" t="s">
        <v>802</v>
      </c>
      <c r="C6" s="9" t="s">
        <v>2112</v>
      </c>
      <c r="D6" s="9">
        <f>(900 + 700 + 485)*10^-4</f>
        <v>0.20850000000000002</v>
      </c>
      <c r="E6" s="30" t="s">
        <v>297</v>
      </c>
      <c r="F6" s="30">
        <f>중기기초자료!F3</f>
        <v>84000</v>
      </c>
      <c r="G6" s="30">
        <f>TRUNC(F6*D6, 0)</f>
        <v>17514</v>
      </c>
      <c r="H6" s="9" t="s">
        <v>2450</v>
      </c>
      <c r="I6" s="9" t="s">
        <v>2450</v>
      </c>
      <c r="K6" s="9" t="s">
        <v>289</v>
      </c>
      <c r="L6" s="9" t="s">
        <v>2450</v>
      </c>
      <c r="M6" s="9" t="s">
        <v>1023</v>
      </c>
      <c r="N6" s="9" t="s">
        <v>764</v>
      </c>
      <c r="AG6" s="31" t="str">
        <f>HYPERLINK("#중기기초자료!A3","G02010040 →")</f>
        <v>G02010040 →</v>
      </c>
    </row>
    <row r="7" spans="1:33" ht="18.399999999999999" customHeight="1" x14ac:dyDescent="0.15">
      <c r="B7" s="9" t="s">
        <v>2088</v>
      </c>
      <c r="G7" s="30">
        <f>TRUNC(G6, 0)</f>
        <v>17514</v>
      </c>
    </row>
    <row r="8" spans="1:33" ht="18.399999999999999" customHeight="1" x14ac:dyDescent="0.15">
      <c r="A8" s="9" t="s">
        <v>1648</v>
      </c>
      <c r="B8" s="9" t="s">
        <v>408</v>
      </c>
      <c r="C8" s="9" t="s">
        <v>2450</v>
      </c>
      <c r="D8" s="9">
        <v>9.9</v>
      </c>
      <c r="E8" s="30" t="s">
        <v>2410</v>
      </c>
      <c r="F8" s="30">
        <f>중기기초자료!D34</f>
        <v>1590</v>
      </c>
      <c r="G8" s="30">
        <f>TRUNC(F8*D8, 0)</f>
        <v>15741</v>
      </c>
      <c r="H8" s="9" t="s">
        <v>2450</v>
      </c>
      <c r="I8" s="9" t="s">
        <v>2450</v>
      </c>
      <c r="K8" s="9" t="s">
        <v>907</v>
      </c>
      <c r="L8" s="9" t="s">
        <v>2450</v>
      </c>
      <c r="M8" s="9" t="s">
        <v>501</v>
      </c>
      <c r="AG8" s="31" t="str">
        <f>HYPERLINK("#중기기초자료!A34","M9366005 →")</f>
        <v>M9366005 →</v>
      </c>
    </row>
    <row r="9" spans="1:33" ht="18.399999999999999" customHeight="1" x14ac:dyDescent="0.15">
      <c r="B9" s="9" t="s">
        <v>191</v>
      </c>
      <c r="C9" s="9" t="s">
        <v>2450</v>
      </c>
      <c r="D9" s="9">
        <v>22</v>
      </c>
      <c r="E9" s="30" t="s">
        <v>1030</v>
      </c>
      <c r="F9" s="30">
        <v>0</v>
      </c>
      <c r="G9" s="30">
        <f>TRUNC((G8) * D9/100, 0)</f>
        <v>3463</v>
      </c>
      <c r="H9" s="9" t="s">
        <v>2450</v>
      </c>
      <c r="I9" s="9" t="s">
        <v>2450</v>
      </c>
      <c r="K9" s="9" t="s">
        <v>257</v>
      </c>
      <c r="L9" s="9" t="s">
        <v>2450</v>
      </c>
      <c r="M9" s="9" t="s">
        <v>1639</v>
      </c>
      <c r="N9" s="9" t="s">
        <v>2450</v>
      </c>
    </row>
    <row r="10" spans="1:33" ht="18.399999999999999" customHeight="1" x14ac:dyDescent="0.15">
      <c r="B10" s="9" t="s">
        <v>2088</v>
      </c>
      <c r="G10" s="30">
        <f>TRUNC(G8+G9, 0)</f>
        <v>19204</v>
      </c>
    </row>
    <row r="11" spans="1:33" ht="18.399999999999999" customHeight="1" x14ac:dyDescent="0.15">
      <c r="A11" s="9" t="s">
        <v>1006</v>
      </c>
      <c r="B11" s="9" t="s">
        <v>586</v>
      </c>
      <c r="C11" s="9" t="s">
        <v>1361</v>
      </c>
      <c r="D11" s="9">
        <v>1</v>
      </c>
      <c r="E11" s="30" t="s">
        <v>1455</v>
      </c>
      <c r="F11" s="30">
        <f>TRUNC(중기기초자료!E30 * 중기전역변수!C18, 0)</f>
        <v>59020</v>
      </c>
      <c r="G11" s="30">
        <f>TRUNC(F11*D11, 0)</f>
        <v>59020</v>
      </c>
      <c r="H11" s="9" t="s">
        <v>2450</v>
      </c>
      <c r="I11" s="9" t="s">
        <v>2450</v>
      </c>
      <c r="K11" s="9" t="s">
        <v>1383</v>
      </c>
      <c r="L11" s="9" t="s">
        <v>2450</v>
      </c>
      <c r="M11" s="9" t="s">
        <v>1405</v>
      </c>
      <c r="AG11" s="31" t="str">
        <f>HYPERLINK("#중기기초자료!A30","L086 →")</f>
        <v>L086 →</v>
      </c>
    </row>
    <row r="12" spans="1:33" ht="18.399999999999999" customHeight="1" x14ac:dyDescent="0.15">
      <c r="B12" s="9" t="s">
        <v>2088</v>
      </c>
      <c r="G12" s="30">
        <f>TRUNC(G11, 0)</f>
        <v>59020</v>
      </c>
    </row>
    <row r="13" spans="1:33" ht="18.399999999999999" customHeight="1" x14ac:dyDescent="0.15">
      <c r="B13" s="9" t="s">
        <v>242</v>
      </c>
      <c r="G13" s="30">
        <f>TRUNC(G7+G10+G12, 0)</f>
        <v>95738</v>
      </c>
    </row>
    <row r="14" spans="1:33" ht="18.399999999999999" customHeight="1" x14ac:dyDescent="0.15">
      <c r="A14" s="4"/>
      <c r="B14" s="4"/>
      <c r="C14" s="4"/>
      <c r="D14" s="4"/>
      <c r="E14" s="4"/>
      <c r="F14" s="4"/>
      <c r="G14" s="4"/>
      <c r="H14" s="4"/>
    </row>
    <row r="15" spans="1:33" ht="18.399999999999999" customHeight="1" x14ac:dyDescent="0.15">
      <c r="A15" s="4" t="s">
        <v>2172</v>
      </c>
      <c r="B15" s="4" t="s">
        <v>389</v>
      </c>
      <c r="C15" s="4"/>
      <c r="D15" s="4"/>
      <c r="E15" s="4"/>
      <c r="F15" s="4"/>
      <c r="G15" s="4"/>
      <c r="H15" s="4"/>
      <c r="I15" s="9" t="s">
        <v>2450</v>
      </c>
      <c r="J15" s="9" t="s">
        <v>329</v>
      </c>
    </row>
    <row r="16" spans="1:33" ht="18.399999999999999" customHeight="1" x14ac:dyDescent="0.15">
      <c r="A16" s="4" t="s">
        <v>698</v>
      </c>
      <c r="B16" s="4" t="s">
        <v>235</v>
      </c>
      <c r="C16" s="4"/>
      <c r="D16" s="4"/>
      <c r="E16" s="4"/>
      <c r="F16" s="4"/>
      <c r="G16" s="4"/>
      <c r="H16" s="4"/>
    </row>
    <row r="17" spans="1:33" ht="18.399999999999999" customHeight="1" x14ac:dyDescent="0.15">
      <c r="A17" s="29" t="s">
        <v>1874</v>
      </c>
      <c r="B17" s="29"/>
      <c r="C17" s="29" t="s">
        <v>1202</v>
      </c>
      <c r="D17" s="29" t="s">
        <v>64</v>
      </c>
      <c r="E17" s="29" t="s">
        <v>2282</v>
      </c>
      <c r="F17" s="29" t="s">
        <v>575</v>
      </c>
      <c r="G17" s="29" t="s">
        <v>320</v>
      </c>
      <c r="H17" s="29" t="s">
        <v>659</v>
      </c>
    </row>
    <row r="18" spans="1:33" ht="18.399999999999999" customHeight="1" x14ac:dyDescent="0.15">
      <c r="A18" s="9" t="s">
        <v>156</v>
      </c>
      <c r="B18" s="9" t="s">
        <v>802</v>
      </c>
      <c r="C18" s="9" t="s">
        <v>869</v>
      </c>
      <c r="D18" s="9">
        <f>(900 + 700 + 485)*10^-4</f>
        <v>0.20850000000000002</v>
      </c>
      <c r="E18" s="30" t="s">
        <v>297</v>
      </c>
      <c r="F18" s="30">
        <f>중기기초자료!F4</f>
        <v>112342</v>
      </c>
      <c r="G18" s="30">
        <f>TRUNC(F18*D18, 0)</f>
        <v>23423</v>
      </c>
      <c r="H18" s="9" t="s">
        <v>2450</v>
      </c>
      <c r="I18" s="9" t="s">
        <v>2450</v>
      </c>
      <c r="K18" s="9" t="s">
        <v>289</v>
      </c>
      <c r="L18" s="9" t="s">
        <v>2450</v>
      </c>
      <c r="M18" s="9" t="s">
        <v>2239</v>
      </c>
      <c r="N18" s="9" t="s">
        <v>764</v>
      </c>
      <c r="AG18" s="31" t="str">
        <f>HYPERLINK("#중기기초자료!A4","G02010060 →")</f>
        <v>G02010060 →</v>
      </c>
    </row>
    <row r="19" spans="1:33" ht="18.399999999999999" customHeight="1" x14ac:dyDescent="0.15">
      <c r="B19" s="9" t="s">
        <v>2088</v>
      </c>
      <c r="G19" s="30">
        <f>TRUNC(G18, 0)</f>
        <v>23423</v>
      </c>
    </row>
    <row r="20" spans="1:33" ht="18.399999999999999" customHeight="1" x14ac:dyDescent="0.15">
      <c r="A20" s="9" t="s">
        <v>1648</v>
      </c>
      <c r="B20" s="9" t="s">
        <v>408</v>
      </c>
      <c r="C20" s="9" t="s">
        <v>2450</v>
      </c>
      <c r="D20" s="9">
        <v>10.199999999999999</v>
      </c>
      <c r="E20" s="30" t="s">
        <v>2410</v>
      </c>
      <c r="F20" s="30">
        <f>중기기초자료!D34</f>
        <v>1590</v>
      </c>
      <c r="G20" s="30">
        <f>TRUNC(F20*D20, 0)</f>
        <v>16218</v>
      </c>
      <c r="H20" s="9" t="s">
        <v>2450</v>
      </c>
      <c r="I20" s="9" t="s">
        <v>2450</v>
      </c>
      <c r="K20" s="9" t="s">
        <v>907</v>
      </c>
      <c r="L20" s="9" t="s">
        <v>2450</v>
      </c>
      <c r="M20" s="9" t="s">
        <v>501</v>
      </c>
      <c r="AG20" s="31" t="str">
        <f>HYPERLINK("#중기기초자료!A34","M9366005 →")</f>
        <v>M9366005 →</v>
      </c>
    </row>
    <row r="21" spans="1:33" ht="18.399999999999999" customHeight="1" x14ac:dyDescent="0.15">
      <c r="B21" s="9" t="s">
        <v>191</v>
      </c>
      <c r="C21" s="9" t="s">
        <v>2450</v>
      </c>
      <c r="D21" s="9">
        <v>22</v>
      </c>
      <c r="E21" s="30" t="s">
        <v>1030</v>
      </c>
      <c r="F21" s="30">
        <v>0</v>
      </c>
      <c r="G21" s="30">
        <f>TRUNC((G20) * D21/100, 0)</f>
        <v>3567</v>
      </c>
      <c r="H21" s="9" t="s">
        <v>2450</v>
      </c>
      <c r="I21" s="9" t="s">
        <v>2450</v>
      </c>
      <c r="K21" s="9" t="s">
        <v>257</v>
      </c>
      <c r="L21" s="9" t="s">
        <v>2450</v>
      </c>
      <c r="M21" s="9" t="s">
        <v>1639</v>
      </c>
      <c r="N21" s="9" t="s">
        <v>2450</v>
      </c>
    </row>
    <row r="22" spans="1:33" ht="18.399999999999999" customHeight="1" x14ac:dyDescent="0.15">
      <c r="B22" s="9" t="s">
        <v>2088</v>
      </c>
      <c r="G22" s="30">
        <f>TRUNC(G20+G21, 0)</f>
        <v>19785</v>
      </c>
    </row>
    <row r="23" spans="1:33" ht="18.399999999999999" customHeight="1" x14ac:dyDescent="0.15">
      <c r="A23" s="9" t="s">
        <v>1006</v>
      </c>
      <c r="B23" s="9" t="s">
        <v>586</v>
      </c>
      <c r="C23" s="9" t="s">
        <v>1361</v>
      </c>
      <c r="D23" s="9">
        <v>1</v>
      </c>
      <c r="E23" s="30" t="s">
        <v>1455</v>
      </c>
      <c r="F23" s="30">
        <f>TRUNC(중기기초자료!E30 * 중기전역변수!C18, 0)</f>
        <v>59020</v>
      </c>
      <c r="G23" s="30">
        <f>TRUNC(F23*D23, 0)</f>
        <v>59020</v>
      </c>
      <c r="H23" s="9" t="s">
        <v>2450</v>
      </c>
      <c r="I23" s="9" t="s">
        <v>2450</v>
      </c>
      <c r="K23" s="9" t="s">
        <v>1383</v>
      </c>
      <c r="L23" s="9" t="s">
        <v>2450</v>
      </c>
      <c r="M23" s="9" t="s">
        <v>1405</v>
      </c>
      <c r="AG23" s="31" t="str">
        <f>HYPERLINK("#중기기초자료!A30","L086 →")</f>
        <v>L086 →</v>
      </c>
    </row>
    <row r="24" spans="1:33" ht="18.399999999999999" customHeight="1" x14ac:dyDescent="0.15">
      <c r="B24" s="9" t="s">
        <v>2088</v>
      </c>
      <c r="G24" s="30">
        <f>TRUNC(G23, 0)</f>
        <v>59020</v>
      </c>
    </row>
    <row r="25" spans="1:33" ht="18.399999999999999" customHeight="1" x14ac:dyDescent="0.15">
      <c r="B25" s="9" t="s">
        <v>242</v>
      </c>
      <c r="G25" s="30">
        <f>TRUNC(G19+G22+G24, 0)</f>
        <v>102228</v>
      </c>
    </row>
    <row r="26" spans="1:33" ht="18.399999999999999" customHeight="1" x14ac:dyDescent="0.15">
      <c r="A26" s="4"/>
      <c r="B26" s="4"/>
      <c r="C26" s="4"/>
      <c r="D26" s="4"/>
      <c r="E26" s="4"/>
      <c r="F26" s="4"/>
      <c r="G26" s="4"/>
      <c r="H26" s="4"/>
    </row>
    <row r="27" spans="1:33" ht="18.399999999999999" customHeight="1" x14ac:dyDescent="0.15">
      <c r="A27" s="4" t="s">
        <v>2172</v>
      </c>
      <c r="B27" s="4" t="s">
        <v>1723</v>
      </c>
      <c r="C27" s="4"/>
      <c r="D27" s="4"/>
      <c r="E27" s="4"/>
      <c r="F27" s="4"/>
      <c r="G27" s="4"/>
      <c r="H27" s="4"/>
      <c r="I27" s="9" t="s">
        <v>2450</v>
      </c>
      <c r="J27" s="9" t="s">
        <v>948</v>
      </c>
    </row>
    <row r="28" spans="1:33" ht="18.399999999999999" customHeight="1" x14ac:dyDescent="0.15">
      <c r="A28" s="4" t="s">
        <v>698</v>
      </c>
      <c r="B28" s="4" t="s">
        <v>832</v>
      </c>
      <c r="C28" s="4"/>
      <c r="D28" s="4"/>
      <c r="E28" s="4"/>
      <c r="F28" s="4"/>
      <c r="G28" s="4"/>
      <c r="H28" s="4"/>
    </row>
    <row r="29" spans="1:33" ht="18.399999999999999" customHeight="1" x14ac:dyDescent="0.15">
      <c r="A29" s="29" t="s">
        <v>1874</v>
      </c>
      <c r="B29" s="29"/>
      <c r="C29" s="29" t="s">
        <v>1202</v>
      </c>
      <c r="D29" s="29" t="s">
        <v>64</v>
      </c>
      <c r="E29" s="29" t="s">
        <v>2282</v>
      </c>
      <c r="F29" s="29" t="s">
        <v>575</v>
      </c>
      <c r="G29" s="29" t="s">
        <v>320</v>
      </c>
      <c r="H29" s="29" t="s">
        <v>659</v>
      </c>
    </row>
    <row r="30" spans="1:33" ht="18.399999999999999" customHeight="1" x14ac:dyDescent="0.15">
      <c r="A30" s="9" t="s">
        <v>156</v>
      </c>
      <c r="B30" s="9" t="s">
        <v>802</v>
      </c>
      <c r="C30" s="9" t="s">
        <v>495</v>
      </c>
      <c r="D30" s="9">
        <f>(900 + 700 + 485)*10^-4</f>
        <v>0.20850000000000002</v>
      </c>
      <c r="E30" s="30" t="s">
        <v>297</v>
      </c>
      <c r="F30" s="30">
        <f>중기기초자료!F5</f>
        <v>117766</v>
      </c>
      <c r="G30" s="30">
        <f>TRUNC(F30*D30, 0)</f>
        <v>24554</v>
      </c>
      <c r="H30" s="9" t="s">
        <v>2450</v>
      </c>
      <c r="I30" s="9" t="s">
        <v>2450</v>
      </c>
      <c r="K30" s="9" t="s">
        <v>289</v>
      </c>
      <c r="L30" s="9" t="s">
        <v>2450</v>
      </c>
      <c r="M30" s="9" t="s">
        <v>1621</v>
      </c>
      <c r="N30" s="9" t="s">
        <v>764</v>
      </c>
      <c r="AG30" s="31" t="str">
        <f>HYPERLINK("#중기기초자료!A5","G02010070 →")</f>
        <v>G02010070 →</v>
      </c>
    </row>
    <row r="31" spans="1:33" ht="18.399999999999999" customHeight="1" x14ac:dyDescent="0.15">
      <c r="B31" s="9" t="s">
        <v>2088</v>
      </c>
      <c r="G31" s="30">
        <f>TRUNC(G30, 0)</f>
        <v>24554</v>
      </c>
    </row>
    <row r="32" spans="1:33" ht="18.399999999999999" customHeight="1" x14ac:dyDescent="0.15">
      <c r="A32" s="9" t="s">
        <v>1648</v>
      </c>
      <c r="B32" s="9" t="s">
        <v>408</v>
      </c>
      <c r="C32" s="9" t="s">
        <v>2450</v>
      </c>
      <c r="D32" s="9">
        <v>11.6</v>
      </c>
      <c r="E32" s="30" t="s">
        <v>2410</v>
      </c>
      <c r="F32" s="30">
        <f>중기기초자료!D34</f>
        <v>1590</v>
      </c>
      <c r="G32" s="30">
        <f>TRUNC(F32*D32, 0)</f>
        <v>18444</v>
      </c>
      <c r="H32" s="9" t="s">
        <v>2450</v>
      </c>
      <c r="I32" s="9" t="s">
        <v>2450</v>
      </c>
      <c r="K32" s="9" t="s">
        <v>907</v>
      </c>
      <c r="L32" s="9" t="s">
        <v>2450</v>
      </c>
      <c r="M32" s="9" t="s">
        <v>501</v>
      </c>
      <c r="AG32" s="31" t="str">
        <f>HYPERLINK("#중기기초자료!A34","M9366005 →")</f>
        <v>M9366005 →</v>
      </c>
    </row>
    <row r="33" spans="1:33" ht="18.399999999999999" customHeight="1" x14ac:dyDescent="0.15">
      <c r="B33" s="9" t="s">
        <v>191</v>
      </c>
      <c r="C33" s="9" t="s">
        <v>2450</v>
      </c>
      <c r="D33" s="9">
        <v>22</v>
      </c>
      <c r="E33" s="30" t="s">
        <v>1030</v>
      </c>
      <c r="F33" s="30">
        <v>0</v>
      </c>
      <c r="G33" s="30">
        <f>TRUNC((G32) * D33/100, 0)</f>
        <v>4057</v>
      </c>
      <c r="H33" s="9" t="s">
        <v>2450</v>
      </c>
      <c r="I33" s="9" t="s">
        <v>2450</v>
      </c>
      <c r="K33" s="9" t="s">
        <v>257</v>
      </c>
      <c r="L33" s="9" t="s">
        <v>2450</v>
      </c>
      <c r="M33" s="9" t="s">
        <v>1639</v>
      </c>
      <c r="N33" s="9" t="s">
        <v>2450</v>
      </c>
    </row>
    <row r="34" spans="1:33" ht="18.399999999999999" customHeight="1" x14ac:dyDescent="0.15">
      <c r="B34" s="9" t="s">
        <v>2088</v>
      </c>
      <c r="G34" s="30">
        <f>TRUNC(G32+G33, 0)</f>
        <v>22501</v>
      </c>
    </row>
    <row r="35" spans="1:33" ht="18.399999999999999" customHeight="1" x14ac:dyDescent="0.15">
      <c r="A35" s="9" t="s">
        <v>1006</v>
      </c>
      <c r="B35" s="9" t="s">
        <v>586</v>
      </c>
      <c r="C35" s="9" t="s">
        <v>1361</v>
      </c>
      <c r="D35" s="9">
        <v>1</v>
      </c>
      <c r="E35" s="30" t="s">
        <v>1455</v>
      </c>
      <c r="F35" s="30">
        <f>TRUNC(중기기초자료!E30 * 중기전역변수!C18, 0)</f>
        <v>59020</v>
      </c>
      <c r="G35" s="30">
        <f>TRUNC(F35*D35, 0)</f>
        <v>59020</v>
      </c>
      <c r="H35" s="9" t="s">
        <v>2450</v>
      </c>
      <c r="I35" s="9" t="s">
        <v>2450</v>
      </c>
      <c r="K35" s="9" t="s">
        <v>1383</v>
      </c>
      <c r="L35" s="9" t="s">
        <v>2450</v>
      </c>
      <c r="M35" s="9" t="s">
        <v>1405</v>
      </c>
      <c r="AG35" s="31" t="str">
        <f>HYPERLINK("#중기기초자료!A30","L086 →")</f>
        <v>L086 →</v>
      </c>
    </row>
    <row r="36" spans="1:33" ht="18.399999999999999" customHeight="1" x14ac:dyDescent="0.15">
      <c r="B36" s="9" t="s">
        <v>2088</v>
      </c>
      <c r="G36" s="30">
        <f>TRUNC(G35, 0)</f>
        <v>59020</v>
      </c>
    </row>
    <row r="37" spans="1:33" ht="18.399999999999999" customHeight="1" x14ac:dyDescent="0.15">
      <c r="B37" s="9" t="s">
        <v>242</v>
      </c>
      <c r="G37" s="30">
        <f>TRUNC(G31+G34+G36, 0)</f>
        <v>106075</v>
      </c>
    </row>
    <row r="38" spans="1:33" ht="18.399999999999999" customHeight="1" x14ac:dyDescent="0.15">
      <c r="A38" s="4"/>
      <c r="B38" s="4"/>
      <c r="C38" s="4"/>
      <c r="D38" s="4"/>
      <c r="E38" s="4"/>
      <c r="F38" s="4"/>
      <c r="G38" s="4"/>
      <c r="H38" s="4"/>
    </row>
    <row r="39" spans="1:33" ht="18.399999999999999" customHeight="1" x14ac:dyDescent="0.15">
      <c r="A39" s="4" t="s">
        <v>2172</v>
      </c>
      <c r="B39" s="4" t="s">
        <v>1825</v>
      </c>
      <c r="C39" s="4"/>
      <c r="D39" s="4"/>
      <c r="E39" s="4"/>
      <c r="F39" s="4"/>
      <c r="G39" s="4"/>
      <c r="H39" s="4"/>
      <c r="I39" s="9" t="s">
        <v>2450</v>
      </c>
      <c r="J39" s="9" t="s">
        <v>1373</v>
      </c>
    </row>
    <row r="40" spans="1:33" ht="18.399999999999999" customHeight="1" x14ac:dyDescent="0.15">
      <c r="A40" s="4" t="s">
        <v>698</v>
      </c>
      <c r="B40" s="4" t="s">
        <v>1287</v>
      </c>
      <c r="C40" s="4"/>
      <c r="D40" s="4"/>
      <c r="E40" s="4"/>
      <c r="F40" s="4"/>
      <c r="G40" s="4"/>
      <c r="H40" s="4"/>
    </row>
    <row r="41" spans="1:33" ht="18.399999999999999" customHeight="1" x14ac:dyDescent="0.15">
      <c r="A41" s="29" t="s">
        <v>1874</v>
      </c>
      <c r="B41" s="29"/>
      <c r="C41" s="29" t="s">
        <v>1202</v>
      </c>
      <c r="D41" s="29" t="s">
        <v>64</v>
      </c>
      <c r="E41" s="29" t="s">
        <v>2282</v>
      </c>
      <c r="F41" s="29" t="s">
        <v>575</v>
      </c>
      <c r="G41" s="29" t="s">
        <v>320</v>
      </c>
      <c r="H41" s="29" t="s">
        <v>659</v>
      </c>
    </row>
    <row r="42" spans="1:33" ht="18.399999999999999" customHeight="1" x14ac:dyDescent="0.15">
      <c r="A42" s="9" t="s">
        <v>156</v>
      </c>
      <c r="B42" s="9" t="s">
        <v>802</v>
      </c>
      <c r="C42" s="9" t="s">
        <v>450</v>
      </c>
      <c r="D42" s="9">
        <f>(900 + 700 + 485)*10^-4</f>
        <v>0.20850000000000002</v>
      </c>
      <c r="E42" s="30" t="s">
        <v>297</v>
      </c>
      <c r="F42" s="30">
        <f>중기기초자료!F6</f>
        <v>142069</v>
      </c>
      <c r="G42" s="30">
        <f>TRUNC(F42*D42, 0)</f>
        <v>29621</v>
      </c>
      <c r="H42" s="9" t="s">
        <v>2450</v>
      </c>
      <c r="I42" s="9" t="s">
        <v>2450</v>
      </c>
      <c r="K42" s="9" t="s">
        <v>289</v>
      </c>
      <c r="L42" s="9" t="s">
        <v>2450</v>
      </c>
      <c r="M42" s="9" t="s">
        <v>900</v>
      </c>
      <c r="N42" s="9" t="s">
        <v>764</v>
      </c>
      <c r="AG42" s="31" t="str">
        <f>HYPERLINK("#중기기초자료!A6","G02010100 →")</f>
        <v>G02010100 →</v>
      </c>
    </row>
    <row r="43" spans="1:33" ht="18.399999999999999" customHeight="1" x14ac:dyDescent="0.15">
      <c r="B43" s="9" t="s">
        <v>2088</v>
      </c>
      <c r="G43" s="30">
        <f>TRUNC(G42, 0)</f>
        <v>29621</v>
      </c>
    </row>
    <row r="44" spans="1:33" ht="18.399999999999999" customHeight="1" x14ac:dyDescent="0.15">
      <c r="A44" s="9" t="s">
        <v>1648</v>
      </c>
      <c r="B44" s="9" t="s">
        <v>408</v>
      </c>
      <c r="C44" s="9" t="s">
        <v>2450</v>
      </c>
      <c r="D44" s="9">
        <v>19.5</v>
      </c>
      <c r="E44" s="30" t="s">
        <v>2410</v>
      </c>
      <c r="F44" s="30">
        <f>중기기초자료!D34</f>
        <v>1590</v>
      </c>
      <c r="G44" s="30">
        <f>TRUNC(F44*D44, 0)</f>
        <v>31005</v>
      </c>
      <c r="H44" s="9" t="s">
        <v>2450</v>
      </c>
      <c r="I44" s="9" t="s">
        <v>2450</v>
      </c>
      <c r="K44" s="9" t="s">
        <v>907</v>
      </c>
      <c r="L44" s="9" t="s">
        <v>2450</v>
      </c>
      <c r="M44" s="9" t="s">
        <v>501</v>
      </c>
      <c r="AG44" s="31" t="str">
        <f>HYPERLINK("#중기기초자료!A34","M9366005 →")</f>
        <v>M9366005 →</v>
      </c>
    </row>
    <row r="45" spans="1:33" ht="18.399999999999999" customHeight="1" x14ac:dyDescent="0.15">
      <c r="B45" s="9" t="s">
        <v>191</v>
      </c>
      <c r="C45" s="9" t="s">
        <v>2450</v>
      </c>
      <c r="D45" s="9">
        <v>22</v>
      </c>
      <c r="E45" s="30" t="s">
        <v>1030</v>
      </c>
      <c r="F45" s="30">
        <v>0</v>
      </c>
      <c r="G45" s="30">
        <f>TRUNC((G44) * D45/100, 0)</f>
        <v>6821</v>
      </c>
      <c r="H45" s="9" t="s">
        <v>2450</v>
      </c>
      <c r="I45" s="9" t="s">
        <v>2450</v>
      </c>
      <c r="K45" s="9" t="s">
        <v>257</v>
      </c>
      <c r="L45" s="9" t="s">
        <v>2450</v>
      </c>
      <c r="M45" s="9" t="s">
        <v>1639</v>
      </c>
      <c r="N45" s="9" t="s">
        <v>2450</v>
      </c>
    </row>
    <row r="46" spans="1:33" ht="18.399999999999999" customHeight="1" x14ac:dyDescent="0.15">
      <c r="B46" s="9" t="s">
        <v>2088</v>
      </c>
      <c r="G46" s="30">
        <f>TRUNC(G44+G45, 0)</f>
        <v>37826</v>
      </c>
    </row>
    <row r="47" spans="1:33" ht="18.399999999999999" customHeight="1" x14ac:dyDescent="0.15">
      <c r="A47" s="9" t="s">
        <v>1006</v>
      </c>
      <c r="B47" s="9" t="s">
        <v>586</v>
      </c>
      <c r="C47" s="9" t="s">
        <v>1361</v>
      </c>
      <c r="D47" s="9">
        <v>1</v>
      </c>
      <c r="E47" s="30" t="s">
        <v>1455</v>
      </c>
      <c r="F47" s="30">
        <f>TRUNC(중기기초자료!E30 * 중기전역변수!C18, 0)</f>
        <v>59020</v>
      </c>
      <c r="G47" s="30">
        <f>TRUNC(F47*D47, 0)</f>
        <v>59020</v>
      </c>
      <c r="H47" s="9" t="s">
        <v>2450</v>
      </c>
      <c r="I47" s="9" t="s">
        <v>2450</v>
      </c>
      <c r="K47" s="9" t="s">
        <v>1383</v>
      </c>
      <c r="L47" s="9" t="s">
        <v>2450</v>
      </c>
      <c r="M47" s="9" t="s">
        <v>1405</v>
      </c>
      <c r="AG47" s="31" t="str">
        <f>HYPERLINK("#중기기초자료!A30","L086 →")</f>
        <v>L086 →</v>
      </c>
    </row>
    <row r="48" spans="1:33" ht="18.399999999999999" customHeight="1" x14ac:dyDescent="0.15">
      <c r="B48" s="9" t="s">
        <v>2088</v>
      </c>
      <c r="G48" s="30">
        <f>TRUNC(G47, 0)</f>
        <v>59020</v>
      </c>
    </row>
    <row r="49" spans="1:33" ht="18.399999999999999" customHeight="1" x14ac:dyDescent="0.15">
      <c r="B49" s="9" t="s">
        <v>242</v>
      </c>
      <c r="G49" s="30">
        <f>TRUNC(G43+G46+G48, 0)</f>
        <v>126467</v>
      </c>
    </row>
    <row r="50" spans="1:33" ht="18.399999999999999" customHeight="1" x14ac:dyDescent="0.15">
      <c r="A50" s="4"/>
      <c r="B50" s="4"/>
      <c r="C50" s="4"/>
      <c r="D50" s="4"/>
      <c r="E50" s="4"/>
      <c r="F50" s="4"/>
      <c r="G50" s="4"/>
      <c r="H50" s="4"/>
    </row>
    <row r="51" spans="1:33" ht="18.399999999999999" customHeight="1" x14ac:dyDescent="0.15">
      <c r="A51" s="4" t="s">
        <v>2172</v>
      </c>
      <c r="B51" s="4" t="s">
        <v>1962</v>
      </c>
      <c r="C51" s="4"/>
      <c r="D51" s="4"/>
      <c r="E51" s="4"/>
      <c r="F51" s="4"/>
      <c r="G51" s="4"/>
      <c r="H51" s="4"/>
      <c r="I51" s="9" t="s">
        <v>2450</v>
      </c>
      <c r="J51" s="9" t="s">
        <v>1442</v>
      </c>
    </row>
    <row r="52" spans="1:33" ht="18.399999999999999" customHeight="1" x14ac:dyDescent="0.15">
      <c r="A52" s="4" t="s">
        <v>698</v>
      </c>
      <c r="B52" s="4" t="s">
        <v>832</v>
      </c>
      <c r="C52" s="4"/>
      <c r="D52" s="4"/>
      <c r="E52" s="4"/>
      <c r="F52" s="4"/>
      <c r="G52" s="4"/>
      <c r="H52" s="4"/>
    </row>
    <row r="53" spans="1:33" ht="18.399999999999999" customHeight="1" x14ac:dyDescent="0.15">
      <c r="A53" s="29" t="s">
        <v>1874</v>
      </c>
      <c r="B53" s="29"/>
      <c r="C53" s="29" t="s">
        <v>1202</v>
      </c>
      <c r="D53" s="29" t="s">
        <v>64</v>
      </c>
      <c r="E53" s="29" t="s">
        <v>2282</v>
      </c>
      <c r="F53" s="29" t="s">
        <v>575</v>
      </c>
      <c r="G53" s="29" t="s">
        <v>320</v>
      </c>
      <c r="H53" s="29" t="s">
        <v>659</v>
      </c>
    </row>
    <row r="54" spans="1:33" ht="18.399999999999999" customHeight="1" x14ac:dyDescent="0.15">
      <c r="A54" s="9" t="s">
        <v>156</v>
      </c>
      <c r="B54" s="9" t="s">
        <v>802</v>
      </c>
      <c r="C54" s="9" t="s">
        <v>495</v>
      </c>
      <c r="D54" s="9">
        <f>(990 + 770 + 485)*10^-4</f>
        <v>0.22450000000000001</v>
      </c>
      <c r="E54" s="30" t="s">
        <v>297</v>
      </c>
      <c r="F54" s="30">
        <f>중기기초자료!F5</f>
        <v>117766</v>
      </c>
      <c r="G54" s="30">
        <f>TRUNC(F54*D54, 0)</f>
        <v>26438</v>
      </c>
      <c r="H54" s="9" t="s">
        <v>2450</v>
      </c>
      <c r="I54" s="9" t="s">
        <v>2450</v>
      </c>
      <c r="K54" s="9" t="s">
        <v>289</v>
      </c>
      <c r="L54" s="9" t="s">
        <v>2450</v>
      </c>
      <c r="M54" s="9" t="s">
        <v>1621</v>
      </c>
      <c r="N54" s="9" t="s">
        <v>684</v>
      </c>
      <c r="AG54" s="31" t="str">
        <f>HYPERLINK("#중기기초자료!A5","G02010070 →")</f>
        <v>G02010070 →</v>
      </c>
    </row>
    <row r="55" spans="1:33" ht="18.399999999999999" customHeight="1" x14ac:dyDescent="0.15">
      <c r="B55" s="9" t="s">
        <v>750</v>
      </c>
      <c r="C55" s="9" t="s">
        <v>1577</v>
      </c>
      <c r="D55" s="9">
        <v>1</v>
      </c>
      <c r="E55" s="30" t="s">
        <v>658</v>
      </c>
      <c r="F55" s="30">
        <f>중기사용료목록!G8</f>
        <v>11412</v>
      </c>
      <c r="G55" s="30">
        <f>TRUNC(F55*D55, 0)</f>
        <v>11412</v>
      </c>
      <c r="H55" s="9" t="s">
        <v>2450</v>
      </c>
      <c r="I55" s="9" t="s">
        <v>2450</v>
      </c>
      <c r="K55" s="9" t="s">
        <v>2076</v>
      </c>
      <c r="L55" s="9" t="s">
        <v>2450</v>
      </c>
      <c r="M55" s="9" t="s">
        <v>254</v>
      </c>
      <c r="AG55" s="31" t="str">
        <f>HYPERLINK("#중기사용료목록!A8","E0002300007 →")</f>
        <v>E0002300007 →</v>
      </c>
    </row>
    <row r="56" spans="1:33" ht="18.399999999999999" customHeight="1" x14ac:dyDescent="0.15">
      <c r="B56" s="9" t="s">
        <v>2088</v>
      </c>
      <c r="G56" s="30">
        <f>TRUNC(G54+G55, 0)</f>
        <v>37850</v>
      </c>
    </row>
    <row r="57" spans="1:33" ht="18.399999999999999" customHeight="1" x14ac:dyDescent="0.15">
      <c r="A57" s="9" t="s">
        <v>1648</v>
      </c>
      <c r="B57" s="9" t="s">
        <v>408</v>
      </c>
      <c r="C57" s="9" t="s">
        <v>2450</v>
      </c>
      <c r="D57" s="9">
        <v>11.6</v>
      </c>
      <c r="E57" s="30" t="s">
        <v>2410</v>
      </c>
      <c r="F57" s="30">
        <f>중기기초자료!D34</f>
        <v>1590</v>
      </c>
      <c r="G57" s="30">
        <f>TRUNC(F57*D57, 0)</f>
        <v>18444</v>
      </c>
      <c r="H57" s="9" t="s">
        <v>2450</v>
      </c>
      <c r="I57" s="9" t="s">
        <v>2450</v>
      </c>
      <c r="K57" s="9" t="s">
        <v>907</v>
      </c>
      <c r="L57" s="9" t="s">
        <v>2450</v>
      </c>
      <c r="M57" s="9" t="s">
        <v>501</v>
      </c>
      <c r="AG57" s="31" t="str">
        <f>HYPERLINK("#8","M9366005 →")</f>
        <v>M9366005 →</v>
      </c>
    </row>
    <row r="58" spans="1:33" ht="18.399999999999999" customHeight="1" x14ac:dyDescent="0.15">
      <c r="B58" s="9" t="s">
        <v>1901</v>
      </c>
      <c r="C58" s="9" t="s">
        <v>2450</v>
      </c>
      <c r="D58" s="9">
        <v>16</v>
      </c>
      <c r="E58" s="30" t="s">
        <v>1030</v>
      </c>
      <c r="F58" s="30">
        <v>0</v>
      </c>
      <c r="G58" s="30">
        <f>TRUNC((G57) * D58/100, 0)</f>
        <v>2951</v>
      </c>
      <c r="H58" s="9" t="s">
        <v>2450</v>
      </c>
      <c r="I58" s="9" t="s">
        <v>2450</v>
      </c>
      <c r="K58" s="9" t="s">
        <v>257</v>
      </c>
      <c r="L58" s="9" t="s">
        <v>2450</v>
      </c>
      <c r="M58" s="9" t="s">
        <v>1639</v>
      </c>
      <c r="N58" s="9" t="s">
        <v>2450</v>
      </c>
      <c r="AG58" s="31" t="str">
        <f>HYPERLINK("#8","F/M1 →")</f>
        <v>F/M1 →</v>
      </c>
    </row>
    <row r="59" spans="1:33" ht="18.399999999999999" customHeight="1" x14ac:dyDescent="0.15">
      <c r="B59" s="9" t="s">
        <v>2088</v>
      </c>
      <c r="G59" s="30">
        <f>TRUNC(G57+G58, 0)</f>
        <v>21395</v>
      </c>
    </row>
    <row r="60" spans="1:33" ht="18.399999999999999" customHeight="1" x14ac:dyDescent="0.15">
      <c r="A60" s="9" t="s">
        <v>1006</v>
      </c>
      <c r="B60" s="9" t="s">
        <v>586</v>
      </c>
      <c r="C60" s="9" t="s">
        <v>1361</v>
      </c>
      <c r="D60" s="9">
        <v>1</v>
      </c>
      <c r="E60" s="30" t="s">
        <v>1455</v>
      </c>
      <c r="F60" s="30">
        <f>TRUNC(중기기초자료!E30 * 중기전역변수!C18, 0)</f>
        <v>59020</v>
      </c>
      <c r="G60" s="30">
        <f>TRUNC(F60*D60, 0)</f>
        <v>59020</v>
      </c>
      <c r="H60" s="9" t="s">
        <v>2450</v>
      </c>
      <c r="I60" s="9" t="s">
        <v>2450</v>
      </c>
      <c r="K60" s="9" t="s">
        <v>2115</v>
      </c>
      <c r="L60" s="9" t="s">
        <v>2450</v>
      </c>
      <c r="M60" s="9" t="s">
        <v>1405</v>
      </c>
      <c r="AG60" s="31" t="str">
        <f>HYPERLINK("#8","L086 →")</f>
        <v>L086 →</v>
      </c>
    </row>
    <row r="61" spans="1:33" ht="18.399999999999999" customHeight="1" x14ac:dyDescent="0.15">
      <c r="B61" s="9" t="s">
        <v>2088</v>
      </c>
      <c r="G61" s="30">
        <f>TRUNC(G60, 0)</f>
        <v>59020</v>
      </c>
    </row>
    <row r="62" spans="1:33" ht="18.399999999999999" customHeight="1" x14ac:dyDescent="0.15">
      <c r="B62" s="9" t="s">
        <v>242</v>
      </c>
      <c r="G62" s="30">
        <f>TRUNC(G56+G59+G61, 0)</f>
        <v>118265</v>
      </c>
    </row>
    <row r="63" spans="1:33" ht="18.399999999999999" customHeight="1" x14ac:dyDescent="0.15">
      <c r="A63" s="4"/>
      <c r="B63" s="4"/>
      <c r="C63" s="4"/>
      <c r="D63" s="4"/>
      <c r="E63" s="4"/>
      <c r="F63" s="4"/>
      <c r="G63" s="4"/>
      <c r="H63" s="4"/>
    </row>
    <row r="64" spans="1:33" ht="18.399999999999999" customHeight="1" x14ac:dyDescent="0.15">
      <c r="A64" s="4" t="s">
        <v>2172</v>
      </c>
      <c r="B64" s="4" t="s">
        <v>629</v>
      </c>
      <c r="C64" s="4"/>
      <c r="D64" s="4"/>
      <c r="E64" s="4"/>
      <c r="F64" s="4"/>
      <c r="G64" s="4"/>
      <c r="H64" s="4"/>
      <c r="I64" s="9" t="s">
        <v>2450</v>
      </c>
      <c r="J64" s="9" t="s">
        <v>254</v>
      </c>
    </row>
    <row r="65" spans="1:33" ht="18.399999999999999" customHeight="1" x14ac:dyDescent="0.15">
      <c r="A65" s="4" t="s">
        <v>698</v>
      </c>
      <c r="B65" s="4" t="s">
        <v>201</v>
      </c>
      <c r="C65" s="4"/>
      <c r="D65" s="4"/>
      <c r="E65" s="4"/>
      <c r="F65" s="4"/>
      <c r="G65" s="4"/>
      <c r="H65" s="4"/>
    </row>
    <row r="66" spans="1:33" ht="18.399999999999999" customHeight="1" x14ac:dyDescent="0.15">
      <c r="A66" s="29" t="s">
        <v>1874</v>
      </c>
      <c r="B66" s="29"/>
      <c r="C66" s="29" t="s">
        <v>1202</v>
      </c>
      <c r="D66" s="29" t="s">
        <v>64</v>
      </c>
      <c r="E66" s="29" t="s">
        <v>2282</v>
      </c>
      <c r="F66" s="29" t="s">
        <v>575</v>
      </c>
      <c r="G66" s="29" t="s">
        <v>320</v>
      </c>
      <c r="H66" s="29" t="s">
        <v>659</v>
      </c>
    </row>
    <row r="67" spans="1:33" ht="18.399999999999999" customHeight="1" x14ac:dyDescent="0.15">
      <c r="A67" s="9" t="s">
        <v>156</v>
      </c>
      <c r="B67" s="9" t="s">
        <v>750</v>
      </c>
      <c r="C67" s="9" t="s">
        <v>1577</v>
      </c>
      <c r="D67" s="9">
        <f>(3000 + 2833 + 768)*10^-4</f>
        <v>0.66010000000000002</v>
      </c>
      <c r="E67" s="30" t="s">
        <v>297</v>
      </c>
      <c r="F67" s="30">
        <f>중기기초자료!F7</f>
        <v>17289</v>
      </c>
      <c r="G67" s="30">
        <f>TRUNC(F67*D67, 0)</f>
        <v>11412</v>
      </c>
      <c r="H67" s="9" t="s">
        <v>2450</v>
      </c>
      <c r="I67" s="9" t="s">
        <v>2450</v>
      </c>
      <c r="K67" s="9" t="s">
        <v>289</v>
      </c>
      <c r="L67" s="9" t="s">
        <v>2450</v>
      </c>
      <c r="M67" s="9" t="s">
        <v>1989</v>
      </c>
      <c r="N67" s="9" t="s">
        <v>37</v>
      </c>
      <c r="AG67" s="31" t="str">
        <f>HYPERLINK("#8","G02300007 →")</f>
        <v>G02300007 →</v>
      </c>
    </row>
    <row r="68" spans="1:33" ht="18.399999999999999" customHeight="1" x14ac:dyDescent="0.15">
      <c r="B68" s="9" t="s">
        <v>2088</v>
      </c>
      <c r="G68" s="30">
        <f>TRUNC(G67, 0)</f>
        <v>11412</v>
      </c>
    </row>
    <row r="69" spans="1:33" ht="18.399999999999999" customHeight="1" x14ac:dyDescent="0.15">
      <c r="A69" s="9" t="s">
        <v>1648</v>
      </c>
    </row>
    <row r="70" spans="1:33" ht="18.399999999999999" customHeight="1" x14ac:dyDescent="0.15">
      <c r="B70" s="9" t="s">
        <v>2088</v>
      </c>
    </row>
    <row r="71" spans="1:33" ht="18.399999999999999" customHeight="1" x14ac:dyDescent="0.15">
      <c r="A71" s="9" t="s">
        <v>1006</v>
      </c>
    </row>
    <row r="72" spans="1:33" ht="18.399999999999999" customHeight="1" x14ac:dyDescent="0.15">
      <c r="B72" s="9" t="s">
        <v>2088</v>
      </c>
    </row>
    <row r="73" spans="1:33" ht="18.399999999999999" customHeight="1" x14ac:dyDescent="0.15">
      <c r="B73" s="9" t="s">
        <v>242</v>
      </c>
      <c r="G73" s="30">
        <f>TRUNC(G68+G70+G72, 0)</f>
        <v>11412</v>
      </c>
    </row>
    <row r="74" spans="1:33" ht="18.399999999999999" customHeight="1" x14ac:dyDescent="0.15">
      <c r="A74" s="4"/>
      <c r="B74" s="4"/>
      <c r="C74" s="4"/>
      <c r="D74" s="4"/>
      <c r="E74" s="4"/>
      <c r="F74" s="4"/>
      <c r="G74" s="4"/>
      <c r="H74" s="4"/>
    </row>
    <row r="75" spans="1:33" ht="18.399999999999999" customHeight="1" x14ac:dyDescent="0.15">
      <c r="A75" s="4" t="s">
        <v>2172</v>
      </c>
      <c r="B75" s="4" t="s">
        <v>1850</v>
      </c>
      <c r="C75" s="4"/>
      <c r="D75" s="4"/>
      <c r="E75" s="4"/>
      <c r="F75" s="4"/>
      <c r="G75" s="4"/>
      <c r="H75" s="4"/>
      <c r="I75" s="9" t="s">
        <v>2450</v>
      </c>
      <c r="J75" s="9" t="s">
        <v>1034</v>
      </c>
    </row>
    <row r="76" spans="1:33" ht="18.399999999999999" customHeight="1" x14ac:dyDescent="0.15">
      <c r="A76" s="4" t="s">
        <v>698</v>
      </c>
      <c r="B76" s="4" t="s">
        <v>494</v>
      </c>
      <c r="C76" s="4"/>
      <c r="D76" s="4"/>
      <c r="E76" s="4"/>
      <c r="F76" s="4"/>
      <c r="G76" s="4"/>
      <c r="H76" s="4"/>
    </row>
    <row r="77" spans="1:33" ht="18.399999999999999" customHeight="1" x14ac:dyDescent="0.15">
      <c r="A77" s="29" t="s">
        <v>1874</v>
      </c>
      <c r="B77" s="29"/>
      <c r="C77" s="29" t="s">
        <v>1202</v>
      </c>
      <c r="D77" s="29" t="s">
        <v>64</v>
      </c>
      <c r="E77" s="29" t="s">
        <v>2282</v>
      </c>
      <c r="F77" s="29" t="s">
        <v>575</v>
      </c>
      <c r="G77" s="29" t="s">
        <v>320</v>
      </c>
      <c r="H77" s="29" t="s">
        <v>659</v>
      </c>
    </row>
    <row r="78" spans="1:33" ht="18.399999999999999" customHeight="1" x14ac:dyDescent="0.15">
      <c r="A78" s="9" t="s">
        <v>156</v>
      </c>
      <c r="B78" s="9" t="s">
        <v>1085</v>
      </c>
      <c r="C78" s="9" t="s">
        <v>1017</v>
      </c>
      <c r="D78" s="9">
        <f>(1200 + 1067 + 700)*10^-4</f>
        <v>0.29670000000000002</v>
      </c>
      <c r="E78" s="30" t="s">
        <v>297</v>
      </c>
      <c r="F78" s="30">
        <f>중기기초자료!F8</f>
        <v>21982</v>
      </c>
      <c r="G78" s="30">
        <f>TRUNC(F78*D78, 0)</f>
        <v>6522</v>
      </c>
      <c r="H78" s="9" t="s">
        <v>2450</v>
      </c>
      <c r="I78" s="9" t="s">
        <v>2450</v>
      </c>
      <c r="K78" s="9" t="s">
        <v>289</v>
      </c>
      <c r="L78" s="9" t="s">
        <v>2450</v>
      </c>
      <c r="M78" s="9" t="s">
        <v>1553</v>
      </c>
      <c r="N78" s="9" t="s">
        <v>1068</v>
      </c>
      <c r="AG78" s="31" t="str">
        <f>HYPERLINK("#8","G06020025 →")</f>
        <v>G06020025 →</v>
      </c>
    </row>
    <row r="79" spans="1:33" ht="18.399999999999999" customHeight="1" x14ac:dyDescent="0.15">
      <c r="B79" s="9" t="s">
        <v>2088</v>
      </c>
      <c r="G79" s="30">
        <f>TRUNC(G78, 0)</f>
        <v>6522</v>
      </c>
    </row>
    <row r="80" spans="1:33" ht="18.399999999999999" customHeight="1" x14ac:dyDescent="0.15">
      <c r="A80" s="9" t="s">
        <v>1648</v>
      </c>
      <c r="B80" s="9" t="s">
        <v>408</v>
      </c>
      <c r="C80" s="9" t="s">
        <v>2450</v>
      </c>
      <c r="D80" s="9">
        <v>2.9</v>
      </c>
      <c r="E80" s="30" t="s">
        <v>2410</v>
      </c>
      <c r="F80" s="30">
        <f>중기기초자료!D34</f>
        <v>1590</v>
      </c>
      <c r="G80" s="30">
        <f>TRUNC(F80*D80, 0)</f>
        <v>4611</v>
      </c>
      <c r="H80" s="9" t="s">
        <v>2450</v>
      </c>
      <c r="I80" s="9" t="s">
        <v>2450</v>
      </c>
      <c r="K80" s="9" t="s">
        <v>907</v>
      </c>
      <c r="L80" s="9" t="s">
        <v>2450</v>
      </c>
      <c r="M80" s="9" t="s">
        <v>501</v>
      </c>
      <c r="AG80" s="31" t="str">
        <f>HYPERLINK("#8","M9366005 →")</f>
        <v>M9366005 →</v>
      </c>
    </row>
    <row r="81" spans="1:33" ht="18.399999999999999" customHeight="1" x14ac:dyDescent="0.15">
      <c r="B81" s="9" t="s">
        <v>191</v>
      </c>
      <c r="C81" s="9" t="s">
        <v>2450</v>
      </c>
      <c r="D81" s="9">
        <v>38</v>
      </c>
      <c r="E81" s="30" t="s">
        <v>1030</v>
      </c>
      <c r="F81" s="30">
        <v>0</v>
      </c>
      <c r="G81" s="30">
        <f>TRUNC((G80) * D81/100, 0)</f>
        <v>1752</v>
      </c>
      <c r="H81" s="9" t="s">
        <v>2450</v>
      </c>
      <c r="I81" s="9" t="s">
        <v>2450</v>
      </c>
      <c r="K81" s="9" t="s">
        <v>257</v>
      </c>
      <c r="L81" s="9" t="s">
        <v>2450</v>
      </c>
      <c r="M81" s="9" t="s">
        <v>1639</v>
      </c>
      <c r="N81" s="9" t="s">
        <v>2450</v>
      </c>
      <c r="AG81" s="31" t="str">
        <f>HYPERLINK("#8","F/M1 →")</f>
        <v>F/M1 →</v>
      </c>
    </row>
    <row r="82" spans="1:33" ht="18.399999999999999" customHeight="1" x14ac:dyDescent="0.15">
      <c r="B82" s="9" t="s">
        <v>2088</v>
      </c>
      <c r="G82" s="30">
        <f>TRUNC(G80+G81, 0)</f>
        <v>6363</v>
      </c>
    </row>
    <row r="83" spans="1:33" ht="18.399999999999999" customHeight="1" x14ac:dyDescent="0.15">
      <c r="A83" s="9" t="s">
        <v>1006</v>
      </c>
      <c r="B83" s="9" t="s">
        <v>180</v>
      </c>
      <c r="C83" s="9" t="s">
        <v>1365</v>
      </c>
      <c r="D83" s="9">
        <v>1</v>
      </c>
      <c r="E83" s="30" t="s">
        <v>1455</v>
      </c>
      <c r="F83" s="30">
        <f>TRUNC(중기기초자료!E31 * 중기전역변수!C18, 0)</f>
        <v>49778</v>
      </c>
      <c r="G83" s="30">
        <f>TRUNC(F83*D83, 0)</f>
        <v>49778</v>
      </c>
      <c r="H83" s="9" t="s">
        <v>2450</v>
      </c>
      <c r="I83" s="9" t="s">
        <v>564</v>
      </c>
      <c r="K83" s="9" t="s">
        <v>1383</v>
      </c>
      <c r="L83" s="9" t="s">
        <v>2450</v>
      </c>
      <c r="M83" s="9" t="s">
        <v>23</v>
      </c>
      <c r="AG83" s="31" t="str">
        <f>HYPERLINK("#8","L087 →")</f>
        <v>L087 →</v>
      </c>
    </row>
    <row r="84" spans="1:33" ht="18.399999999999999" customHeight="1" x14ac:dyDescent="0.15">
      <c r="B84" s="9" t="s">
        <v>2088</v>
      </c>
      <c r="G84" s="30">
        <f>TRUNC(G83, 0)</f>
        <v>49778</v>
      </c>
    </row>
    <row r="85" spans="1:33" ht="18.399999999999999" customHeight="1" x14ac:dyDescent="0.15">
      <c r="B85" s="9" t="s">
        <v>242</v>
      </c>
      <c r="G85" s="30">
        <f>TRUNC(G79+G82+G84, 0)</f>
        <v>62663</v>
      </c>
    </row>
    <row r="86" spans="1:33" ht="18.399999999999999" customHeight="1" x14ac:dyDescent="0.15">
      <c r="A86" s="4"/>
      <c r="B86" s="4"/>
      <c r="C86" s="4"/>
      <c r="D86" s="4"/>
      <c r="E86" s="4"/>
      <c r="F86" s="4"/>
      <c r="G86" s="4"/>
      <c r="H86" s="4"/>
    </row>
    <row r="87" spans="1:33" ht="18.399999999999999" customHeight="1" x14ac:dyDescent="0.15">
      <c r="A87" s="4" t="s">
        <v>2172</v>
      </c>
      <c r="B87" s="4" t="s">
        <v>1256</v>
      </c>
      <c r="C87" s="4"/>
      <c r="D87" s="4"/>
      <c r="E87" s="4"/>
      <c r="F87" s="4"/>
      <c r="G87" s="4"/>
      <c r="H87" s="4"/>
      <c r="I87" s="9" t="s">
        <v>2450</v>
      </c>
      <c r="J87" s="9" t="s">
        <v>2294</v>
      </c>
    </row>
    <row r="88" spans="1:33" ht="18.399999999999999" customHeight="1" x14ac:dyDescent="0.15">
      <c r="A88" s="4" t="s">
        <v>698</v>
      </c>
      <c r="B88" s="4" t="s">
        <v>1996</v>
      </c>
      <c r="C88" s="4"/>
      <c r="D88" s="4"/>
      <c r="E88" s="4"/>
      <c r="F88" s="4"/>
      <c r="G88" s="4"/>
      <c r="H88" s="4"/>
    </row>
    <row r="89" spans="1:33" ht="18.399999999999999" customHeight="1" x14ac:dyDescent="0.15">
      <c r="A89" s="29" t="s">
        <v>1874</v>
      </c>
      <c r="B89" s="29"/>
      <c r="C89" s="29" t="s">
        <v>1202</v>
      </c>
      <c r="D89" s="29" t="s">
        <v>64</v>
      </c>
      <c r="E89" s="29" t="s">
        <v>2282</v>
      </c>
      <c r="F89" s="29" t="s">
        <v>575</v>
      </c>
      <c r="G89" s="29" t="s">
        <v>320</v>
      </c>
      <c r="H89" s="29" t="s">
        <v>659</v>
      </c>
    </row>
    <row r="90" spans="1:33" ht="18.399999999999999" customHeight="1" x14ac:dyDescent="0.15">
      <c r="A90" s="9" t="s">
        <v>156</v>
      </c>
      <c r="B90" s="9" t="s">
        <v>1085</v>
      </c>
      <c r="C90" s="9" t="s">
        <v>316</v>
      </c>
      <c r="D90" s="9">
        <f>(1200 + 1067 + 700)*10^-4</f>
        <v>0.29670000000000002</v>
      </c>
      <c r="E90" s="30" t="s">
        <v>297</v>
      </c>
      <c r="F90" s="30">
        <f>중기기초자료!F9</f>
        <v>25662</v>
      </c>
      <c r="G90" s="30">
        <f>TRUNC(F90*D90, 0)</f>
        <v>7613</v>
      </c>
      <c r="H90" s="9" t="s">
        <v>2450</v>
      </c>
      <c r="I90" s="9" t="s">
        <v>2450</v>
      </c>
      <c r="K90" s="9" t="s">
        <v>289</v>
      </c>
      <c r="L90" s="9" t="s">
        <v>2450</v>
      </c>
      <c r="M90" s="9" t="s">
        <v>351</v>
      </c>
      <c r="N90" s="9" t="s">
        <v>1068</v>
      </c>
      <c r="AG90" s="31" t="str">
        <f>HYPERLINK("#8","G06020045 →")</f>
        <v>G06020045 →</v>
      </c>
    </row>
    <row r="91" spans="1:33" ht="18.399999999999999" customHeight="1" x14ac:dyDescent="0.15">
      <c r="B91" s="9" t="s">
        <v>2088</v>
      </c>
      <c r="G91" s="30">
        <f>TRUNC(G90, 0)</f>
        <v>7613</v>
      </c>
    </row>
    <row r="92" spans="1:33" ht="18.399999999999999" customHeight="1" x14ac:dyDescent="0.15">
      <c r="A92" s="9" t="s">
        <v>1648</v>
      </c>
      <c r="B92" s="9" t="s">
        <v>408</v>
      </c>
      <c r="C92" s="9" t="s">
        <v>2450</v>
      </c>
      <c r="D92" s="9">
        <v>5</v>
      </c>
      <c r="E92" s="30" t="s">
        <v>2410</v>
      </c>
      <c r="F92" s="30">
        <f>중기기초자료!D34</f>
        <v>1590</v>
      </c>
      <c r="G92" s="30">
        <f>TRUNC(F92*D92, 0)</f>
        <v>7950</v>
      </c>
      <c r="H92" s="9" t="s">
        <v>2450</v>
      </c>
      <c r="I92" s="9" t="s">
        <v>2450</v>
      </c>
      <c r="K92" s="9" t="s">
        <v>907</v>
      </c>
      <c r="L92" s="9" t="s">
        <v>2450</v>
      </c>
      <c r="M92" s="9" t="s">
        <v>501</v>
      </c>
      <c r="AG92" s="31" t="str">
        <f>HYPERLINK("#8","M9366005 →")</f>
        <v>M9366005 →</v>
      </c>
    </row>
    <row r="93" spans="1:33" ht="18.399999999999999" customHeight="1" x14ac:dyDescent="0.15">
      <c r="B93" s="9" t="s">
        <v>191</v>
      </c>
      <c r="C93" s="9" t="s">
        <v>2450</v>
      </c>
      <c r="D93" s="9">
        <v>38</v>
      </c>
      <c r="E93" s="30" t="s">
        <v>1030</v>
      </c>
      <c r="F93" s="30">
        <v>0</v>
      </c>
      <c r="G93" s="30">
        <f>TRUNC((G92) * D93/100, 0)</f>
        <v>3021</v>
      </c>
      <c r="H93" s="9" t="s">
        <v>2450</v>
      </c>
      <c r="I93" s="9" t="s">
        <v>2450</v>
      </c>
      <c r="K93" s="9" t="s">
        <v>257</v>
      </c>
      <c r="L93" s="9" t="s">
        <v>2450</v>
      </c>
      <c r="M93" s="9" t="s">
        <v>1639</v>
      </c>
      <c r="N93" s="9" t="s">
        <v>2450</v>
      </c>
      <c r="AG93" s="31" t="str">
        <f>HYPERLINK("#8","F/M1 →")</f>
        <v>F/M1 →</v>
      </c>
    </row>
    <row r="94" spans="1:33" ht="18.399999999999999" customHeight="1" x14ac:dyDescent="0.15">
      <c r="B94" s="9" t="s">
        <v>2088</v>
      </c>
      <c r="G94" s="30">
        <f>TRUNC(G92+G93, 0)</f>
        <v>10971</v>
      </c>
    </row>
    <row r="95" spans="1:33" ht="18.399999999999999" customHeight="1" x14ac:dyDescent="0.15">
      <c r="A95" s="9" t="s">
        <v>1006</v>
      </c>
      <c r="B95" s="9" t="s">
        <v>180</v>
      </c>
      <c r="C95" s="9" t="s">
        <v>1365</v>
      </c>
      <c r="D95" s="9">
        <v>1</v>
      </c>
      <c r="E95" s="30" t="s">
        <v>1455</v>
      </c>
      <c r="F95" s="30">
        <f>TRUNC(중기기초자료!E31 * 중기전역변수!C18, 0)</f>
        <v>49778</v>
      </c>
      <c r="G95" s="30">
        <f>TRUNC(F95*D95, 0)</f>
        <v>49778</v>
      </c>
      <c r="H95" s="9" t="s">
        <v>2450</v>
      </c>
      <c r="I95" s="9" t="s">
        <v>2450</v>
      </c>
      <c r="K95" s="9" t="s">
        <v>1383</v>
      </c>
      <c r="L95" s="9" t="s">
        <v>2450</v>
      </c>
      <c r="M95" s="9" t="s">
        <v>23</v>
      </c>
      <c r="AG95" s="31" t="str">
        <f>HYPERLINK("#8","L087 →")</f>
        <v>L087 →</v>
      </c>
    </row>
    <row r="96" spans="1:33" ht="18.399999999999999" customHeight="1" x14ac:dyDescent="0.15">
      <c r="B96" s="9" t="s">
        <v>2088</v>
      </c>
      <c r="G96" s="30">
        <f>TRUNC(G95, 0)</f>
        <v>49778</v>
      </c>
    </row>
    <row r="97" spans="1:33" ht="18.399999999999999" customHeight="1" x14ac:dyDescent="0.15">
      <c r="B97" s="9" t="s">
        <v>242</v>
      </c>
      <c r="G97" s="30">
        <f>TRUNC(G91+G94+G96, 0)</f>
        <v>68362</v>
      </c>
    </row>
    <row r="98" spans="1:33" ht="18.399999999999999" customHeight="1" x14ac:dyDescent="0.15">
      <c r="A98" s="4"/>
      <c r="B98" s="4"/>
      <c r="C98" s="4"/>
      <c r="D98" s="4"/>
      <c r="E98" s="4"/>
      <c r="F98" s="4"/>
      <c r="G98" s="4"/>
      <c r="H98" s="4"/>
    </row>
    <row r="99" spans="1:33" ht="18.399999999999999" customHeight="1" x14ac:dyDescent="0.15">
      <c r="A99" s="4" t="s">
        <v>2172</v>
      </c>
      <c r="B99" s="4" t="s">
        <v>2091</v>
      </c>
      <c r="C99" s="4"/>
      <c r="D99" s="4"/>
      <c r="E99" s="4"/>
      <c r="F99" s="4"/>
      <c r="G99" s="4"/>
      <c r="H99" s="4"/>
      <c r="I99" s="9" t="s">
        <v>2450</v>
      </c>
      <c r="J99" s="9" t="s">
        <v>140</v>
      </c>
    </row>
    <row r="100" spans="1:33" ht="18.399999999999999" customHeight="1" x14ac:dyDescent="0.15">
      <c r="A100" s="4" t="s">
        <v>698</v>
      </c>
      <c r="B100" s="4" t="s">
        <v>653</v>
      </c>
      <c r="C100" s="4"/>
      <c r="D100" s="4"/>
      <c r="E100" s="4"/>
      <c r="F100" s="4"/>
      <c r="G100" s="4"/>
      <c r="H100" s="4"/>
    </row>
    <row r="101" spans="1:33" ht="18.399999999999999" customHeight="1" x14ac:dyDescent="0.15">
      <c r="A101" s="29" t="s">
        <v>1874</v>
      </c>
      <c r="B101" s="29"/>
      <c r="C101" s="29" t="s">
        <v>1202</v>
      </c>
      <c r="D101" s="29" t="s">
        <v>64</v>
      </c>
      <c r="E101" s="29" t="s">
        <v>2282</v>
      </c>
      <c r="F101" s="29" t="s">
        <v>575</v>
      </c>
      <c r="G101" s="29" t="s">
        <v>320</v>
      </c>
      <c r="H101" s="29" t="s">
        <v>659</v>
      </c>
    </row>
    <row r="102" spans="1:33" ht="18.399999999999999" customHeight="1" x14ac:dyDescent="0.15">
      <c r="A102" s="9" t="s">
        <v>156</v>
      </c>
      <c r="B102" s="9" t="s">
        <v>1085</v>
      </c>
      <c r="C102" s="9" t="s">
        <v>1692</v>
      </c>
      <c r="D102" s="9">
        <f>(900 + 650 + 679)*10^-4</f>
        <v>0.22290000000000001</v>
      </c>
      <c r="E102" s="30" t="s">
        <v>297</v>
      </c>
      <c r="F102" s="30">
        <f>중기기초자료!F10</f>
        <v>147825</v>
      </c>
      <c r="G102" s="30">
        <f>TRUNC(F102*D102, 0)</f>
        <v>32950</v>
      </c>
      <c r="H102" s="9" t="s">
        <v>2450</v>
      </c>
      <c r="I102" s="9" t="s">
        <v>2450</v>
      </c>
      <c r="K102" s="9" t="s">
        <v>289</v>
      </c>
      <c r="L102" s="9" t="s">
        <v>2450</v>
      </c>
      <c r="M102" s="9" t="s">
        <v>1875</v>
      </c>
      <c r="N102" s="9" t="s">
        <v>687</v>
      </c>
      <c r="AG102" s="31" t="str">
        <f>HYPERLINK("#8","G06020240 →")</f>
        <v>G06020240 →</v>
      </c>
    </row>
    <row r="103" spans="1:33" ht="18.399999999999999" customHeight="1" x14ac:dyDescent="0.15">
      <c r="B103" s="9" t="s">
        <v>2088</v>
      </c>
      <c r="G103" s="30">
        <f>TRUNC(G102, 0)</f>
        <v>32950</v>
      </c>
    </row>
    <row r="104" spans="1:33" ht="18.399999999999999" customHeight="1" x14ac:dyDescent="0.15">
      <c r="A104" s="9" t="s">
        <v>1648</v>
      </c>
      <c r="B104" s="9" t="s">
        <v>408</v>
      </c>
      <c r="C104" s="9" t="s">
        <v>2450</v>
      </c>
      <c r="D104" s="9">
        <v>23</v>
      </c>
      <c r="E104" s="30" t="s">
        <v>2410</v>
      </c>
      <c r="F104" s="30">
        <f>중기기초자료!D34</f>
        <v>1590</v>
      </c>
      <c r="G104" s="30">
        <f>TRUNC(F104*D104, 0)</f>
        <v>36570</v>
      </c>
      <c r="H104" s="9" t="s">
        <v>2450</v>
      </c>
      <c r="I104" s="9" t="s">
        <v>2450</v>
      </c>
      <c r="K104" s="9" t="s">
        <v>907</v>
      </c>
      <c r="L104" s="9" t="s">
        <v>2450</v>
      </c>
      <c r="M104" s="9" t="s">
        <v>501</v>
      </c>
      <c r="AG104" s="31" t="str">
        <f>HYPERLINK("#8","M9366005 →")</f>
        <v>M9366005 →</v>
      </c>
    </row>
    <row r="105" spans="1:33" ht="18.399999999999999" customHeight="1" x14ac:dyDescent="0.15">
      <c r="B105" s="9" t="s">
        <v>191</v>
      </c>
      <c r="C105" s="9" t="s">
        <v>2450</v>
      </c>
      <c r="D105" s="9">
        <v>38</v>
      </c>
      <c r="E105" s="30" t="s">
        <v>1030</v>
      </c>
      <c r="F105" s="30">
        <v>0</v>
      </c>
      <c r="G105" s="30">
        <f>TRUNC((G104) * D105/100, 0)</f>
        <v>13896</v>
      </c>
      <c r="H105" s="9" t="s">
        <v>2450</v>
      </c>
      <c r="I105" s="9" t="s">
        <v>2450</v>
      </c>
      <c r="K105" s="9" t="s">
        <v>257</v>
      </c>
      <c r="L105" s="9" t="s">
        <v>2450</v>
      </c>
      <c r="M105" s="9" t="s">
        <v>1639</v>
      </c>
      <c r="N105" s="9" t="s">
        <v>2450</v>
      </c>
      <c r="AG105" s="31" t="str">
        <f>HYPERLINK("#8","F/M1 →")</f>
        <v>F/M1 →</v>
      </c>
    </row>
    <row r="106" spans="1:33" ht="18.399999999999999" customHeight="1" x14ac:dyDescent="0.15">
      <c r="B106" s="9" t="s">
        <v>2088</v>
      </c>
      <c r="G106" s="30">
        <f>TRUNC(G104+G105, 0)</f>
        <v>50466</v>
      </c>
    </row>
    <row r="107" spans="1:33" ht="18.399999999999999" customHeight="1" x14ac:dyDescent="0.15">
      <c r="A107" s="9" t="s">
        <v>1006</v>
      </c>
      <c r="B107" s="9" t="s">
        <v>586</v>
      </c>
      <c r="C107" s="9" t="s">
        <v>1361</v>
      </c>
      <c r="D107" s="9">
        <v>1</v>
      </c>
      <c r="E107" s="30" t="s">
        <v>1455</v>
      </c>
      <c r="F107" s="30">
        <f>TRUNC(중기기초자료!E30 * 중기전역변수!C18, 0)</f>
        <v>59020</v>
      </c>
      <c r="G107" s="30">
        <f>TRUNC(F107*D107, 0)</f>
        <v>59020</v>
      </c>
      <c r="H107" s="9" t="s">
        <v>2450</v>
      </c>
      <c r="I107" s="9" t="s">
        <v>2450</v>
      </c>
      <c r="K107" s="9" t="s">
        <v>1383</v>
      </c>
      <c r="L107" s="9" t="s">
        <v>2450</v>
      </c>
      <c r="M107" s="9" t="s">
        <v>1405</v>
      </c>
      <c r="AG107" s="31" t="str">
        <f>HYPERLINK("#8","L086 →")</f>
        <v>L086 →</v>
      </c>
    </row>
    <row r="108" spans="1:33" ht="18.399999999999999" customHeight="1" x14ac:dyDescent="0.15">
      <c r="B108" s="9" t="s">
        <v>2088</v>
      </c>
      <c r="G108" s="30">
        <f>TRUNC(G107, 0)</f>
        <v>59020</v>
      </c>
    </row>
    <row r="109" spans="1:33" ht="18.399999999999999" customHeight="1" x14ac:dyDescent="0.15">
      <c r="B109" s="9" t="s">
        <v>242</v>
      </c>
      <c r="G109" s="30">
        <f>TRUNC(G103+G106+G108, 0)</f>
        <v>142436</v>
      </c>
    </row>
    <row r="110" spans="1:33" ht="18.399999999999999" customHeight="1" x14ac:dyDescent="0.15">
      <c r="A110" s="4"/>
      <c r="B110" s="4"/>
      <c r="C110" s="4"/>
      <c r="D110" s="4"/>
      <c r="E110" s="4"/>
      <c r="F110" s="4"/>
      <c r="G110" s="4"/>
      <c r="H110" s="4"/>
    </row>
    <row r="111" spans="1:33" ht="18.399999999999999" customHeight="1" x14ac:dyDescent="0.15">
      <c r="A111" s="4" t="s">
        <v>2172</v>
      </c>
      <c r="B111" s="4" t="s">
        <v>783</v>
      </c>
      <c r="C111" s="4"/>
      <c r="D111" s="4"/>
      <c r="E111" s="4"/>
      <c r="F111" s="4"/>
      <c r="G111" s="4"/>
      <c r="H111" s="4"/>
      <c r="I111" s="9" t="s">
        <v>2450</v>
      </c>
      <c r="J111" s="9" t="s">
        <v>1933</v>
      </c>
    </row>
    <row r="112" spans="1:33" ht="18.399999999999999" customHeight="1" x14ac:dyDescent="0.15">
      <c r="A112" s="4" t="s">
        <v>698</v>
      </c>
      <c r="B112" s="4" t="s">
        <v>1873</v>
      </c>
      <c r="C112" s="4"/>
      <c r="D112" s="4"/>
      <c r="E112" s="4"/>
      <c r="F112" s="4"/>
      <c r="G112" s="4"/>
      <c r="H112" s="4"/>
    </row>
    <row r="113" spans="1:33" ht="18.399999999999999" customHeight="1" x14ac:dyDescent="0.15">
      <c r="A113" s="29" t="s">
        <v>1874</v>
      </c>
      <c r="B113" s="29"/>
      <c r="C113" s="29" t="s">
        <v>1202</v>
      </c>
      <c r="D113" s="29" t="s">
        <v>64</v>
      </c>
      <c r="E113" s="29" t="s">
        <v>2282</v>
      </c>
      <c r="F113" s="29" t="s">
        <v>575</v>
      </c>
      <c r="G113" s="29" t="s">
        <v>320</v>
      </c>
      <c r="H113" s="29" t="s">
        <v>659</v>
      </c>
    </row>
    <row r="114" spans="1:33" ht="18.399999999999999" customHeight="1" x14ac:dyDescent="0.15">
      <c r="A114" s="9" t="s">
        <v>156</v>
      </c>
      <c r="B114" s="9" t="s">
        <v>70</v>
      </c>
      <c r="C114" s="9" t="s">
        <v>1692</v>
      </c>
      <c r="D114" s="9">
        <f>(1125 + 1063 + 496)*10^-4</f>
        <v>0.26840000000000003</v>
      </c>
      <c r="E114" s="30" t="s">
        <v>297</v>
      </c>
      <c r="F114" s="30">
        <f>중기기초자료!F11</f>
        <v>1896</v>
      </c>
      <c r="G114" s="30">
        <f>TRUNC(F114*D114, 0)</f>
        <v>508</v>
      </c>
      <c r="H114" s="9" t="s">
        <v>2450</v>
      </c>
      <c r="I114" s="9" t="s">
        <v>2450</v>
      </c>
      <c r="K114" s="9" t="s">
        <v>289</v>
      </c>
      <c r="L114" s="9" t="s">
        <v>2450</v>
      </c>
      <c r="M114" s="9" t="s">
        <v>0</v>
      </c>
      <c r="N114" s="9" t="s">
        <v>1133</v>
      </c>
      <c r="AG114" s="31" t="str">
        <f>HYPERLINK("#8","G06100240 →")</f>
        <v>G06100240 →</v>
      </c>
    </row>
    <row r="115" spans="1:33" ht="18.399999999999999" customHeight="1" x14ac:dyDescent="0.15">
      <c r="B115" s="9" t="s">
        <v>2088</v>
      </c>
      <c r="G115" s="30">
        <f>TRUNC(G114, 0)</f>
        <v>508</v>
      </c>
    </row>
    <row r="116" spans="1:33" ht="18.399999999999999" customHeight="1" x14ac:dyDescent="0.15">
      <c r="A116" s="9" t="s">
        <v>1648</v>
      </c>
    </row>
    <row r="117" spans="1:33" ht="18.399999999999999" customHeight="1" x14ac:dyDescent="0.15">
      <c r="B117" s="9" t="s">
        <v>2088</v>
      </c>
    </row>
    <row r="118" spans="1:33" ht="18.399999999999999" customHeight="1" x14ac:dyDescent="0.15">
      <c r="A118" s="9" t="s">
        <v>1006</v>
      </c>
    </row>
    <row r="119" spans="1:33" ht="18.399999999999999" customHeight="1" x14ac:dyDescent="0.15">
      <c r="B119" s="9" t="s">
        <v>2088</v>
      </c>
    </row>
    <row r="120" spans="1:33" ht="18.399999999999999" customHeight="1" x14ac:dyDescent="0.15">
      <c r="B120" s="9" t="s">
        <v>242</v>
      </c>
      <c r="G120" s="30">
        <f>TRUNC(G115+G117+G119, 0)</f>
        <v>508</v>
      </c>
    </row>
    <row r="121" spans="1:33" ht="18.399999999999999" customHeight="1" x14ac:dyDescent="0.15">
      <c r="A121" s="4"/>
      <c r="B121" s="4"/>
      <c r="C121" s="4"/>
      <c r="D121" s="4"/>
      <c r="E121" s="4"/>
      <c r="F121" s="4"/>
      <c r="G121" s="4"/>
      <c r="H121" s="4"/>
    </row>
    <row r="122" spans="1:33" ht="18.399999999999999" customHeight="1" x14ac:dyDescent="0.15">
      <c r="A122" s="4" t="s">
        <v>2172</v>
      </c>
      <c r="B122" s="4" t="s">
        <v>2437</v>
      </c>
      <c r="C122" s="4"/>
      <c r="D122" s="4"/>
      <c r="E122" s="4"/>
      <c r="F122" s="4"/>
      <c r="G122" s="4"/>
      <c r="H122" s="4"/>
      <c r="I122" s="9" t="s">
        <v>2450</v>
      </c>
      <c r="J122" s="9" t="s">
        <v>2075</v>
      </c>
    </row>
    <row r="123" spans="1:33" ht="18.399999999999999" customHeight="1" x14ac:dyDescent="0.15">
      <c r="A123" s="4" t="s">
        <v>698</v>
      </c>
      <c r="B123" s="4" t="s">
        <v>1128</v>
      </c>
      <c r="C123" s="4"/>
      <c r="D123" s="4"/>
      <c r="E123" s="4"/>
      <c r="F123" s="4"/>
      <c r="G123" s="4"/>
      <c r="H123" s="4"/>
    </row>
    <row r="124" spans="1:33" ht="18.399999999999999" customHeight="1" x14ac:dyDescent="0.15">
      <c r="A124" s="29" t="s">
        <v>1874</v>
      </c>
      <c r="B124" s="29"/>
      <c r="C124" s="29" t="s">
        <v>1202</v>
      </c>
      <c r="D124" s="29" t="s">
        <v>64</v>
      </c>
      <c r="E124" s="29" t="s">
        <v>2282</v>
      </c>
      <c r="F124" s="29" t="s">
        <v>575</v>
      </c>
      <c r="G124" s="29" t="s">
        <v>320</v>
      </c>
      <c r="H124" s="29" t="s">
        <v>659</v>
      </c>
    </row>
    <row r="125" spans="1:33" ht="18.399999999999999" customHeight="1" x14ac:dyDescent="0.15">
      <c r="A125" s="9" t="s">
        <v>156</v>
      </c>
      <c r="B125" s="9" t="s">
        <v>1625</v>
      </c>
      <c r="C125" s="9" t="s">
        <v>12</v>
      </c>
      <c r="D125" s="9">
        <f>(750 + 500 + 552)*10^-4</f>
        <v>0.1802</v>
      </c>
      <c r="E125" s="30" t="s">
        <v>297</v>
      </c>
      <c r="F125" s="30">
        <f>중기기초자료!F12</f>
        <v>71351</v>
      </c>
      <c r="G125" s="30">
        <f>TRUNC(F125*D125, 0)</f>
        <v>12857</v>
      </c>
      <c r="H125" s="9" t="s">
        <v>2450</v>
      </c>
      <c r="I125" s="9" t="s">
        <v>2450</v>
      </c>
      <c r="K125" s="9" t="s">
        <v>289</v>
      </c>
      <c r="L125" s="9" t="s">
        <v>2450</v>
      </c>
      <c r="M125" s="9" t="s">
        <v>166</v>
      </c>
      <c r="N125" s="9" t="s">
        <v>661</v>
      </c>
      <c r="AG125" s="31" t="str">
        <f>HYPERLINK("#8","G11060012 →")</f>
        <v>G11060012 →</v>
      </c>
    </row>
    <row r="126" spans="1:33" ht="18.399999999999999" customHeight="1" x14ac:dyDescent="0.15">
      <c r="B126" s="9" t="s">
        <v>2088</v>
      </c>
      <c r="G126" s="30">
        <f>TRUNC(G125, 0)</f>
        <v>12857</v>
      </c>
    </row>
    <row r="127" spans="1:33" ht="18.399999999999999" customHeight="1" x14ac:dyDescent="0.15">
      <c r="A127" s="9" t="s">
        <v>1648</v>
      </c>
      <c r="B127" s="9" t="s">
        <v>408</v>
      </c>
      <c r="C127" s="9" t="s">
        <v>2450</v>
      </c>
      <c r="D127" s="9">
        <v>9.3000000000000007</v>
      </c>
      <c r="E127" s="30" t="s">
        <v>2410</v>
      </c>
      <c r="F127" s="30">
        <f>중기기초자료!D34</f>
        <v>1590</v>
      </c>
      <c r="G127" s="30">
        <f>TRUNC(F127*D127, 0)</f>
        <v>14787</v>
      </c>
      <c r="H127" s="9" t="s">
        <v>2450</v>
      </c>
      <c r="I127" s="9" t="s">
        <v>2450</v>
      </c>
      <c r="K127" s="9" t="s">
        <v>907</v>
      </c>
      <c r="L127" s="9" t="s">
        <v>2450</v>
      </c>
      <c r="M127" s="9" t="s">
        <v>501</v>
      </c>
      <c r="AG127" s="31" t="str">
        <f>HYPERLINK("#8","M9366005 →")</f>
        <v>M9366005 →</v>
      </c>
    </row>
    <row r="128" spans="1:33" ht="18.399999999999999" customHeight="1" x14ac:dyDescent="0.15">
      <c r="B128" s="9" t="s">
        <v>191</v>
      </c>
      <c r="C128" s="9" t="s">
        <v>2450</v>
      </c>
      <c r="D128" s="9">
        <v>18</v>
      </c>
      <c r="E128" s="30" t="s">
        <v>1030</v>
      </c>
      <c r="F128" s="30">
        <v>0</v>
      </c>
      <c r="G128" s="30">
        <f>TRUNC((G127) * D128/100, 0)</f>
        <v>2661</v>
      </c>
      <c r="H128" s="9" t="s">
        <v>2450</v>
      </c>
      <c r="I128" s="9" t="s">
        <v>2450</v>
      </c>
      <c r="K128" s="9" t="s">
        <v>257</v>
      </c>
      <c r="L128" s="9" t="s">
        <v>2450</v>
      </c>
      <c r="M128" s="9" t="s">
        <v>1639</v>
      </c>
      <c r="N128" s="9" t="s">
        <v>2450</v>
      </c>
      <c r="AG128" s="31" t="str">
        <f>HYPERLINK("#8","F/M1 →")</f>
        <v>F/M1 →</v>
      </c>
    </row>
    <row r="129" spans="1:33" ht="18.399999999999999" customHeight="1" x14ac:dyDescent="0.15">
      <c r="B129" s="9" t="s">
        <v>2088</v>
      </c>
      <c r="G129" s="30">
        <f>TRUNC(G127+G128, 0)</f>
        <v>17448</v>
      </c>
    </row>
    <row r="130" spans="1:33" ht="18.399999999999999" customHeight="1" x14ac:dyDescent="0.15">
      <c r="A130" s="9" t="s">
        <v>1006</v>
      </c>
      <c r="B130" s="9" t="s">
        <v>586</v>
      </c>
      <c r="C130" s="9" t="s">
        <v>1361</v>
      </c>
      <c r="D130" s="9">
        <v>1</v>
      </c>
      <c r="E130" s="30" t="s">
        <v>1455</v>
      </c>
      <c r="F130" s="30">
        <f>TRUNC(중기기초자료!E30 * 중기전역변수!C18, 0)</f>
        <v>59020</v>
      </c>
      <c r="G130" s="30">
        <f>TRUNC(F130*D130, 0)</f>
        <v>59020</v>
      </c>
      <c r="H130" s="9" t="s">
        <v>2450</v>
      </c>
      <c r="I130" s="9" t="s">
        <v>2450</v>
      </c>
      <c r="K130" s="9" t="s">
        <v>1383</v>
      </c>
      <c r="L130" s="9" t="s">
        <v>2450</v>
      </c>
      <c r="M130" s="9" t="s">
        <v>1405</v>
      </c>
      <c r="AG130" s="31" t="str">
        <f>HYPERLINK("#8","L086 →")</f>
        <v>L086 →</v>
      </c>
    </row>
    <row r="131" spans="1:33" ht="18.399999999999999" customHeight="1" x14ac:dyDescent="0.15">
      <c r="B131" s="9" t="s">
        <v>2088</v>
      </c>
      <c r="G131" s="30">
        <f>TRUNC(G130, 0)</f>
        <v>59020</v>
      </c>
    </row>
    <row r="132" spans="1:33" ht="18.399999999999999" customHeight="1" x14ac:dyDescent="0.15">
      <c r="B132" s="9" t="s">
        <v>242</v>
      </c>
      <c r="G132" s="30">
        <f>TRUNC(G126+G129+G131, 0)</f>
        <v>89325</v>
      </c>
    </row>
    <row r="133" spans="1:33" ht="18.399999999999999" customHeight="1" x14ac:dyDescent="0.15">
      <c r="A133" s="4"/>
      <c r="B133" s="4"/>
      <c r="C133" s="4"/>
      <c r="D133" s="4"/>
      <c r="E133" s="4"/>
      <c r="F133" s="4"/>
      <c r="G133" s="4"/>
      <c r="H133" s="4"/>
    </row>
    <row r="134" spans="1:33" ht="18.399999999999999" customHeight="1" x14ac:dyDescent="0.15">
      <c r="A134" s="4" t="s">
        <v>2172</v>
      </c>
      <c r="B134" s="4" t="s">
        <v>1303</v>
      </c>
      <c r="C134" s="4"/>
      <c r="D134" s="4"/>
      <c r="E134" s="4"/>
      <c r="F134" s="4"/>
      <c r="G134" s="4"/>
      <c r="H134" s="4"/>
      <c r="I134" s="9" t="s">
        <v>2450</v>
      </c>
      <c r="J134" s="9" t="s">
        <v>267</v>
      </c>
    </row>
    <row r="135" spans="1:33" ht="18.399999999999999" customHeight="1" x14ac:dyDescent="0.15">
      <c r="A135" s="4" t="s">
        <v>698</v>
      </c>
      <c r="B135" s="4" t="s">
        <v>1543</v>
      </c>
      <c r="C135" s="4"/>
      <c r="D135" s="4"/>
      <c r="E135" s="4"/>
      <c r="F135" s="4"/>
      <c r="G135" s="4"/>
      <c r="H135" s="4"/>
    </row>
    <row r="136" spans="1:33" ht="18.399999999999999" customHeight="1" x14ac:dyDescent="0.15">
      <c r="A136" s="29" t="s">
        <v>1874</v>
      </c>
      <c r="B136" s="29"/>
      <c r="C136" s="29" t="s">
        <v>1202</v>
      </c>
      <c r="D136" s="29" t="s">
        <v>64</v>
      </c>
      <c r="E136" s="29" t="s">
        <v>2282</v>
      </c>
      <c r="F136" s="29" t="s">
        <v>575</v>
      </c>
      <c r="G136" s="29" t="s">
        <v>320</v>
      </c>
      <c r="H136" s="29" t="s">
        <v>659</v>
      </c>
    </row>
    <row r="137" spans="1:33" ht="18.399999999999999" customHeight="1" x14ac:dyDescent="0.15">
      <c r="A137" s="9" t="s">
        <v>156</v>
      </c>
      <c r="B137" s="9" t="s">
        <v>528</v>
      </c>
      <c r="C137" s="9" t="s">
        <v>1750</v>
      </c>
      <c r="D137" s="9">
        <f>(750 + 458 + 655)*10^-4</f>
        <v>0.18630000000000002</v>
      </c>
      <c r="E137" s="30" t="s">
        <v>297</v>
      </c>
      <c r="F137" s="30">
        <f>중기기초자료!F13</f>
        <v>48513</v>
      </c>
      <c r="G137" s="30">
        <f>TRUNC(F137*D137, 0)</f>
        <v>9037</v>
      </c>
      <c r="H137" s="9" t="s">
        <v>2450</v>
      </c>
      <c r="I137" s="9" t="s">
        <v>2450</v>
      </c>
      <c r="K137" s="9" t="s">
        <v>289</v>
      </c>
      <c r="L137" s="9" t="s">
        <v>2450</v>
      </c>
      <c r="M137" s="9" t="s">
        <v>1980</v>
      </c>
      <c r="N137" s="9" t="s">
        <v>1021</v>
      </c>
      <c r="AG137" s="31" t="str">
        <f>HYPERLINK("#8","G12060008 →")</f>
        <v>G12060008 →</v>
      </c>
    </row>
    <row r="138" spans="1:33" ht="18.399999999999999" customHeight="1" x14ac:dyDescent="0.15">
      <c r="B138" s="9" t="s">
        <v>2088</v>
      </c>
      <c r="G138" s="30">
        <f>TRUNC(G137, 0)</f>
        <v>9037</v>
      </c>
    </row>
    <row r="139" spans="1:33" ht="18.399999999999999" customHeight="1" x14ac:dyDescent="0.15">
      <c r="A139" s="9" t="s">
        <v>1648</v>
      </c>
      <c r="B139" s="9" t="s">
        <v>408</v>
      </c>
      <c r="C139" s="9" t="s">
        <v>2450</v>
      </c>
      <c r="D139" s="9">
        <v>5</v>
      </c>
      <c r="E139" s="30" t="s">
        <v>2410</v>
      </c>
      <c r="F139" s="30">
        <f>중기기초자료!D34</f>
        <v>1590</v>
      </c>
      <c r="G139" s="30">
        <f>TRUNC(F139*D139, 0)</f>
        <v>7950</v>
      </c>
      <c r="H139" s="9" t="s">
        <v>2450</v>
      </c>
      <c r="I139" s="9" t="s">
        <v>2450</v>
      </c>
      <c r="K139" s="9" t="s">
        <v>907</v>
      </c>
      <c r="L139" s="9" t="s">
        <v>2450</v>
      </c>
      <c r="M139" s="9" t="s">
        <v>501</v>
      </c>
      <c r="AG139" s="31" t="str">
        <f>HYPERLINK("#8","M9366005 →")</f>
        <v>M9366005 →</v>
      </c>
    </row>
    <row r="140" spans="1:33" ht="18.399999999999999" customHeight="1" x14ac:dyDescent="0.15">
      <c r="B140" s="9" t="s">
        <v>191</v>
      </c>
      <c r="C140" s="9" t="s">
        <v>2450</v>
      </c>
      <c r="D140" s="9">
        <v>18</v>
      </c>
      <c r="E140" s="30" t="s">
        <v>1030</v>
      </c>
      <c r="F140" s="30">
        <v>0</v>
      </c>
      <c r="G140" s="30">
        <f>TRUNC((G139) * D140/100, 0)</f>
        <v>1431</v>
      </c>
      <c r="H140" s="9" t="s">
        <v>2450</v>
      </c>
      <c r="I140" s="9" t="s">
        <v>2450</v>
      </c>
      <c r="K140" s="9" t="s">
        <v>257</v>
      </c>
      <c r="L140" s="9" t="s">
        <v>2450</v>
      </c>
      <c r="M140" s="9" t="s">
        <v>1639</v>
      </c>
      <c r="N140" s="9" t="s">
        <v>2450</v>
      </c>
      <c r="AG140" s="31" t="str">
        <f>HYPERLINK("#8","F/M1 →")</f>
        <v>F/M1 →</v>
      </c>
    </row>
    <row r="141" spans="1:33" ht="18.399999999999999" customHeight="1" x14ac:dyDescent="0.15">
      <c r="B141" s="9" t="s">
        <v>2088</v>
      </c>
      <c r="G141" s="30">
        <f>TRUNC(G139+G140, 0)</f>
        <v>9381</v>
      </c>
    </row>
    <row r="142" spans="1:33" ht="18.399999999999999" customHeight="1" x14ac:dyDescent="0.15">
      <c r="A142" s="9" t="s">
        <v>1006</v>
      </c>
      <c r="B142" s="9" t="s">
        <v>586</v>
      </c>
      <c r="C142" s="9" t="s">
        <v>1361</v>
      </c>
      <c r="D142" s="9">
        <v>1</v>
      </c>
      <c r="E142" s="30" t="s">
        <v>1455</v>
      </c>
      <c r="F142" s="30">
        <f>TRUNC(중기기초자료!E30 * 중기전역변수!C18, 0)</f>
        <v>59020</v>
      </c>
      <c r="G142" s="30">
        <f>TRUNC(F142*D142, 0)</f>
        <v>59020</v>
      </c>
      <c r="H142" s="9" t="s">
        <v>2450</v>
      </c>
      <c r="I142" s="9" t="s">
        <v>2450</v>
      </c>
      <c r="K142" s="9" t="s">
        <v>1383</v>
      </c>
      <c r="L142" s="9" t="s">
        <v>2450</v>
      </c>
      <c r="M142" s="9" t="s">
        <v>1405</v>
      </c>
      <c r="AG142" s="31" t="str">
        <f>HYPERLINK("#8","L086 →")</f>
        <v>L086 →</v>
      </c>
    </row>
    <row r="143" spans="1:33" ht="18.399999999999999" customHeight="1" x14ac:dyDescent="0.15">
      <c r="B143" s="9" t="s">
        <v>2088</v>
      </c>
      <c r="G143" s="30">
        <f>TRUNC(G142, 0)</f>
        <v>59020</v>
      </c>
    </row>
    <row r="144" spans="1:33" ht="18.399999999999999" customHeight="1" x14ac:dyDescent="0.15">
      <c r="B144" s="9" t="s">
        <v>242</v>
      </c>
      <c r="G144" s="30">
        <f>TRUNC(G138+G141+G143, 0)</f>
        <v>77438</v>
      </c>
    </row>
    <row r="145" spans="1:33" ht="18.399999999999999" customHeight="1" x14ac:dyDescent="0.15">
      <c r="A145" s="4"/>
      <c r="B145" s="4"/>
      <c r="C145" s="4"/>
      <c r="D145" s="4"/>
      <c r="E145" s="4"/>
      <c r="F145" s="4"/>
      <c r="G145" s="4"/>
      <c r="H145" s="4"/>
    </row>
    <row r="146" spans="1:33" ht="18.399999999999999" customHeight="1" x14ac:dyDescent="0.15">
      <c r="A146" s="4" t="s">
        <v>2172</v>
      </c>
      <c r="B146" s="4" t="s">
        <v>1322</v>
      </c>
      <c r="C146" s="4"/>
      <c r="D146" s="4"/>
      <c r="E146" s="4"/>
      <c r="F146" s="4"/>
      <c r="G146" s="4"/>
      <c r="H146" s="4"/>
      <c r="I146" s="9" t="s">
        <v>2450</v>
      </c>
      <c r="J146" s="9" t="s">
        <v>2291</v>
      </c>
    </row>
    <row r="147" spans="1:33" ht="18.399999999999999" customHeight="1" x14ac:dyDescent="0.15">
      <c r="A147" s="4" t="s">
        <v>698</v>
      </c>
      <c r="B147" s="4" t="s">
        <v>486</v>
      </c>
      <c r="C147" s="4"/>
      <c r="D147" s="4"/>
      <c r="E147" s="4"/>
      <c r="F147" s="4"/>
      <c r="G147" s="4"/>
      <c r="H147" s="4"/>
    </row>
    <row r="148" spans="1:33" ht="18.399999999999999" customHeight="1" x14ac:dyDescent="0.15">
      <c r="A148" s="29" t="s">
        <v>1874</v>
      </c>
      <c r="B148" s="29"/>
      <c r="C148" s="29" t="s">
        <v>1202</v>
      </c>
      <c r="D148" s="29" t="s">
        <v>64</v>
      </c>
      <c r="E148" s="29" t="s">
        <v>2282</v>
      </c>
      <c r="F148" s="29" t="s">
        <v>575</v>
      </c>
      <c r="G148" s="29" t="s">
        <v>320</v>
      </c>
      <c r="H148" s="29" t="s">
        <v>659</v>
      </c>
    </row>
    <row r="149" spans="1:33" ht="18.399999999999999" customHeight="1" x14ac:dyDescent="0.15">
      <c r="A149" s="9" t="s">
        <v>156</v>
      </c>
      <c r="B149" s="9" t="s">
        <v>1327</v>
      </c>
      <c r="C149" s="9" t="s">
        <v>819</v>
      </c>
      <c r="D149" s="9">
        <f>(1286 + 857 + 682)*10^-4</f>
        <v>0.28250000000000003</v>
      </c>
      <c r="E149" s="30" t="s">
        <v>297</v>
      </c>
      <c r="F149" s="30">
        <f>중기기초자료!F14</f>
        <v>6966</v>
      </c>
      <c r="G149" s="30">
        <f>TRUNC(F149*D149, 0)</f>
        <v>1967</v>
      </c>
      <c r="H149" s="9" t="s">
        <v>2450</v>
      </c>
      <c r="I149" s="9" t="s">
        <v>2450</v>
      </c>
      <c r="K149" s="9" t="s">
        <v>289</v>
      </c>
      <c r="L149" s="9" t="s">
        <v>2450</v>
      </c>
      <c r="M149" s="9" t="s">
        <v>354</v>
      </c>
      <c r="N149" s="9" t="s">
        <v>628</v>
      </c>
      <c r="AG149" s="31" t="str">
        <f>HYPERLINK("#8","G13050007 →")</f>
        <v>G13050007 →</v>
      </c>
    </row>
    <row r="150" spans="1:33" ht="18.399999999999999" customHeight="1" x14ac:dyDescent="0.15">
      <c r="B150" s="9" t="s">
        <v>2088</v>
      </c>
      <c r="G150" s="30">
        <f>TRUNC(G149, 0)</f>
        <v>1967</v>
      </c>
    </row>
    <row r="151" spans="1:33" ht="18.399999999999999" customHeight="1" x14ac:dyDescent="0.15">
      <c r="A151" s="9" t="s">
        <v>1648</v>
      </c>
      <c r="B151" s="9" t="s">
        <v>408</v>
      </c>
      <c r="C151" s="9" t="s">
        <v>2450</v>
      </c>
      <c r="D151" s="9">
        <v>2.2000000000000002</v>
      </c>
      <c r="E151" s="30" t="s">
        <v>2410</v>
      </c>
      <c r="F151" s="30">
        <f>중기기초자료!D34</f>
        <v>1590</v>
      </c>
      <c r="G151" s="30">
        <f>TRUNC(F151*D151, 0)</f>
        <v>3498</v>
      </c>
      <c r="H151" s="9" t="s">
        <v>2450</v>
      </c>
      <c r="I151" s="9" t="s">
        <v>2450</v>
      </c>
      <c r="K151" s="9" t="s">
        <v>907</v>
      </c>
      <c r="L151" s="9" t="s">
        <v>2450</v>
      </c>
      <c r="M151" s="9" t="s">
        <v>501</v>
      </c>
      <c r="AG151" s="31" t="str">
        <f>HYPERLINK("#8","M9366005 →")</f>
        <v>M9366005 →</v>
      </c>
    </row>
    <row r="152" spans="1:33" ht="18.399999999999999" customHeight="1" x14ac:dyDescent="0.15">
      <c r="B152" s="9" t="s">
        <v>191</v>
      </c>
      <c r="C152" s="9" t="s">
        <v>2450</v>
      </c>
      <c r="D152" s="9">
        <v>13</v>
      </c>
      <c r="E152" s="30" t="s">
        <v>1030</v>
      </c>
      <c r="F152" s="30">
        <v>0</v>
      </c>
      <c r="G152" s="30">
        <f>TRUNC((G151) * D152/100, 0)</f>
        <v>454</v>
      </c>
      <c r="H152" s="9" t="s">
        <v>2450</v>
      </c>
      <c r="I152" s="9" t="s">
        <v>2450</v>
      </c>
      <c r="K152" s="9" t="s">
        <v>257</v>
      </c>
      <c r="L152" s="9" t="s">
        <v>2450</v>
      </c>
      <c r="M152" s="9" t="s">
        <v>1639</v>
      </c>
      <c r="N152" s="9" t="s">
        <v>2450</v>
      </c>
      <c r="AG152" s="31" t="str">
        <f>HYPERLINK("#8","F/M1 →")</f>
        <v>F/M1 →</v>
      </c>
    </row>
    <row r="153" spans="1:33" ht="18.399999999999999" customHeight="1" x14ac:dyDescent="0.15">
      <c r="B153" s="9" t="s">
        <v>2088</v>
      </c>
      <c r="G153" s="30">
        <f>TRUNC(G151+G152, 0)</f>
        <v>3952</v>
      </c>
    </row>
    <row r="154" spans="1:33" ht="18.399999999999999" customHeight="1" x14ac:dyDescent="0.15">
      <c r="A154" s="9" t="s">
        <v>1006</v>
      </c>
      <c r="B154" s="9" t="s">
        <v>1233</v>
      </c>
      <c r="C154" s="9" t="s">
        <v>1295</v>
      </c>
      <c r="D154" s="9">
        <v>1</v>
      </c>
      <c r="E154" s="30" t="s">
        <v>1455</v>
      </c>
      <c r="F154" s="30">
        <f>TRUNC(중기기초자료!E32 * 중기전역변수!C18, 0)</f>
        <v>36248</v>
      </c>
      <c r="G154" s="30">
        <f>TRUNC(F154*D154, 0)</f>
        <v>36248</v>
      </c>
      <c r="H154" s="9" t="s">
        <v>2450</v>
      </c>
      <c r="I154" s="9" t="s">
        <v>1657</v>
      </c>
      <c r="K154" s="9" t="s">
        <v>1383</v>
      </c>
      <c r="L154" s="9" t="s">
        <v>2450</v>
      </c>
      <c r="M154" s="9" t="s">
        <v>1394</v>
      </c>
      <c r="AG154" s="31" t="str">
        <f>HYPERLINK("#8","L088 →")</f>
        <v>L088 →</v>
      </c>
    </row>
    <row r="155" spans="1:33" ht="18.399999999999999" customHeight="1" x14ac:dyDescent="0.15">
      <c r="B155" s="9" t="s">
        <v>2088</v>
      </c>
      <c r="G155" s="30">
        <f>TRUNC(G154, 0)</f>
        <v>36248</v>
      </c>
    </row>
    <row r="156" spans="1:33" ht="18.399999999999999" customHeight="1" x14ac:dyDescent="0.15">
      <c r="B156" s="9" t="s">
        <v>242</v>
      </c>
      <c r="G156" s="30">
        <f>TRUNC(G150+G153+G155, 0)</f>
        <v>42167</v>
      </c>
    </row>
    <row r="157" spans="1:33" ht="18.399999999999999" customHeight="1" x14ac:dyDescent="0.15">
      <c r="A157" s="4"/>
      <c r="B157" s="4"/>
      <c r="C157" s="4"/>
      <c r="D157" s="4"/>
      <c r="E157" s="4"/>
      <c r="F157" s="4"/>
      <c r="G157" s="4"/>
      <c r="H157" s="4"/>
    </row>
    <row r="158" spans="1:33" ht="18.399999999999999" customHeight="1" x14ac:dyDescent="0.15">
      <c r="A158" s="4" t="s">
        <v>2172</v>
      </c>
      <c r="B158" s="4" t="s">
        <v>2213</v>
      </c>
      <c r="C158" s="4"/>
      <c r="D158" s="4"/>
      <c r="E158" s="4"/>
      <c r="F158" s="4"/>
      <c r="G158" s="4"/>
      <c r="H158" s="4"/>
      <c r="I158" s="9" t="s">
        <v>2450</v>
      </c>
      <c r="J158" s="9" t="s">
        <v>1619</v>
      </c>
    </row>
    <row r="159" spans="1:33" ht="18.399999999999999" customHeight="1" x14ac:dyDescent="0.15">
      <c r="A159" s="4" t="s">
        <v>698</v>
      </c>
      <c r="B159" s="4" t="s">
        <v>1673</v>
      </c>
      <c r="C159" s="4"/>
      <c r="D159" s="4"/>
      <c r="E159" s="4"/>
      <c r="F159" s="4"/>
      <c r="G159" s="4"/>
      <c r="H159" s="4"/>
    </row>
    <row r="160" spans="1:33" ht="18.399999999999999" customHeight="1" x14ac:dyDescent="0.15">
      <c r="A160" s="29" t="s">
        <v>1874</v>
      </c>
      <c r="B160" s="29"/>
      <c r="C160" s="29" t="s">
        <v>1202</v>
      </c>
      <c r="D160" s="29" t="s">
        <v>64</v>
      </c>
      <c r="E160" s="29" t="s">
        <v>2282</v>
      </c>
      <c r="F160" s="29" t="s">
        <v>575</v>
      </c>
      <c r="G160" s="29" t="s">
        <v>320</v>
      </c>
      <c r="H160" s="29" t="s">
        <v>659</v>
      </c>
    </row>
    <row r="161" spans="1:33" ht="18.399999999999999" customHeight="1" x14ac:dyDescent="0.15">
      <c r="A161" s="9" t="s">
        <v>156</v>
      </c>
      <c r="B161" s="9" t="s">
        <v>2278</v>
      </c>
      <c r="C161" s="9" t="s">
        <v>2117</v>
      </c>
      <c r="D161" s="9">
        <f>(1286 + 857 + 682)*10^-4</f>
        <v>0.28250000000000003</v>
      </c>
      <c r="E161" s="30" t="s">
        <v>297</v>
      </c>
      <c r="F161" s="30">
        <f>중기기초자료!F15</f>
        <v>94381</v>
      </c>
      <c r="G161" s="30">
        <f>TRUNC(F161*D161, 0)</f>
        <v>26662</v>
      </c>
      <c r="H161" s="9" t="s">
        <v>2450</v>
      </c>
      <c r="I161" s="9" t="s">
        <v>2450</v>
      </c>
      <c r="K161" s="9" t="s">
        <v>289</v>
      </c>
      <c r="L161" s="9" t="s">
        <v>2450</v>
      </c>
      <c r="M161" s="9" t="s">
        <v>956</v>
      </c>
      <c r="N161" s="9" t="s">
        <v>628</v>
      </c>
      <c r="AG161" s="31" t="str">
        <f>HYPERLINK("#8","G13060100 →")</f>
        <v>G13060100 →</v>
      </c>
    </row>
    <row r="162" spans="1:33" ht="18.399999999999999" customHeight="1" x14ac:dyDescent="0.15">
      <c r="B162" s="9" t="s">
        <v>2088</v>
      </c>
      <c r="G162" s="30">
        <f>TRUNC(G161, 0)</f>
        <v>26662</v>
      </c>
    </row>
    <row r="163" spans="1:33" ht="18.399999999999999" customHeight="1" x14ac:dyDescent="0.15">
      <c r="A163" s="9" t="s">
        <v>1648</v>
      </c>
      <c r="B163" s="9" t="s">
        <v>408</v>
      </c>
      <c r="C163" s="9" t="s">
        <v>2450</v>
      </c>
      <c r="D163" s="9">
        <v>14.4</v>
      </c>
      <c r="E163" s="30" t="s">
        <v>2410</v>
      </c>
      <c r="F163" s="30">
        <f>중기기초자료!D34</f>
        <v>1590</v>
      </c>
      <c r="G163" s="30">
        <f>TRUNC(F163*D163, 0)</f>
        <v>22896</v>
      </c>
      <c r="H163" s="9" t="s">
        <v>2450</v>
      </c>
      <c r="I163" s="9" t="s">
        <v>2450</v>
      </c>
      <c r="K163" s="9" t="s">
        <v>907</v>
      </c>
      <c r="L163" s="9" t="s">
        <v>2450</v>
      </c>
      <c r="M163" s="9" t="s">
        <v>501</v>
      </c>
      <c r="AG163" s="31" t="str">
        <f>HYPERLINK("#8","M9366005 →")</f>
        <v>M9366005 →</v>
      </c>
    </row>
    <row r="164" spans="1:33" ht="18.399999999999999" customHeight="1" x14ac:dyDescent="0.15">
      <c r="B164" s="9" t="s">
        <v>191</v>
      </c>
      <c r="C164" s="9" t="s">
        <v>2450</v>
      </c>
      <c r="D164" s="9">
        <v>30</v>
      </c>
      <c r="E164" s="30" t="s">
        <v>1030</v>
      </c>
      <c r="F164" s="30">
        <v>0</v>
      </c>
      <c r="G164" s="30">
        <f>TRUNC((G163) * D164/100, 0)</f>
        <v>6868</v>
      </c>
      <c r="H164" s="9" t="s">
        <v>2450</v>
      </c>
      <c r="I164" s="9" t="s">
        <v>2450</v>
      </c>
      <c r="K164" s="9" t="s">
        <v>257</v>
      </c>
      <c r="L164" s="9" t="s">
        <v>2450</v>
      </c>
      <c r="M164" s="9" t="s">
        <v>1639</v>
      </c>
      <c r="N164" s="9" t="s">
        <v>2450</v>
      </c>
      <c r="AG164" s="31" t="str">
        <f>HYPERLINK("#8","F/M1 →")</f>
        <v>F/M1 →</v>
      </c>
    </row>
    <row r="165" spans="1:33" ht="18.399999999999999" customHeight="1" x14ac:dyDescent="0.15">
      <c r="B165" s="9" t="s">
        <v>2088</v>
      </c>
      <c r="G165" s="30">
        <f>TRUNC(G163+G164, 0)</f>
        <v>29764</v>
      </c>
    </row>
    <row r="166" spans="1:33" ht="18.399999999999999" customHeight="1" x14ac:dyDescent="0.15">
      <c r="A166" s="9" t="s">
        <v>1006</v>
      </c>
      <c r="B166" s="9" t="s">
        <v>586</v>
      </c>
      <c r="C166" s="9" t="s">
        <v>1361</v>
      </c>
      <c r="D166" s="9">
        <v>1</v>
      </c>
      <c r="E166" s="30" t="s">
        <v>1455</v>
      </c>
      <c r="F166" s="30">
        <f>TRUNC(중기기초자료!E30 * 중기전역변수!C18, 0)</f>
        <v>59020</v>
      </c>
      <c r="G166" s="30">
        <f>TRUNC(F166*D166, 0)</f>
        <v>59020</v>
      </c>
      <c r="H166" s="9" t="s">
        <v>2450</v>
      </c>
      <c r="I166" s="9" t="s">
        <v>2450</v>
      </c>
      <c r="K166" s="9" t="s">
        <v>1383</v>
      </c>
      <c r="L166" s="9" t="s">
        <v>2450</v>
      </c>
      <c r="M166" s="9" t="s">
        <v>1405</v>
      </c>
      <c r="AG166" s="31" t="str">
        <f>HYPERLINK("#8","L086 →")</f>
        <v>L086 →</v>
      </c>
    </row>
    <row r="167" spans="1:33" ht="18.399999999999999" customHeight="1" x14ac:dyDescent="0.15">
      <c r="B167" s="9" t="s">
        <v>2088</v>
      </c>
      <c r="G167" s="30">
        <f>TRUNC(G166, 0)</f>
        <v>59020</v>
      </c>
    </row>
    <row r="168" spans="1:33" ht="18.399999999999999" customHeight="1" x14ac:dyDescent="0.15">
      <c r="B168" s="9" t="s">
        <v>242</v>
      </c>
      <c r="G168" s="30">
        <f>TRUNC(G162+G165+G167, 0)</f>
        <v>115446</v>
      </c>
    </row>
    <row r="169" spans="1:33" ht="18.399999999999999" customHeight="1" x14ac:dyDescent="0.15">
      <c r="A169" s="4"/>
      <c r="B169" s="4"/>
      <c r="C169" s="4"/>
      <c r="D169" s="4"/>
      <c r="E169" s="4"/>
      <c r="F169" s="4"/>
      <c r="G169" s="4"/>
      <c r="H169" s="4"/>
    </row>
    <row r="170" spans="1:33" ht="18.399999999999999" customHeight="1" x14ac:dyDescent="0.15">
      <c r="A170" s="4" t="s">
        <v>2172</v>
      </c>
      <c r="B170" s="4" t="s">
        <v>2093</v>
      </c>
      <c r="C170" s="4"/>
      <c r="D170" s="4"/>
      <c r="E170" s="4"/>
      <c r="F170" s="4"/>
      <c r="G170" s="4"/>
      <c r="H170" s="4"/>
      <c r="I170" s="9" t="s">
        <v>2450</v>
      </c>
      <c r="J170" s="9" t="s">
        <v>391</v>
      </c>
    </row>
    <row r="171" spans="1:33" ht="18.399999999999999" customHeight="1" x14ac:dyDescent="0.15">
      <c r="A171" s="4" t="s">
        <v>698</v>
      </c>
      <c r="B171" s="4" t="s">
        <v>467</v>
      </c>
      <c r="C171" s="4"/>
      <c r="D171" s="4"/>
      <c r="E171" s="4"/>
      <c r="F171" s="4"/>
      <c r="G171" s="4"/>
      <c r="H171" s="4"/>
    </row>
    <row r="172" spans="1:33" ht="18.399999999999999" customHeight="1" x14ac:dyDescent="0.15">
      <c r="A172" s="29" t="s">
        <v>1874</v>
      </c>
      <c r="B172" s="29"/>
      <c r="C172" s="29" t="s">
        <v>1202</v>
      </c>
      <c r="D172" s="29" t="s">
        <v>64</v>
      </c>
      <c r="E172" s="29" t="s">
        <v>2282</v>
      </c>
      <c r="F172" s="29" t="s">
        <v>575</v>
      </c>
      <c r="G172" s="29" t="s">
        <v>320</v>
      </c>
      <c r="H172" s="29" t="s">
        <v>659</v>
      </c>
    </row>
    <row r="173" spans="1:33" ht="18.399999999999999" customHeight="1" x14ac:dyDescent="0.15">
      <c r="A173" s="9" t="s">
        <v>156</v>
      </c>
      <c r="B173" s="9" t="s">
        <v>2278</v>
      </c>
      <c r="C173" s="9" t="s">
        <v>1795</v>
      </c>
      <c r="D173" s="9">
        <f>(1286 + 857 + 682)*10^-4</f>
        <v>0.28250000000000003</v>
      </c>
      <c r="E173" s="30" t="s">
        <v>297</v>
      </c>
      <c r="F173" s="30">
        <f>중기기초자료!F16</f>
        <v>103333</v>
      </c>
      <c r="G173" s="30">
        <f>TRUNC(F173*D173, 0)</f>
        <v>29191</v>
      </c>
      <c r="H173" s="9" t="s">
        <v>2450</v>
      </c>
      <c r="I173" s="9" t="s">
        <v>2450</v>
      </c>
      <c r="K173" s="9" t="s">
        <v>289</v>
      </c>
      <c r="L173" s="9" t="s">
        <v>2450</v>
      </c>
      <c r="M173" s="9" t="s">
        <v>2178</v>
      </c>
      <c r="N173" s="9" t="s">
        <v>628</v>
      </c>
      <c r="AG173" s="31" t="str">
        <f>HYPERLINK("#8","G13060120 →")</f>
        <v>G13060120 →</v>
      </c>
    </row>
    <row r="174" spans="1:33" ht="18.399999999999999" customHeight="1" x14ac:dyDescent="0.15">
      <c r="B174" s="9" t="s">
        <v>2088</v>
      </c>
      <c r="G174" s="30">
        <f>TRUNC(G173, 0)</f>
        <v>29191</v>
      </c>
    </row>
    <row r="175" spans="1:33" ht="18.399999999999999" customHeight="1" x14ac:dyDescent="0.15">
      <c r="A175" s="9" t="s">
        <v>1648</v>
      </c>
      <c r="B175" s="9" t="s">
        <v>408</v>
      </c>
      <c r="C175" s="9" t="s">
        <v>2450</v>
      </c>
      <c r="D175" s="9">
        <v>15.8</v>
      </c>
      <c r="E175" s="30" t="s">
        <v>2410</v>
      </c>
      <c r="F175" s="30">
        <f>중기기초자료!D34</f>
        <v>1590</v>
      </c>
      <c r="G175" s="30">
        <f>TRUNC(F175*D175, 0)</f>
        <v>25122</v>
      </c>
      <c r="H175" s="9" t="s">
        <v>2450</v>
      </c>
      <c r="I175" s="9" t="s">
        <v>2450</v>
      </c>
      <c r="K175" s="9" t="s">
        <v>907</v>
      </c>
      <c r="L175" s="9" t="s">
        <v>2450</v>
      </c>
      <c r="M175" s="9" t="s">
        <v>501</v>
      </c>
      <c r="AG175" s="31" t="str">
        <f>HYPERLINK("#8","M9366005 →")</f>
        <v>M9366005 →</v>
      </c>
    </row>
    <row r="176" spans="1:33" ht="18.399999999999999" customHeight="1" x14ac:dyDescent="0.15">
      <c r="B176" s="9" t="s">
        <v>191</v>
      </c>
      <c r="C176" s="9" t="s">
        <v>2450</v>
      </c>
      <c r="D176" s="9">
        <v>30</v>
      </c>
      <c r="E176" s="30" t="s">
        <v>1030</v>
      </c>
      <c r="F176" s="30">
        <v>0</v>
      </c>
      <c r="G176" s="30">
        <f>TRUNC((G175) * D176/100, 0)</f>
        <v>7536</v>
      </c>
      <c r="H176" s="9" t="s">
        <v>2450</v>
      </c>
      <c r="I176" s="9" t="s">
        <v>2450</v>
      </c>
      <c r="K176" s="9" t="s">
        <v>257</v>
      </c>
      <c r="L176" s="9" t="s">
        <v>2450</v>
      </c>
      <c r="M176" s="9" t="s">
        <v>1639</v>
      </c>
      <c r="N176" s="9" t="s">
        <v>2450</v>
      </c>
      <c r="AG176" s="31" t="str">
        <f>HYPERLINK("#8","F/M1 →")</f>
        <v>F/M1 →</v>
      </c>
    </row>
    <row r="177" spans="1:33" ht="18.399999999999999" customHeight="1" x14ac:dyDescent="0.15">
      <c r="B177" s="9" t="s">
        <v>2088</v>
      </c>
      <c r="G177" s="30">
        <f>TRUNC(G175+G176, 0)</f>
        <v>32658</v>
      </c>
    </row>
    <row r="178" spans="1:33" ht="18.399999999999999" customHeight="1" x14ac:dyDescent="0.15">
      <c r="A178" s="9" t="s">
        <v>1006</v>
      </c>
      <c r="B178" s="9" t="s">
        <v>586</v>
      </c>
      <c r="C178" s="9" t="s">
        <v>1361</v>
      </c>
      <c r="D178" s="9">
        <v>1</v>
      </c>
      <c r="E178" s="30" t="s">
        <v>1455</v>
      </c>
      <c r="F178" s="30">
        <f>TRUNC(중기기초자료!E30 * 중기전역변수!C18, 0)</f>
        <v>59020</v>
      </c>
      <c r="G178" s="30">
        <f>TRUNC(F178*D178, 0)</f>
        <v>59020</v>
      </c>
      <c r="H178" s="9" t="s">
        <v>2450</v>
      </c>
      <c r="I178" s="9" t="s">
        <v>2450</v>
      </c>
      <c r="K178" s="9" t="s">
        <v>1383</v>
      </c>
      <c r="L178" s="9" t="s">
        <v>2450</v>
      </c>
      <c r="M178" s="9" t="s">
        <v>1405</v>
      </c>
      <c r="AG178" s="31" t="str">
        <f>HYPERLINK("#8","L086 →")</f>
        <v>L086 →</v>
      </c>
    </row>
    <row r="179" spans="1:33" ht="18.399999999999999" customHeight="1" x14ac:dyDescent="0.15">
      <c r="B179" s="9" t="s">
        <v>2088</v>
      </c>
      <c r="G179" s="30">
        <f>TRUNC(G178, 0)</f>
        <v>59020</v>
      </c>
    </row>
    <row r="180" spans="1:33" ht="18.399999999999999" customHeight="1" x14ac:dyDescent="0.15">
      <c r="B180" s="9" t="s">
        <v>242</v>
      </c>
      <c r="G180" s="30">
        <f>TRUNC(G174+G177+G179, 0)</f>
        <v>120869</v>
      </c>
    </row>
    <row r="181" spans="1:33" ht="18.399999999999999" customHeight="1" x14ac:dyDescent="0.15">
      <c r="A181" s="4"/>
      <c r="B181" s="4"/>
      <c r="C181" s="4"/>
      <c r="D181" s="4"/>
      <c r="E181" s="4"/>
      <c r="F181" s="4"/>
      <c r="G181" s="4"/>
      <c r="H181" s="4"/>
    </row>
    <row r="182" spans="1:33" ht="18.399999999999999" customHeight="1" x14ac:dyDescent="0.15">
      <c r="A182" s="4" t="s">
        <v>2172</v>
      </c>
      <c r="B182" s="4" t="s">
        <v>636</v>
      </c>
      <c r="C182" s="4"/>
      <c r="D182" s="4"/>
      <c r="E182" s="4"/>
      <c r="F182" s="4"/>
      <c r="G182" s="4"/>
      <c r="H182" s="4"/>
      <c r="I182" s="9" t="s">
        <v>2450</v>
      </c>
      <c r="J182" s="9" t="s">
        <v>2116</v>
      </c>
    </row>
    <row r="183" spans="1:33" ht="18.399999999999999" customHeight="1" x14ac:dyDescent="0.15">
      <c r="A183" s="4" t="s">
        <v>698</v>
      </c>
      <c r="B183" s="4" t="s">
        <v>1931</v>
      </c>
      <c r="C183" s="4"/>
      <c r="D183" s="4"/>
      <c r="E183" s="4"/>
      <c r="F183" s="4"/>
      <c r="G183" s="4"/>
      <c r="H183" s="4"/>
    </row>
    <row r="184" spans="1:33" ht="18.399999999999999" customHeight="1" x14ac:dyDescent="0.15">
      <c r="A184" s="29" t="s">
        <v>1874</v>
      </c>
      <c r="B184" s="29"/>
      <c r="C184" s="29" t="s">
        <v>1202</v>
      </c>
      <c r="D184" s="29" t="s">
        <v>64</v>
      </c>
      <c r="E184" s="29" t="s">
        <v>2282</v>
      </c>
      <c r="F184" s="29" t="s">
        <v>575</v>
      </c>
      <c r="G184" s="29" t="s">
        <v>320</v>
      </c>
      <c r="H184" s="29" t="s">
        <v>659</v>
      </c>
    </row>
    <row r="185" spans="1:33" ht="18.399999999999999" customHeight="1" x14ac:dyDescent="0.15">
      <c r="A185" s="9" t="s">
        <v>156</v>
      </c>
      <c r="B185" s="9" t="s">
        <v>2072</v>
      </c>
      <c r="C185" s="9" t="s">
        <v>109</v>
      </c>
      <c r="D185" s="9">
        <f>(833 + 556 + 556)*10^-4</f>
        <v>0.19450000000000001</v>
      </c>
      <c r="E185" s="30" t="s">
        <v>297</v>
      </c>
      <c r="F185" s="30">
        <f>중기기초자료!F17</f>
        <v>98388</v>
      </c>
      <c r="G185" s="30">
        <f>TRUNC(F185*D185, 0)</f>
        <v>19136</v>
      </c>
      <c r="H185" s="9" t="s">
        <v>2450</v>
      </c>
      <c r="I185" s="9" t="s">
        <v>2450</v>
      </c>
      <c r="K185" s="9" t="s">
        <v>289</v>
      </c>
      <c r="L185" s="9" t="s">
        <v>2450</v>
      </c>
      <c r="M185" s="9" t="s">
        <v>207</v>
      </c>
      <c r="N185" s="9" t="s">
        <v>2189</v>
      </c>
      <c r="AG185" s="31" t="str">
        <f>HYPERLINK("#8","G14060015 →")</f>
        <v>G14060015 →</v>
      </c>
    </row>
    <row r="186" spans="1:33" ht="18.399999999999999" customHeight="1" x14ac:dyDescent="0.15">
      <c r="B186" s="9" t="s">
        <v>2088</v>
      </c>
      <c r="G186" s="30">
        <f>TRUNC(G185, 0)</f>
        <v>19136</v>
      </c>
    </row>
    <row r="187" spans="1:33" ht="18.399999999999999" customHeight="1" x14ac:dyDescent="0.15">
      <c r="A187" s="9" t="s">
        <v>1648</v>
      </c>
      <c r="B187" s="9" t="s">
        <v>408</v>
      </c>
      <c r="C187" s="9" t="s">
        <v>2450</v>
      </c>
      <c r="D187" s="9">
        <v>8</v>
      </c>
      <c r="E187" s="30" t="s">
        <v>2410</v>
      </c>
      <c r="F187" s="30">
        <f>중기기초자료!D34</f>
        <v>1590</v>
      </c>
      <c r="G187" s="30">
        <f>TRUNC(F187*D187, 0)</f>
        <v>12720</v>
      </c>
      <c r="H187" s="9" t="s">
        <v>2450</v>
      </c>
      <c r="I187" s="9" t="s">
        <v>2450</v>
      </c>
      <c r="K187" s="9" t="s">
        <v>907</v>
      </c>
      <c r="L187" s="9" t="s">
        <v>2450</v>
      </c>
      <c r="M187" s="9" t="s">
        <v>501</v>
      </c>
      <c r="AG187" s="31" t="str">
        <f>HYPERLINK("#8","M9366005 →")</f>
        <v>M9366005 →</v>
      </c>
    </row>
    <row r="188" spans="1:33" ht="18.399999999999999" customHeight="1" x14ac:dyDescent="0.15">
      <c r="B188" s="9" t="s">
        <v>191</v>
      </c>
      <c r="C188" s="9" t="s">
        <v>2450</v>
      </c>
      <c r="D188" s="9">
        <v>23</v>
      </c>
      <c r="E188" s="30" t="s">
        <v>1030</v>
      </c>
      <c r="F188" s="30">
        <v>0</v>
      </c>
      <c r="G188" s="30">
        <f>TRUNC((G187) * D188/100, 0)</f>
        <v>2925</v>
      </c>
      <c r="H188" s="9" t="s">
        <v>2450</v>
      </c>
      <c r="I188" s="9" t="s">
        <v>2450</v>
      </c>
      <c r="K188" s="9" t="s">
        <v>257</v>
      </c>
      <c r="L188" s="9" t="s">
        <v>2450</v>
      </c>
      <c r="M188" s="9" t="s">
        <v>1639</v>
      </c>
      <c r="N188" s="9" t="s">
        <v>2450</v>
      </c>
      <c r="AG188" s="31" t="str">
        <f>HYPERLINK("#8","F/M1 →")</f>
        <v>F/M1 →</v>
      </c>
    </row>
    <row r="189" spans="1:33" ht="18.399999999999999" customHeight="1" x14ac:dyDescent="0.15">
      <c r="B189" s="9" t="s">
        <v>2088</v>
      </c>
      <c r="G189" s="30">
        <f>TRUNC(G187+G188, 0)</f>
        <v>15645</v>
      </c>
    </row>
    <row r="190" spans="1:33" ht="18.399999999999999" customHeight="1" x14ac:dyDescent="0.15">
      <c r="A190" s="9" t="s">
        <v>1006</v>
      </c>
      <c r="B190" s="9" t="s">
        <v>586</v>
      </c>
      <c r="C190" s="9" t="s">
        <v>1361</v>
      </c>
      <c r="D190" s="9">
        <v>1</v>
      </c>
      <c r="E190" s="30" t="s">
        <v>1455</v>
      </c>
      <c r="F190" s="30">
        <f>TRUNC(중기기초자료!E30 * 중기전역변수!C18, 0)</f>
        <v>59020</v>
      </c>
      <c r="G190" s="30">
        <f>TRUNC(F190*D190, 0)</f>
        <v>59020</v>
      </c>
      <c r="H190" s="9" t="s">
        <v>2450</v>
      </c>
      <c r="I190" s="9" t="s">
        <v>2450</v>
      </c>
      <c r="K190" s="9" t="s">
        <v>1383</v>
      </c>
      <c r="L190" s="9" t="s">
        <v>2450</v>
      </c>
      <c r="M190" s="9" t="s">
        <v>1405</v>
      </c>
      <c r="AG190" s="31" t="str">
        <f>HYPERLINK("#8","L086 →")</f>
        <v>L086 →</v>
      </c>
    </row>
    <row r="191" spans="1:33" ht="18.399999999999999" customHeight="1" x14ac:dyDescent="0.15">
      <c r="B191" s="9" t="s">
        <v>2088</v>
      </c>
      <c r="G191" s="30">
        <f>TRUNC(G190, 0)</f>
        <v>59020</v>
      </c>
    </row>
    <row r="192" spans="1:33" ht="18.399999999999999" customHeight="1" x14ac:dyDescent="0.15">
      <c r="B192" s="9" t="s">
        <v>242</v>
      </c>
      <c r="G192" s="30">
        <f>TRUNC(G186+G189+G191, 0)</f>
        <v>93801</v>
      </c>
    </row>
    <row r="193" spans="1:33" ht="18.399999999999999" customHeight="1" x14ac:dyDescent="0.15">
      <c r="A193" s="4"/>
      <c r="B193" s="4"/>
      <c r="C193" s="4"/>
      <c r="D193" s="4"/>
      <c r="E193" s="4"/>
      <c r="F193" s="4"/>
      <c r="G193" s="4"/>
      <c r="H193" s="4"/>
    </row>
    <row r="194" spans="1:33" ht="18.399999999999999" customHeight="1" x14ac:dyDescent="0.15">
      <c r="A194" s="4" t="s">
        <v>2172</v>
      </c>
      <c r="B194" s="4" t="s">
        <v>2369</v>
      </c>
      <c r="C194" s="4"/>
      <c r="D194" s="4"/>
      <c r="E194" s="4"/>
      <c r="F194" s="4"/>
      <c r="G194" s="4"/>
      <c r="H194" s="4"/>
      <c r="I194" s="9" t="s">
        <v>2450</v>
      </c>
      <c r="J194" s="9" t="s">
        <v>1152</v>
      </c>
    </row>
    <row r="195" spans="1:33" ht="18.399999999999999" customHeight="1" x14ac:dyDescent="0.15">
      <c r="A195" s="4" t="s">
        <v>698</v>
      </c>
      <c r="B195" s="4" t="s">
        <v>488</v>
      </c>
      <c r="C195" s="4"/>
      <c r="D195" s="4"/>
      <c r="E195" s="4"/>
      <c r="F195" s="4"/>
      <c r="G195" s="4"/>
      <c r="H195" s="4"/>
    </row>
    <row r="196" spans="1:33" ht="18.399999999999999" customHeight="1" x14ac:dyDescent="0.15">
      <c r="A196" s="29" t="s">
        <v>1874</v>
      </c>
      <c r="B196" s="29"/>
      <c r="C196" s="29" t="s">
        <v>1202</v>
      </c>
      <c r="D196" s="29" t="s">
        <v>64</v>
      </c>
      <c r="E196" s="29" t="s">
        <v>2282</v>
      </c>
      <c r="F196" s="29" t="s">
        <v>575</v>
      </c>
      <c r="G196" s="29" t="s">
        <v>320</v>
      </c>
      <c r="H196" s="29" t="s">
        <v>659</v>
      </c>
    </row>
    <row r="197" spans="1:33" ht="18.399999999999999" customHeight="1" x14ac:dyDescent="0.15">
      <c r="A197" s="9" t="s">
        <v>156</v>
      </c>
      <c r="B197" s="9" t="s">
        <v>474</v>
      </c>
      <c r="C197" s="9" t="s">
        <v>2117</v>
      </c>
      <c r="D197" s="9">
        <f>(1071 + 536 + 691)*10^-4</f>
        <v>0.2298</v>
      </c>
      <c r="E197" s="30" t="s">
        <v>297</v>
      </c>
      <c r="F197" s="30">
        <f>중기기초자료!F18</f>
        <v>136400</v>
      </c>
      <c r="G197" s="30">
        <f>TRUNC(F197*D197, 0)</f>
        <v>31344</v>
      </c>
      <c r="H197" s="9" t="s">
        <v>2450</v>
      </c>
      <c r="I197" s="9" t="s">
        <v>2450</v>
      </c>
      <c r="K197" s="9" t="s">
        <v>289</v>
      </c>
      <c r="L197" s="9" t="s">
        <v>2450</v>
      </c>
      <c r="M197" s="9" t="s">
        <v>1782</v>
      </c>
      <c r="N197" s="9" t="s">
        <v>176</v>
      </c>
      <c r="AG197" s="31" t="str">
        <f>HYPERLINK("#8","G21040010 →")</f>
        <v>G21040010 →</v>
      </c>
    </row>
    <row r="198" spans="1:33" ht="18.399999999999999" customHeight="1" x14ac:dyDescent="0.15">
      <c r="B198" s="9" t="s">
        <v>2088</v>
      </c>
      <c r="G198" s="30">
        <f>TRUNC(G197, 0)</f>
        <v>31344</v>
      </c>
    </row>
    <row r="199" spans="1:33" ht="18.399999999999999" customHeight="1" x14ac:dyDescent="0.15">
      <c r="A199" s="9" t="s">
        <v>1648</v>
      </c>
      <c r="B199" s="9" t="s">
        <v>408</v>
      </c>
      <c r="C199" s="9" t="s">
        <v>2450</v>
      </c>
      <c r="D199" s="9">
        <v>3.8</v>
      </c>
      <c r="E199" s="30" t="s">
        <v>2410</v>
      </c>
      <c r="F199" s="30">
        <f>중기기초자료!D34</f>
        <v>1590</v>
      </c>
      <c r="G199" s="30">
        <f>TRUNC(F199*D199, 0)</f>
        <v>6042</v>
      </c>
      <c r="H199" s="9" t="s">
        <v>2450</v>
      </c>
      <c r="I199" s="9" t="s">
        <v>2450</v>
      </c>
      <c r="K199" s="9" t="s">
        <v>907</v>
      </c>
      <c r="L199" s="9" t="s">
        <v>2450</v>
      </c>
      <c r="M199" s="9" t="s">
        <v>501</v>
      </c>
      <c r="AG199" s="31" t="str">
        <f>HYPERLINK("#8","M9366005 →")</f>
        <v>M9366005 →</v>
      </c>
    </row>
    <row r="200" spans="1:33" ht="18.399999999999999" customHeight="1" x14ac:dyDescent="0.15">
      <c r="B200" s="9" t="s">
        <v>191</v>
      </c>
      <c r="C200" s="9" t="s">
        <v>2450</v>
      </c>
      <c r="D200" s="9">
        <v>39</v>
      </c>
      <c r="E200" s="30" t="s">
        <v>1030</v>
      </c>
      <c r="F200" s="30">
        <v>0</v>
      </c>
      <c r="G200" s="30">
        <f>TRUNC((G199) * D200/100, 0)</f>
        <v>2356</v>
      </c>
      <c r="H200" s="9" t="s">
        <v>2450</v>
      </c>
      <c r="I200" s="9" t="s">
        <v>2450</v>
      </c>
      <c r="K200" s="9" t="s">
        <v>257</v>
      </c>
      <c r="L200" s="9" t="s">
        <v>2450</v>
      </c>
      <c r="M200" s="9" t="s">
        <v>1639</v>
      </c>
      <c r="N200" s="9" t="s">
        <v>2450</v>
      </c>
      <c r="AG200" s="31" t="str">
        <f>HYPERLINK("#8","F/M1 →")</f>
        <v>F/M1 →</v>
      </c>
    </row>
    <row r="201" spans="1:33" ht="18.399999999999999" customHeight="1" x14ac:dyDescent="0.15">
      <c r="B201" s="9" t="s">
        <v>2088</v>
      </c>
      <c r="G201" s="30">
        <f>TRUNC(G199+G200, 0)</f>
        <v>8398</v>
      </c>
    </row>
    <row r="202" spans="1:33" ht="18.399999999999999" customHeight="1" x14ac:dyDescent="0.15">
      <c r="A202" s="9" t="s">
        <v>1006</v>
      </c>
      <c r="B202" s="9" t="s">
        <v>180</v>
      </c>
      <c r="C202" s="9" t="s">
        <v>2450</v>
      </c>
      <c r="D202" s="9">
        <v>1</v>
      </c>
      <c r="E202" s="30" t="s">
        <v>1455</v>
      </c>
      <c r="F202" s="30">
        <f>TRUNC(중기기초자료!E31 * 중기전역변수!C18, 0)</f>
        <v>49778</v>
      </c>
      <c r="G202" s="30">
        <f>TRUNC(F202*D202, 0)</f>
        <v>49778</v>
      </c>
      <c r="H202" s="9" t="s">
        <v>2450</v>
      </c>
      <c r="I202" s="9" t="s">
        <v>564</v>
      </c>
      <c r="K202" s="9" t="s">
        <v>1383</v>
      </c>
      <c r="L202" s="9" t="s">
        <v>2450</v>
      </c>
      <c r="M202" s="9" t="s">
        <v>23</v>
      </c>
      <c r="AG202" s="31" t="str">
        <f>HYPERLINK("#8","L087 →")</f>
        <v>L087 →</v>
      </c>
    </row>
    <row r="203" spans="1:33" ht="18.399999999999999" customHeight="1" x14ac:dyDescent="0.15">
      <c r="B203" s="9" t="s">
        <v>2088</v>
      </c>
      <c r="G203" s="30">
        <f>TRUNC(G202, 0)</f>
        <v>49778</v>
      </c>
    </row>
    <row r="204" spans="1:33" ht="18.399999999999999" customHeight="1" x14ac:dyDescent="0.15">
      <c r="B204" s="9" t="s">
        <v>242</v>
      </c>
      <c r="G204" s="30">
        <f>TRUNC(G198+G201+G203, 0)</f>
        <v>89520</v>
      </c>
    </row>
    <row r="205" spans="1:33" ht="18.399999999999999" customHeight="1" x14ac:dyDescent="0.15">
      <c r="A205" s="4"/>
      <c r="B205" s="4"/>
      <c r="C205" s="4"/>
      <c r="D205" s="4"/>
      <c r="E205" s="4"/>
      <c r="F205" s="4"/>
      <c r="G205" s="4"/>
      <c r="H205" s="4"/>
    </row>
    <row r="206" spans="1:33" ht="18.399999999999999" customHeight="1" x14ac:dyDescent="0.15">
      <c r="A206" s="4" t="s">
        <v>2172</v>
      </c>
      <c r="B206" s="4" t="s">
        <v>314</v>
      </c>
      <c r="C206" s="4"/>
      <c r="D206" s="4"/>
      <c r="E206" s="4"/>
      <c r="F206" s="4"/>
      <c r="G206" s="4"/>
      <c r="H206" s="4"/>
      <c r="I206" s="9" t="s">
        <v>2450</v>
      </c>
      <c r="J206" s="9" t="s">
        <v>1880</v>
      </c>
    </row>
    <row r="207" spans="1:33" ht="18.399999999999999" customHeight="1" x14ac:dyDescent="0.15">
      <c r="A207" s="4" t="s">
        <v>698</v>
      </c>
      <c r="B207" s="4" t="s">
        <v>1556</v>
      </c>
      <c r="C207" s="4"/>
      <c r="D207" s="4"/>
      <c r="E207" s="4"/>
      <c r="F207" s="4"/>
      <c r="G207" s="4"/>
      <c r="H207" s="4"/>
    </row>
    <row r="208" spans="1:33" ht="18.399999999999999" customHeight="1" x14ac:dyDescent="0.15">
      <c r="A208" s="29" t="s">
        <v>1874</v>
      </c>
      <c r="B208" s="29"/>
      <c r="C208" s="29" t="s">
        <v>1202</v>
      </c>
      <c r="D208" s="29" t="s">
        <v>64</v>
      </c>
      <c r="E208" s="29" t="s">
        <v>2282</v>
      </c>
      <c r="F208" s="29" t="s">
        <v>575</v>
      </c>
      <c r="G208" s="29" t="s">
        <v>320</v>
      </c>
      <c r="H208" s="29" t="s">
        <v>659</v>
      </c>
    </row>
    <row r="209" spans="1:33" ht="18.399999999999999" customHeight="1" x14ac:dyDescent="0.15">
      <c r="A209" s="9" t="s">
        <v>156</v>
      </c>
      <c r="B209" s="9" t="s">
        <v>1130</v>
      </c>
      <c r="C209" s="9" t="s">
        <v>2117</v>
      </c>
      <c r="D209" s="9">
        <f>(1286 + 357 + 955)*10^-4</f>
        <v>0.25980000000000003</v>
      </c>
      <c r="E209" s="30" t="s">
        <v>297</v>
      </c>
      <c r="F209" s="30">
        <f>중기기초자료!F19</f>
        <v>91593</v>
      </c>
      <c r="G209" s="30">
        <f>TRUNC(F209*D209, 0)</f>
        <v>23795</v>
      </c>
      <c r="H209" s="9" t="s">
        <v>2450</v>
      </c>
      <c r="I209" s="9" t="s">
        <v>2450</v>
      </c>
      <c r="K209" s="9" t="s">
        <v>289</v>
      </c>
      <c r="L209" s="9" t="s">
        <v>2450</v>
      </c>
      <c r="M209" s="9" t="s">
        <v>112</v>
      </c>
      <c r="N209" s="9" t="s">
        <v>2409</v>
      </c>
      <c r="AG209" s="31" t="str">
        <f>HYPERLINK("#8","G21050010 →")</f>
        <v>G21050010 →</v>
      </c>
    </row>
    <row r="210" spans="1:33" ht="18.399999999999999" customHeight="1" x14ac:dyDescent="0.15">
      <c r="B210" s="9" t="s">
        <v>2088</v>
      </c>
      <c r="G210" s="30">
        <f>TRUNC(G209, 0)</f>
        <v>23795</v>
      </c>
    </row>
    <row r="211" spans="1:33" ht="18.399999999999999" customHeight="1" x14ac:dyDescent="0.15">
      <c r="A211" s="9" t="s">
        <v>1648</v>
      </c>
      <c r="B211" s="9" t="s">
        <v>408</v>
      </c>
      <c r="C211" s="9" t="s">
        <v>2450</v>
      </c>
      <c r="D211" s="9">
        <v>10.3</v>
      </c>
      <c r="E211" s="30" t="s">
        <v>2410</v>
      </c>
      <c r="F211" s="30">
        <f>중기기초자료!D34</f>
        <v>1590</v>
      </c>
      <c r="G211" s="30">
        <f>TRUNC(F211*D211, 0)</f>
        <v>16377</v>
      </c>
      <c r="H211" s="9" t="s">
        <v>2450</v>
      </c>
      <c r="I211" s="9" t="s">
        <v>2450</v>
      </c>
      <c r="K211" s="9" t="s">
        <v>907</v>
      </c>
      <c r="L211" s="9" t="s">
        <v>2450</v>
      </c>
      <c r="M211" s="9" t="s">
        <v>501</v>
      </c>
      <c r="AG211" s="31" t="str">
        <f>HYPERLINK("#8","M9366005 →")</f>
        <v>M9366005 →</v>
      </c>
    </row>
    <row r="212" spans="1:33" ht="18.399999999999999" customHeight="1" x14ac:dyDescent="0.15">
      <c r="B212" s="9" t="s">
        <v>191</v>
      </c>
      <c r="C212" s="9" t="s">
        <v>2450</v>
      </c>
      <c r="D212" s="9">
        <v>20</v>
      </c>
      <c r="E212" s="30" t="s">
        <v>1030</v>
      </c>
      <c r="F212" s="30">
        <v>0</v>
      </c>
      <c r="G212" s="30">
        <f>TRUNC((G211) * D212/100, 0)</f>
        <v>3275</v>
      </c>
      <c r="H212" s="9" t="s">
        <v>2450</v>
      </c>
      <c r="I212" s="9" t="s">
        <v>2450</v>
      </c>
      <c r="K212" s="9" t="s">
        <v>257</v>
      </c>
      <c r="L212" s="9" t="s">
        <v>2450</v>
      </c>
      <c r="M212" s="9" t="s">
        <v>1639</v>
      </c>
      <c r="N212" s="9" t="s">
        <v>2450</v>
      </c>
      <c r="AG212" s="31" t="str">
        <f>HYPERLINK("#8","F/M1 →")</f>
        <v>F/M1 →</v>
      </c>
    </row>
    <row r="213" spans="1:33" ht="18.399999999999999" customHeight="1" x14ac:dyDescent="0.15">
      <c r="B213" s="9" t="s">
        <v>2088</v>
      </c>
      <c r="G213" s="30">
        <f>TRUNC(G211+G212, 0)</f>
        <v>19652</v>
      </c>
    </row>
    <row r="214" spans="1:33" ht="18.399999999999999" customHeight="1" x14ac:dyDescent="0.15">
      <c r="A214" s="9" t="s">
        <v>1006</v>
      </c>
      <c r="B214" s="9" t="s">
        <v>180</v>
      </c>
      <c r="C214" s="9" t="s">
        <v>1365</v>
      </c>
      <c r="D214" s="9">
        <v>1</v>
      </c>
      <c r="E214" s="30" t="s">
        <v>1455</v>
      </c>
      <c r="F214" s="30">
        <f>TRUNC(중기기초자료!E31 * 중기전역변수!C18, 0)</f>
        <v>49778</v>
      </c>
      <c r="G214" s="30">
        <f>TRUNC(F214*D214, 0)</f>
        <v>49778</v>
      </c>
      <c r="H214" s="9" t="s">
        <v>2450</v>
      </c>
      <c r="I214" s="9" t="s">
        <v>2450</v>
      </c>
      <c r="K214" s="9" t="s">
        <v>1383</v>
      </c>
      <c r="L214" s="9" t="s">
        <v>2450</v>
      </c>
      <c r="M214" s="9" t="s">
        <v>23</v>
      </c>
      <c r="AG214" s="31" t="str">
        <f>HYPERLINK("#8","L087 →")</f>
        <v>L087 →</v>
      </c>
    </row>
    <row r="215" spans="1:33" ht="18.399999999999999" customHeight="1" x14ac:dyDescent="0.15">
      <c r="B215" s="9" t="s">
        <v>2088</v>
      </c>
      <c r="G215" s="30">
        <f>TRUNC(G214, 0)</f>
        <v>49778</v>
      </c>
    </row>
    <row r="216" spans="1:33" ht="18.399999999999999" customHeight="1" x14ac:dyDescent="0.15">
      <c r="B216" s="9" t="s">
        <v>242</v>
      </c>
      <c r="G216" s="30">
        <f>TRUNC(G210+G213+G215, 0)</f>
        <v>93225</v>
      </c>
    </row>
    <row r="217" spans="1:33" ht="18.399999999999999" customHeight="1" x14ac:dyDescent="0.15">
      <c r="A217" s="4"/>
      <c r="B217" s="4"/>
      <c r="C217" s="4"/>
      <c r="D217" s="4"/>
      <c r="E217" s="4"/>
      <c r="F217" s="4"/>
      <c r="G217" s="4"/>
      <c r="H217" s="4"/>
    </row>
    <row r="218" spans="1:33" ht="18.399999999999999" customHeight="1" x14ac:dyDescent="0.15">
      <c r="A218" s="4" t="s">
        <v>2172</v>
      </c>
      <c r="B218" s="4" t="s">
        <v>2198</v>
      </c>
      <c r="C218" s="4"/>
      <c r="D218" s="4"/>
      <c r="E218" s="4"/>
      <c r="F218" s="4"/>
      <c r="G218" s="4"/>
      <c r="H218" s="4"/>
      <c r="I218" s="9" t="s">
        <v>2450</v>
      </c>
      <c r="J218" s="9" t="s">
        <v>459</v>
      </c>
    </row>
    <row r="219" spans="1:33" ht="18.399999999999999" customHeight="1" x14ac:dyDescent="0.15">
      <c r="A219" s="4" t="s">
        <v>698</v>
      </c>
      <c r="B219" s="4" t="s">
        <v>988</v>
      </c>
      <c r="C219" s="4"/>
      <c r="D219" s="4"/>
      <c r="E219" s="4"/>
      <c r="F219" s="4"/>
      <c r="G219" s="4"/>
      <c r="H219" s="4"/>
    </row>
    <row r="220" spans="1:33" ht="18.399999999999999" customHeight="1" x14ac:dyDescent="0.15">
      <c r="A220" s="29" t="s">
        <v>1874</v>
      </c>
      <c r="B220" s="29"/>
      <c r="C220" s="29" t="s">
        <v>1202</v>
      </c>
      <c r="D220" s="29" t="s">
        <v>64</v>
      </c>
      <c r="E220" s="29" t="s">
        <v>2282</v>
      </c>
      <c r="F220" s="29" t="s">
        <v>575</v>
      </c>
      <c r="G220" s="29" t="s">
        <v>320</v>
      </c>
      <c r="H220" s="29" t="s">
        <v>659</v>
      </c>
    </row>
    <row r="221" spans="1:33" ht="18.399999999999999" customHeight="1" x14ac:dyDescent="0.15">
      <c r="A221" s="9" t="s">
        <v>156</v>
      </c>
      <c r="B221" s="9" t="s">
        <v>1993</v>
      </c>
      <c r="C221" s="9" t="s">
        <v>1113</v>
      </c>
      <c r="D221" s="9">
        <f>(1286 + 786 + 504)*10^-4</f>
        <v>0.2576</v>
      </c>
      <c r="E221" s="30" t="s">
        <v>297</v>
      </c>
      <c r="F221" s="30">
        <f>중기기초자료!F20</f>
        <v>67216</v>
      </c>
      <c r="G221" s="30">
        <f>TRUNC(F221*D221, 0)</f>
        <v>17314</v>
      </c>
      <c r="H221" s="9" t="s">
        <v>2450</v>
      </c>
      <c r="I221" s="9" t="s">
        <v>2450</v>
      </c>
      <c r="K221" s="9" t="s">
        <v>289</v>
      </c>
      <c r="L221" s="9" t="s">
        <v>2450</v>
      </c>
      <c r="M221" s="9" t="s">
        <v>2192</v>
      </c>
      <c r="N221" s="9" t="s">
        <v>185</v>
      </c>
      <c r="AG221" s="31" t="str">
        <f>HYPERLINK("#8","G27020020 →")</f>
        <v>G27020020 →</v>
      </c>
    </row>
    <row r="222" spans="1:33" ht="18.399999999999999" customHeight="1" x14ac:dyDescent="0.15">
      <c r="B222" s="9" t="s">
        <v>2088</v>
      </c>
      <c r="G222" s="30">
        <f>TRUNC(G221, 0)</f>
        <v>17314</v>
      </c>
    </row>
    <row r="223" spans="1:33" ht="18.399999999999999" customHeight="1" x14ac:dyDescent="0.15">
      <c r="A223" s="9" t="s">
        <v>1648</v>
      </c>
      <c r="B223" s="9" t="s">
        <v>408</v>
      </c>
      <c r="C223" s="9" t="s">
        <v>2450</v>
      </c>
      <c r="D223" s="9">
        <v>16.5</v>
      </c>
      <c r="E223" s="30" t="s">
        <v>2410</v>
      </c>
      <c r="F223" s="30">
        <f>중기기초자료!D34</f>
        <v>1590</v>
      </c>
      <c r="G223" s="30">
        <f>TRUNC(F223*D223, 0)</f>
        <v>26235</v>
      </c>
      <c r="H223" s="9" t="s">
        <v>2450</v>
      </c>
      <c r="I223" s="9" t="s">
        <v>2450</v>
      </c>
      <c r="K223" s="9" t="s">
        <v>907</v>
      </c>
      <c r="L223" s="9" t="s">
        <v>2450</v>
      </c>
      <c r="M223" s="9" t="s">
        <v>501</v>
      </c>
      <c r="AG223" s="31" t="str">
        <f>HYPERLINK("#8","M9366005 →")</f>
        <v>M9366005 →</v>
      </c>
    </row>
    <row r="224" spans="1:33" ht="18.399999999999999" customHeight="1" x14ac:dyDescent="0.15">
      <c r="B224" s="9" t="s">
        <v>191</v>
      </c>
      <c r="C224" s="9" t="s">
        <v>2450</v>
      </c>
      <c r="D224" s="9">
        <v>39</v>
      </c>
      <c r="E224" s="30" t="s">
        <v>1030</v>
      </c>
      <c r="F224" s="30">
        <v>0</v>
      </c>
      <c r="G224" s="30">
        <f>TRUNC((G223) * D224/100, 0)</f>
        <v>10231</v>
      </c>
      <c r="H224" s="9" t="s">
        <v>2450</v>
      </c>
      <c r="I224" s="9" t="s">
        <v>2450</v>
      </c>
      <c r="K224" s="9" t="s">
        <v>257</v>
      </c>
      <c r="L224" s="9" t="s">
        <v>2450</v>
      </c>
      <c r="M224" s="9" t="s">
        <v>1639</v>
      </c>
      <c r="N224" s="9" t="s">
        <v>2450</v>
      </c>
      <c r="AG224" s="31" t="str">
        <f>HYPERLINK("#8","F/M1 →")</f>
        <v>F/M1 →</v>
      </c>
    </row>
    <row r="225" spans="1:33" ht="18.399999999999999" customHeight="1" x14ac:dyDescent="0.15">
      <c r="B225" s="9" t="s">
        <v>2088</v>
      </c>
      <c r="G225" s="30">
        <f>TRUNC(G223+G224, 0)</f>
        <v>36466</v>
      </c>
    </row>
    <row r="226" spans="1:33" ht="18.399999999999999" customHeight="1" x14ac:dyDescent="0.15">
      <c r="A226" s="9" t="s">
        <v>1006</v>
      </c>
      <c r="B226" s="9" t="s">
        <v>180</v>
      </c>
      <c r="C226" s="9" t="s">
        <v>2450</v>
      </c>
      <c r="D226" s="9">
        <v>1</v>
      </c>
      <c r="E226" s="30" t="s">
        <v>1455</v>
      </c>
      <c r="F226" s="30">
        <f>TRUNC(중기기초자료!E31 * 중기전역변수!C18, 0)</f>
        <v>49778</v>
      </c>
      <c r="G226" s="30">
        <f>TRUNC(F226*D226, 0)</f>
        <v>49778</v>
      </c>
      <c r="H226" s="9" t="s">
        <v>2450</v>
      </c>
      <c r="I226" s="9" t="s">
        <v>564</v>
      </c>
      <c r="K226" s="9" t="s">
        <v>1383</v>
      </c>
      <c r="L226" s="9" t="s">
        <v>2450</v>
      </c>
      <c r="M226" s="9" t="s">
        <v>23</v>
      </c>
      <c r="AG226" s="31" t="str">
        <f>HYPERLINK("#8","L087 →")</f>
        <v>L087 →</v>
      </c>
    </row>
    <row r="227" spans="1:33" ht="18.399999999999999" customHeight="1" x14ac:dyDescent="0.15">
      <c r="B227" s="9" t="s">
        <v>2088</v>
      </c>
      <c r="G227" s="30">
        <f>TRUNC(G226, 0)</f>
        <v>49778</v>
      </c>
    </row>
    <row r="228" spans="1:33" ht="18.399999999999999" customHeight="1" x14ac:dyDescent="0.15">
      <c r="B228" s="9" t="s">
        <v>242</v>
      </c>
      <c r="G228" s="30">
        <f>TRUNC(G222+G225+G227, 0)</f>
        <v>103558</v>
      </c>
    </row>
    <row r="229" spans="1:33" ht="18.399999999999999" customHeight="1" x14ac:dyDescent="0.15">
      <c r="A229" s="4"/>
      <c r="B229" s="4"/>
      <c r="C229" s="4"/>
      <c r="D229" s="4"/>
      <c r="E229" s="4"/>
      <c r="F229" s="4"/>
      <c r="G229" s="4"/>
      <c r="H229" s="4"/>
    </row>
    <row r="230" spans="1:33" ht="18.399999999999999" customHeight="1" x14ac:dyDescent="0.15">
      <c r="A230" s="4" t="s">
        <v>2172</v>
      </c>
      <c r="B230" s="4" t="s">
        <v>313</v>
      </c>
      <c r="C230" s="4"/>
      <c r="D230" s="4"/>
      <c r="E230" s="4"/>
      <c r="F230" s="4"/>
      <c r="G230" s="4"/>
      <c r="H230" s="4"/>
      <c r="I230" s="9" t="s">
        <v>2450</v>
      </c>
      <c r="J230" s="9" t="s">
        <v>2438</v>
      </c>
    </row>
    <row r="231" spans="1:33" ht="18.399999999999999" customHeight="1" x14ac:dyDescent="0.15">
      <c r="A231" s="4" t="s">
        <v>698</v>
      </c>
      <c r="B231" s="4" t="s">
        <v>2315</v>
      </c>
      <c r="C231" s="4"/>
      <c r="D231" s="4"/>
      <c r="E231" s="4"/>
      <c r="F231" s="4"/>
      <c r="G231" s="4"/>
      <c r="H231" s="4"/>
    </row>
    <row r="232" spans="1:33" ht="18.399999999999999" customHeight="1" x14ac:dyDescent="0.15">
      <c r="A232" s="29" t="s">
        <v>1874</v>
      </c>
      <c r="B232" s="29"/>
      <c r="C232" s="29" t="s">
        <v>1202</v>
      </c>
      <c r="D232" s="29" t="s">
        <v>64</v>
      </c>
      <c r="E232" s="29" t="s">
        <v>2282</v>
      </c>
      <c r="F232" s="29" t="s">
        <v>575</v>
      </c>
      <c r="G232" s="29" t="s">
        <v>320</v>
      </c>
      <c r="H232" s="29" t="s">
        <v>659</v>
      </c>
    </row>
    <row r="233" spans="1:33" ht="18.399999999999999" customHeight="1" x14ac:dyDescent="0.15">
      <c r="A233" s="9" t="s">
        <v>156</v>
      </c>
      <c r="B233" s="9" t="s">
        <v>803</v>
      </c>
      <c r="C233" s="9" t="s">
        <v>1630</v>
      </c>
      <c r="D233" s="9">
        <f>(1125 + 563 + 674)*10^-4</f>
        <v>0.23620000000000002</v>
      </c>
      <c r="E233" s="30" t="s">
        <v>297</v>
      </c>
      <c r="F233" s="30">
        <f>중기기초자료!F21</f>
        <v>250388</v>
      </c>
      <c r="G233" s="30">
        <f>TRUNC(F233*D233, 0)</f>
        <v>59141</v>
      </c>
      <c r="H233" s="9" t="s">
        <v>2450</v>
      </c>
      <c r="I233" s="9" t="s">
        <v>2450</v>
      </c>
      <c r="K233" s="9" t="s">
        <v>289</v>
      </c>
      <c r="L233" s="9" t="s">
        <v>2450</v>
      </c>
      <c r="M233" s="9" t="s">
        <v>514</v>
      </c>
      <c r="N233" s="9" t="s">
        <v>350</v>
      </c>
      <c r="AG233" s="31" t="str">
        <f>HYPERLINK("#8","G32010003 →")</f>
        <v>G32010003 →</v>
      </c>
    </row>
    <row r="234" spans="1:33" ht="18.399999999999999" customHeight="1" x14ac:dyDescent="0.15">
      <c r="B234" s="9" t="s">
        <v>2088</v>
      </c>
      <c r="G234" s="30">
        <f>TRUNC(G233, 0)</f>
        <v>59141</v>
      </c>
    </row>
    <row r="235" spans="1:33" ht="18.399999999999999" customHeight="1" x14ac:dyDescent="0.15">
      <c r="A235" s="9" t="s">
        <v>1648</v>
      </c>
      <c r="B235" s="9" t="s">
        <v>408</v>
      </c>
      <c r="C235" s="9" t="s">
        <v>2450</v>
      </c>
      <c r="D235" s="9">
        <v>13</v>
      </c>
      <c r="E235" s="30" t="s">
        <v>2410</v>
      </c>
      <c r="F235" s="30">
        <f>중기기초자료!D34</f>
        <v>1590</v>
      </c>
      <c r="G235" s="30">
        <f>TRUNC(F235*D235, 0)</f>
        <v>20670</v>
      </c>
      <c r="H235" s="9" t="s">
        <v>2450</v>
      </c>
      <c r="I235" s="9" t="s">
        <v>2450</v>
      </c>
      <c r="K235" s="9" t="s">
        <v>907</v>
      </c>
      <c r="L235" s="9" t="s">
        <v>2450</v>
      </c>
      <c r="M235" s="9" t="s">
        <v>501</v>
      </c>
      <c r="AG235" s="31" t="str">
        <f>HYPERLINK("#8","M9366005 →")</f>
        <v>M9366005 →</v>
      </c>
    </row>
    <row r="236" spans="1:33" ht="18.399999999999999" customHeight="1" x14ac:dyDescent="0.15">
      <c r="B236" s="9" t="s">
        <v>191</v>
      </c>
      <c r="C236" s="9" t="s">
        <v>2450</v>
      </c>
      <c r="D236" s="9">
        <v>7</v>
      </c>
      <c r="E236" s="30" t="s">
        <v>1030</v>
      </c>
      <c r="F236" s="30">
        <v>0</v>
      </c>
      <c r="G236" s="30">
        <f>TRUNC((G235) * D236/100, 0)</f>
        <v>1446</v>
      </c>
      <c r="H236" s="9" t="s">
        <v>2450</v>
      </c>
      <c r="I236" s="9" t="s">
        <v>2450</v>
      </c>
      <c r="K236" s="9" t="s">
        <v>257</v>
      </c>
      <c r="L236" s="9" t="s">
        <v>2450</v>
      </c>
      <c r="M236" s="9" t="s">
        <v>1639</v>
      </c>
      <c r="N236" s="9" t="s">
        <v>2450</v>
      </c>
      <c r="AG236" s="31" t="str">
        <f>HYPERLINK("#8","F/M1 →")</f>
        <v>F/M1 →</v>
      </c>
    </row>
    <row r="237" spans="1:33" ht="18.399999999999999" customHeight="1" x14ac:dyDescent="0.15">
      <c r="B237" s="9" t="s">
        <v>2088</v>
      </c>
      <c r="G237" s="30">
        <f>TRUNC(G235+G236, 0)</f>
        <v>22116</v>
      </c>
    </row>
    <row r="238" spans="1:33" ht="18.399999999999999" customHeight="1" x14ac:dyDescent="0.15">
      <c r="A238" s="9" t="s">
        <v>1006</v>
      </c>
      <c r="B238" s="9" t="s">
        <v>586</v>
      </c>
      <c r="C238" s="9" t="s">
        <v>1361</v>
      </c>
      <c r="D238" s="9">
        <v>1</v>
      </c>
      <c r="E238" s="30" t="s">
        <v>1455</v>
      </c>
      <c r="F238" s="30">
        <f>TRUNC(중기기초자료!E30 * 중기전역변수!C18, 0)</f>
        <v>59020</v>
      </c>
      <c r="G238" s="30">
        <f>TRUNC(F238*D238, 0)</f>
        <v>59020</v>
      </c>
      <c r="H238" s="9" t="s">
        <v>2450</v>
      </c>
      <c r="I238" s="9" t="s">
        <v>2450</v>
      </c>
      <c r="K238" s="9" t="s">
        <v>1383</v>
      </c>
      <c r="L238" s="9" t="s">
        <v>2450</v>
      </c>
      <c r="M238" s="9" t="s">
        <v>1405</v>
      </c>
      <c r="AG238" s="31" t="str">
        <f>HYPERLINK("#8","L086 →")</f>
        <v>L086 →</v>
      </c>
    </row>
    <row r="239" spans="1:33" ht="18.399999999999999" customHeight="1" x14ac:dyDescent="0.15">
      <c r="B239" s="9" t="s">
        <v>2088</v>
      </c>
      <c r="G239" s="30">
        <f>TRUNC(G238, 0)</f>
        <v>59020</v>
      </c>
    </row>
    <row r="240" spans="1:33" ht="18.399999999999999" customHeight="1" x14ac:dyDescent="0.15">
      <c r="B240" s="9" t="s">
        <v>242</v>
      </c>
      <c r="G240" s="30">
        <f>TRUNC(G234+G237+G239, 0)</f>
        <v>140277</v>
      </c>
    </row>
    <row r="241" spans="1:33" ht="18.399999999999999" customHeight="1" x14ac:dyDescent="0.15">
      <c r="A241" s="4"/>
      <c r="B241" s="4"/>
      <c r="C241" s="4"/>
      <c r="D241" s="4"/>
      <c r="E241" s="4"/>
      <c r="F241" s="4"/>
      <c r="G241" s="4"/>
      <c r="H241" s="4"/>
    </row>
    <row r="242" spans="1:33" ht="18.399999999999999" customHeight="1" x14ac:dyDescent="0.15">
      <c r="A242" s="4" t="s">
        <v>2172</v>
      </c>
      <c r="B242" s="4" t="s">
        <v>1061</v>
      </c>
      <c r="C242" s="4"/>
      <c r="D242" s="4"/>
      <c r="E242" s="4"/>
      <c r="F242" s="4"/>
      <c r="G242" s="4"/>
      <c r="H242" s="4"/>
      <c r="I242" s="9" t="s">
        <v>2450</v>
      </c>
      <c r="J242" s="9" t="s">
        <v>1997</v>
      </c>
    </row>
    <row r="243" spans="1:33" ht="18.399999999999999" customHeight="1" x14ac:dyDescent="0.15">
      <c r="A243" s="4" t="s">
        <v>698</v>
      </c>
      <c r="B243" s="4" t="s">
        <v>777</v>
      </c>
      <c r="C243" s="4"/>
      <c r="D243" s="4"/>
      <c r="E243" s="4"/>
      <c r="F243" s="4"/>
      <c r="G243" s="4"/>
      <c r="H243" s="4"/>
    </row>
    <row r="244" spans="1:33" ht="18.399999999999999" customHeight="1" x14ac:dyDescent="0.15">
      <c r="A244" s="29" t="s">
        <v>1874</v>
      </c>
      <c r="B244" s="29"/>
      <c r="C244" s="29" t="s">
        <v>1202</v>
      </c>
      <c r="D244" s="29" t="s">
        <v>64</v>
      </c>
      <c r="E244" s="29" t="s">
        <v>2282</v>
      </c>
      <c r="F244" s="29" t="s">
        <v>575</v>
      </c>
      <c r="G244" s="29" t="s">
        <v>320</v>
      </c>
      <c r="H244" s="29" t="s">
        <v>659</v>
      </c>
    </row>
    <row r="245" spans="1:33" ht="18.399999999999999" customHeight="1" x14ac:dyDescent="0.15">
      <c r="A245" s="9" t="s">
        <v>156</v>
      </c>
      <c r="B245" s="9" t="s">
        <v>2354</v>
      </c>
      <c r="C245" s="9" t="s">
        <v>469</v>
      </c>
      <c r="D245" s="9">
        <f>(1125 + 500 + 944)*10^-4</f>
        <v>0.25690000000000002</v>
      </c>
      <c r="E245" s="30" t="s">
        <v>297</v>
      </c>
      <c r="F245" s="30">
        <f>중기기초자료!F22</f>
        <v>64113</v>
      </c>
      <c r="G245" s="30">
        <f>TRUNC(F245*D245, 0)</f>
        <v>16470</v>
      </c>
      <c r="H245" s="9" t="s">
        <v>2450</v>
      </c>
      <c r="I245" s="9" t="s">
        <v>2450</v>
      </c>
      <c r="K245" s="9" t="s">
        <v>289</v>
      </c>
      <c r="L245" s="9" t="s">
        <v>2450</v>
      </c>
      <c r="M245" s="9" t="s">
        <v>246</v>
      </c>
      <c r="N245" s="9" t="s">
        <v>1467</v>
      </c>
      <c r="AG245" s="31" t="str">
        <f>HYPERLINK("#8","G33020038 →")</f>
        <v>G33020038 →</v>
      </c>
    </row>
    <row r="246" spans="1:33" ht="18.399999999999999" customHeight="1" x14ac:dyDescent="0.15">
      <c r="B246" s="9" t="s">
        <v>2088</v>
      </c>
      <c r="G246" s="30">
        <f>TRUNC(G245, 0)</f>
        <v>16470</v>
      </c>
    </row>
    <row r="247" spans="1:33" ht="18.399999999999999" customHeight="1" x14ac:dyDescent="0.15">
      <c r="A247" s="9" t="s">
        <v>1648</v>
      </c>
      <c r="B247" s="9" t="s">
        <v>408</v>
      </c>
      <c r="C247" s="9" t="s">
        <v>2450</v>
      </c>
      <c r="D247" s="9">
        <v>10.9</v>
      </c>
      <c r="E247" s="30" t="s">
        <v>2410</v>
      </c>
      <c r="F247" s="30">
        <f>중기기초자료!D34</f>
        <v>1590</v>
      </c>
      <c r="G247" s="30">
        <f>TRUNC(F247*D247, 0)</f>
        <v>17331</v>
      </c>
      <c r="H247" s="9" t="s">
        <v>2450</v>
      </c>
      <c r="I247" s="9" t="s">
        <v>2450</v>
      </c>
      <c r="K247" s="9" t="s">
        <v>907</v>
      </c>
      <c r="L247" s="9" t="s">
        <v>2450</v>
      </c>
      <c r="M247" s="9" t="s">
        <v>501</v>
      </c>
      <c r="AG247" s="31" t="str">
        <f>HYPERLINK("#8","M9366005 →")</f>
        <v>M9366005 →</v>
      </c>
    </row>
    <row r="248" spans="1:33" ht="18.399999999999999" customHeight="1" x14ac:dyDescent="0.15">
      <c r="B248" s="9" t="s">
        <v>191</v>
      </c>
      <c r="C248" s="9" t="s">
        <v>2450</v>
      </c>
      <c r="D248" s="9">
        <v>25</v>
      </c>
      <c r="E248" s="30" t="s">
        <v>1030</v>
      </c>
      <c r="F248" s="30">
        <v>0</v>
      </c>
      <c r="G248" s="30">
        <f>TRUNC((G247) * D248/100, 0)</f>
        <v>4332</v>
      </c>
      <c r="H248" s="9" t="s">
        <v>2450</v>
      </c>
      <c r="I248" s="9" t="s">
        <v>2450</v>
      </c>
      <c r="K248" s="9" t="s">
        <v>257</v>
      </c>
      <c r="L248" s="9" t="s">
        <v>2450</v>
      </c>
      <c r="M248" s="9" t="s">
        <v>1639</v>
      </c>
      <c r="N248" s="9" t="s">
        <v>2450</v>
      </c>
      <c r="AG248" s="31" t="str">
        <f>HYPERLINK("#8","F/M1 →")</f>
        <v>F/M1 →</v>
      </c>
    </row>
    <row r="249" spans="1:33" ht="18.399999999999999" customHeight="1" x14ac:dyDescent="0.15">
      <c r="B249" s="9" t="s">
        <v>2088</v>
      </c>
      <c r="G249" s="30">
        <f>TRUNC(G247+G248, 0)</f>
        <v>21663</v>
      </c>
    </row>
    <row r="250" spans="1:33" ht="18.399999999999999" customHeight="1" x14ac:dyDescent="0.15">
      <c r="A250" s="9" t="s">
        <v>1006</v>
      </c>
      <c r="B250" s="9" t="s">
        <v>586</v>
      </c>
      <c r="C250" s="9" t="s">
        <v>1361</v>
      </c>
      <c r="D250" s="9">
        <v>1</v>
      </c>
      <c r="E250" s="30" t="s">
        <v>1455</v>
      </c>
      <c r="F250" s="30">
        <f>TRUNC(중기기초자료!E30 * 중기전역변수!C18, 0)</f>
        <v>59020</v>
      </c>
      <c r="G250" s="30">
        <f>TRUNC(F250*D250, 0)</f>
        <v>59020</v>
      </c>
      <c r="H250" s="9" t="s">
        <v>2450</v>
      </c>
      <c r="I250" s="9" t="s">
        <v>2450</v>
      </c>
      <c r="K250" s="9" t="s">
        <v>1383</v>
      </c>
      <c r="L250" s="9" t="s">
        <v>2450</v>
      </c>
      <c r="M250" s="9" t="s">
        <v>1405</v>
      </c>
      <c r="AG250" s="31" t="str">
        <f>HYPERLINK("#8","L086 →")</f>
        <v>L086 →</v>
      </c>
    </row>
    <row r="251" spans="1:33" ht="18.399999999999999" customHeight="1" x14ac:dyDescent="0.15">
      <c r="B251" s="9" t="s">
        <v>2088</v>
      </c>
      <c r="G251" s="30">
        <f>TRUNC(G250, 0)</f>
        <v>59020</v>
      </c>
    </row>
    <row r="252" spans="1:33" ht="18.399999999999999" customHeight="1" x14ac:dyDescent="0.15">
      <c r="B252" s="9" t="s">
        <v>242</v>
      </c>
      <c r="G252" s="30">
        <f>TRUNC(G246+G249+G251, 0)</f>
        <v>97153</v>
      </c>
    </row>
    <row r="253" spans="1:33" ht="18.399999999999999" customHeight="1" x14ac:dyDescent="0.15">
      <c r="A253" s="4"/>
      <c r="B253" s="4"/>
      <c r="C253" s="4"/>
      <c r="D253" s="4"/>
      <c r="E253" s="4"/>
      <c r="F253" s="4"/>
      <c r="G253" s="4"/>
      <c r="H253" s="4"/>
    </row>
    <row r="254" spans="1:33" ht="18.399999999999999" customHeight="1" x14ac:dyDescent="0.15">
      <c r="A254" s="4" t="s">
        <v>2172</v>
      </c>
      <c r="B254" s="4" t="s">
        <v>1264</v>
      </c>
      <c r="C254" s="4"/>
      <c r="D254" s="4"/>
      <c r="E254" s="4"/>
      <c r="F254" s="4"/>
      <c r="G254" s="4"/>
      <c r="H254" s="4"/>
      <c r="I254" s="9" t="s">
        <v>2450</v>
      </c>
      <c r="J254" s="9" t="s">
        <v>1576</v>
      </c>
    </row>
    <row r="255" spans="1:33" ht="18.399999999999999" customHeight="1" x14ac:dyDescent="0.15">
      <c r="A255" s="4" t="s">
        <v>698</v>
      </c>
      <c r="B255" s="4" t="s">
        <v>800</v>
      </c>
      <c r="C255" s="4"/>
      <c r="D255" s="4"/>
      <c r="E255" s="4"/>
      <c r="F255" s="4"/>
      <c r="G255" s="4"/>
      <c r="H255" s="4"/>
    </row>
    <row r="256" spans="1:33" ht="18.399999999999999" customHeight="1" x14ac:dyDescent="0.15">
      <c r="A256" s="29" t="s">
        <v>1874</v>
      </c>
      <c r="B256" s="29"/>
      <c r="C256" s="29" t="s">
        <v>1202</v>
      </c>
      <c r="D256" s="29" t="s">
        <v>64</v>
      </c>
      <c r="E256" s="29" t="s">
        <v>2282</v>
      </c>
      <c r="F256" s="29" t="s">
        <v>575</v>
      </c>
      <c r="G256" s="29" t="s">
        <v>320</v>
      </c>
      <c r="H256" s="29" t="s">
        <v>659</v>
      </c>
    </row>
    <row r="257" spans="1:33" ht="18.399999999999999" customHeight="1" x14ac:dyDescent="0.15">
      <c r="A257" s="9" t="s">
        <v>156</v>
      </c>
      <c r="B257" s="9" t="s">
        <v>1105</v>
      </c>
      <c r="C257" s="9" t="s">
        <v>2126</v>
      </c>
      <c r="D257" s="9">
        <f>(4000 + 1333 + 1021)*10^-4</f>
        <v>0.63540000000000008</v>
      </c>
      <c r="E257" s="30" t="s">
        <v>297</v>
      </c>
      <c r="F257" s="30">
        <f>중기기초자료!F23</f>
        <v>3249</v>
      </c>
      <c r="G257" s="30">
        <f>TRUNC(F257*D257, 0)</f>
        <v>2064</v>
      </c>
      <c r="H257" s="9" t="s">
        <v>2450</v>
      </c>
      <c r="I257" s="9" t="s">
        <v>2450</v>
      </c>
      <c r="K257" s="9" t="s">
        <v>289</v>
      </c>
      <c r="L257" s="9" t="s">
        <v>2450</v>
      </c>
      <c r="M257" s="9" t="s">
        <v>1069</v>
      </c>
      <c r="N257" s="9" t="s">
        <v>1355</v>
      </c>
      <c r="AG257" s="31" t="str">
        <f>HYPERLINK("#8","G44300400 →")</f>
        <v>G44300400 →</v>
      </c>
    </row>
    <row r="258" spans="1:33" ht="18.399999999999999" customHeight="1" x14ac:dyDescent="0.15">
      <c r="B258" s="9" t="s">
        <v>2088</v>
      </c>
      <c r="G258" s="30">
        <f>TRUNC(G257, 0)</f>
        <v>2064</v>
      </c>
    </row>
    <row r="259" spans="1:33" ht="18.399999999999999" customHeight="1" x14ac:dyDescent="0.15">
      <c r="A259" s="9" t="s">
        <v>1648</v>
      </c>
      <c r="B259" s="9" t="s">
        <v>732</v>
      </c>
      <c r="C259" s="9" t="s">
        <v>2450</v>
      </c>
      <c r="D259" s="9">
        <v>5.6</v>
      </c>
      <c r="E259" s="30" t="s">
        <v>2410</v>
      </c>
      <c r="F259" s="30">
        <f>중기기초자료!D33</f>
        <v>1612</v>
      </c>
      <c r="G259" s="30">
        <f>TRUNC(F259*D259, 0)</f>
        <v>9027</v>
      </c>
      <c r="H259" s="9" t="s">
        <v>2450</v>
      </c>
      <c r="I259" s="9" t="s">
        <v>2450</v>
      </c>
      <c r="K259" s="9" t="s">
        <v>907</v>
      </c>
      <c r="L259" s="9" t="s">
        <v>2450</v>
      </c>
      <c r="M259" s="9" t="s">
        <v>2085</v>
      </c>
      <c r="AG259" s="31" t="str">
        <f>HYPERLINK("#8","M9360003 →")</f>
        <v>M9360003 →</v>
      </c>
    </row>
    <row r="260" spans="1:33" ht="18.399999999999999" customHeight="1" x14ac:dyDescent="0.15">
      <c r="B260" s="9" t="s">
        <v>191</v>
      </c>
      <c r="C260" s="9" t="s">
        <v>2450</v>
      </c>
      <c r="D260" s="9">
        <v>20</v>
      </c>
      <c r="E260" s="30" t="s">
        <v>1030</v>
      </c>
      <c r="F260" s="30">
        <v>0</v>
      </c>
      <c r="G260" s="30">
        <f>TRUNC((G259) * D260/100, 0)</f>
        <v>1805</v>
      </c>
      <c r="H260" s="9" t="s">
        <v>2450</v>
      </c>
      <c r="I260" s="9" t="s">
        <v>2450</v>
      </c>
      <c r="K260" s="9" t="s">
        <v>257</v>
      </c>
      <c r="L260" s="9" t="s">
        <v>2450</v>
      </c>
      <c r="M260" s="9" t="s">
        <v>1639</v>
      </c>
      <c r="N260" s="9" t="s">
        <v>2450</v>
      </c>
      <c r="AG260" s="31" t="str">
        <f>HYPERLINK("#8","F/M1 →")</f>
        <v>F/M1 →</v>
      </c>
    </row>
    <row r="261" spans="1:33" ht="18.399999999999999" customHeight="1" x14ac:dyDescent="0.15">
      <c r="B261" s="9" t="s">
        <v>2088</v>
      </c>
      <c r="G261" s="30">
        <f>TRUNC(G259+G260, 0)</f>
        <v>10832</v>
      </c>
    </row>
    <row r="262" spans="1:33" ht="18.399999999999999" customHeight="1" x14ac:dyDescent="0.15">
      <c r="A262" s="9" t="s">
        <v>1006</v>
      </c>
      <c r="B262" s="9" t="s">
        <v>1233</v>
      </c>
      <c r="C262" s="9" t="s">
        <v>611</v>
      </c>
      <c r="D262" s="9">
        <v>1</v>
      </c>
      <c r="E262" s="30" t="s">
        <v>1455</v>
      </c>
      <c r="F262" s="30">
        <f>TRUNC(중기기초자료!E32 * 중기전역변수!C18, 0)</f>
        <v>36248</v>
      </c>
      <c r="G262" s="30">
        <f>TRUNC(F262*D262, 0)</f>
        <v>36248</v>
      </c>
      <c r="H262" s="9" t="s">
        <v>2450</v>
      </c>
      <c r="I262" s="9" t="s">
        <v>2450</v>
      </c>
      <c r="K262" s="9" t="s">
        <v>1383</v>
      </c>
      <c r="L262" s="9" t="s">
        <v>2450</v>
      </c>
      <c r="M262" s="9" t="s">
        <v>1394</v>
      </c>
      <c r="AG262" s="31" t="str">
        <f>HYPERLINK("#8","L088 →")</f>
        <v>L088 →</v>
      </c>
    </row>
    <row r="263" spans="1:33" ht="18.399999999999999" customHeight="1" x14ac:dyDescent="0.15">
      <c r="B263" s="9" t="s">
        <v>2088</v>
      </c>
      <c r="G263" s="30">
        <f>TRUNC(G262, 0)</f>
        <v>36248</v>
      </c>
    </row>
    <row r="264" spans="1:33" ht="18.399999999999999" customHeight="1" x14ac:dyDescent="0.15">
      <c r="B264" s="9" t="s">
        <v>242</v>
      </c>
      <c r="G264" s="30">
        <f>TRUNC(G258+G261+G263, 0)</f>
        <v>49144</v>
      </c>
    </row>
    <row r="265" spans="1:33" ht="18.399999999999999" customHeight="1" x14ac:dyDescent="0.15">
      <c r="A265" s="4"/>
      <c r="B265" s="4"/>
      <c r="C265" s="4"/>
      <c r="D265" s="4"/>
      <c r="E265" s="4"/>
      <c r="F265" s="4"/>
      <c r="G265" s="4"/>
      <c r="H265" s="4"/>
    </row>
    <row r="266" spans="1:33" ht="18.399999999999999" customHeight="1" x14ac:dyDescent="0.15">
      <c r="A266" s="4" t="s">
        <v>2172</v>
      </c>
      <c r="B266" s="4" t="s">
        <v>587</v>
      </c>
      <c r="C266" s="4"/>
      <c r="D266" s="4"/>
      <c r="E266" s="4"/>
      <c r="F266" s="4"/>
      <c r="G266" s="4"/>
      <c r="H266" s="4"/>
      <c r="I266" s="9" t="s">
        <v>2450</v>
      </c>
      <c r="J266" s="9" t="s">
        <v>805</v>
      </c>
    </row>
    <row r="267" spans="1:33" ht="18.399999999999999" customHeight="1" x14ac:dyDescent="0.15">
      <c r="A267" s="4" t="s">
        <v>698</v>
      </c>
      <c r="B267" s="4" t="s">
        <v>1622</v>
      </c>
      <c r="C267" s="4"/>
      <c r="D267" s="4"/>
      <c r="E267" s="4"/>
      <c r="F267" s="4"/>
      <c r="G267" s="4"/>
      <c r="H267" s="4"/>
    </row>
    <row r="268" spans="1:33" ht="18.399999999999999" customHeight="1" x14ac:dyDescent="0.15">
      <c r="A268" s="29" t="s">
        <v>1874</v>
      </c>
      <c r="B268" s="29"/>
      <c r="C268" s="29" t="s">
        <v>1202</v>
      </c>
      <c r="D268" s="29" t="s">
        <v>64</v>
      </c>
      <c r="E268" s="29" t="s">
        <v>2282</v>
      </c>
      <c r="F268" s="29" t="s">
        <v>575</v>
      </c>
      <c r="G268" s="29" t="s">
        <v>320</v>
      </c>
      <c r="H268" s="29" t="s">
        <v>659</v>
      </c>
    </row>
    <row r="269" spans="1:33" ht="18.399999999999999" customHeight="1" x14ac:dyDescent="0.15">
      <c r="A269" s="9" t="s">
        <v>156</v>
      </c>
      <c r="B269" s="9" t="s">
        <v>748</v>
      </c>
      <c r="C269" s="9" t="s">
        <v>1604</v>
      </c>
      <c r="D269" s="9">
        <f>(750 + 417 + 552)*10^-4</f>
        <v>0.1719</v>
      </c>
      <c r="E269" s="30" t="s">
        <v>297</v>
      </c>
      <c r="F269" s="30">
        <f>중기기초자료!F24</f>
        <v>14224</v>
      </c>
      <c r="G269" s="30">
        <f>TRUNC(F269*D269, 0)</f>
        <v>2445</v>
      </c>
      <c r="H269" s="9" t="s">
        <v>2450</v>
      </c>
      <c r="I269" s="9" t="s">
        <v>2450</v>
      </c>
      <c r="K269" s="9" t="s">
        <v>289</v>
      </c>
      <c r="L269" s="9" t="s">
        <v>2450</v>
      </c>
      <c r="M269" s="9" t="s">
        <v>1257</v>
      </c>
      <c r="N269" s="9" t="s">
        <v>417</v>
      </c>
      <c r="AG269" s="31" t="str">
        <f>HYPERLINK("#8","G52050035 →")</f>
        <v>G52050035 →</v>
      </c>
    </row>
    <row r="270" spans="1:33" ht="18.399999999999999" customHeight="1" x14ac:dyDescent="0.15">
      <c r="B270" s="9" t="s">
        <v>2088</v>
      </c>
      <c r="G270" s="30">
        <f>TRUNC(G269, 0)</f>
        <v>2445</v>
      </c>
    </row>
    <row r="271" spans="1:33" ht="18.399999999999999" customHeight="1" x14ac:dyDescent="0.15">
      <c r="A271" s="9" t="s">
        <v>1648</v>
      </c>
      <c r="B271" s="9" t="s">
        <v>408</v>
      </c>
      <c r="C271" s="9" t="s">
        <v>2450</v>
      </c>
      <c r="D271" s="9">
        <v>6.2</v>
      </c>
      <c r="E271" s="30" t="s">
        <v>2410</v>
      </c>
      <c r="F271" s="30">
        <f>중기기초자료!D34</f>
        <v>1590</v>
      </c>
      <c r="G271" s="30">
        <f>TRUNC(F271*D271, 0)</f>
        <v>9858</v>
      </c>
      <c r="H271" s="9" t="s">
        <v>2450</v>
      </c>
      <c r="I271" s="9" t="s">
        <v>2450</v>
      </c>
      <c r="K271" s="9" t="s">
        <v>907</v>
      </c>
      <c r="L271" s="9" t="s">
        <v>2450</v>
      </c>
      <c r="M271" s="9" t="s">
        <v>501</v>
      </c>
      <c r="AG271" s="31" t="str">
        <f>HYPERLINK("#8","M9366005 →")</f>
        <v>M9366005 →</v>
      </c>
    </row>
    <row r="272" spans="1:33" ht="18.399999999999999" customHeight="1" x14ac:dyDescent="0.15">
      <c r="B272" s="9" t="s">
        <v>191</v>
      </c>
      <c r="C272" s="9" t="s">
        <v>2450</v>
      </c>
      <c r="D272" s="9">
        <v>16</v>
      </c>
      <c r="E272" s="30" t="s">
        <v>1030</v>
      </c>
      <c r="F272" s="30">
        <v>0</v>
      </c>
      <c r="G272" s="30">
        <f>TRUNC((G271) * D272/100, 0)</f>
        <v>1577</v>
      </c>
      <c r="H272" s="9" t="s">
        <v>2450</v>
      </c>
      <c r="I272" s="9" t="s">
        <v>2450</v>
      </c>
      <c r="K272" s="9" t="s">
        <v>257</v>
      </c>
      <c r="L272" s="9" t="s">
        <v>2450</v>
      </c>
      <c r="M272" s="9" t="s">
        <v>1639</v>
      </c>
      <c r="N272" s="9" t="s">
        <v>2450</v>
      </c>
      <c r="AG272" s="31" t="str">
        <f>HYPERLINK("#8","F/M1 →")</f>
        <v>F/M1 →</v>
      </c>
    </row>
    <row r="273" spans="1:33" ht="18.399999999999999" customHeight="1" x14ac:dyDescent="0.15">
      <c r="B273" s="9" t="s">
        <v>2088</v>
      </c>
      <c r="G273" s="30">
        <f>TRUNC(G271+G272, 0)</f>
        <v>11435</v>
      </c>
    </row>
    <row r="274" spans="1:33" ht="18.399999999999999" customHeight="1" x14ac:dyDescent="0.15">
      <c r="A274" s="9" t="s">
        <v>1006</v>
      </c>
      <c r="B274" s="9" t="s">
        <v>586</v>
      </c>
      <c r="C274" s="9" t="s">
        <v>1295</v>
      </c>
      <c r="D274" s="9">
        <v>1</v>
      </c>
      <c r="E274" s="30" t="s">
        <v>1455</v>
      </c>
      <c r="F274" s="30">
        <f>TRUNC(중기기초자료!E30 * 중기전역변수!C18, 0)</f>
        <v>59020</v>
      </c>
      <c r="G274" s="30">
        <f>TRUNC(F274*D274, 0)</f>
        <v>59020</v>
      </c>
      <c r="H274" s="9" t="s">
        <v>2450</v>
      </c>
      <c r="I274" s="9" t="s">
        <v>2346</v>
      </c>
      <c r="K274" s="9" t="s">
        <v>1383</v>
      </c>
      <c r="L274" s="9" t="s">
        <v>2450</v>
      </c>
      <c r="M274" s="9" t="s">
        <v>1405</v>
      </c>
      <c r="AG274" s="31" t="str">
        <f>HYPERLINK("#8","L086 →")</f>
        <v>L086 →</v>
      </c>
    </row>
    <row r="275" spans="1:33" ht="18.399999999999999" customHeight="1" x14ac:dyDescent="0.15">
      <c r="B275" s="9" t="s">
        <v>2088</v>
      </c>
      <c r="G275" s="30">
        <f>TRUNC(G274, 0)</f>
        <v>59020</v>
      </c>
    </row>
    <row r="276" spans="1:33" ht="18.399999999999999" customHeight="1" x14ac:dyDescent="0.15">
      <c r="B276" s="9" t="s">
        <v>242</v>
      </c>
      <c r="G276" s="30">
        <f>TRUNC(G270+G273+G275, 0)</f>
        <v>72900</v>
      </c>
    </row>
    <row r="277" spans="1:33" ht="18.399999999999999" customHeight="1" x14ac:dyDescent="0.15">
      <c r="A277" s="4"/>
      <c r="B277" s="4"/>
      <c r="C277" s="4"/>
      <c r="D277" s="4"/>
      <c r="E277" s="4"/>
      <c r="F277" s="4"/>
      <c r="G277" s="4"/>
      <c r="H277" s="4"/>
    </row>
    <row r="278" spans="1:33" ht="18.399999999999999" customHeight="1" x14ac:dyDescent="0.15">
      <c r="A278" s="4" t="s">
        <v>2172</v>
      </c>
      <c r="B278" s="4" t="s">
        <v>1731</v>
      </c>
      <c r="C278" s="4"/>
      <c r="D278" s="4"/>
      <c r="E278" s="4"/>
      <c r="F278" s="4"/>
      <c r="G278" s="4"/>
      <c r="H278" s="4"/>
      <c r="I278" s="9" t="s">
        <v>2450</v>
      </c>
      <c r="J278" s="9" t="s">
        <v>437</v>
      </c>
    </row>
    <row r="279" spans="1:33" ht="18.399999999999999" customHeight="1" x14ac:dyDescent="0.15">
      <c r="A279" s="4" t="s">
        <v>698</v>
      </c>
      <c r="B279" s="4" t="s">
        <v>2027</v>
      </c>
      <c r="C279" s="4"/>
      <c r="D279" s="4"/>
      <c r="E279" s="4"/>
      <c r="F279" s="4"/>
      <c r="G279" s="4"/>
      <c r="H279" s="4"/>
    </row>
    <row r="280" spans="1:33" ht="18.399999999999999" customHeight="1" x14ac:dyDescent="0.15">
      <c r="A280" s="29" t="s">
        <v>1874</v>
      </c>
      <c r="B280" s="29"/>
      <c r="C280" s="29" t="s">
        <v>1202</v>
      </c>
      <c r="D280" s="29" t="s">
        <v>64</v>
      </c>
      <c r="E280" s="29" t="s">
        <v>2282</v>
      </c>
      <c r="F280" s="29" t="s">
        <v>575</v>
      </c>
      <c r="G280" s="29" t="s">
        <v>320</v>
      </c>
      <c r="H280" s="29" t="s">
        <v>659</v>
      </c>
    </row>
    <row r="281" spans="1:33" ht="18.399999999999999" customHeight="1" x14ac:dyDescent="0.15">
      <c r="A281" s="9" t="s">
        <v>156</v>
      </c>
      <c r="B281" s="9" t="s">
        <v>455</v>
      </c>
      <c r="C281" s="9" t="s">
        <v>383</v>
      </c>
      <c r="D281" s="9">
        <f>(2500 + 0 + 0)*10^-4</f>
        <v>0.25</v>
      </c>
      <c r="E281" s="30" t="s">
        <v>297</v>
      </c>
      <c r="F281" s="30">
        <f>중기기초자료!F25</f>
        <v>1976</v>
      </c>
      <c r="G281" s="30">
        <f>TRUNC(F281*D281, 0)</f>
        <v>494</v>
      </c>
      <c r="H281" s="9" t="s">
        <v>2450</v>
      </c>
      <c r="I281" s="9" t="s">
        <v>2450</v>
      </c>
      <c r="K281" s="9" t="s">
        <v>289</v>
      </c>
      <c r="L281" s="9" t="s">
        <v>2450</v>
      </c>
      <c r="M281" s="9" t="s">
        <v>2210</v>
      </c>
      <c r="N281" s="9" t="s">
        <v>403</v>
      </c>
      <c r="AG281" s="31" t="str">
        <f>HYPERLINK("#8","G52100013 →")</f>
        <v>G52100013 →</v>
      </c>
    </row>
    <row r="282" spans="1:33" ht="18.399999999999999" customHeight="1" x14ac:dyDescent="0.15">
      <c r="B282" s="9" t="s">
        <v>2088</v>
      </c>
      <c r="G282" s="30">
        <f>TRUNC(G281, 0)</f>
        <v>494</v>
      </c>
    </row>
    <row r="283" spans="1:33" ht="18.399999999999999" customHeight="1" x14ac:dyDescent="0.15">
      <c r="A283" s="9" t="s">
        <v>1648</v>
      </c>
    </row>
    <row r="284" spans="1:33" ht="18.399999999999999" customHeight="1" x14ac:dyDescent="0.15">
      <c r="B284" s="9" t="s">
        <v>2088</v>
      </c>
    </row>
    <row r="285" spans="1:33" ht="18.399999999999999" customHeight="1" x14ac:dyDescent="0.15">
      <c r="A285" s="9" t="s">
        <v>1006</v>
      </c>
    </row>
    <row r="286" spans="1:33" ht="18.399999999999999" customHeight="1" x14ac:dyDescent="0.15">
      <c r="B286" s="9" t="s">
        <v>2088</v>
      </c>
    </row>
    <row r="287" spans="1:33" ht="18.399999999999999" customHeight="1" x14ac:dyDescent="0.15">
      <c r="B287" s="9" t="s">
        <v>242</v>
      </c>
      <c r="G287" s="30">
        <f>TRUNC(G282+G284+G286, 0)</f>
        <v>494</v>
      </c>
    </row>
    <row r="288" spans="1:33" ht="18.399999999999999" customHeight="1" x14ac:dyDescent="0.15">
      <c r="A288" s="4"/>
      <c r="B288" s="4"/>
      <c r="C288" s="4"/>
      <c r="D288" s="4"/>
      <c r="E288" s="4"/>
      <c r="F288" s="4"/>
      <c r="G288" s="4"/>
      <c r="H288" s="4"/>
    </row>
    <row r="289" spans="1:33" ht="18.399999999999999" customHeight="1" x14ac:dyDescent="0.15">
      <c r="A289" s="4" t="s">
        <v>2172</v>
      </c>
      <c r="B289" s="4" t="s">
        <v>606</v>
      </c>
      <c r="C289" s="4"/>
      <c r="D289" s="4"/>
      <c r="E289" s="4"/>
      <c r="F289" s="4"/>
      <c r="G289" s="4"/>
      <c r="H289" s="4"/>
      <c r="I289" s="9" t="s">
        <v>2450</v>
      </c>
      <c r="J289" s="9" t="s">
        <v>45</v>
      </c>
    </row>
    <row r="290" spans="1:33" ht="18.399999999999999" customHeight="1" x14ac:dyDescent="0.15">
      <c r="A290" s="4" t="s">
        <v>698</v>
      </c>
      <c r="B290" s="4" t="s">
        <v>519</v>
      </c>
      <c r="C290" s="4"/>
      <c r="D290" s="4"/>
      <c r="E290" s="4"/>
      <c r="F290" s="4"/>
      <c r="G290" s="4"/>
      <c r="H290" s="4"/>
    </row>
    <row r="291" spans="1:33" ht="18.399999999999999" customHeight="1" x14ac:dyDescent="0.15">
      <c r="A291" s="29" t="s">
        <v>1874</v>
      </c>
      <c r="B291" s="29"/>
      <c r="C291" s="29" t="s">
        <v>1202</v>
      </c>
      <c r="D291" s="29" t="s">
        <v>64</v>
      </c>
      <c r="E291" s="29" t="s">
        <v>2282</v>
      </c>
      <c r="F291" s="29" t="s">
        <v>575</v>
      </c>
      <c r="G291" s="29" t="s">
        <v>320</v>
      </c>
      <c r="H291" s="29" t="s">
        <v>659</v>
      </c>
    </row>
    <row r="292" spans="1:33" ht="18.399999999999999" customHeight="1" x14ac:dyDescent="0.15">
      <c r="A292" s="9" t="s">
        <v>156</v>
      </c>
      <c r="B292" s="9" t="s">
        <v>484</v>
      </c>
      <c r="C292" s="9" t="s">
        <v>1494</v>
      </c>
      <c r="D292" s="9">
        <f>(818 + 636 + 659)*10^-4</f>
        <v>0.21130000000000002</v>
      </c>
      <c r="E292" s="30" t="s">
        <v>297</v>
      </c>
      <c r="F292" s="30">
        <f>중기기초자료!F26</f>
        <v>47263</v>
      </c>
      <c r="G292" s="30">
        <f>TRUNC(F292*D292, 0)</f>
        <v>9986</v>
      </c>
      <c r="H292" s="9" t="s">
        <v>2450</v>
      </c>
      <c r="I292" s="9" t="s">
        <v>2450</v>
      </c>
      <c r="K292" s="9" t="s">
        <v>289</v>
      </c>
      <c r="L292" s="9" t="s">
        <v>2450</v>
      </c>
      <c r="M292" s="9" t="s">
        <v>1971</v>
      </c>
      <c r="N292" s="9" t="s">
        <v>51</v>
      </c>
      <c r="AG292" s="31" t="str">
        <f>HYPERLINK("#8","G72040055 →")</f>
        <v>G72040055 →</v>
      </c>
    </row>
    <row r="293" spans="1:33" ht="18.399999999999999" customHeight="1" x14ac:dyDescent="0.15">
      <c r="B293" s="9" t="s">
        <v>2088</v>
      </c>
      <c r="G293" s="30">
        <f>TRUNC(G292, 0)</f>
        <v>9986</v>
      </c>
    </row>
    <row r="294" spans="1:33" ht="18.399999999999999" customHeight="1" x14ac:dyDescent="0.15">
      <c r="A294" s="9" t="s">
        <v>1648</v>
      </c>
      <c r="B294" s="9" t="s">
        <v>408</v>
      </c>
      <c r="C294" s="9" t="s">
        <v>2450</v>
      </c>
      <c r="D294" s="9">
        <v>9.3000000000000007</v>
      </c>
      <c r="E294" s="30" t="s">
        <v>2410</v>
      </c>
      <c r="F294" s="30">
        <f>중기기초자료!D34</f>
        <v>1590</v>
      </c>
      <c r="G294" s="30">
        <f>TRUNC(F294*D294, 0)</f>
        <v>14787</v>
      </c>
      <c r="H294" s="9" t="s">
        <v>2450</v>
      </c>
      <c r="I294" s="9" t="s">
        <v>2450</v>
      </c>
      <c r="K294" s="9" t="s">
        <v>907</v>
      </c>
      <c r="L294" s="9" t="s">
        <v>2450</v>
      </c>
      <c r="M294" s="9" t="s">
        <v>501</v>
      </c>
      <c r="AG294" s="31" t="str">
        <f>HYPERLINK("#8","M9366005 →")</f>
        <v>M9366005 →</v>
      </c>
    </row>
    <row r="295" spans="1:33" ht="18.399999999999999" customHeight="1" x14ac:dyDescent="0.15">
      <c r="B295" s="9" t="s">
        <v>191</v>
      </c>
      <c r="C295" s="9" t="s">
        <v>2450</v>
      </c>
      <c r="D295" s="9">
        <v>30</v>
      </c>
      <c r="E295" s="30" t="s">
        <v>1030</v>
      </c>
      <c r="F295" s="30">
        <v>0</v>
      </c>
      <c r="G295" s="30">
        <f>TRUNC((G294) * D295/100, 0)</f>
        <v>4436</v>
      </c>
      <c r="H295" s="9" t="s">
        <v>2450</v>
      </c>
      <c r="I295" s="9" t="s">
        <v>2450</v>
      </c>
      <c r="K295" s="9" t="s">
        <v>257</v>
      </c>
      <c r="L295" s="9" t="s">
        <v>2450</v>
      </c>
      <c r="M295" s="9" t="s">
        <v>1639</v>
      </c>
      <c r="N295" s="9" t="s">
        <v>2450</v>
      </c>
      <c r="AG295" s="31" t="str">
        <f>HYPERLINK("#8","F/M1 →")</f>
        <v>F/M1 →</v>
      </c>
    </row>
    <row r="296" spans="1:33" ht="18.399999999999999" customHeight="1" x14ac:dyDescent="0.15">
      <c r="B296" s="9" t="s">
        <v>2088</v>
      </c>
      <c r="G296" s="30">
        <f>TRUNC(G294+G295, 0)</f>
        <v>19223</v>
      </c>
    </row>
    <row r="297" spans="1:33" ht="18.399999999999999" customHeight="1" x14ac:dyDescent="0.15">
      <c r="A297" s="9" t="s">
        <v>1006</v>
      </c>
      <c r="B297" s="9" t="s">
        <v>180</v>
      </c>
      <c r="C297" s="9" t="s">
        <v>1365</v>
      </c>
      <c r="D297" s="9">
        <v>1</v>
      </c>
      <c r="E297" s="30" t="s">
        <v>1455</v>
      </c>
      <c r="F297" s="30">
        <f>TRUNC(중기기초자료!E31 * 중기전역변수!C18, 0)</f>
        <v>49778</v>
      </c>
      <c r="G297" s="30">
        <f>TRUNC(F297*D297, 0)</f>
        <v>49778</v>
      </c>
      <c r="H297" s="9" t="s">
        <v>2450</v>
      </c>
      <c r="I297" s="9" t="s">
        <v>2450</v>
      </c>
      <c r="K297" s="9" t="s">
        <v>1383</v>
      </c>
      <c r="L297" s="9" t="s">
        <v>2450</v>
      </c>
      <c r="M297" s="9" t="s">
        <v>23</v>
      </c>
      <c r="AG297" s="31" t="str">
        <f>HYPERLINK("#8","L087 →")</f>
        <v>L087 →</v>
      </c>
    </row>
    <row r="298" spans="1:33" ht="18.399999999999999" customHeight="1" x14ac:dyDescent="0.15">
      <c r="B298" s="9" t="s">
        <v>2088</v>
      </c>
      <c r="G298" s="30">
        <f>TRUNC(G297, 0)</f>
        <v>49778</v>
      </c>
    </row>
    <row r="299" spans="1:33" ht="18.399999999999999" customHeight="1" x14ac:dyDescent="0.15">
      <c r="B299" s="9" t="s">
        <v>242</v>
      </c>
      <c r="G299" s="30">
        <f>TRUNC(G293+G296+G298, 0)</f>
        <v>78987</v>
      </c>
    </row>
    <row r="300" spans="1:33" ht="18.399999999999999" customHeight="1" x14ac:dyDescent="0.15">
      <c r="A300" s="4"/>
      <c r="B300" s="4"/>
      <c r="C300" s="4"/>
      <c r="D300" s="4"/>
      <c r="E300" s="4"/>
      <c r="F300" s="4"/>
      <c r="G300" s="4"/>
      <c r="H300" s="4"/>
    </row>
    <row r="301" spans="1:33" ht="18.399999999999999" customHeight="1" x14ac:dyDescent="0.15">
      <c r="A301" s="4" t="s">
        <v>2172</v>
      </c>
      <c r="B301" s="4" t="s">
        <v>1603</v>
      </c>
      <c r="C301" s="4"/>
      <c r="D301" s="4"/>
      <c r="E301" s="4"/>
      <c r="F301" s="4"/>
      <c r="G301" s="4"/>
      <c r="H301" s="4"/>
      <c r="I301" s="9" t="s">
        <v>2450</v>
      </c>
      <c r="J301" s="9" t="s">
        <v>1218</v>
      </c>
    </row>
    <row r="302" spans="1:33" ht="18.399999999999999" customHeight="1" x14ac:dyDescent="0.15">
      <c r="A302" s="4" t="s">
        <v>698</v>
      </c>
      <c r="B302" s="4" t="s">
        <v>431</v>
      </c>
      <c r="C302" s="4"/>
      <c r="D302" s="4"/>
      <c r="E302" s="4"/>
      <c r="F302" s="4"/>
      <c r="G302" s="4"/>
      <c r="H302" s="4"/>
    </row>
    <row r="303" spans="1:33" ht="18.399999999999999" customHeight="1" x14ac:dyDescent="0.15">
      <c r="A303" s="29" t="s">
        <v>1874</v>
      </c>
      <c r="B303" s="29"/>
      <c r="C303" s="29" t="s">
        <v>1202</v>
      </c>
      <c r="D303" s="29" t="s">
        <v>64</v>
      </c>
      <c r="E303" s="29" t="s">
        <v>2282</v>
      </c>
      <c r="F303" s="29" t="s">
        <v>575</v>
      </c>
      <c r="G303" s="29" t="s">
        <v>320</v>
      </c>
      <c r="H303" s="29" t="s">
        <v>659</v>
      </c>
    </row>
    <row r="304" spans="1:33" ht="18.399999999999999" customHeight="1" x14ac:dyDescent="0.15">
      <c r="A304" s="9" t="s">
        <v>156</v>
      </c>
      <c r="B304" s="9" t="s">
        <v>484</v>
      </c>
      <c r="C304" s="9" t="s">
        <v>1174</v>
      </c>
      <c r="D304" s="9">
        <f>(818 + 636 + 659)*10^-4</f>
        <v>0.21130000000000002</v>
      </c>
      <c r="E304" s="30" t="s">
        <v>297</v>
      </c>
      <c r="F304" s="30">
        <f>중기기초자료!F27</f>
        <v>90649</v>
      </c>
      <c r="G304" s="30">
        <f>TRUNC(F304*D304, 0)</f>
        <v>19154</v>
      </c>
      <c r="H304" s="9" t="s">
        <v>2450</v>
      </c>
      <c r="I304" s="9" t="s">
        <v>2450</v>
      </c>
      <c r="K304" s="9" t="s">
        <v>289</v>
      </c>
      <c r="L304" s="9" t="s">
        <v>2450</v>
      </c>
      <c r="M304" s="9" t="s">
        <v>1695</v>
      </c>
      <c r="N304" s="9" t="s">
        <v>51</v>
      </c>
      <c r="AG304" s="31" t="str">
        <f>HYPERLINK("#8","G72040160 →")</f>
        <v>G72040160 →</v>
      </c>
    </row>
    <row r="305" spans="1:33" ht="18.399999999999999" customHeight="1" x14ac:dyDescent="0.15">
      <c r="B305" s="9" t="s">
        <v>2088</v>
      </c>
      <c r="G305" s="30">
        <f>TRUNC(G304, 0)</f>
        <v>19154</v>
      </c>
    </row>
    <row r="306" spans="1:33" ht="18.399999999999999" customHeight="1" x14ac:dyDescent="0.15">
      <c r="A306" s="9" t="s">
        <v>1648</v>
      </c>
      <c r="B306" s="9" t="s">
        <v>408</v>
      </c>
      <c r="C306" s="9" t="s">
        <v>2450</v>
      </c>
      <c r="D306" s="9">
        <v>12.9</v>
      </c>
      <c r="E306" s="30" t="s">
        <v>2410</v>
      </c>
      <c r="F306" s="30">
        <f>중기기초자료!D34</f>
        <v>1590</v>
      </c>
      <c r="G306" s="30">
        <f>TRUNC(F306*D306, 0)</f>
        <v>20511</v>
      </c>
      <c r="H306" s="9" t="s">
        <v>2450</v>
      </c>
      <c r="I306" s="9" t="s">
        <v>2450</v>
      </c>
      <c r="K306" s="9" t="s">
        <v>907</v>
      </c>
      <c r="L306" s="9" t="s">
        <v>2450</v>
      </c>
      <c r="M306" s="9" t="s">
        <v>501</v>
      </c>
      <c r="AG306" s="31" t="str">
        <f>HYPERLINK("#8","M9366005 →")</f>
        <v>M9366005 →</v>
      </c>
    </row>
    <row r="307" spans="1:33" ht="18.399999999999999" customHeight="1" x14ac:dyDescent="0.15">
      <c r="B307" s="9" t="s">
        <v>191</v>
      </c>
      <c r="C307" s="9" t="s">
        <v>2450</v>
      </c>
      <c r="D307" s="9">
        <v>30</v>
      </c>
      <c r="E307" s="30" t="s">
        <v>1030</v>
      </c>
      <c r="F307" s="30">
        <v>0</v>
      </c>
      <c r="G307" s="30">
        <f>TRUNC((G306) * D307/100, 0)</f>
        <v>6153</v>
      </c>
      <c r="H307" s="9" t="s">
        <v>2450</v>
      </c>
      <c r="I307" s="9" t="s">
        <v>2450</v>
      </c>
      <c r="K307" s="9" t="s">
        <v>257</v>
      </c>
      <c r="L307" s="9" t="s">
        <v>2450</v>
      </c>
      <c r="M307" s="9" t="s">
        <v>1639</v>
      </c>
      <c r="N307" s="9" t="s">
        <v>2450</v>
      </c>
      <c r="AG307" s="31" t="str">
        <f>HYPERLINK("#8","F/M1 →")</f>
        <v>F/M1 →</v>
      </c>
    </row>
    <row r="308" spans="1:33" ht="18.399999999999999" customHeight="1" x14ac:dyDescent="0.15">
      <c r="B308" s="9" t="s">
        <v>2088</v>
      </c>
      <c r="G308" s="30">
        <f>TRUNC(G306+G307, 0)</f>
        <v>26664</v>
      </c>
    </row>
    <row r="309" spans="1:33" ht="18.399999999999999" customHeight="1" x14ac:dyDescent="0.15">
      <c r="A309" s="9" t="s">
        <v>1006</v>
      </c>
      <c r="B309" s="9" t="s">
        <v>180</v>
      </c>
      <c r="C309" s="9" t="s">
        <v>1365</v>
      </c>
      <c r="D309" s="9">
        <v>1</v>
      </c>
      <c r="E309" s="30" t="s">
        <v>1455</v>
      </c>
      <c r="F309" s="30">
        <f>TRUNC(중기기초자료!E31 * 중기전역변수!C18, 0)</f>
        <v>49778</v>
      </c>
      <c r="G309" s="30">
        <f>TRUNC(F309*D309, 0)</f>
        <v>49778</v>
      </c>
      <c r="H309" s="9" t="s">
        <v>2450</v>
      </c>
      <c r="I309" s="9" t="s">
        <v>2450</v>
      </c>
      <c r="K309" s="9" t="s">
        <v>1383</v>
      </c>
      <c r="L309" s="9" t="s">
        <v>2450</v>
      </c>
      <c r="M309" s="9" t="s">
        <v>23</v>
      </c>
      <c r="AG309" s="31" t="str">
        <f>HYPERLINK("#8","L087 →")</f>
        <v>L087 →</v>
      </c>
    </row>
    <row r="310" spans="1:33" ht="18.399999999999999" customHeight="1" x14ac:dyDescent="0.15">
      <c r="B310" s="9" t="s">
        <v>2088</v>
      </c>
      <c r="G310" s="30">
        <f>TRUNC(G309, 0)</f>
        <v>49778</v>
      </c>
    </row>
    <row r="311" spans="1:33" ht="18.399999999999999" customHeight="1" x14ac:dyDescent="0.15">
      <c r="B311" s="9" t="s">
        <v>242</v>
      </c>
      <c r="G311" s="30">
        <f>TRUNC(G305+G308+G310, 0)</f>
        <v>95596</v>
      </c>
    </row>
    <row r="312" spans="1:33" ht="18.399999999999999" customHeight="1" x14ac:dyDescent="0.15">
      <c r="A312" s="4"/>
      <c r="B312" s="4"/>
      <c r="C312" s="4"/>
      <c r="D312" s="4"/>
      <c r="E312" s="4"/>
      <c r="F312" s="4"/>
      <c r="G312" s="4"/>
      <c r="H312" s="4"/>
    </row>
    <row r="313" spans="1:33" ht="18.399999999999999" customHeight="1" x14ac:dyDescent="0.15">
      <c r="A313" s="4" t="s">
        <v>2172</v>
      </c>
      <c r="B313" s="4" t="s">
        <v>308</v>
      </c>
      <c r="C313" s="4"/>
      <c r="D313" s="4"/>
      <c r="E313" s="4"/>
      <c r="F313" s="4"/>
      <c r="G313" s="4"/>
      <c r="H313" s="4"/>
      <c r="I313" s="9" t="s">
        <v>2450</v>
      </c>
      <c r="J313" s="9" t="s">
        <v>2308</v>
      </c>
    </row>
    <row r="314" spans="1:33" ht="18.399999999999999" customHeight="1" x14ac:dyDescent="0.15">
      <c r="A314" s="4" t="s">
        <v>698</v>
      </c>
      <c r="B314" s="4" t="s">
        <v>765</v>
      </c>
      <c r="C314" s="4"/>
      <c r="D314" s="4"/>
      <c r="E314" s="4"/>
      <c r="F314" s="4"/>
      <c r="G314" s="4"/>
      <c r="H314" s="4"/>
    </row>
    <row r="315" spans="1:33" ht="18.399999999999999" customHeight="1" x14ac:dyDescent="0.15">
      <c r="A315" s="29" t="s">
        <v>1874</v>
      </c>
      <c r="B315" s="29"/>
      <c r="C315" s="29" t="s">
        <v>1202</v>
      </c>
      <c r="D315" s="29" t="s">
        <v>64</v>
      </c>
      <c r="E315" s="29" t="s">
        <v>2282</v>
      </c>
      <c r="F315" s="29" t="s">
        <v>575</v>
      </c>
      <c r="G315" s="29" t="s">
        <v>320</v>
      </c>
      <c r="H315" s="29" t="s">
        <v>659</v>
      </c>
    </row>
    <row r="316" spans="1:33" ht="18.399999999999999" customHeight="1" x14ac:dyDescent="0.15">
      <c r="A316" s="9" t="s">
        <v>156</v>
      </c>
      <c r="B316" s="9" t="s">
        <v>2052</v>
      </c>
      <c r="C316" s="9" t="s">
        <v>2219</v>
      </c>
      <c r="D316" s="9">
        <f>(1125 + 1000 + 674)*10^-4</f>
        <v>0.27990000000000004</v>
      </c>
      <c r="E316" s="30" t="s">
        <v>297</v>
      </c>
      <c r="F316" s="30">
        <f>중기기초자료!F28</f>
        <v>922</v>
      </c>
      <c r="G316" s="30">
        <f>TRUNC(F316*D316, 0)</f>
        <v>258</v>
      </c>
      <c r="H316" s="9" t="s">
        <v>2450</v>
      </c>
      <c r="I316" s="9" t="s">
        <v>2450</v>
      </c>
      <c r="K316" s="9" t="s">
        <v>289</v>
      </c>
      <c r="L316" s="9" t="s">
        <v>2450</v>
      </c>
      <c r="M316" s="9" t="s">
        <v>580</v>
      </c>
      <c r="N316" s="9" t="s">
        <v>2314</v>
      </c>
      <c r="AG316" s="31" t="str">
        <f>HYPERLINK("#8","G72100485 →")</f>
        <v>G72100485 →</v>
      </c>
    </row>
    <row r="317" spans="1:33" ht="18.399999999999999" customHeight="1" x14ac:dyDescent="0.15">
      <c r="B317" s="9" t="s">
        <v>2088</v>
      </c>
      <c r="G317" s="30">
        <f>TRUNC(G316, 0)</f>
        <v>258</v>
      </c>
    </row>
    <row r="318" spans="1:33" ht="18.399999999999999" customHeight="1" x14ac:dyDescent="0.15">
      <c r="A318" s="9" t="s">
        <v>1648</v>
      </c>
      <c r="B318" s="9" t="s">
        <v>732</v>
      </c>
      <c r="C318" s="9" t="s">
        <v>2450</v>
      </c>
      <c r="D318" s="9">
        <v>1.3</v>
      </c>
      <c r="E318" s="30" t="s">
        <v>2410</v>
      </c>
      <c r="F318" s="30">
        <f>중기기초자료!D33</f>
        <v>1612</v>
      </c>
      <c r="G318" s="30">
        <f>TRUNC(F318*D318, 0)</f>
        <v>2095</v>
      </c>
      <c r="H318" s="9" t="s">
        <v>2450</v>
      </c>
      <c r="I318" s="9" t="s">
        <v>2450</v>
      </c>
      <c r="K318" s="9" t="s">
        <v>2115</v>
      </c>
      <c r="L318" s="9" t="s">
        <v>2450</v>
      </c>
      <c r="M318" s="9" t="s">
        <v>2085</v>
      </c>
      <c r="AG318" s="31" t="str">
        <f>HYPERLINK("#8","M9360003 →")</f>
        <v>M9360003 →</v>
      </c>
    </row>
    <row r="319" spans="1:33" ht="18.399999999999999" customHeight="1" x14ac:dyDescent="0.15">
      <c r="B319" s="9" t="s">
        <v>191</v>
      </c>
      <c r="C319" s="9" t="s">
        <v>2450</v>
      </c>
      <c r="D319" s="9">
        <v>20</v>
      </c>
      <c r="E319" s="30" t="s">
        <v>1030</v>
      </c>
      <c r="F319" s="30">
        <v>0</v>
      </c>
      <c r="G319" s="30">
        <f>TRUNC((G318) * D319/100, 0)</f>
        <v>419</v>
      </c>
      <c r="H319" s="9" t="s">
        <v>2450</v>
      </c>
      <c r="I319" s="9" t="s">
        <v>2450</v>
      </c>
      <c r="K319" s="9" t="s">
        <v>1495</v>
      </c>
      <c r="L319" s="9" t="s">
        <v>2450</v>
      </c>
      <c r="M319" s="9" t="s">
        <v>1639</v>
      </c>
      <c r="N319" s="9" t="s">
        <v>2450</v>
      </c>
      <c r="AG319" s="31" t="str">
        <f>HYPERLINK("#8","F/M1 →")</f>
        <v>F/M1 →</v>
      </c>
    </row>
    <row r="320" spans="1:33" ht="18.399999999999999" customHeight="1" x14ac:dyDescent="0.15">
      <c r="B320" s="9" t="s">
        <v>2088</v>
      </c>
      <c r="G320" s="30">
        <f>TRUNC(G318+G319, 0)</f>
        <v>2514</v>
      </c>
    </row>
    <row r="321" spans="1:33" ht="18.399999999999999" customHeight="1" x14ac:dyDescent="0.15">
      <c r="A321" s="9" t="s">
        <v>1006</v>
      </c>
    </row>
    <row r="322" spans="1:33" ht="18.399999999999999" customHeight="1" x14ac:dyDescent="0.15">
      <c r="B322" s="9" t="s">
        <v>2088</v>
      </c>
    </row>
    <row r="323" spans="1:33" ht="18.399999999999999" customHeight="1" x14ac:dyDescent="0.15">
      <c r="B323" s="9" t="s">
        <v>242</v>
      </c>
      <c r="G323" s="30">
        <f>TRUNC(G317+G320+G322, 0)</f>
        <v>2772</v>
      </c>
    </row>
    <row r="324" spans="1:33" ht="18.399999999999999" customHeight="1" x14ac:dyDescent="0.15">
      <c r="A324" s="4"/>
      <c r="B324" s="4"/>
      <c r="C324" s="4"/>
      <c r="D324" s="4"/>
      <c r="E324" s="4"/>
      <c r="F324" s="4"/>
      <c r="G324" s="4"/>
      <c r="H324" s="4"/>
    </row>
    <row r="325" spans="1:33" ht="18.399999999999999" customHeight="1" x14ac:dyDescent="0.15">
      <c r="A325" s="4" t="s">
        <v>2172</v>
      </c>
      <c r="B325" s="4" t="s">
        <v>311</v>
      </c>
      <c r="C325" s="4"/>
      <c r="D325" s="4"/>
      <c r="E325" s="4"/>
      <c r="F325" s="4"/>
      <c r="G325" s="4"/>
      <c r="H325" s="4"/>
      <c r="I325" s="9" t="s">
        <v>2450</v>
      </c>
      <c r="J325" s="9" t="s">
        <v>853</v>
      </c>
    </row>
    <row r="326" spans="1:33" ht="18.399999999999999" customHeight="1" x14ac:dyDescent="0.15">
      <c r="A326" s="4" t="s">
        <v>698</v>
      </c>
      <c r="B326" s="4" t="s">
        <v>1052</v>
      </c>
      <c r="C326" s="4"/>
      <c r="D326" s="4"/>
      <c r="E326" s="4"/>
      <c r="F326" s="4"/>
      <c r="G326" s="4"/>
      <c r="H326" s="4"/>
    </row>
    <row r="327" spans="1:33" ht="18.399999999999999" customHeight="1" x14ac:dyDescent="0.15">
      <c r="A327" s="29" t="s">
        <v>1874</v>
      </c>
      <c r="B327" s="29"/>
      <c r="C327" s="29" t="s">
        <v>1202</v>
      </c>
      <c r="D327" s="29" t="s">
        <v>64</v>
      </c>
      <c r="E327" s="29" t="s">
        <v>2282</v>
      </c>
      <c r="F327" s="29" t="s">
        <v>575</v>
      </c>
      <c r="G327" s="29" t="s">
        <v>320</v>
      </c>
      <c r="H327" s="29" t="s">
        <v>659</v>
      </c>
    </row>
    <row r="328" spans="1:33" ht="18.399999999999999" customHeight="1" x14ac:dyDescent="0.15">
      <c r="A328" s="9" t="s">
        <v>156</v>
      </c>
      <c r="B328" s="9" t="s">
        <v>2348</v>
      </c>
      <c r="C328" s="9" t="s">
        <v>444</v>
      </c>
      <c r="D328" s="9">
        <f>(1125 + 563 + 674)*10^-4</f>
        <v>0.23620000000000002</v>
      </c>
      <c r="E328" s="30" t="s">
        <v>297</v>
      </c>
      <c r="F328" s="30">
        <f>중기기초자료!F29</f>
        <v>68298</v>
      </c>
      <c r="G328" s="30">
        <f>TRUNC(F328*D328, 0)</f>
        <v>16131</v>
      </c>
      <c r="H328" s="9" t="s">
        <v>2450</v>
      </c>
      <c r="I328" s="9" t="s">
        <v>2450</v>
      </c>
      <c r="K328" s="9" t="s">
        <v>289</v>
      </c>
      <c r="L328" s="9" t="s">
        <v>2450</v>
      </c>
      <c r="M328" s="9" t="s">
        <v>1501</v>
      </c>
      <c r="N328" s="9" t="s">
        <v>535</v>
      </c>
      <c r="AG328" s="31" t="str">
        <f>HYPERLINK("#8","G73300010 →")</f>
        <v>G73300010 →</v>
      </c>
    </row>
    <row r="329" spans="1:33" ht="18.399999999999999" customHeight="1" x14ac:dyDescent="0.15">
      <c r="B329" s="9" t="s">
        <v>2088</v>
      </c>
      <c r="G329" s="30">
        <f>TRUNC(G328, 0)</f>
        <v>16131</v>
      </c>
    </row>
    <row r="330" spans="1:33" ht="18.399999999999999" customHeight="1" x14ac:dyDescent="0.15">
      <c r="A330" s="9" t="s">
        <v>1648</v>
      </c>
      <c r="B330" s="9" t="s">
        <v>408</v>
      </c>
      <c r="C330" s="9" t="s">
        <v>2450</v>
      </c>
      <c r="D330" s="9">
        <v>20.7</v>
      </c>
      <c r="E330" s="30" t="s">
        <v>2410</v>
      </c>
      <c r="F330" s="30">
        <f>중기기초자료!D34</f>
        <v>1590</v>
      </c>
      <c r="G330" s="30">
        <f>TRUNC(F330*D330, 0)</f>
        <v>32913</v>
      </c>
      <c r="H330" s="9" t="s">
        <v>2450</v>
      </c>
      <c r="I330" s="9" t="s">
        <v>2450</v>
      </c>
      <c r="K330" s="9" t="s">
        <v>907</v>
      </c>
      <c r="L330" s="9" t="s">
        <v>2450</v>
      </c>
      <c r="M330" s="9" t="s">
        <v>501</v>
      </c>
      <c r="AG330" s="31" t="str">
        <f>HYPERLINK("#8","M9366005 →")</f>
        <v>M9366005 →</v>
      </c>
    </row>
    <row r="331" spans="1:33" ht="18.399999999999999" customHeight="1" x14ac:dyDescent="0.15">
      <c r="B331" s="9" t="s">
        <v>191</v>
      </c>
      <c r="C331" s="9" t="s">
        <v>2450</v>
      </c>
      <c r="D331" s="9">
        <v>4</v>
      </c>
      <c r="E331" s="30" t="s">
        <v>1030</v>
      </c>
      <c r="F331" s="30">
        <v>0</v>
      </c>
      <c r="G331" s="30">
        <f>TRUNC((G330) * D331/100, 0)</f>
        <v>1316</v>
      </c>
      <c r="H331" s="9" t="s">
        <v>2450</v>
      </c>
      <c r="I331" s="9" t="s">
        <v>2450</v>
      </c>
      <c r="K331" s="9" t="s">
        <v>257</v>
      </c>
      <c r="L331" s="9" t="s">
        <v>2450</v>
      </c>
      <c r="M331" s="9" t="s">
        <v>1639</v>
      </c>
      <c r="N331" s="9" t="s">
        <v>2450</v>
      </c>
      <c r="AG331" s="31" t="str">
        <f>HYPERLINK("#8","F/M1 →")</f>
        <v>F/M1 →</v>
      </c>
    </row>
    <row r="332" spans="1:33" ht="18.399999999999999" customHeight="1" x14ac:dyDescent="0.15">
      <c r="B332" s="9" t="s">
        <v>2088</v>
      </c>
      <c r="G332" s="30">
        <f>TRUNC(G330+G331, 0)</f>
        <v>34229</v>
      </c>
    </row>
    <row r="333" spans="1:33" ht="18.399999999999999" customHeight="1" x14ac:dyDescent="0.15">
      <c r="A333" s="9" t="s">
        <v>1006</v>
      </c>
      <c r="B333" s="9" t="s">
        <v>1233</v>
      </c>
      <c r="C333" s="9" t="s">
        <v>611</v>
      </c>
      <c r="D333" s="9">
        <v>1</v>
      </c>
      <c r="E333" s="30" t="s">
        <v>1455</v>
      </c>
      <c r="F333" s="30">
        <f>TRUNC(중기기초자료!E32 * 중기전역변수!C18, 0)</f>
        <v>36248</v>
      </c>
      <c r="G333" s="30">
        <f>TRUNC(F333*D333, 0)</f>
        <v>36248</v>
      </c>
      <c r="H333" s="9" t="s">
        <v>2450</v>
      </c>
      <c r="I333" s="9" t="s">
        <v>2450</v>
      </c>
      <c r="K333" s="9" t="s">
        <v>1383</v>
      </c>
      <c r="L333" s="9" t="s">
        <v>2450</v>
      </c>
      <c r="M333" s="9" t="s">
        <v>1394</v>
      </c>
      <c r="AG333" s="31" t="str">
        <f>HYPERLINK("#8","L088 →")</f>
        <v>L088 →</v>
      </c>
    </row>
    <row r="334" spans="1:33" ht="18.399999999999999" customHeight="1" x14ac:dyDescent="0.15">
      <c r="B334" s="9" t="s">
        <v>2088</v>
      </c>
      <c r="G334" s="30">
        <f>TRUNC(G333, 0)</f>
        <v>36248</v>
      </c>
    </row>
    <row r="335" spans="1:33" ht="18.399999999999999" customHeight="1" x14ac:dyDescent="0.15">
      <c r="B335" s="9" t="s">
        <v>242</v>
      </c>
      <c r="G335" s="30">
        <f>TRUNC(G329+G332+G334, 0)</f>
        <v>86608</v>
      </c>
    </row>
    <row r="336" spans="1:33" ht="18.399999999999999" customHeight="1" x14ac:dyDescent="0.15">
      <c r="A336" s="4"/>
      <c r="B336" s="4"/>
      <c r="C336" s="4"/>
      <c r="D336" s="4"/>
      <c r="E336" s="4"/>
      <c r="F336" s="4"/>
      <c r="G336" s="4"/>
      <c r="H336" s="4"/>
    </row>
  </sheetData>
  <phoneticPr fontId="5" type="noConversion"/>
  <pageMargins left="0.31496062992125984" right="0.31496062992125984" top="1" bottom="0.59055118110236215" header="0.5" footer="0.5"/>
  <pageSetup paperSize="9" orientation="portrait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B2" sqref="B2"/>
    </sheetView>
  </sheetViews>
  <sheetFormatPr defaultRowHeight="18.399999999999999" customHeight="1" x14ac:dyDescent="0.15"/>
  <cols>
    <col min="1" max="1" width="25" customWidth="1"/>
    <col min="2" max="2" width="20" customWidth="1"/>
    <col min="3" max="3" width="5" customWidth="1"/>
    <col min="4" max="7" width="15" customWidth="1"/>
    <col min="8" max="8" width="10" customWidth="1"/>
    <col min="9" max="10" width="0" hidden="1" customWidth="1"/>
  </cols>
  <sheetData>
    <row r="1" spans="1:10" ht="18.399999999999999" customHeight="1" x14ac:dyDescent="0.15">
      <c r="A1" t="s">
        <v>977</v>
      </c>
    </row>
    <row r="2" spans="1:10" ht="18.399999999999999" customHeight="1" x14ac:dyDescent="0.15">
      <c r="A2" s="16" t="s">
        <v>1704</v>
      </c>
      <c r="B2" s="17" t="s">
        <v>940</v>
      </c>
      <c r="C2" s="17" t="s">
        <v>2282</v>
      </c>
      <c r="D2" s="17" t="s">
        <v>1648</v>
      </c>
      <c r="E2" s="17" t="s">
        <v>1006</v>
      </c>
      <c r="F2" s="17" t="s">
        <v>156</v>
      </c>
      <c r="G2" s="17" t="s">
        <v>2371</v>
      </c>
      <c r="H2" s="19" t="s">
        <v>659</v>
      </c>
    </row>
    <row r="3" spans="1:10" ht="18.399999999999999" customHeight="1" x14ac:dyDescent="0.15">
      <c r="A3" s="11" t="s">
        <v>802</v>
      </c>
      <c r="B3" s="2" t="s">
        <v>2112</v>
      </c>
      <c r="C3" s="2" t="s">
        <v>297</v>
      </c>
      <c r="D3" s="27">
        <v>0</v>
      </c>
      <c r="E3" s="27">
        <v>0</v>
      </c>
      <c r="F3" s="27">
        <v>84000</v>
      </c>
      <c r="G3" s="27">
        <v>84000</v>
      </c>
      <c r="H3" s="20" t="s">
        <v>2450</v>
      </c>
      <c r="I3" t="s">
        <v>2450</v>
      </c>
      <c r="J3" t="s">
        <v>1023</v>
      </c>
    </row>
    <row r="4" spans="1:10" ht="18.399999999999999" customHeight="1" x14ac:dyDescent="0.15">
      <c r="A4" s="11" t="s">
        <v>802</v>
      </c>
      <c r="B4" s="2" t="s">
        <v>869</v>
      </c>
      <c r="C4" s="2" t="s">
        <v>297</v>
      </c>
      <c r="D4" s="27">
        <v>0</v>
      </c>
      <c r="E4" s="27">
        <v>0</v>
      </c>
      <c r="F4" s="27">
        <v>112342</v>
      </c>
      <c r="G4" s="27">
        <v>112342</v>
      </c>
      <c r="H4" s="20" t="s">
        <v>2450</v>
      </c>
      <c r="I4" t="s">
        <v>2450</v>
      </c>
      <c r="J4" t="s">
        <v>2239</v>
      </c>
    </row>
    <row r="5" spans="1:10" ht="18.399999999999999" customHeight="1" x14ac:dyDescent="0.15">
      <c r="A5" s="11" t="s">
        <v>802</v>
      </c>
      <c r="B5" s="2" t="s">
        <v>495</v>
      </c>
      <c r="C5" s="2" t="s">
        <v>297</v>
      </c>
      <c r="D5" s="27">
        <v>0</v>
      </c>
      <c r="E5" s="27">
        <v>0</v>
      </c>
      <c r="F5" s="27">
        <v>117766</v>
      </c>
      <c r="G5" s="27">
        <v>117766</v>
      </c>
      <c r="H5" s="20" t="s">
        <v>2450</v>
      </c>
      <c r="I5" t="s">
        <v>2450</v>
      </c>
      <c r="J5" t="s">
        <v>1621</v>
      </c>
    </row>
    <row r="6" spans="1:10" ht="18.399999999999999" customHeight="1" x14ac:dyDescent="0.15">
      <c r="A6" s="11" t="s">
        <v>802</v>
      </c>
      <c r="B6" s="2" t="s">
        <v>450</v>
      </c>
      <c r="C6" s="2" t="s">
        <v>297</v>
      </c>
      <c r="D6" s="27">
        <v>0</v>
      </c>
      <c r="E6" s="27">
        <v>0</v>
      </c>
      <c r="F6" s="27">
        <v>142069</v>
      </c>
      <c r="G6" s="27">
        <v>142069</v>
      </c>
      <c r="H6" s="20" t="s">
        <v>2450</v>
      </c>
      <c r="I6" t="s">
        <v>2450</v>
      </c>
      <c r="J6" t="s">
        <v>900</v>
      </c>
    </row>
    <row r="7" spans="1:10" ht="18.399999999999999" customHeight="1" x14ac:dyDescent="0.15">
      <c r="A7" s="11" t="s">
        <v>750</v>
      </c>
      <c r="B7" s="2" t="s">
        <v>1577</v>
      </c>
      <c r="C7" s="2" t="s">
        <v>297</v>
      </c>
      <c r="D7" s="27">
        <v>0</v>
      </c>
      <c r="E7" s="27">
        <v>0</v>
      </c>
      <c r="F7" s="27">
        <v>17289</v>
      </c>
      <c r="G7" s="27">
        <v>17289</v>
      </c>
      <c r="H7" s="20" t="s">
        <v>2450</v>
      </c>
      <c r="I7" t="s">
        <v>2450</v>
      </c>
      <c r="J7" t="s">
        <v>1989</v>
      </c>
    </row>
    <row r="8" spans="1:10" ht="18.399999999999999" customHeight="1" x14ac:dyDescent="0.15">
      <c r="A8" s="11" t="s">
        <v>1085</v>
      </c>
      <c r="B8" s="2" t="s">
        <v>1017</v>
      </c>
      <c r="C8" s="2" t="s">
        <v>297</v>
      </c>
      <c r="D8" s="27">
        <v>0</v>
      </c>
      <c r="E8" s="27">
        <v>0</v>
      </c>
      <c r="F8" s="27">
        <v>21982</v>
      </c>
      <c r="G8" s="27">
        <v>21982</v>
      </c>
      <c r="H8" s="20" t="s">
        <v>2450</v>
      </c>
      <c r="I8" t="s">
        <v>2450</v>
      </c>
      <c r="J8" t="s">
        <v>1553</v>
      </c>
    </row>
    <row r="9" spans="1:10" ht="18.399999999999999" customHeight="1" x14ac:dyDescent="0.15">
      <c r="A9" s="11" t="s">
        <v>1085</v>
      </c>
      <c r="B9" s="2" t="s">
        <v>316</v>
      </c>
      <c r="C9" s="2" t="s">
        <v>297</v>
      </c>
      <c r="D9" s="27">
        <v>0</v>
      </c>
      <c r="E9" s="27">
        <v>0</v>
      </c>
      <c r="F9" s="27">
        <v>25662</v>
      </c>
      <c r="G9" s="27">
        <v>25662</v>
      </c>
      <c r="H9" s="20" t="s">
        <v>2450</v>
      </c>
      <c r="I9" t="s">
        <v>2450</v>
      </c>
      <c r="J9" t="s">
        <v>351</v>
      </c>
    </row>
    <row r="10" spans="1:10" ht="18.399999999999999" customHeight="1" x14ac:dyDescent="0.15">
      <c r="A10" s="11" t="s">
        <v>1085</v>
      </c>
      <c r="B10" s="2" t="s">
        <v>1692</v>
      </c>
      <c r="C10" s="2" t="s">
        <v>297</v>
      </c>
      <c r="D10" s="27">
        <v>0</v>
      </c>
      <c r="E10" s="27">
        <v>0</v>
      </c>
      <c r="F10" s="27">
        <v>147825</v>
      </c>
      <c r="G10" s="27">
        <v>147825</v>
      </c>
      <c r="H10" s="20" t="s">
        <v>2450</v>
      </c>
      <c r="I10" t="s">
        <v>2450</v>
      </c>
      <c r="J10" t="s">
        <v>1875</v>
      </c>
    </row>
    <row r="11" spans="1:10" ht="18.399999999999999" customHeight="1" x14ac:dyDescent="0.15">
      <c r="A11" s="11" t="s">
        <v>70</v>
      </c>
      <c r="B11" s="2" t="s">
        <v>1692</v>
      </c>
      <c r="C11" s="2" t="s">
        <v>297</v>
      </c>
      <c r="D11" s="27">
        <v>0</v>
      </c>
      <c r="E11" s="27">
        <v>0</v>
      </c>
      <c r="F11" s="27">
        <v>1896</v>
      </c>
      <c r="G11" s="27">
        <v>1896</v>
      </c>
      <c r="H11" s="20" t="s">
        <v>2450</v>
      </c>
      <c r="I11" t="s">
        <v>2450</v>
      </c>
      <c r="J11" t="s">
        <v>0</v>
      </c>
    </row>
    <row r="12" spans="1:10" ht="18.399999999999999" customHeight="1" x14ac:dyDescent="0.15">
      <c r="A12" s="11" t="s">
        <v>1625</v>
      </c>
      <c r="B12" s="2" t="s">
        <v>12</v>
      </c>
      <c r="C12" s="2" t="s">
        <v>297</v>
      </c>
      <c r="D12" s="27">
        <v>0</v>
      </c>
      <c r="E12" s="27">
        <v>0</v>
      </c>
      <c r="F12" s="27">
        <v>71351</v>
      </c>
      <c r="G12" s="27">
        <v>71351</v>
      </c>
      <c r="H12" s="20" t="s">
        <v>2450</v>
      </c>
      <c r="I12" t="s">
        <v>2450</v>
      </c>
      <c r="J12" t="s">
        <v>166</v>
      </c>
    </row>
    <row r="13" spans="1:10" ht="18.399999999999999" customHeight="1" x14ac:dyDescent="0.15">
      <c r="A13" s="11" t="s">
        <v>528</v>
      </c>
      <c r="B13" s="2" t="s">
        <v>1750</v>
      </c>
      <c r="C13" s="2" t="s">
        <v>297</v>
      </c>
      <c r="D13" s="27">
        <v>0</v>
      </c>
      <c r="E13" s="27">
        <v>0</v>
      </c>
      <c r="F13" s="27">
        <v>48513</v>
      </c>
      <c r="G13" s="27">
        <v>48513</v>
      </c>
      <c r="H13" s="20" t="s">
        <v>2450</v>
      </c>
      <c r="I13" t="s">
        <v>2450</v>
      </c>
      <c r="J13" t="s">
        <v>1980</v>
      </c>
    </row>
    <row r="14" spans="1:10" ht="18.399999999999999" customHeight="1" x14ac:dyDescent="0.15">
      <c r="A14" s="11" t="s">
        <v>1327</v>
      </c>
      <c r="B14" s="2" t="s">
        <v>819</v>
      </c>
      <c r="C14" s="2" t="s">
        <v>297</v>
      </c>
      <c r="D14" s="27">
        <v>0</v>
      </c>
      <c r="E14" s="27">
        <v>0</v>
      </c>
      <c r="F14" s="27">
        <v>6966</v>
      </c>
      <c r="G14" s="27">
        <v>6966</v>
      </c>
      <c r="H14" s="20" t="s">
        <v>2450</v>
      </c>
      <c r="I14" t="s">
        <v>2450</v>
      </c>
      <c r="J14" t="s">
        <v>354</v>
      </c>
    </row>
    <row r="15" spans="1:10" ht="18.399999999999999" customHeight="1" x14ac:dyDescent="0.15">
      <c r="A15" s="11" t="s">
        <v>2278</v>
      </c>
      <c r="B15" s="2" t="s">
        <v>2117</v>
      </c>
      <c r="C15" s="2" t="s">
        <v>297</v>
      </c>
      <c r="D15" s="27">
        <v>0</v>
      </c>
      <c r="E15" s="27">
        <v>0</v>
      </c>
      <c r="F15" s="27">
        <v>94381</v>
      </c>
      <c r="G15" s="27">
        <v>94381</v>
      </c>
      <c r="H15" s="20" t="s">
        <v>2450</v>
      </c>
      <c r="I15" t="s">
        <v>2450</v>
      </c>
      <c r="J15" t="s">
        <v>956</v>
      </c>
    </row>
    <row r="16" spans="1:10" ht="18.399999999999999" customHeight="1" x14ac:dyDescent="0.15">
      <c r="A16" s="11" t="s">
        <v>2278</v>
      </c>
      <c r="B16" s="2" t="s">
        <v>1795</v>
      </c>
      <c r="C16" s="2" t="s">
        <v>297</v>
      </c>
      <c r="D16" s="27">
        <v>0</v>
      </c>
      <c r="E16" s="27">
        <v>0</v>
      </c>
      <c r="F16" s="27">
        <v>103333</v>
      </c>
      <c r="G16" s="27">
        <v>103333</v>
      </c>
      <c r="H16" s="20" t="s">
        <v>2450</v>
      </c>
      <c r="I16" t="s">
        <v>2450</v>
      </c>
      <c r="J16" t="s">
        <v>2178</v>
      </c>
    </row>
    <row r="17" spans="1:10" ht="18.399999999999999" customHeight="1" x14ac:dyDescent="0.15">
      <c r="A17" s="11" t="s">
        <v>2072</v>
      </c>
      <c r="B17" s="2" t="s">
        <v>109</v>
      </c>
      <c r="C17" s="2" t="s">
        <v>297</v>
      </c>
      <c r="D17" s="27">
        <v>0</v>
      </c>
      <c r="E17" s="27">
        <v>0</v>
      </c>
      <c r="F17" s="27">
        <v>98388</v>
      </c>
      <c r="G17" s="27">
        <v>98388</v>
      </c>
      <c r="H17" s="20" t="s">
        <v>2450</v>
      </c>
      <c r="I17" t="s">
        <v>2450</v>
      </c>
      <c r="J17" t="s">
        <v>207</v>
      </c>
    </row>
    <row r="18" spans="1:10" ht="18.399999999999999" customHeight="1" x14ac:dyDescent="0.15">
      <c r="A18" s="11" t="s">
        <v>474</v>
      </c>
      <c r="B18" s="2" t="s">
        <v>2117</v>
      </c>
      <c r="C18" s="2" t="s">
        <v>297</v>
      </c>
      <c r="D18" s="27">
        <v>0</v>
      </c>
      <c r="E18" s="27">
        <v>0</v>
      </c>
      <c r="F18" s="27">
        <v>136400</v>
      </c>
      <c r="G18" s="27">
        <v>136400</v>
      </c>
      <c r="H18" s="20" t="s">
        <v>2450</v>
      </c>
      <c r="I18" t="s">
        <v>2450</v>
      </c>
      <c r="J18" t="s">
        <v>1782</v>
      </c>
    </row>
    <row r="19" spans="1:10" ht="18.399999999999999" customHeight="1" x14ac:dyDescent="0.15">
      <c r="A19" s="11" t="s">
        <v>1130</v>
      </c>
      <c r="B19" s="2" t="s">
        <v>2117</v>
      </c>
      <c r="C19" s="2" t="s">
        <v>297</v>
      </c>
      <c r="D19" s="27">
        <v>0</v>
      </c>
      <c r="E19" s="27">
        <v>0</v>
      </c>
      <c r="F19" s="27">
        <v>91593</v>
      </c>
      <c r="G19" s="27">
        <v>91593</v>
      </c>
      <c r="H19" s="20" t="s">
        <v>2450</v>
      </c>
      <c r="I19" t="s">
        <v>2450</v>
      </c>
      <c r="J19" t="s">
        <v>112</v>
      </c>
    </row>
    <row r="20" spans="1:10" ht="18.399999999999999" customHeight="1" x14ac:dyDescent="0.15">
      <c r="A20" s="11" t="s">
        <v>1993</v>
      </c>
      <c r="B20" s="2" t="s">
        <v>1113</v>
      </c>
      <c r="C20" s="2" t="s">
        <v>297</v>
      </c>
      <c r="D20" s="27">
        <v>0</v>
      </c>
      <c r="E20" s="27">
        <v>0</v>
      </c>
      <c r="F20" s="27">
        <v>67216</v>
      </c>
      <c r="G20" s="27">
        <v>67216</v>
      </c>
      <c r="H20" s="20" t="s">
        <v>2450</v>
      </c>
      <c r="I20" t="s">
        <v>2450</v>
      </c>
      <c r="J20" t="s">
        <v>2192</v>
      </c>
    </row>
    <row r="21" spans="1:10" ht="18.399999999999999" customHeight="1" x14ac:dyDescent="0.15">
      <c r="A21" s="11" t="s">
        <v>803</v>
      </c>
      <c r="B21" s="2" t="s">
        <v>1630</v>
      </c>
      <c r="C21" s="2" t="s">
        <v>297</v>
      </c>
      <c r="D21" s="27">
        <v>0</v>
      </c>
      <c r="E21" s="27">
        <v>0</v>
      </c>
      <c r="F21" s="27">
        <v>250388</v>
      </c>
      <c r="G21" s="27">
        <v>250388</v>
      </c>
      <c r="H21" s="20" t="s">
        <v>2450</v>
      </c>
      <c r="I21" t="s">
        <v>2450</v>
      </c>
      <c r="J21" t="s">
        <v>514</v>
      </c>
    </row>
    <row r="22" spans="1:10" ht="18.399999999999999" customHeight="1" x14ac:dyDescent="0.15">
      <c r="A22" s="11" t="s">
        <v>2354</v>
      </c>
      <c r="B22" s="2" t="s">
        <v>469</v>
      </c>
      <c r="C22" s="2" t="s">
        <v>297</v>
      </c>
      <c r="D22" s="27">
        <v>0</v>
      </c>
      <c r="E22" s="27">
        <v>0</v>
      </c>
      <c r="F22" s="27">
        <v>64113</v>
      </c>
      <c r="G22" s="27">
        <v>64113</v>
      </c>
      <c r="H22" s="20" t="s">
        <v>2450</v>
      </c>
      <c r="I22" t="s">
        <v>2450</v>
      </c>
      <c r="J22" t="s">
        <v>246</v>
      </c>
    </row>
    <row r="23" spans="1:10" ht="18.399999999999999" customHeight="1" x14ac:dyDescent="0.15">
      <c r="A23" s="11" t="s">
        <v>1105</v>
      </c>
      <c r="B23" s="2" t="s">
        <v>2126</v>
      </c>
      <c r="C23" s="2" t="s">
        <v>297</v>
      </c>
      <c r="D23" s="27">
        <v>0</v>
      </c>
      <c r="E23" s="27">
        <v>0</v>
      </c>
      <c r="F23" s="27">
        <v>3249</v>
      </c>
      <c r="G23" s="27">
        <v>3249</v>
      </c>
      <c r="H23" s="20" t="s">
        <v>2450</v>
      </c>
      <c r="I23" t="s">
        <v>2450</v>
      </c>
      <c r="J23" t="s">
        <v>1069</v>
      </c>
    </row>
    <row r="24" spans="1:10" ht="18.399999999999999" customHeight="1" x14ac:dyDescent="0.15">
      <c r="A24" s="11" t="s">
        <v>748</v>
      </c>
      <c r="B24" s="2" t="s">
        <v>1604</v>
      </c>
      <c r="C24" s="2" t="s">
        <v>297</v>
      </c>
      <c r="D24" s="27">
        <v>0</v>
      </c>
      <c r="E24" s="27">
        <v>0</v>
      </c>
      <c r="F24" s="27">
        <v>14224</v>
      </c>
      <c r="G24" s="27">
        <v>14224</v>
      </c>
      <c r="H24" s="20" t="s">
        <v>2450</v>
      </c>
      <c r="I24" t="s">
        <v>2450</v>
      </c>
      <c r="J24" t="s">
        <v>1257</v>
      </c>
    </row>
    <row r="25" spans="1:10" ht="18.399999999999999" customHeight="1" x14ac:dyDescent="0.15">
      <c r="A25" s="11" t="s">
        <v>455</v>
      </c>
      <c r="B25" s="2" t="s">
        <v>383</v>
      </c>
      <c r="C25" s="2" t="s">
        <v>297</v>
      </c>
      <c r="D25" s="27">
        <v>0</v>
      </c>
      <c r="E25" s="27">
        <v>0</v>
      </c>
      <c r="F25" s="27">
        <v>1976</v>
      </c>
      <c r="G25" s="27">
        <v>1976</v>
      </c>
      <c r="H25" s="20" t="s">
        <v>2450</v>
      </c>
      <c r="I25" t="s">
        <v>2450</v>
      </c>
      <c r="J25" t="s">
        <v>2210</v>
      </c>
    </row>
    <row r="26" spans="1:10" ht="18.399999999999999" customHeight="1" x14ac:dyDescent="0.15">
      <c r="A26" s="11" t="s">
        <v>484</v>
      </c>
      <c r="B26" s="2" t="s">
        <v>1494</v>
      </c>
      <c r="C26" s="2" t="s">
        <v>297</v>
      </c>
      <c r="D26" s="27">
        <v>0</v>
      </c>
      <c r="E26" s="27">
        <v>0</v>
      </c>
      <c r="F26" s="27">
        <v>47263</v>
      </c>
      <c r="G26" s="27">
        <v>47263</v>
      </c>
      <c r="H26" s="20" t="s">
        <v>2450</v>
      </c>
      <c r="I26" t="s">
        <v>2450</v>
      </c>
      <c r="J26" t="s">
        <v>1971</v>
      </c>
    </row>
    <row r="27" spans="1:10" ht="18.399999999999999" customHeight="1" x14ac:dyDescent="0.15">
      <c r="A27" s="11" t="s">
        <v>484</v>
      </c>
      <c r="B27" s="2" t="s">
        <v>1174</v>
      </c>
      <c r="C27" s="2" t="s">
        <v>297</v>
      </c>
      <c r="D27" s="27">
        <v>0</v>
      </c>
      <c r="E27" s="27">
        <v>0</v>
      </c>
      <c r="F27" s="27">
        <v>90649</v>
      </c>
      <c r="G27" s="27">
        <v>90649</v>
      </c>
      <c r="H27" s="20" t="s">
        <v>2450</v>
      </c>
      <c r="I27" t="s">
        <v>2450</v>
      </c>
      <c r="J27" t="s">
        <v>1695</v>
      </c>
    </row>
    <row r="28" spans="1:10" ht="18.399999999999999" customHeight="1" x14ac:dyDescent="0.15">
      <c r="A28" s="11" t="s">
        <v>2052</v>
      </c>
      <c r="B28" s="2" t="s">
        <v>2219</v>
      </c>
      <c r="C28" s="2" t="s">
        <v>297</v>
      </c>
      <c r="D28" s="27">
        <v>0</v>
      </c>
      <c r="E28" s="27">
        <v>0</v>
      </c>
      <c r="F28" s="27">
        <v>922</v>
      </c>
      <c r="G28" s="27">
        <v>922</v>
      </c>
      <c r="H28" s="20" t="s">
        <v>2450</v>
      </c>
      <c r="I28" t="s">
        <v>2450</v>
      </c>
      <c r="J28" t="s">
        <v>580</v>
      </c>
    </row>
    <row r="29" spans="1:10" ht="18.399999999999999" customHeight="1" x14ac:dyDescent="0.15">
      <c r="A29" s="11" t="s">
        <v>2348</v>
      </c>
      <c r="B29" s="2" t="s">
        <v>444</v>
      </c>
      <c r="C29" s="2" t="s">
        <v>297</v>
      </c>
      <c r="D29" s="27">
        <v>0</v>
      </c>
      <c r="E29" s="27">
        <v>0</v>
      </c>
      <c r="F29" s="27">
        <v>68298</v>
      </c>
      <c r="G29" s="27">
        <v>68298</v>
      </c>
      <c r="H29" s="20" t="s">
        <v>2450</v>
      </c>
      <c r="I29" t="s">
        <v>2450</v>
      </c>
      <c r="J29" t="s">
        <v>1501</v>
      </c>
    </row>
    <row r="30" spans="1:10" ht="18.399999999999999" customHeight="1" x14ac:dyDescent="0.15">
      <c r="A30" s="11" t="s">
        <v>586</v>
      </c>
      <c r="B30" s="2" t="s">
        <v>2450</v>
      </c>
      <c r="C30" s="2" t="s">
        <v>1455</v>
      </c>
      <c r="D30" s="27">
        <v>0</v>
      </c>
      <c r="E30" s="27">
        <v>283297</v>
      </c>
      <c r="F30" s="27">
        <v>0</v>
      </c>
      <c r="G30" s="27">
        <v>283297</v>
      </c>
      <c r="H30" s="20" t="s">
        <v>2450</v>
      </c>
      <c r="I30" t="s">
        <v>2346</v>
      </c>
      <c r="J30" t="s">
        <v>1405</v>
      </c>
    </row>
    <row r="31" spans="1:10" ht="18.399999999999999" customHeight="1" x14ac:dyDescent="0.15">
      <c r="A31" s="11" t="s">
        <v>180</v>
      </c>
      <c r="B31" s="2" t="s">
        <v>2450</v>
      </c>
      <c r="C31" s="2" t="s">
        <v>1455</v>
      </c>
      <c r="D31" s="27">
        <v>0</v>
      </c>
      <c r="E31" s="27">
        <v>238936</v>
      </c>
      <c r="F31" s="27">
        <v>0</v>
      </c>
      <c r="G31" s="27">
        <v>238936</v>
      </c>
      <c r="H31" s="20" t="s">
        <v>2450</v>
      </c>
      <c r="I31" t="s">
        <v>564</v>
      </c>
      <c r="J31" t="s">
        <v>23</v>
      </c>
    </row>
    <row r="32" spans="1:10" ht="18.399999999999999" customHeight="1" x14ac:dyDescent="0.15">
      <c r="A32" s="11" t="s">
        <v>1233</v>
      </c>
      <c r="B32" s="2" t="s">
        <v>2450</v>
      </c>
      <c r="C32" s="2" t="s">
        <v>1455</v>
      </c>
      <c r="D32" s="27">
        <v>0</v>
      </c>
      <c r="E32" s="27">
        <v>173995</v>
      </c>
      <c r="F32" s="27">
        <v>0</v>
      </c>
      <c r="G32" s="27">
        <v>173995</v>
      </c>
      <c r="H32" s="20" t="s">
        <v>2450</v>
      </c>
      <c r="I32" t="s">
        <v>1657</v>
      </c>
      <c r="J32" t="s">
        <v>1394</v>
      </c>
    </row>
    <row r="33" spans="1:10" ht="18.399999999999999" customHeight="1" x14ac:dyDescent="0.15">
      <c r="A33" s="11" t="s">
        <v>732</v>
      </c>
      <c r="B33" s="2" t="s">
        <v>2450</v>
      </c>
      <c r="C33" s="2" t="s">
        <v>2410</v>
      </c>
      <c r="D33" s="27">
        <v>1612</v>
      </c>
      <c r="E33" s="27">
        <v>0</v>
      </c>
      <c r="F33" s="27">
        <v>0</v>
      </c>
      <c r="G33" s="27">
        <v>1612</v>
      </c>
      <c r="H33" s="20" t="s">
        <v>1927</v>
      </c>
      <c r="I33" t="s">
        <v>2450</v>
      </c>
      <c r="J33" t="s">
        <v>2085</v>
      </c>
    </row>
    <row r="34" spans="1:10" ht="18.399999999999999" customHeight="1" x14ac:dyDescent="0.15">
      <c r="A34" s="13" t="s">
        <v>408</v>
      </c>
      <c r="B34" s="14" t="s">
        <v>2450</v>
      </c>
      <c r="C34" s="14" t="s">
        <v>2410</v>
      </c>
      <c r="D34" s="28">
        <v>1590</v>
      </c>
      <c r="E34" s="28">
        <v>0</v>
      </c>
      <c r="F34" s="28">
        <v>0</v>
      </c>
      <c r="G34" s="28">
        <v>1590</v>
      </c>
      <c r="H34" s="21" t="s">
        <v>1927</v>
      </c>
      <c r="I34" t="s">
        <v>2450</v>
      </c>
      <c r="J34" t="s">
        <v>501</v>
      </c>
    </row>
  </sheetData>
  <phoneticPr fontId="5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B2" sqref="B2"/>
    </sheetView>
  </sheetViews>
  <sheetFormatPr defaultRowHeight="18.399999999999999" customHeight="1" x14ac:dyDescent="0.15"/>
  <cols>
    <col min="1" max="1" width="30" customWidth="1"/>
    <col min="2" max="2" width="25" customWidth="1"/>
    <col min="3" max="3" width="10" customWidth="1"/>
    <col min="4" max="4" width="20" customWidth="1"/>
    <col min="5" max="5" width="30" customWidth="1"/>
    <col min="6" max="13" width="0" hidden="1" customWidth="1"/>
  </cols>
  <sheetData>
    <row r="1" spans="1:8" ht="18.399999999999999" customHeight="1" x14ac:dyDescent="0.15">
      <c r="A1" t="s">
        <v>1115</v>
      </c>
    </row>
    <row r="2" spans="1:8" ht="18.399999999999999" customHeight="1" x14ac:dyDescent="0.15">
      <c r="A2" s="16" t="s">
        <v>1704</v>
      </c>
      <c r="B2" s="17" t="s">
        <v>940</v>
      </c>
      <c r="C2" s="17" t="s">
        <v>2282</v>
      </c>
      <c r="D2" s="17" t="s">
        <v>1296</v>
      </c>
      <c r="E2" s="19" t="s">
        <v>659</v>
      </c>
    </row>
    <row r="3" spans="1:8" ht="18.399999999999999" customHeight="1" x14ac:dyDescent="0.15">
      <c r="A3" s="11" t="s">
        <v>913</v>
      </c>
      <c r="B3" s="2" t="s">
        <v>253</v>
      </c>
      <c r="C3" s="2" t="s">
        <v>1963</v>
      </c>
      <c r="D3" s="25">
        <v>28500</v>
      </c>
      <c r="E3" s="20" t="s">
        <v>197</v>
      </c>
      <c r="F3" t="s">
        <v>1857</v>
      </c>
      <c r="G3" t="s">
        <v>1755</v>
      </c>
      <c r="H3" t="s">
        <v>1755</v>
      </c>
    </row>
    <row r="4" spans="1:8" ht="18.399999999999999" customHeight="1" x14ac:dyDescent="0.15">
      <c r="A4" s="11" t="s">
        <v>427</v>
      </c>
      <c r="B4" s="2" t="s">
        <v>551</v>
      </c>
      <c r="C4" s="2" t="s">
        <v>282</v>
      </c>
      <c r="D4" s="25">
        <v>1700</v>
      </c>
      <c r="E4" s="20" t="s">
        <v>795</v>
      </c>
      <c r="F4" t="s">
        <v>2290</v>
      </c>
      <c r="G4" t="s">
        <v>1316</v>
      </c>
      <c r="H4" t="s">
        <v>1316</v>
      </c>
    </row>
    <row r="5" spans="1:8" ht="18.399999999999999" customHeight="1" x14ac:dyDescent="0.15">
      <c r="A5" s="11" t="s">
        <v>2240</v>
      </c>
      <c r="B5" s="2" t="s">
        <v>2276</v>
      </c>
      <c r="C5" s="2" t="s">
        <v>2254</v>
      </c>
      <c r="D5" s="25">
        <v>230000</v>
      </c>
      <c r="E5" s="20" t="s">
        <v>496</v>
      </c>
      <c r="F5" t="s">
        <v>2450</v>
      </c>
      <c r="G5" t="s">
        <v>637</v>
      </c>
      <c r="H5" t="s">
        <v>2450</v>
      </c>
    </row>
    <row r="6" spans="1:8" ht="18.399999999999999" customHeight="1" x14ac:dyDescent="0.15">
      <c r="A6" s="11" t="s">
        <v>136</v>
      </c>
      <c r="B6" s="2" t="s">
        <v>399</v>
      </c>
      <c r="C6" s="2" t="s">
        <v>1744</v>
      </c>
      <c r="D6" s="25">
        <v>160000</v>
      </c>
      <c r="E6" s="20" t="s">
        <v>1705</v>
      </c>
      <c r="F6" t="s">
        <v>2450</v>
      </c>
      <c r="G6" t="s">
        <v>263</v>
      </c>
      <c r="H6" t="s">
        <v>263</v>
      </c>
    </row>
    <row r="7" spans="1:8" ht="18.399999999999999" customHeight="1" x14ac:dyDescent="0.15">
      <c r="A7" s="11" t="s">
        <v>799</v>
      </c>
      <c r="B7" s="2" t="s">
        <v>2389</v>
      </c>
      <c r="C7" s="2" t="s">
        <v>1793</v>
      </c>
      <c r="D7" s="25">
        <v>315000</v>
      </c>
      <c r="E7" s="20" t="s">
        <v>124</v>
      </c>
      <c r="F7" t="s">
        <v>2450</v>
      </c>
      <c r="G7" t="s">
        <v>678</v>
      </c>
      <c r="H7" t="s">
        <v>2450</v>
      </c>
    </row>
    <row r="8" spans="1:8" ht="18.399999999999999" customHeight="1" x14ac:dyDescent="0.15">
      <c r="A8" s="11" t="s">
        <v>662</v>
      </c>
      <c r="B8" s="2" t="s">
        <v>525</v>
      </c>
      <c r="C8" s="2" t="s">
        <v>925</v>
      </c>
      <c r="D8" s="25">
        <v>1500</v>
      </c>
      <c r="E8" s="20" t="s">
        <v>642</v>
      </c>
      <c r="F8" t="s">
        <v>2450</v>
      </c>
      <c r="G8" t="s">
        <v>1404</v>
      </c>
      <c r="H8" t="s">
        <v>2450</v>
      </c>
    </row>
    <row r="9" spans="1:8" ht="18.399999999999999" customHeight="1" x14ac:dyDescent="0.15">
      <c r="A9" s="11" t="s">
        <v>703</v>
      </c>
      <c r="B9" s="2" t="s">
        <v>1102</v>
      </c>
      <c r="C9" s="2" t="s">
        <v>1963</v>
      </c>
      <c r="D9" s="25">
        <v>21000</v>
      </c>
      <c r="E9" s="20" t="s">
        <v>715</v>
      </c>
      <c r="F9" t="s">
        <v>2450</v>
      </c>
      <c r="G9" t="s">
        <v>353</v>
      </c>
      <c r="H9" t="s">
        <v>2450</v>
      </c>
    </row>
    <row r="10" spans="1:8" ht="18.399999999999999" customHeight="1" x14ac:dyDescent="0.15">
      <c r="A10" s="11" t="s">
        <v>345</v>
      </c>
      <c r="B10" s="2" t="s">
        <v>1077</v>
      </c>
      <c r="C10" s="2" t="s">
        <v>1963</v>
      </c>
      <c r="D10" s="25">
        <v>22000</v>
      </c>
      <c r="E10" s="20" t="s">
        <v>715</v>
      </c>
      <c r="F10" t="s">
        <v>2450</v>
      </c>
      <c r="G10" t="s">
        <v>503</v>
      </c>
      <c r="H10" t="s">
        <v>2450</v>
      </c>
    </row>
    <row r="11" spans="1:8" ht="18.399999999999999" customHeight="1" x14ac:dyDescent="0.15">
      <c r="A11" s="11" t="s">
        <v>1769</v>
      </c>
      <c r="B11" s="2" t="s">
        <v>603</v>
      </c>
      <c r="C11" s="2" t="s">
        <v>2410</v>
      </c>
      <c r="D11" s="25">
        <v>8800</v>
      </c>
      <c r="E11" s="20" t="s">
        <v>1554</v>
      </c>
      <c r="F11" t="s">
        <v>2450</v>
      </c>
      <c r="G11" t="s">
        <v>2166</v>
      </c>
      <c r="H11" t="s">
        <v>2450</v>
      </c>
    </row>
    <row r="12" spans="1:8" ht="18.399999999999999" customHeight="1" x14ac:dyDescent="0.15">
      <c r="A12" s="11" t="s">
        <v>1955</v>
      </c>
      <c r="B12" s="2" t="s">
        <v>603</v>
      </c>
      <c r="C12" s="2" t="s">
        <v>2410</v>
      </c>
      <c r="D12" s="25">
        <v>9650</v>
      </c>
      <c r="E12" s="20" t="s">
        <v>1554</v>
      </c>
      <c r="F12" t="s">
        <v>2450</v>
      </c>
      <c r="G12" t="s">
        <v>827</v>
      </c>
      <c r="H12" t="s">
        <v>2450</v>
      </c>
    </row>
    <row r="13" spans="1:8" ht="18.399999999999999" customHeight="1" x14ac:dyDescent="0.15">
      <c r="A13" s="11" t="s">
        <v>1582</v>
      </c>
      <c r="B13" s="2" t="s">
        <v>2177</v>
      </c>
      <c r="C13" s="2" t="s">
        <v>1793</v>
      </c>
      <c r="D13" s="25">
        <v>51000</v>
      </c>
      <c r="E13" s="20" t="s">
        <v>2046</v>
      </c>
      <c r="F13" t="s">
        <v>2450</v>
      </c>
      <c r="G13" t="s">
        <v>1555</v>
      </c>
      <c r="H13" t="s">
        <v>1352</v>
      </c>
    </row>
    <row r="14" spans="1:8" ht="18.399999999999999" customHeight="1" x14ac:dyDescent="0.15">
      <c r="A14" s="11" t="s">
        <v>889</v>
      </c>
      <c r="B14" s="2" t="s">
        <v>1374</v>
      </c>
      <c r="C14" s="2" t="s">
        <v>1793</v>
      </c>
      <c r="D14" s="25">
        <v>239000000</v>
      </c>
      <c r="E14" s="20" t="s">
        <v>294</v>
      </c>
      <c r="F14" t="s">
        <v>2450</v>
      </c>
      <c r="G14" t="s">
        <v>1724</v>
      </c>
      <c r="H14" t="s">
        <v>1669</v>
      </c>
    </row>
    <row r="15" spans="1:8" ht="18.399999999999999" customHeight="1" x14ac:dyDescent="0.15">
      <c r="A15" s="11" t="s">
        <v>538</v>
      </c>
      <c r="B15" s="2" t="s">
        <v>1288</v>
      </c>
      <c r="C15" s="2" t="s">
        <v>1963</v>
      </c>
      <c r="D15" s="25">
        <v>200000</v>
      </c>
      <c r="E15" s="20" t="s">
        <v>891</v>
      </c>
      <c r="F15" t="s">
        <v>2450</v>
      </c>
      <c r="G15" t="s">
        <v>1942</v>
      </c>
      <c r="H15" t="s">
        <v>2450</v>
      </c>
    </row>
    <row r="16" spans="1:8" ht="18.399999999999999" customHeight="1" x14ac:dyDescent="0.15">
      <c r="A16" s="11" t="s">
        <v>1910</v>
      </c>
      <c r="B16" s="2" t="s">
        <v>418</v>
      </c>
      <c r="C16" s="2" t="s">
        <v>1963</v>
      </c>
      <c r="D16" s="25">
        <v>19000</v>
      </c>
      <c r="E16" s="20" t="s">
        <v>2194</v>
      </c>
      <c r="F16" t="s">
        <v>2450</v>
      </c>
      <c r="G16" t="s">
        <v>714</v>
      </c>
      <c r="H16" t="s">
        <v>2450</v>
      </c>
    </row>
    <row r="17" spans="1:8" ht="18.399999999999999" customHeight="1" x14ac:dyDescent="0.15">
      <c r="A17" s="11" t="s">
        <v>1024</v>
      </c>
      <c r="B17" s="2" t="s">
        <v>2042</v>
      </c>
      <c r="C17" s="2" t="s">
        <v>2370</v>
      </c>
      <c r="D17" s="25">
        <v>29000</v>
      </c>
      <c r="E17" s="20" t="s">
        <v>949</v>
      </c>
      <c r="F17" t="s">
        <v>2450</v>
      </c>
      <c r="G17" t="s">
        <v>382</v>
      </c>
      <c r="H17" t="s">
        <v>2450</v>
      </c>
    </row>
    <row r="18" spans="1:8" ht="18.399999999999999" customHeight="1" x14ac:dyDescent="0.15">
      <c r="A18" s="11" t="s">
        <v>2180</v>
      </c>
      <c r="B18" s="2" t="s">
        <v>2042</v>
      </c>
      <c r="C18" s="2" t="s">
        <v>2370</v>
      </c>
      <c r="D18" s="25">
        <v>23000</v>
      </c>
      <c r="E18" s="20" t="s">
        <v>2373</v>
      </c>
      <c r="F18" t="s">
        <v>2450</v>
      </c>
      <c r="G18" t="s">
        <v>1047</v>
      </c>
      <c r="H18" t="s">
        <v>2450</v>
      </c>
    </row>
    <row r="19" spans="1:8" ht="18.399999999999999" customHeight="1" x14ac:dyDescent="0.15">
      <c r="A19" s="11" t="s">
        <v>833</v>
      </c>
      <c r="B19" s="2" t="s">
        <v>2042</v>
      </c>
      <c r="C19" s="2" t="s">
        <v>2370</v>
      </c>
      <c r="D19" s="25">
        <v>23000</v>
      </c>
      <c r="E19" s="20" t="s">
        <v>2373</v>
      </c>
      <c r="F19" t="s">
        <v>2450</v>
      </c>
      <c r="G19" t="s">
        <v>2193</v>
      </c>
      <c r="H19" t="s">
        <v>2450</v>
      </c>
    </row>
    <row r="20" spans="1:8" ht="18.399999999999999" customHeight="1" x14ac:dyDescent="0.15">
      <c r="A20" s="11" t="s">
        <v>599</v>
      </c>
      <c r="B20" s="2" t="s">
        <v>2287</v>
      </c>
      <c r="C20" s="2" t="s">
        <v>1456</v>
      </c>
      <c r="D20" s="25">
        <v>250000</v>
      </c>
      <c r="E20" s="20" t="s">
        <v>1408</v>
      </c>
      <c r="F20" t="s">
        <v>2450</v>
      </c>
      <c r="G20" t="s">
        <v>56</v>
      </c>
      <c r="H20" t="s">
        <v>2267</v>
      </c>
    </row>
    <row r="21" spans="1:8" ht="18.399999999999999" customHeight="1" x14ac:dyDescent="0.15">
      <c r="A21" s="11" t="s">
        <v>2102</v>
      </c>
      <c r="B21" s="2" t="s">
        <v>130</v>
      </c>
      <c r="C21" s="2" t="s">
        <v>1963</v>
      </c>
      <c r="D21" s="25">
        <v>360000</v>
      </c>
      <c r="E21" s="20" t="s">
        <v>260</v>
      </c>
      <c r="F21" t="s">
        <v>2450</v>
      </c>
      <c r="G21" t="s">
        <v>352</v>
      </c>
      <c r="H21" t="s">
        <v>2450</v>
      </c>
    </row>
    <row r="22" spans="1:8" ht="18.399999999999999" customHeight="1" x14ac:dyDescent="0.15">
      <c r="A22" s="11" t="s">
        <v>826</v>
      </c>
      <c r="B22" s="2" t="s">
        <v>487</v>
      </c>
      <c r="C22" s="2" t="s">
        <v>1963</v>
      </c>
      <c r="D22" s="25">
        <v>696510</v>
      </c>
      <c r="E22" s="20" t="s">
        <v>288</v>
      </c>
      <c r="F22" t="s">
        <v>2450</v>
      </c>
      <c r="G22" t="s">
        <v>40</v>
      </c>
      <c r="H22" t="s">
        <v>2450</v>
      </c>
    </row>
    <row r="23" spans="1:8" ht="18.399999999999999" customHeight="1" x14ac:dyDescent="0.15">
      <c r="A23" s="11" t="s">
        <v>1029</v>
      </c>
      <c r="B23" s="2" t="s">
        <v>692</v>
      </c>
      <c r="C23" s="2" t="s">
        <v>1963</v>
      </c>
      <c r="D23" s="25">
        <v>45660</v>
      </c>
      <c r="E23" s="20" t="s">
        <v>288</v>
      </c>
      <c r="F23" t="s">
        <v>2450</v>
      </c>
      <c r="G23" t="s">
        <v>2378</v>
      </c>
      <c r="H23" t="s">
        <v>2450</v>
      </c>
    </row>
    <row r="24" spans="1:8" ht="18.399999999999999" customHeight="1" x14ac:dyDescent="0.15">
      <c r="A24" s="11" t="s">
        <v>1029</v>
      </c>
      <c r="B24" s="2" t="s">
        <v>464</v>
      </c>
      <c r="C24" s="2" t="s">
        <v>1963</v>
      </c>
      <c r="D24" s="25">
        <v>77740</v>
      </c>
      <c r="E24" s="20" t="s">
        <v>288</v>
      </c>
      <c r="F24" t="s">
        <v>2450</v>
      </c>
      <c r="G24" t="s">
        <v>2024</v>
      </c>
      <c r="H24" t="s">
        <v>2450</v>
      </c>
    </row>
    <row r="25" spans="1:8" ht="18.399999999999999" customHeight="1" x14ac:dyDescent="0.15">
      <c r="A25" s="11" t="s">
        <v>1029</v>
      </c>
      <c r="B25" s="2" t="s">
        <v>1675</v>
      </c>
      <c r="C25" s="2" t="s">
        <v>1963</v>
      </c>
      <c r="D25" s="25">
        <v>660790</v>
      </c>
      <c r="E25" s="20" t="s">
        <v>288</v>
      </c>
      <c r="F25" t="s">
        <v>2450</v>
      </c>
      <c r="G25" t="s">
        <v>1746</v>
      </c>
      <c r="H25" t="s">
        <v>2450</v>
      </c>
    </row>
    <row r="26" spans="1:8" ht="18.399999999999999" customHeight="1" x14ac:dyDescent="0.15">
      <c r="A26" s="11" t="s">
        <v>1881</v>
      </c>
      <c r="B26" s="2" t="s">
        <v>1451</v>
      </c>
      <c r="C26" s="2" t="s">
        <v>1963</v>
      </c>
      <c r="D26" s="25">
        <v>148500</v>
      </c>
      <c r="E26" s="20" t="s">
        <v>300</v>
      </c>
      <c r="F26" t="s">
        <v>2450</v>
      </c>
      <c r="G26" t="s">
        <v>993</v>
      </c>
      <c r="H26" t="s">
        <v>2450</v>
      </c>
    </row>
    <row r="27" spans="1:8" ht="18.399999999999999" customHeight="1" x14ac:dyDescent="0.15">
      <c r="A27" s="11" t="s">
        <v>1783</v>
      </c>
      <c r="B27" s="2" t="s">
        <v>1939</v>
      </c>
      <c r="C27" s="2" t="s">
        <v>1963</v>
      </c>
      <c r="D27" s="25">
        <v>127000</v>
      </c>
      <c r="E27" s="20" t="s">
        <v>1500</v>
      </c>
      <c r="F27" t="s">
        <v>2450</v>
      </c>
      <c r="G27" t="s">
        <v>2419</v>
      </c>
      <c r="H27" t="s">
        <v>2450</v>
      </c>
    </row>
    <row r="28" spans="1:8" ht="18.399999999999999" customHeight="1" x14ac:dyDescent="0.15">
      <c r="A28" s="11" t="s">
        <v>1783</v>
      </c>
      <c r="B28" s="2" t="s">
        <v>782</v>
      </c>
      <c r="C28" s="2" t="s">
        <v>1963</v>
      </c>
      <c r="D28" s="25">
        <v>145000</v>
      </c>
      <c r="E28" s="20" t="s">
        <v>1500</v>
      </c>
      <c r="F28" t="s">
        <v>2450</v>
      </c>
      <c r="G28" t="s">
        <v>1772</v>
      </c>
      <c r="H28" t="s">
        <v>2450</v>
      </c>
    </row>
    <row r="29" spans="1:8" ht="18.399999999999999" customHeight="1" x14ac:dyDescent="0.15">
      <c r="A29" s="13" t="s">
        <v>1526</v>
      </c>
      <c r="B29" s="14" t="s">
        <v>1813</v>
      </c>
      <c r="C29" s="14" t="s">
        <v>1963</v>
      </c>
      <c r="D29" s="26">
        <v>45000</v>
      </c>
      <c r="E29" s="21" t="s">
        <v>52</v>
      </c>
      <c r="F29" t="s">
        <v>2450</v>
      </c>
      <c r="G29" t="s">
        <v>1588</v>
      </c>
      <c r="H29" t="s">
        <v>2450</v>
      </c>
    </row>
  </sheetData>
  <phoneticPr fontId="5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B2" sqref="B2"/>
    </sheetView>
  </sheetViews>
  <sheetFormatPr defaultRowHeight="18.399999999999999" customHeight="1" x14ac:dyDescent="0.15"/>
  <cols>
    <col min="1" max="1" width="30" customWidth="1"/>
    <col min="2" max="2" width="25" customWidth="1"/>
    <col min="3" max="3" width="10" customWidth="1"/>
    <col min="4" max="4" width="20" customWidth="1"/>
    <col min="5" max="5" width="30" customWidth="1"/>
    <col min="6" max="8" width="0" hidden="1" customWidth="1"/>
  </cols>
  <sheetData>
    <row r="1" spans="1:8" ht="18.399999999999999" customHeight="1" x14ac:dyDescent="0.15">
      <c r="A1" t="s">
        <v>2250</v>
      </c>
    </row>
    <row r="2" spans="1:8" ht="18.399999999999999" customHeight="1" x14ac:dyDescent="0.15">
      <c r="A2" s="16" t="s">
        <v>1704</v>
      </c>
      <c r="B2" s="17" t="s">
        <v>940</v>
      </c>
      <c r="C2" s="17" t="s">
        <v>2282</v>
      </c>
      <c r="D2" s="17" t="s">
        <v>1296</v>
      </c>
      <c r="E2" s="19" t="s">
        <v>659</v>
      </c>
    </row>
    <row r="3" spans="1:8" ht="18.399999999999999" customHeight="1" x14ac:dyDescent="0.15">
      <c r="A3" s="11" t="s">
        <v>878</v>
      </c>
      <c r="B3" s="2" t="s">
        <v>2450</v>
      </c>
      <c r="C3" s="2" t="s">
        <v>1455</v>
      </c>
      <c r="D3" s="25">
        <v>275790</v>
      </c>
      <c r="E3" s="20" t="s">
        <v>2450</v>
      </c>
      <c r="F3" t="s">
        <v>1359</v>
      </c>
      <c r="G3" t="s">
        <v>1659</v>
      </c>
      <c r="H3" t="s">
        <v>1659</v>
      </c>
    </row>
    <row r="4" spans="1:8" ht="18.399999999999999" customHeight="1" x14ac:dyDescent="0.15">
      <c r="A4" s="11" t="s">
        <v>2422</v>
      </c>
      <c r="B4" s="2" t="s">
        <v>2450</v>
      </c>
      <c r="C4" s="2" t="s">
        <v>1455</v>
      </c>
      <c r="D4" s="25">
        <v>273540</v>
      </c>
      <c r="E4" s="20" t="s">
        <v>2450</v>
      </c>
      <c r="F4" t="s">
        <v>2118</v>
      </c>
      <c r="G4" t="s">
        <v>1571</v>
      </c>
      <c r="H4" t="s">
        <v>1571</v>
      </c>
    </row>
    <row r="5" spans="1:8" ht="18.399999999999999" customHeight="1" x14ac:dyDescent="0.15">
      <c r="A5" s="11" t="s">
        <v>2043</v>
      </c>
      <c r="B5" s="2" t="s">
        <v>2450</v>
      </c>
      <c r="C5" s="2" t="s">
        <v>1455</v>
      </c>
      <c r="D5" s="25">
        <v>222306</v>
      </c>
      <c r="E5" s="20" t="s">
        <v>2450</v>
      </c>
      <c r="F5" t="s">
        <v>1563</v>
      </c>
      <c r="G5" t="s">
        <v>1960</v>
      </c>
      <c r="H5" t="s">
        <v>1960</v>
      </c>
    </row>
    <row r="6" spans="1:8" ht="18.399999999999999" customHeight="1" x14ac:dyDescent="0.15">
      <c r="A6" s="11" t="s">
        <v>797</v>
      </c>
      <c r="B6" s="2" t="s">
        <v>2450</v>
      </c>
      <c r="C6" s="2" t="s">
        <v>1455</v>
      </c>
      <c r="D6" s="25">
        <v>273308</v>
      </c>
      <c r="E6" s="20" t="s">
        <v>2450</v>
      </c>
      <c r="F6" t="s">
        <v>2049</v>
      </c>
      <c r="G6" t="s">
        <v>582</v>
      </c>
      <c r="H6" t="s">
        <v>582</v>
      </c>
    </row>
    <row r="7" spans="1:8" ht="18.399999999999999" customHeight="1" x14ac:dyDescent="0.15">
      <c r="A7" s="11" t="s">
        <v>1387</v>
      </c>
      <c r="B7" s="2" t="s">
        <v>2450</v>
      </c>
      <c r="C7" s="2" t="s">
        <v>1455</v>
      </c>
      <c r="D7" s="25">
        <v>221015</v>
      </c>
      <c r="E7" s="20" t="s">
        <v>2450</v>
      </c>
      <c r="F7" t="s">
        <v>648</v>
      </c>
      <c r="G7" t="s">
        <v>1234</v>
      </c>
      <c r="H7" t="s">
        <v>1234</v>
      </c>
    </row>
    <row r="8" spans="1:8" ht="18.399999999999999" customHeight="1" x14ac:dyDescent="0.15">
      <c r="A8" s="11" t="s">
        <v>2249</v>
      </c>
      <c r="B8" s="2" t="s">
        <v>2450</v>
      </c>
      <c r="C8" s="2" t="s">
        <v>1455</v>
      </c>
      <c r="D8" s="25">
        <v>215907</v>
      </c>
      <c r="E8" s="20" t="s">
        <v>2450</v>
      </c>
      <c r="F8" t="s">
        <v>59</v>
      </c>
      <c r="G8" t="s">
        <v>537</v>
      </c>
      <c r="H8" t="s">
        <v>537</v>
      </c>
    </row>
    <row r="9" spans="1:8" ht="18.399999999999999" customHeight="1" x14ac:dyDescent="0.15">
      <c r="A9" s="11" t="s">
        <v>113</v>
      </c>
      <c r="B9" s="2" t="s">
        <v>2450</v>
      </c>
      <c r="C9" s="2" t="s">
        <v>1455</v>
      </c>
      <c r="D9" s="25">
        <v>226122</v>
      </c>
      <c r="E9" s="20" t="s">
        <v>2450</v>
      </c>
      <c r="F9" t="s">
        <v>1493</v>
      </c>
      <c r="G9" t="s">
        <v>1739</v>
      </c>
      <c r="H9" t="s">
        <v>1739</v>
      </c>
    </row>
    <row r="10" spans="1:8" ht="18.399999999999999" customHeight="1" x14ac:dyDescent="0.15">
      <c r="A10" s="11" t="s">
        <v>155</v>
      </c>
      <c r="B10" s="2" t="s">
        <v>2450</v>
      </c>
      <c r="C10" s="2" t="s">
        <v>1455</v>
      </c>
      <c r="D10" s="25">
        <v>172068</v>
      </c>
      <c r="E10" s="20" t="s">
        <v>2450</v>
      </c>
      <c r="F10" t="s">
        <v>744</v>
      </c>
      <c r="G10" t="s">
        <v>440</v>
      </c>
      <c r="H10" t="s">
        <v>440</v>
      </c>
    </row>
    <row r="11" spans="1:8" ht="18.399999999999999" customHeight="1" x14ac:dyDescent="0.15">
      <c r="A11" s="13" t="s">
        <v>768</v>
      </c>
      <c r="B11" s="14" t="s">
        <v>1835</v>
      </c>
      <c r="C11" s="14" t="s">
        <v>1455</v>
      </c>
      <c r="D11" s="26">
        <v>262580</v>
      </c>
      <c r="E11" s="21" t="s">
        <v>2450</v>
      </c>
      <c r="F11" t="s">
        <v>2450</v>
      </c>
      <c r="G11" t="s">
        <v>1074</v>
      </c>
      <c r="H11" t="s">
        <v>1074</v>
      </c>
    </row>
  </sheetData>
  <phoneticPr fontId="5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B2" sqref="B2"/>
    </sheetView>
  </sheetViews>
  <sheetFormatPr defaultRowHeight="18.399999999999999" customHeight="1" x14ac:dyDescent="0.15"/>
  <cols>
    <col min="1" max="1" width="30" customWidth="1"/>
    <col min="2" max="2" width="25" customWidth="1"/>
    <col min="3" max="3" width="5" customWidth="1"/>
    <col min="4" max="6" width="11" customWidth="1"/>
    <col min="7" max="7" width="12" customWidth="1"/>
    <col min="8" max="8" width="15" customWidth="1"/>
    <col min="9" max="10" width="0" hidden="1" customWidth="1"/>
  </cols>
  <sheetData>
    <row r="1" spans="1:10" ht="18.399999999999999" customHeight="1" x14ac:dyDescent="0.15">
      <c r="A1" t="s">
        <v>405</v>
      </c>
    </row>
    <row r="2" spans="1:10" ht="18.399999999999999" customHeight="1" x14ac:dyDescent="0.15">
      <c r="A2" s="16" t="s">
        <v>1704</v>
      </c>
      <c r="B2" s="17" t="s">
        <v>940</v>
      </c>
      <c r="C2" s="17" t="s">
        <v>2282</v>
      </c>
      <c r="D2" s="17" t="s">
        <v>1648</v>
      </c>
      <c r="E2" s="17" t="s">
        <v>1006</v>
      </c>
      <c r="F2" s="17" t="s">
        <v>156</v>
      </c>
      <c r="G2" s="17" t="s">
        <v>2371</v>
      </c>
      <c r="H2" s="19" t="s">
        <v>659</v>
      </c>
    </row>
    <row r="3" spans="1:10" ht="18.399999999999999" customHeight="1" x14ac:dyDescent="0.15">
      <c r="A3" s="11" t="s">
        <v>30</v>
      </c>
      <c r="B3" s="2" t="s">
        <v>1940</v>
      </c>
      <c r="C3" s="2" t="s">
        <v>2439</v>
      </c>
      <c r="D3" s="25">
        <v>0</v>
      </c>
      <c r="E3" s="25">
        <v>0</v>
      </c>
      <c r="F3" s="25">
        <v>2261.69</v>
      </c>
      <c r="G3" s="25">
        <f>D3+E3+F3</f>
        <v>2261.69</v>
      </c>
      <c r="H3" s="20" t="s">
        <v>2450</v>
      </c>
      <c r="I3" t="s">
        <v>2450</v>
      </c>
      <c r="J3" t="s">
        <v>2119</v>
      </c>
    </row>
    <row r="4" spans="1:10" ht="18.399999999999999" customHeight="1" x14ac:dyDescent="0.15">
      <c r="A4" s="13" t="s">
        <v>964</v>
      </c>
      <c r="B4" s="14" t="s">
        <v>1414</v>
      </c>
      <c r="C4" s="14" t="s">
        <v>2439</v>
      </c>
      <c r="D4" s="26">
        <v>0</v>
      </c>
      <c r="E4" s="26">
        <v>0</v>
      </c>
      <c r="F4" s="26">
        <v>87720</v>
      </c>
      <c r="G4" s="26">
        <f>D4+E4+F4</f>
        <v>87720</v>
      </c>
      <c r="H4" s="21" t="s">
        <v>2450</v>
      </c>
      <c r="I4" t="s">
        <v>2450</v>
      </c>
      <c r="J4" t="s">
        <v>1646</v>
      </c>
    </row>
  </sheetData>
  <phoneticPr fontId="5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8" sqref="C8"/>
    </sheetView>
  </sheetViews>
  <sheetFormatPr defaultRowHeight="18.399999999999999" customHeight="1" x14ac:dyDescent="0.15"/>
  <cols>
    <col min="1" max="1" width="25" customWidth="1"/>
    <col min="2" max="2" width="10" customWidth="1"/>
    <col min="3" max="3" width="25" customWidth="1"/>
    <col min="4" max="4" width="30" customWidth="1"/>
    <col min="5" max="5" width="70" customWidth="1"/>
  </cols>
  <sheetData>
    <row r="1" spans="1:5" ht="18.399999999999999" customHeight="1" x14ac:dyDescent="0.15">
      <c r="A1" t="s">
        <v>1815</v>
      </c>
    </row>
    <row r="2" spans="1:5" ht="18.399999999999999" customHeight="1" x14ac:dyDescent="0.15">
      <c r="A2" s="16" t="s">
        <v>224</v>
      </c>
      <c r="B2" s="17" t="s">
        <v>1868</v>
      </c>
      <c r="C2" s="17" t="s">
        <v>438</v>
      </c>
      <c r="D2" s="22" t="s">
        <v>584</v>
      </c>
      <c r="E2" s="18" t="s">
        <v>61</v>
      </c>
    </row>
    <row r="3" spans="1:5" ht="18.399999999999999" customHeight="1" x14ac:dyDescent="0.15">
      <c r="A3" s="11" t="s">
        <v>1756</v>
      </c>
      <c r="B3" s="2" t="s">
        <v>2412</v>
      </c>
      <c r="C3" s="2">
        <v>1208</v>
      </c>
      <c r="D3" s="23" t="s">
        <v>904</v>
      </c>
      <c r="E3" s="12" t="s">
        <v>2111</v>
      </c>
    </row>
    <row r="4" spans="1:5" ht="18.399999999999999" customHeight="1" x14ac:dyDescent="0.15">
      <c r="A4" s="11" t="s">
        <v>1987</v>
      </c>
      <c r="B4" s="2" t="s">
        <v>2412</v>
      </c>
      <c r="C4" s="2">
        <v>0.2</v>
      </c>
      <c r="D4" s="23" t="s">
        <v>904</v>
      </c>
      <c r="E4" s="12" t="s">
        <v>2111</v>
      </c>
    </row>
    <row r="5" spans="1:5" ht="18.399999999999999" customHeight="1" x14ac:dyDescent="0.15">
      <c r="A5" s="11" t="s">
        <v>1914</v>
      </c>
      <c r="B5" s="2" t="s">
        <v>2412</v>
      </c>
      <c r="C5" s="2">
        <v>1.0386</v>
      </c>
      <c r="D5" s="23" t="s">
        <v>904</v>
      </c>
      <c r="E5" s="12" t="s">
        <v>2111</v>
      </c>
    </row>
    <row r="6" spans="1:5" ht="18.399999999999999" customHeight="1" x14ac:dyDescent="0.15">
      <c r="A6" s="11" t="s">
        <v>866</v>
      </c>
      <c r="B6" s="2" t="s">
        <v>2412</v>
      </c>
      <c r="C6" s="2">
        <v>1.25</v>
      </c>
      <c r="D6" s="23" t="s">
        <v>1965</v>
      </c>
      <c r="E6" s="12" t="s">
        <v>2111</v>
      </c>
    </row>
    <row r="7" spans="1:5" ht="18.399999999999999" customHeight="1" x14ac:dyDescent="0.15">
      <c r="A7" s="13" t="s">
        <v>2238</v>
      </c>
      <c r="B7" s="14" t="s">
        <v>2412</v>
      </c>
      <c r="C7" s="14" t="s">
        <v>2451</v>
      </c>
      <c r="D7" s="24" t="s">
        <v>2143</v>
      </c>
      <c r="E7" s="15" t="s">
        <v>1121</v>
      </c>
    </row>
  </sheetData>
  <phoneticPr fontId="5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showFormulas="1" workbookViewId="0">
      <selection activeCell="B2" sqref="B2"/>
    </sheetView>
  </sheetViews>
  <sheetFormatPr defaultRowHeight="18.399999999999999" customHeight="1" x14ac:dyDescent="0.15"/>
  <cols>
    <col min="1" max="1" width="15" customWidth="1"/>
    <col min="2" max="2" width="5" customWidth="1"/>
    <col min="3" max="4" width="20" customWidth="1"/>
  </cols>
  <sheetData>
    <row r="1" spans="1:4" ht="18.399999999999999" customHeight="1" x14ac:dyDescent="0.15">
      <c r="A1" t="s">
        <v>2217</v>
      </c>
    </row>
    <row r="2" spans="1:4" ht="18.399999999999999" customHeight="1" x14ac:dyDescent="0.15">
      <c r="A2" s="16" t="s">
        <v>224</v>
      </c>
      <c r="B2" s="17" t="s">
        <v>1868</v>
      </c>
      <c r="C2" s="17" t="s">
        <v>438</v>
      </c>
      <c r="D2" s="19" t="s">
        <v>584</v>
      </c>
    </row>
    <row r="3" spans="1:4" ht="18.399999999999999" customHeight="1" x14ac:dyDescent="0.15">
      <c r="A3" s="11" t="s">
        <v>1612</v>
      </c>
      <c r="B3" s="2" t="s">
        <v>843</v>
      </c>
      <c r="C3" s="2" t="s">
        <v>2316</v>
      </c>
      <c r="D3" s="20" t="s">
        <v>2450</v>
      </c>
    </row>
    <row r="4" spans="1:4" ht="18.399999999999999" customHeight="1" x14ac:dyDescent="0.15">
      <c r="A4" s="11" t="s">
        <v>1520</v>
      </c>
      <c r="B4" s="2" t="s">
        <v>2412</v>
      </c>
      <c r="C4" s="2">
        <v>1507</v>
      </c>
      <c r="D4" s="20" t="s">
        <v>1053</v>
      </c>
    </row>
    <row r="5" spans="1:4" ht="18.399999999999999" customHeight="1" x14ac:dyDescent="0.15">
      <c r="A5" s="11" t="s">
        <v>524</v>
      </c>
      <c r="B5" s="2" t="s">
        <v>2412</v>
      </c>
      <c r="C5" s="2">
        <v>1507</v>
      </c>
      <c r="D5" s="20" t="s">
        <v>2069</v>
      </c>
    </row>
    <row r="6" spans="1:4" ht="18.399999999999999" customHeight="1" x14ac:dyDescent="0.15">
      <c r="A6" s="11" t="s">
        <v>291</v>
      </c>
      <c r="B6" s="2" t="s">
        <v>2412</v>
      </c>
      <c r="C6" s="2">
        <v>9.52</v>
      </c>
      <c r="D6" s="20" t="s">
        <v>2002</v>
      </c>
    </row>
    <row r="7" spans="1:4" ht="18.399999999999999" customHeight="1" x14ac:dyDescent="0.15">
      <c r="A7" s="11" t="s">
        <v>656</v>
      </c>
      <c r="B7" s="2" t="s">
        <v>2412</v>
      </c>
      <c r="C7" s="2">
        <v>0</v>
      </c>
      <c r="D7" s="20" t="s">
        <v>1445</v>
      </c>
    </row>
    <row r="8" spans="1:4" ht="18.399999999999999" customHeight="1" x14ac:dyDescent="0.15">
      <c r="A8" s="11" t="s">
        <v>1153</v>
      </c>
      <c r="B8" s="2" t="s">
        <v>2412</v>
      </c>
      <c r="C8" s="2">
        <v>0</v>
      </c>
      <c r="D8" s="20" t="s">
        <v>2176</v>
      </c>
    </row>
    <row r="9" spans="1:4" ht="18.399999999999999" customHeight="1" x14ac:dyDescent="0.15">
      <c r="A9" s="11" t="s">
        <v>420</v>
      </c>
      <c r="B9" s="2" t="s">
        <v>2412</v>
      </c>
      <c r="C9" s="2">
        <v>0</v>
      </c>
      <c r="D9" s="20" t="s">
        <v>1075</v>
      </c>
    </row>
    <row r="10" spans="1:4" ht="18.399999999999999" customHeight="1" x14ac:dyDescent="0.15">
      <c r="A10" s="11" t="s">
        <v>1763</v>
      </c>
      <c r="B10" s="2" t="s">
        <v>843</v>
      </c>
      <c r="C10" s="2" t="s">
        <v>17</v>
      </c>
      <c r="D10" s="20" t="s">
        <v>1821</v>
      </c>
    </row>
    <row r="11" spans="1:4" ht="18.399999999999999" customHeight="1" x14ac:dyDescent="0.15">
      <c r="A11" s="11" t="s">
        <v>16</v>
      </c>
      <c r="B11" s="2" t="s">
        <v>843</v>
      </c>
      <c r="C11" s="2" t="s">
        <v>17</v>
      </c>
      <c r="D11" s="20" t="s">
        <v>559</v>
      </c>
    </row>
    <row r="12" spans="1:4" ht="18.399999999999999" customHeight="1" x14ac:dyDescent="0.15">
      <c r="A12" s="11" t="s">
        <v>1432</v>
      </c>
      <c r="B12" s="2" t="s">
        <v>843</v>
      </c>
      <c r="C12" s="2" t="s">
        <v>1272</v>
      </c>
      <c r="D12" s="20" t="s">
        <v>1757</v>
      </c>
    </row>
    <row r="13" spans="1:4" ht="18.399999999999999" customHeight="1" x14ac:dyDescent="0.15">
      <c r="A13" s="11" t="s">
        <v>102</v>
      </c>
      <c r="B13" s="2" t="s">
        <v>2412</v>
      </c>
      <c r="C13" s="2">
        <v>1.25</v>
      </c>
      <c r="D13" s="20" t="s">
        <v>1992</v>
      </c>
    </row>
    <row r="14" spans="1:4" ht="18.399999999999999" customHeight="1" x14ac:dyDescent="0.15">
      <c r="A14" s="11" t="s">
        <v>1465</v>
      </c>
      <c r="B14" s="2" t="s">
        <v>2412</v>
      </c>
      <c r="C14" s="2">
        <v>1.071</v>
      </c>
      <c r="D14" s="20" t="s">
        <v>888</v>
      </c>
    </row>
    <row r="15" spans="1:4" ht="18.399999999999999" customHeight="1" x14ac:dyDescent="0.15">
      <c r="A15" s="11" t="s">
        <v>1223</v>
      </c>
      <c r="B15" s="2" t="s">
        <v>843</v>
      </c>
      <c r="C15" s="2" t="s">
        <v>2129</v>
      </c>
      <c r="D15" s="20" t="s">
        <v>1606</v>
      </c>
    </row>
    <row r="16" spans="1:4" ht="18.399999999999999" customHeight="1" x14ac:dyDescent="0.15">
      <c r="A16" s="11" t="s">
        <v>1611</v>
      </c>
      <c r="B16" s="2" t="s">
        <v>843</v>
      </c>
      <c r="C16" s="2" t="s">
        <v>2129</v>
      </c>
      <c r="D16" s="20" t="s">
        <v>1655</v>
      </c>
    </row>
    <row r="17" spans="1:4" ht="18.399999999999999" customHeight="1" x14ac:dyDescent="0.15">
      <c r="A17" s="11" t="s">
        <v>502</v>
      </c>
      <c r="B17" s="2" t="s">
        <v>843</v>
      </c>
      <c r="C17" s="2" t="s">
        <v>2129</v>
      </c>
      <c r="D17" s="20" t="s">
        <v>441</v>
      </c>
    </row>
    <row r="18" spans="1:4" ht="18.399999999999999" customHeight="1" x14ac:dyDescent="0.15">
      <c r="A18" s="11" t="s">
        <v>923</v>
      </c>
      <c r="B18" s="2" t="s">
        <v>843</v>
      </c>
      <c r="C18" s="5">
        <f t="shared" ref="C18:C23" si="0">25/20 * 16/12 * 1/8</f>
        <v>0.20833333333333334</v>
      </c>
      <c r="D18" s="20" t="s">
        <v>2268</v>
      </c>
    </row>
    <row r="19" spans="1:4" ht="18.399999999999999" customHeight="1" x14ac:dyDescent="0.15">
      <c r="A19" s="11" t="s">
        <v>2222</v>
      </c>
      <c r="B19" s="2" t="s">
        <v>843</v>
      </c>
      <c r="C19" s="5">
        <f t="shared" si="0"/>
        <v>0.20833333333333334</v>
      </c>
      <c r="D19" s="20" t="s">
        <v>772</v>
      </c>
    </row>
    <row r="20" spans="1:4" ht="18.399999999999999" customHeight="1" x14ac:dyDescent="0.15">
      <c r="A20" s="11" t="s">
        <v>223</v>
      </c>
      <c r="B20" s="2" t="s">
        <v>843</v>
      </c>
      <c r="C20" s="5">
        <f t="shared" si="0"/>
        <v>0.20833333333333334</v>
      </c>
      <c r="D20" s="20" t="s">
        <v>1660</v>
      </c>
    </row>
    <row r="21" spans="1:4" ht="18.399999999999999" customHeight="1" x14ac:dyDescent="0.15">
      <c r="A21" s="11" t="s">
        <v>859</v>
      </c>
      <c r="B21" s="2" t="s">
        <v>843</v>
      </c>
      <c r="C21" s="5">
        <f t="shared" si="0"/>
        <v>0.20833333333333334</v>
      </c>
      <c r="D21" s="20" t="s">
        <v>1055</v>
      </c>
    </row>
    <row r="22" spans="1:4" ht="18.399999999999999" customHeight="1" x14ac:dyDescent="0.15">
      <c r="A22" s="11" t="s">
        <v>2266</v>
      </c>
      <c r="B22" s="2" t="s">
        <v>843</v>
      </c>
      <c r="C22" s="5">
        <f t="shared" si="0"/>
        <v>0.20833333333333334</v>
      </c>
      <c r="D22" s="20" t="s">
        <v>1836</v>
      </c>
    </row>
    <row r="23" spans="1:4" ht="18.399999999999999" customHeight="1" x14ac:dyDescent="0.15">
      <c r="A23" s="11" t="s">
        <v>1180</v>
      </c>
      <c r="B23" s="2" t="s">
        <v>843</v>
      </c>
      <c r="C23" s="5">
        <f t="shared" si="0"/>
        <v>0.20833333333333334</v>
      </c>
      <c r="D23" s="20" t="s">
        <v>168</v>
      </c>
    </row>
    <row r="24" spans="1:4" ht="18.399999999999999" customHeight="1" x14ac:dyDescent="0.15">
      <c r="A24" s="11" t="s">
        <v>1882</v>
      </c>
      <c r="B24" s="2" t="s">
        <v>2412</v>
      </c>
      <c r="C24" s="2">
        <v>1</v>
      </c>
      <c r="D24" s="20" t="s">
        <v>1265</v>
      </c>
    </row>
    <row r="25" spans="1:4" ht="18.399999999999999" customHeight="1" x14ac:dyDescent="0.15">
      <c r="A25" s="11" t="s">
        <v>1204</v>
      </c>
      <c r="B25" s="2" t="s">
        <v>2412</v>
      </c>
      <c r="C25" s="2">
        <v>1.5</v>
      </c>
      <c r="D25" s="20" t="s">
        <v>2265</v>
      </c>
    </row>
    <row r="26" spans="1:4" ht="18.399999999999999" customHeight="1" x14ac:dyDescent="0.15">
      <c r="A26" s="11" t="s">
        <v>2248</v>
      </c>
      <c r="B26" s="2" t="s">
        <v>2412</v>
      </c>
      <c r="C26" s="2">
        <v>1.1599999999999999</v>
      </c>
      <c r="D26" s="20" t="s">
        <v>2341</v>
      </c>
    </row>
    <row r="27" spans="1:4" ht="18.399999999999999" customHeight="1" x14ac:dyDescent="0.15">
      <c r="A27" s="11" t="s">
        <v>2411</v>
      </c>
      <c r="B27" s="2" t="s">
        <v>2412</v>
      </c>
      <c r="C27" s="2">
        <v>1.6</v>
      </c>
      <c r="D27" s="20" t="s">
        <v>657</v>
      </c>
    </row>
    <row r="28" spans="1:4" ht="18.399999999999999" customHeight="1" x14ac:dyDescent="0.15">
      <c r="A28" s="11" t="s">
        <v>638</v>
      </c>
      <c r="B28" s="2" t="s">
        <v>2412</v>
      </c>
      <c r="C28" s="2">
        <v>1.6</v>
      </c>
      <c r="D28" s="20" t="s">
        <v>419</v>
      </c>
    </row>
    <row r="29" spans="1:4" ht="18.399999999999999" customHeight="1" x14ac:dyDescent="0.15">
      <c r="A29" s="11" t="s">
        <v>2044</v>
      </c>
      <c r="B29" s="2" t="s">
        <v>2412</v>
      </c>
      <c r="C29" s="2">
        <v>1.6</v>
      </c>
      <c r="D29" s="20" t="s">
        <v>1605</v>
      </c>
    </row>
    <row r="30" spans="1:4" ht="18.399999999999999" customHeight="1" x14ac:dyDescent="0.15">
      <c r="A30" s="11" t="s">
        <v>1114</v>
      </c>
      <c r="B30" s="2" t="s">
        <v>2412</v>
      </c>
      <c r="C30" s="2">
        <v>1.94</v>
      </c>
      <c r="D30" s="20" t="s">
        <v>1610</v>
      </c>
    </row>
    <row r="31" spans="1:4" ht="18.399999999999999" customHeight="1" x14ac:dyDescent="0.15">
      <c r="A31" s="11" t="s">
        <v>2165</v>
      </c>
      <c r="B31" s="2" t="s">
        <v>2412</v>
      </c>
      <c r="C31" s="2">
        <v>1.94</v>
      </c>
      <c r="D31" s="20" t="s">
        <v>1824</v>
      </c>
    </row>
    <row r="32" spans="1:4" ht="18.399999999999999" customHeight="1" x14ac:dyDescent="0.15">
      <c r="A32" s="11" t="s">
        <v>876</v>
      </c>
      <c r="B32" s="2" t="s">
        <v>2412</v>
      </c>
      <c r="C32" s="2">
        <v>1.94</v>
      </c>
      <c r="D32" s="20" t="s">
        <v>428</v>
      </c>
    </row>
    <row r="33" spans="1:4" ht="18.399999999999999" customHeight="1" x14ac:dyDescent="0.15">
      <c r="A33" s="11" t="s">
        <v>578</v>
      </c>
      <c r="B33" s="2" t="s">
        <v>2412</v>
      </c>
      <c r="C33" s="2">
        <v>1</v>
      </c>
      <c r="D33" s="20" t="s">
        <v>623</v>
      </c>
    </row>
    <row r="34" spans="1:4" ht="18.399999999999999" customHeight="1" x14ac:dyDescent="0.15">
      <c r="A34" s="11" t="s">
        <v>1641</v>
      </c>
      <c r="B34" s="2" t="s">
        <v>2412</v>
      </c>
      <c r="C34" s="2">
        <v>1</v>
      </c>
      <c r="D34" s="20" t="s">
        <v>867</v>
      </c>
    </row>
    <row r="35" spans="1:4" ht="18.399999999999999" customHeight="1" x14ac:dyDescent="0.15">
      <c r="A35" s="11" t="s">
        <v>222</v>
      </c>
      <c r="B35" s="2" t="s">
        <v>2412</v>
      </c>
      <c r="C35" s="2">
        <v>1</v>
      </c>
      <c r="D35" s="20" t="s">
        <v>1417</v>
      </c>
    </row>
    <row r="36" spans="1:4" ht="18.399999999999999" customHeight="1" x14ac:dyDescent="0.15">
      <c r="A36" s="11" t="s">
        <v>1640</v>
      </c>
      <c r="B36" s="2" t="s">
        <v>843</v>
      </c>
      <c r="C36" s="2" t="s">
        <v>2129</v>
      </c>
      <c r="D36" s="20" t="s">
        <v>194</v>
      </c>
    </row>
    <row r="37" spans="1:4" ht="18.399999999999999" customHeight="1" x14ac:dyDescent="0.15">
      <c r="A37" s="11" t="s">
        <v>1258</v>
      </c>
      <c r="B37" s="2" t="s">
        <v>843</v>
      </c>
      <c r="C37" s="2" t="s">
        <v>2129</v>
      </c>
      <c r="D37" s="20" t="s">
        <v>181</v>
      </c>
    </row>
    <row r="38" spans="1:4" ht="18.399999999999999" customHeight="1" x14ac:dyDescent="0.15">
      <c r="A38" s="11" t="s">
        <v>281</v>
      </c>
      <c r="B38" s="2" t="s">
        <v>843</v>
      </c>
      <c r="C38" s="2" t="s">
        <v>2129</v>
      </c>
      <c r="D38" s="20" t="s">
        <v>95</v>
      </c>
    </row>
    <row r="39" spans="1:4" ht="18.399999999999999" customHeight="1" x14ac:dyDescent="0.15">
      <c r="A39" s="11" t="s">
        <v>1941</v>
      </c>
      <c r="B39" s="2" t="s">
        <v>2412</v>
      </c>
      <c r="C39" s="2">
        <v>1.1100000000000001</v>
      </c>
      <c r="D39" s="20" t="s">
        <v>2153</v>
      </c>
    </row>
    <row r="40" spans="1:4" ht="18.399999999999999" customHeight="1" x14ac:dyDescent="0.15">
      <c r="A40" s="11" t="s">
        <v>899</v>
      </c>
      <c r="B40" s="2" t="s">
        <v>2412</v>
      </c>
      <c r="C40" s="2">
        <v>1.1200000000000001</v>
      </c>
      <c r="D40" s="20" t="s">
        <v>793</v>
      </c>
    </row>
    <row r="41" spans="1:4" ht="18.399999999999999" customHeight="1" x14ac:dyDescent="0.15">
      <c r="A41" s="11" t="s">
        <v>2264</v>
      </c>
      <c r="B41" s="2" t="s">
        <v>843</v>
      </c>
      <c r="C41" s="2" t="s">
        <v>2129</v>
      </c>
      <c r="D41" s="20" t="s">
        <v>2059</v>
      </c>
    </row>
    <row r="42" spans="1:4" ht="18.399999999999999" customHeight="1" x14ac:dyDescent="0.15">
      <c r="A42" s="11" t="s">
        <v>1876</v>
      </c>
      <c r="B42" s="2" t="s">
        <v>843</v>
      </c>
      <c r="C42" s="2" t="s">
        <v>2129</v>
      </c>
      <c r="D42" s="20" t="s">
        <v>2140</v>
      </c>
    </row>
    <row r="43" spans="1:4" ht="18.399999999999999" customHeight="1" x14ac:dyDescent="0.15">
      <c r="A43" s="11" t="s">
        <v>941</v>
      </c>
      <c r="B43" s="2" t="s">
        <v>843</v>
      </c>
      <c r="C43" s="2" t="s">
        <v>2129</v>
      </c>
      <c r="D43" s="20" t="s">
        <v>1210</v>
      </c>
    </row>
    <row r="44" spans="1:4" ht="18.399999999999999" customHeight="1" x14ac:dyDescent="0.15">
      <c r="A44" s="11" t="s">
        <v>1797</v>
      </c>
      <c r="B44" s="2" t="s">
        <v>843</v>
      </c>
      <c r="C44" s="2" t="s">
        <v>2129</v>
      </c>
      <c r="D44" s="20" t="s">
        <v>2450</v>
      </c>
    </row>
    <row r="45" spans="1:4" ht="18.399999999999999" customHeight="1" x14ac:dyDescent="0.15">
      <c r="A45" s="11" t="s">
        <v>983</v>
      </c>
      <c r="B45" s="2" t="s">
        <v>843</v>
      </c>
      <c r="C45" s="2" t="s">
        <v>2450</v>
      </c>
      <c r="D45" s="20" t="s">
        <v>2450</v>
      </c>
    </row>
    <row r="46" spans="1:4" ht="18.399999999999999" customHeight="1" x14ac:dyDescent="0.15">
      <c r="A46" s="11" t="s">
        <v>758</v>
      </c>
      <c r="B46" s="2" t="s">
        <v>843</v>
      </c>
      <c r="C46" s="2" t="s">
        <v>2450</v>
      </c>
      <c r="D46" s="20" t="s">
        <v>2450</v>
      </c>
    </row>
    <row r="47" spans="1:4" ht="18.399999999999999" customHeight="1" x14ac:dyDescent="0.15">
      <c r="A47" s="11" t="s">
        <v>1320</v>
      </c>
      <c r="B47" s="2" t="s">
        <v>2412</v>
      </c>
      <c r="C47" s="2">
        <v>0</v>
      </c>
      <c r="D47" s="20" t="s">
        <v>705</v>
      </c>
    </row>
    <row r="48" spans="1:4" ht="18.399999999999999" customHeight="1" x14ac:dyDescent="0.15">
      <c r="A48" s="11" t="s">
        <v>247</v>
      </c>
      <c r="B48" s="2" t="s">
        <v>2412</v>
      </c>
      <c r="C48" s="2">
        <v>0</v>
      </c>
      <c r="D48" s="20" t="s">
        <v>1609</v>
      </c>
    </row>
    <row r="49" spans="1:4" ht="18.399999999999999" customHeight="1" x14ac:dyDescent="0.15">
      <c r="A49" s="11" t="s">
        <v>374</v>
      </c>
      <c r="B49" s="2" t="s">
        <v>843</v>
      </c>
      <c r="C49" s="2" t="s">
        <v>1203</v>
      </c>
      <c r="D49" s="20" t="s">
        <v>2450</v>
      </c>
    </row>
    <row r="50" spans="1:4" ht="18.399999999999999" customHeight="1" x14ac:dyDescent="0.15">
      <c r="A50" s="13" t="s">
        <v>303</v>
      </c>
      <c r="B50" s="14" t="s">
        <v>843</v>
      </c>
      <c r="C50" s="14" t="s">
        <v>2129</v>
      </c>
      <c r="D50" s="21" t="s">
        <v>2450</v>
      </c>
    </row>
  </sheetData>
  <phoneticPr fontId="5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2.75" customHeight="1" x14ac:dyDescent="0.15"/>
  <sheetData/>
  <phoneticPr fontId="5" type="noConversion"/>
  <pageMargins left="0.75" right="0.75" top="1" bottom="1" header="0.5" footer="0.5"/>
  <pageSetup paperSize="9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12</vt:i4>
      </vt:variant>
    </vt:vector>
  </HeadingPairs>
  <TitlesOfParts>
    <vt:vector size="25" baseType="lpstr">
      <vt:lpstr>내역서</vt:lpstr>
      <vt:lpstr>일위대가목록</vt:lpstr>
      <vt:lpstr>일위대가_호표</vt:lpstr>
      <vt:lpstr>일위대가_산근</vt:lpstr>
      <vt:lpstr>중기사용료목록</vt:lpstr>
      <vt:lpstr>중기사용료</vt:lpstr>
      <vt:lpstr>중기기초자료</vt:lpstr>
      <vt:lpstr>자재</vt:lpstr>
      <vt:lpstr>노임</vt:lpstr>
      <vt:lpstr>경비</vt:lpstr>
      <vt:lpstr>전역변수</vt:lpstr>
      <vt:lpstr>중기전역변수</vt:lpstr>
      <vt:lpstr>Sheet3</vt:lpstr>
      <vt:lpstr>내역서!Print_Area</vt:lpstr>
      <vt:lpstr>경비!Print_Titles</vt:lpstr>
      <vt:lpstr>내역서!Print_Titles</vt:lpstr>
      <vt:lpstr>노임!Print_Titles</vt:lpstr>
      <vt:lpstr>일위대가_산근!Print_Titles</vt:lpstr>
      <vt:lpstr>일위대가_호표!Print_Titles</vt:lpstr>
      <vt:lpstr>일위대가목록!Print_Titles</vt:lpstr>
      <vt:lpstr>자재!Print_Titles</vt:lpstr>
      <vt:lpstr>전역변수!Print_Titles</vt:lpstr>
      <vt:lpstr>중기기초자료!Print_Titles</vt:lpstr>
      <vt:lpstr>중기사용료목록!Print_Titles</vt:lpstr>
      <vt:lpstr>중기전역변수!Print_Titles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ensti</dc:creator>
  <cp:lastModifiedBy>user</cp:lastModifiedBy>
  <cp:lastPrinted>2026-07-28T07:57:08Z</cp:lastPrinted>
  <dcterms:created xsi:type="dcterms:W3CDTF">2026-07-28T07:49:13Z</dcterms:created>
  <dcterms:modified xsi:type="dcterms:W3CDTF">2026-07-30T11:32:46Z</dcterms:modified>
</cp:coreProperties>
</file>