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R\Desktop\고성통영거제지사 업무\유지관리\구례양수장 조작반 고장\1. 시행\"/>
    </mc:Choice>
  </mc:AlternateContent>
  <xr:revisionPtr revIDLastSave="0" documentId="13_ncr:1_{0524193A-733F-45C3-958F-7A22A192052F}" xr6:coauthVersionLast="47" xr6:coauthVersionMax="47" xr10:uidLastSave="{00000000-0000-0000-0000-000000000000}"/>
  <bookViews>
    <workbookView xWindow="-51720" yWindow="-2370" windowWidth="41520" windowHeight="16800" xr2:uid="{03C4A13D-82EB-4E02-A68C-86C094EC38F1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대비표" sheetId="5" r:id="rId6"/>
    <sheet name="공량산출근거서" sheetId="4" r:id="rId7"/>
    <sheet name="공량설정" sheetId="3" r:id="rId8"/>
    <sheet name=" 공사설정 " sheetId="2" r:id="rId9"/>
    <sheet name="Sheet1" sheetId="1" r:id="rId10"/>
  </sheets>
  <definedNames>
    <definedName name="_xlnm.Print_Area" localSheetId="6">공량산출근거서!$A$1:$P$23</definedName>
    <definedName name="_xlnm.Print_Area" localSheetId="2">공종별내역서!$A$1:$M$55</definedName>
    <definedName name="_xlnm.Print_Area" localSheetId="1">공종별집계표!$A$1:$M$29</definedName>
    <definedName name="_xlnm.Print_Area" localSheetId="5">단가대비표!$A$1:$X$37</definedName>
    <definedName name="_xlnm.Print_Area" localSheetId="4">일위대가!$A$1:$M$12</definedName>
    <definedName name="_xlnm.Print_Area" localSheetId="3">일위대가목록!$A$1:$M$5</definedName>
    <definedName name="_xlnm.Print_Titles" localSheetId="6">공량산출근거서!$1:$3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0" l="1"/>
  <c r="D38" i="8" l="1"/>
  <c r="D37" i="8"/>
  <c r="I38" i="8"/>
  <c r="G38" i="8"/>
  <c r="E38" i="8"/>
  <c r="I37" i="8"/>
  <c r="G37" i="8"/>
  <c r="E37" i="8"/>
  <c r="I36" i="8"/>
  <c r="G36" i="8"/>
  <c r="E36" i="8"/>
  <c r="I35" i="8"/>
  <c r="G35" i="8"/>
  <c r="E35" i="8"/>
  <c r="I34" i="8"/>
  <c r="G34" i="8"/>
  <c r="E34" i="8"/>
  <c r="I33" i="8"/>
  <c r="G33" i="8"/>
  <c r="E33" i="8"/>
  <c r="I32" i="8"/>
  <c r="G32" i="8"/>
  <c r="E32" i="8"/>
  <c r="I31" i="8"/>
  <c r="G31" i="8"/>
  <c r="E31" i="8"/>
  <c r="I30" i="8"/>
  <c r="G30" i="8"/>
  <c r="E30" i="8"/>
  <c r="I29" i="8"/>
  <c r="G29" i="8"/>
  <c r="E29" i="8"/>
  <c r="I28" i="8"/>
  <c r="J28" i="8" s="1"/>
  <c r="G28" i="8"/>
  <c r="E28" i="8"/>
  <c r="I27" i="8"/>
  <c r="G27" i="8"/>
  <c r="E27" i="8"/>
  <c r="F27" i="8" s="1"/>
  <c r="I26" i="8"/>
  <c r="G26" i="8"/>
  <c r="E26" i="8"/>
  <c r="I25" i="8"/>
  <c r="G25" i="8"/>
  <c r="E25" i="8"/>
  <c r="I24" i="8"/>
  <c r="G24" i="8"/>
  <c r="E24" i="8"/>
  <c r="I23" i="8"/>
  <c r="G23" i="8"/>
  <c r="E23" i="8"/>
  <c r="I22" i="8"/>
  <c r="G22" i="8"/>
  <c r="E22" i="8"/>
  <c r="I21" i="8"/>
  <c r="G21" i="8"/>
  <c r="E21" i="8"/>
  <c r="I20" i="8"/>
  <c r="G20" i="8"/>
  <c r="E20" i="8"/>
  <c r="I19" i="8"/>
  <c r="G19" i="8"/>
  <c r="E19" i="8"/>
  <c r="I18" i="8"/>
  <c r="G18" i="8"/>
  <c r="E18" i="8"/>
  <c r="I17" i="8"/>
  <c r="G17" i="8"/>
  <c r="E17" i="8"/>
  <c r="I16" i="8"/>
  <c r="G16" i="8"/>
  <c r="E16" i="8"/>
  <c r="F16" i="8" s="1"/>
  <c r="I15" i="8"/>
  <c r="G15" i="8"/>
  <c r="E15" i="8"/>
  <c r="I14" i="8"/>
  <c r="G14" i="8"/>
  <c r="E14" i="8"/>
  <c r="I13" i="8"/>
  <c r="G13" i="8"/>
  <c r="E13" i="8"/>
  <c r="I12" i="8"/>
  <c r="G12" i="8"/>
  <c r="E12" i="8"/>
  <c r="I11" i="8"/>
  <c r="G11" i="8"/>
  <c r="E11" i="8"/>
  <c r="I10" i="8"/>
  <c r="G10" i="8"/>
  <c r="E10" i="8"/>
  <c r="I9" i="8"/>
  <c r="G9" i="8"/>
  <c r="E9" i="8"/>
  <c r="I8" i="8"/>
  <c r="K8" i="8" s="1"/>
  <c r="G8" i="8"/>
  <c r="E8" i="8"/>
  <c r="I7" i="8"/>
  <c r="G7" i="8"/>
  <c r="E7" i="8"/>
  <c r="I6" i="8"/>
  <c r="G6" i="8"/>
  <c r="E6" i="8"/>
  <c r="I5" i="8"/>
  <c r="G5" i="8"/>
  <c r="I10" i="6"/>
  <c r="G10" i="6"/>
  <c r="E10" i="6"/>
  <c r="I5" i="6"/>
  <c r="G5" i="6"/>
  <c r="E5" i="6"/>
  <c r="F23" i="4"/>
  <c r="K23" i="4" s="1"/>
  <c r="F22" i="4"/>
  <c r="K22" i="4" s="1"/>
  <c r="M21" i="4"/>
  <c r="N21" i="4" s="1"/>
  <c r="W21" i="4" s="1"/>
  <c r="M20" i="4"/>
  <c r="N20" i="4"/>
  <c r="W20" i="4"/>
  <c r="M19" i="4"/>
  <c r="N19" i="4" s="1"/>
  <c r="W19" i="4" s="1"/>
  <c r="M18" i="4"/>
  <c r="N18" i="4" s="1"/>
  <c r="W18" i="4" s="1"/>
  <c r="M17" i="4"/>
  <c r="N17" i="4"/>
  <c r="W17" i="4"/>
  <c r="M16" i="4"/>
  <c r="N16" i="4"/>
  <c r="V16" i="4" s="1"/>
  <c r="M15" i="4"/>
  <c r="N15" i="4" s="1"/>
  <c r="V15" i="4" s="1"/>
  <c r="M14" i="4"/>
  <c r="N14" i="4"/>
  <c r="W14" i="4" s="1"/>
  <c r="M13" i="4"/>
  <c r="N13" i="4" s="1"/>
  <c r="V13" i="4" s="1"/>
  <c r="M12" i="4"/>
  <c r="N12" i="4"/>
  <c r="V12" i="4" s="1"/>
  <c r="M11" i="4"/>
  <c r="N11" i="4"/>
  <c r="V11" i="4" s="1"/>
  <c r="M10" i="4"/>
  <c r="N10" i="4" s="1"/>
  <c r="V10" i="4" s="1"/>
  <c r="M9" i="4"/>
  <c r="N9" i="4" s="1"/>
  <c r="W9" i="4" s="1"/>
  <c r="M8" i="4"/>
  <c r="N8" i="4" s="1"/>
  <c r="W8" i="4" s="1"/>
  <c r="M7" i="4"/>
  <c r="N7" i="4"/>
  <c r="W7" i="4" s="1"/>
  <c r="M6" i="4"/>
  <c r="N6" i="4" s="1"/>
  <c r="W6" i="4" s="1"/>
  <c r="M5" i="4"/>
  <c r="N5" i="4" s="1"/>
  <c r="V5" i="4" s="1"/>
  <c r="O37" i="5"/>
  <c r="O36" i="5"/>
  <c r="O35" i="5"/>
  <c r="O34" i="5"/>
  <c r="O33" i="5"/>
  <c r="O32" i="5"/>
  <c r="O31" i="5"/>
  <c r="O30" i="5"/>
  <c r="O29" i="5"/>
  <c r="O28" i="5"/>
  <c r="O27" i="5"/>
  <c r="O26" i="5"/>
  <c r="E5" i="8" s="1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5" i="5"/>
  <c r="H12" i="6"/>
  <c r="F5" i="7" s="1"/>
  <c r="H11" i="6"/>
  <c r="J11" i="6"/>
  <c r="F10" i="6"/>
  <c r="H10" i="6"/>
  <c r="E11" i="6" s="1"/>
  <c r="F11" i="6" s="1"/>
  <c r="J10" i="6"/>
  <c r="J12" i="6" s="1"/>
  <c r="K10" i="6"/>
  <c r="H7" i="6"/>
  <c r="F4" i="7" s="1"/>
  <c r="J7" i="6"/>
  <c r="G4" i="7" s="1"/>
  <c r="H6" i="6"/>
  <c r="J6" i="6"/>
  <c r="F5" i="6"/>
  <c r="H5" i="6"/>
  <c r="E6" i="6" s="1"/>
  <c r="J5" i="6"/>
  <c r="K5" i="6"/>
  <c r="L5" i="6"/>
  <c r="F38" i="8"/>
  <c r="H38" i="8"/>
  <c r="J38" i="8"/>
  <c r="L38" i="8" s="1"/>
  <c r="K38" i="8"/>
  <c r="F37" i="8"/>
  <c r="H37" i="8"/>
  <c r="J37" i="8"/>
  <c r="K37" i="8"/>
  <c r="F36" i="8"/>
  <c r="H36" i="8"/>
  <c r="J36" i="8"/>
  <c r="K36" i="8"/>
  <c r="L36" i="8"/>
  <c r="F35" i="8"/>
  <c r="H35" i="8"/>
  <c r="J35" i="8"/>
  <c r="K35" i="8"/>
  <c r="L35" i="8"/>
  <c r="F34" i="8"/>
  <c r="H34" i="8"/>
  <c r="J34" i="8"/>
  <c r="L34" i="8" s="1"/>
  <c r="K34" i="8"/>
  <c r="F33" i="8"/>
  <c r="H33" i="8"/>
  <c r="J33" i="8"/>
  <c r="K33" i="8"/>
  <c r="L33" i="8"/>
  <c r="F32" i="8"/>
  <c r="H32" i="8"/>
  <c r="J32" i="8"/>
  <c r="K32" i="8"/>
  <c r="L32" i="8"/>
  <c r="F31" i="8"/>
  <c r="H31" i="8"/>
  <c r="J31" i="8"/>
  <c r="K31" i="8"/>
  <c r="F30" i="8"/>
  <c r="H30" i="8"/>
  <c r="J30" i="8"/>
  <c r="K30" i="8"/>
  <c r="F29" i="8"/>
  <c r="H29" i="8"/>
  <c r="J29" i="8"/>
  <c r="K29" i="8"/>
  <c r="F28" i="8"/>
  <c r="H28" i="8"/>
  <c r="H27" i="8"/>
  <c r="J27" i="8"/>
  <c r="K27" i="8"/>
  <c r="F26" i="8"/>
  <c r="H26" i="8"/>
  <c r="J26" i="8"/>
  <c r="K26" i="8"/>
  <c r="L26" i="8"/>
  <c r="F25" i="8"/>
  <c r="H25" i="8"/>
  <c r="J25" i="8"/>
  <c r="L25" i="8" s="1"/>
  <c r="K25" i="8"/>
  <c r="F24" i="8"/>
  <c r="H24" i="8"/>
  <c r="J24" i="8"/>
  <c r="K24" i="8"/>
  <c r="L24" i="8"/>
  <c r="F23" i="8"/>
  <c r="H23" i="8"/>
  <c r="J23" i="8"/>
  <c r="K23" i="8"/>
  <c r="H22" i="8"/>
  <c r="J22" i="8"/>
  <c r="F21" i="8"/>
  <c r="H21" i="8"/>
  <c r="J21" i="8"/>
  <c r="L21" i="8" s="1"/>
  <c r="K21" i="8"/>
  <c r="F20" i="8"/>
  <c r="H20" i="8"/>
  <c r="J20" i="8"/>
  <c r="K20" i="8"/>
  <c r="F19" i="8"/>
  <c r="H19" i="8"/>
  <c r="J19" i="8"/>
  <c r="K19" i="8"/>
  <c r="F18" i="8"/>
  <c r="H18" i="8"/>
  <c r="J18" i="8"/>
  <c r="K18" i="8"/>
  <c r="F17" i="8"/>
  <c r="H17" i="8"/>
  <c r="J17" i="8"/>
  <c r="K17" i="8"/>
  <c r="J16" i="8"/>
  <c r="F15" i="8"/>
  <c r="H15" i="8"/>
  <c r="J15" i="8"/>
  <c r="K15" i="8"/>
  <c r="F14" i="8"/>
  <c r="H14" i="8"/>
  <c r="J14" i="8"/>
  <c r="K14" i="8"/>
  <c r="F13" i="8"/>
  <c r="H13" i="8"/>
  <c r="J13" i="8"/>
  <c r="K13" i="8"/>
  <c r="F12" i="8"/>
  <c r="H12" i="8"/>
  <c r="J12" i="8"/>
  <c r="K12" i="8"/>
  <c r="F11" i="8"/>
  <c r="H11" i="8"/>
  <c r="J11" i="8"/>
  <c r="K11" i="8"/>
  <c r="L11" i="8"/>
  <c r="F10" i="8"/>
  <c r="H10" i="8"/>
  <c r="J10" i="8"/>
  <c r="K10" i="8"/>
  <c r="F9" i="8"/>
  <c r="H9" i="8"/>
  <c r="J9" i="8"/>
  <c r="K9" i="8"/>
  <c r="F8" i="8"/>
  <c r="H8" i="8"/>
  <c r="F7" i="8"/>
  <c r="H7" i="8"/>
  <c r="J7" i="8"/>
  <c r="K7" i="8"/>
  <c r="F6" i="8"/>
  <c r="H6" i="8"/>
  <c r="J6" i="8"/>
  <c r="K6" i="8"/>
  <c r="H5" i="8"/>
  <c r="J5" i="8"/>
  <c r="F5" i="8" l="1"/>
  <c r="L5" i="8" s="1"/>
  <c r="K5" i="8"/>
  <c r="L37" i="8"/>
  <c r="L31" i="8"/>
  <c r="L30" i="8"/>
  <c r="L29" i="8"/>
  <c r="K28" i="8"/>
  <c r="L28" i="8"/>
  <c r="L27" i="8"/>
  <c r="L23" i="8"/>
  <c r="K22" i="8"/>
  <c r="F22" i="8"/>
  <c r="L22" i="8" s="1"/>
  <c r="L20" i="8"/>
  <c r="L19" i="8"/>
  <c r="L18" i="8"/>
  <c r="L17" i="8"/>
  <c r="K16" i="8"/>
  <c r="H16" i="8"/>
  <c r="L16" i="8"/>
  <c r="L15" i="8"/>
  <c r="L14" i="8"/>
  <c r="L13" i="8"/>
  <c r="L12" i="8"/>
  <c r="L10" i="8"/>
  <c r="H55" i="8"/>
  <c r="G6" i="9" s="1"/>
  <c r="H6" i="9" s="1"/>
  <c r="G5" i="9" s="1"/>
  <c r="H5" i="9" s="1"/>
  <c r="L9" i="8"/>
  <c r="J8" i="8"/>
  <c r="L8" i="8" s="1"/>
  <c r="J55" i="8"/>
  <c r="I6" i="9" s="1"/>
  <c r="J6" i="9" s="1"/>
  <c r="I5" i="9" s="1"/>
  <c r="J5" i="9" s="1"/>
  <c r="L7" i="8"/>
  <c r="L6" i="8"/>
  <c r="L10" i="6"/>
  <c r="L11" i="6"/>
  <c r="F12" i="6"/>
  <c r="E5" i="7" s="1"/>
  <c r="K6" i="6"/>
  <c r="F6" i="6"/>
  <c r="G5" i="7"/>
  <c r="K11" i="6"/>
  <c r="F55" i="8" l="1"/>
  <c r="E6" i="9" s="1"/>
  <c r="F6" i="9" s="1"/>
  <c r="H29" i="9"/>
  <c r="J29" i="9"/>
  <c r="L55" i="8"/>
  <c r="E9" i="10"/>
  <c r="E10" i="10" s="1"/>
  <c r="H5" i="7"/>
  <c r="L12" i="6"/>
  <c r="F7" i="6"/>
  <c r="L6" i="6"/>
  <c r="K6" i="9" l="1"/>
  <c r="E5" i="9"/>
  <c r="L6" i="9"/>
  <c r="E4" i="7"/>
  <c r="H4" i="7" s="1"/>
  <c r="L7" i="6"/>
  <c r="K5" i="9" l="1"/>
  <c r="F5" i="9"/>
  <c r="F29" i="9" l="1"/>
  <c r="E4" i="10"/>
  <c r="L5" i="9"/>
  <c r="L29" i="9" s="1"/>
  <c r="E5" i="10" l="1"/>
  <c r="E7" i="10" s="1"/>
  <c r="E11" i="10" s="1"/>
  <c r="E12" i="10" s="1"/>
  <c r="E13" i="10" l="1"/>
  <c r="E14" i="10" l="1"/>
  <c r="E15" i="10" s="1"/>
  <c r="E16" i="10" l="1"/>
  <c r="E17" i="10" l="1"/>
  <c r="E18" i="10" l="1"/>
  <c r="E19" i="10" s="1"/>
</calcChain>
</file>

<file path=xl/sharedStrings.xml><?xml version="1.0" encoding="utf-8"?>
<sst xmlns="http://schemas.openxmlformats.org/spreadsheetml/2006/main" count="1665" uniqueCount="427">
  <si>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</si>
  <si>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</si>
  <si>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</si>
  <si>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</si>
  <si>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</si>
  <si>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</si>
  <si>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</si>
  <si>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</si>
  <si>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</si>
  <si>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</si>
  <si>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</si>
  <si>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</si>
  <si>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</si>
  <si>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</si>
  <si>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</si>
  <si>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</si>
  <si>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</si>
  <si>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</si>
  <si>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</si>
  <si>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</si>
  <si>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</si>
  <si>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</si>
  <si>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</si>
  <si>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</si>
  <si>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</si>
  <si>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</si>
  <si>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</si>
  <si>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</si>
  <si>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</si>
  <si>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</si>
  <si>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</si>
  <si>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</si>
  <si>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</si>
  <si>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</si>
  <si>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</si>
  <si>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</si>
  <si>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</si>
  <si>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</si>
  <si>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</si>
  <si>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</si>
  <si>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</si>
  <si>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</si>
  <si>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</si>
  <si>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</si>
  <si>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</si>
  <si>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</si>
  <si>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</si>
  <si>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</si>
  <si>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</si>
  <si>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</si>
  <si>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</si>
  <si>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</si>
  <si>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조작반 제작</t>
  </si>
  <si>
    <t>0101</t>
  </si>
  <si>
    <t>STS 0.8(W)x0.6(D)x1.2(H)</t>
  </si>
  <si>
    <t>면</t>
  </si>
  <si>
    <t>53C54246E93811847062BA8C2C9B9A26717B24</t>
  </si>
  <si>
    <t>F</t>
  </si>
  <si>
    <t>T</t>
  </si>
  <si>
    <t>010153C54246E93811847062BA8C2C9B9A26717B24</t>
  </si>
  <si>
    <t>DOOR HANDLE (배전반용)</t>
  </si>
  <si>
    <t>W/KEY(M)</t>
  </si>
  <si>
    <t>개</t>
  </si>
  <si>
    <t>53C54246E93811847062BA8C2C9B9A26717970</t>
  </si>
  <si>
    <t>010153C54246E93811847062BA8C2C9B9A26717970</t>
  </si>
  <si>
    <t>PUSH TURN W/KEY(M)</t>
  </si>
  <si>
    <t>53C54246E93811847062BA8C2C9B9A26717977</t>
  </si>
  <si>
    <t>010153C54246E93811847062BA8C2C9B9A26717977</t>
  </si>
  <si>
    <t>DOOR STOPPER (배전반용)</t>
  </si>
  <si>
    <t>STS</t>
  </si>
  <si>
    <t>53C54246E93811847062BA8C2C9B9A26717976</t>
  </si>
  <si>
    <t>010153C54246E93811847062BA8C2C9B9A26717976</t>
  </si>
  <si>
    <t>누전차단기(ELCB)</t>
  </si>
  <si>
    <t>분전반용 220V 2P 30AF</t>
  </si>
  <si>
    <t>대</t>
  </si>
  <si>
    <t>53C54246E93811847062BA8C2C9B9A2671797A</t>
  </si>
  <si>
    <t>010153C54246E93811847062BA8C2C9B9A2671797A</t>
  </si>
  <si>
    <t>전자식과전류계전기(EOCR-단자형)</t>
  </si>
  <si>
    <t>디지털표시부부착</t>
  </si>
  <si>
    <t>53C54246E93811847062BA8C2C9B9A2671786D</t>
  </si>
  <si>
    <t>010153C54246E93811847062BA8C2C9B9A2671786D</t>
  </si>
  <si>
    <t>디지털메터</t>
  </si>
  <si>
    <t>전압, 전류 등, 통신無</t>
  </si>
  <si>
    <t>53C54246E93811847062BA8C2C9B9A2671786E</t>
  </si>
  <si>
    <t>010153C54246E93811847062BA8C2C9B9A2671786E</t>
  </si>
  <si>
    <t>단자대</t>
  </si>
  <si>
    <t>10P 30A</t>
  </si>
  <si>
    <t>53C54246E93811847062BA8C2C9B9A2671786F</t>
  </si>
  <si>
    <t>010153C54246E93811847062BA8C2C9B9A2671786F</t>
  </si>
  <si>
    <t>4P, 30A, 고정식</t>
  </si>
  <si>
    <t>53C54246E93811847062BA8C2C9B9A26717868</t>
  </si>
  <si>
    <t>010153C54246E93811847062BA8C2C9B9A26717868</t>
  </si>
  <si>
    <t>보조릴레이</t>
  </si>
  <si>
    <t>2A,2B(AC용)</t>
  </si>
  <si>
    <t>53C54246E93811847062BA8C2C9B9A26717869</t>
  </si>
  <si>
    <t>010153C54246E93811847062BA8C2C9B9A26717869</t>
  </si>
  <si>
    <t>푸쉬버튼 스위치</t>
  </si>
  <si>
    <t>D25AC110V/220V(조광형)</t>
  </si>
  <si>
    <t>53C54246E93811847062BA8C2C9B9A2671786A</t>
  </si>
  <si>
    <t>010153C54246E93811847062BA8C2C9B9A2671786A</t>
  </si>
  <si>
    <t>신호등(LED)</t>
  </si>
  <si>
    <t>D25AC110V/220V</t>
  </si>
  <si>
    <t>53C54246E93811847062BA8C2C9B9A2671786B</t>
  </si>
  <si>
    <t>010153C54246E93811847062BA8C2C9B9A2671786B</t>
  </si>
  <si>
    <t>서지보호기(카운터)3상4선</t>
  </si>
  <si>
    <t>전원용 Class2, In 20kA이상, Imax 40kA이상,누설전류 검출</t>
  </si>
  <si>
    <t>SET</t>
  </si>
  <si>
    <t>53C54246E93811847062BA8C2C9B9A26717864</t>
  </si>
  <si>
    <t>010153C54246E93811847062BA8C2C9B9A26717864</t>
  </si>
  <si>
    <t>기기용 비닐절연전선</t>
  </si>
  <si>
    <t>450/700V KIV 2.5㎟(0.04kg)</t>
  </si>
  <si>
    <t>M</t>
  </si>
  <si>
    <t>53C54246E93811847062BA8C2C9B9A26717865</t>
  </si>
  <si>
    <t>010153C54246E93811847062BA8C2C9B9A26717865</t>
  </si>
  <si>
    <t>FAN</t>
  </si>
  <si>
    <t>AC 220V 150mm</t>
  </si>
  <si>
    <t>53C54246E93811847062BA8C2C9B9A26717B20</t>
  </si>
  <si>
    <t>010153C54246E93811847062BA8C2C9B9A26717B20</t>
  </si>
  <si>
    <t>SPACE HEATER</t>
  </si>
  <si>
    <t>AC 220V 100W</t>
  </si>
  <si>
    <t>53C54246E93811847062BA8C2C9B9A26717B21</t>
  </si>
  <si>
    <t>010153C54246E93811847062BA8C2C9B9A26717B21</t>
  </si>
  <si>
    <t>THERMOSTAT</t>
  </si>
  <si>
    <t>AC 220V 0~250℃</t>
  </si>
  <si>
    <t>53C54246E93811847062BA8C2C9B9A26717B22</t>
  </si>
  <si>
    <t>010153C54246E93811847062BA8C2C9B9A26717B22</t>
  </si>
  <si>
    <t>PVC DUCT</t>
  </si>
  <si>
    <t>30 x 40 x 2m, W/COVER</t>
  </si>
  <si>
    <t>53C54246E93811847062BA8C2C9B9A26717B23</t>
  </si>
  <si>
    <t>010153C54246E93811847062BA8C2C9B9A26717B23</t>
  </si>
  <si>
    <t>배선기구 설치</t>
  </si>
  <si>
    <t>푸시버튼</t>
  </si>
  <si>
    <t>523C92C671DC818FCD61F983318E6D</t>
  </si>
  <si>
    <t>0101523C92C671DC818FCD61F983318E6D</t>
  </si>
  <si>
    <t>표시등</t>
  </si>
  <si>
    <t>523C5266A6366183C43DC888F0A799</t>
  </si>
  <si>
    <t>0101523C5266A6366183C43DC888F0A799</t>
  </si>
  <si>
    <t>배선용차단기(MCCB)</t>
  </si>
  <si>
    <t>표준형 460V 4P 100AF</t>
  </si>
  <si>
    <t>53C54246E93811847062BA8C2C9B9A26717B25</t>
  </si>
  <si>
    <t>010153C54246E93811847062BA8C2C9B9A26717B25</t>
  </si>
  <si>
    <t>표준형 460V 3P 100AF</t>
  </si>
  <si>
    <t>53C54246E93811847062BA8C2C9B9A26717B26</t>
  </si>
  <si>
    <t>010153C54246E93811847062BA8C2C9B9A26717B26</t>
  </si>
  <si>
    <t>전자접촉기(개방형)</t>
  </si>
  <si>
    <t>(220V/380V)15/22㎾</t>
  </si>
  <si>
    <t>53C54246E93811847062BA8C2C9B9A26717B27</t>
  </si>
  <si>
    <t>010153C54246E93811847062BA8C2C9B9A26717B27</t>
  </si>
  <si>
    <t>셀렉터 스위치(Selectors Switch)</t>
  </si>
  <si>
    <t>53C54246E93811847062BA8C2C9B9A26717B28</t>
  </si>
  <si>
    <t>010153C54246E93811847062BA8C2C9B9A26717B28</t>
  </si>
  <si>
    <t>타이머</t>
  </si>
  <si>
    <t>W/SOCKET, 1~60 sec</t>
  </si>
  <si>
    <t>53C54246E93811847062BA8C2C9B9A26717B29</t>
  </si>
  <si>
    <t>010153C54246E93811847062BA8C2C9B9A26717B29</t>
  </si>
  <si>
    <t>계기용변류기(C.T)환형</t>
  </si>
  <si>
    <t>600V5VA 300/5A 1.0 15VA</t>
  </si>
  <si>
    <t>53C54246E93811847062BA8C2C9B9A26717A1A</t>
  </si>
  <si>
    <t>010153C54246E93811847062BA8C2C9B9A26717A1A</t>
  </si>
  <si>
    <t>콘덴서 (저압)</t>
  </si>
  <si>
    <t>(3P 380V/440V) 75㎌</t>
  </si>
  <si>
    <t>53C54246E93811847062BA8C2C9B9A26717A1B</t>
  </si>
  <si>
    <t>010153C54246E93811847062BA8C2C9B9A26717A1B</t>
  </si>
  <si>
    <t>DIAZED FUSE</t>
  </si>
  <si>
    <t>25A W/HOLDER</t>
  </si>
  <si>
    <t>53C54246E93811847062BA8C2C9B9A26717A18</t>
  </si>
  <si>
    <t>010153C54246E93811847062BA8C2C9B9A26717A18</t>
  </si>
  <si>
    <t>부저</t>
  </si>
  <si>
    <t>D65 AC110V/220V</t>
  </si>
  <si>
    <t>53C54246E93811847062BA8C2C9B9A26717A19</t>
  </si>
  <si>
    <t>010153C54246E93811847062BA8C2C9B9A26717A19</t>
  </si>
  <si>
    <t>자동소화장치</t>
  </si>
  <si>
    <t>고체에어로졸 500g(방호체적 5.19㎥)</t>
  </si>
  <si>
    <t>53C54246E93811847062BA8C2C9B9A26717A1E</t>
  </si>
  <si>
    <t>010153C54246E93811847062BA8C2C9B9A26717A1E</t>
  </si>
  <si>
    <t>통전표시기</t>
  </si>
  <si>
    <t>200V~22.9kV</t>
  </si>
  <si>
    <t>53C54246E93811847062BA8C2C9B9A26717A1F</t>
  </si>
  <si>
    <t>010153C54246E93811847062BA8C2C9B9A26717A1F</t>
  </si>
  <si>
    <t>플로트리스스위치</t>
  </si>
  <si>
    <t>플로트리스스위치, Float S/W, AC220VW/SOCKET</t>
  </si>
  <si>
    <t>555A42A68C7B3181034F2088C545AD7D0EE5FA</t>
  </si>
  <si>
    <t>0101555A42A68C7B3181034F2088C545AD7D0EE5FA</t>
  </si>
  <si>
    <t>전기기계조립원</t>
  </si>
  <si>
    <t>제조부문</t>
  </si>
  <si>
    <t>인</t>
  </si>
  <si>
    <t>중소기업중앙회</t>
  </si>
  <si>
    <t>52AEB2D6C3EAE181210D008D0068543E9AB0C1</t>
  </si>
  <si>
    <t>010152AEB2D6C3EAE181210D008D0068543E9AB0C1</t>
  </si>
  <si>
    <t>전선원</t>
  </si>
  <si>
    <t>52AEB2D6C3EAE181210D008D0068543E9AB2F4</t>
  </si>
  <si>
    <t>010152AEB2D6C3EAE181210D008D0068543E9AB2F4</t>
  </si>
  <si>
    <t>[ 합           계 ]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</si>
  <si>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</si>
  <si>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</si>
  <si>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</si>
  <si>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</si>
  <si>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</si>
  <si>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</si>
  <si>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</si>
  <si>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</si>
  <si>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</si>
  <si>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</si>
  <si>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</si>
  <si>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</si>
  <si>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</si>
  <si>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</si>
  <si>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</si>
  <si>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</si>
  <si>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</si>
  <si>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</si>
  <si>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</si>
  <si>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</si>
  <si>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</si>
  <si>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</si>
  <si>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배선기구 설치  푸시버튼  개     ( 호표 1 )</t>
  </si>
  <si>
    <t>호표 1</t>
  </si>
  <si>
    <t>통신내선공</t>
  </si>
  <si>
    <t>일반공사 직종</t>
  </si>
  <si>
    <t>52AEB2D6C3EAE181062765838B9A08F391BB2A</t>
  </si>
  <si>
    <t>523C92C671DC818FCD61F983318E6D52AEB2D6C3EAE181062765838B9A08F391BB2A</t>
  </si>
  <si>
    <t>공구손료</t>
  </si>
  <si>
    <t>인력품의 3%</t>
  </si>
  <si>
    <t>식</t>
  </si>
  <si>
    <t>536FC206E4FC21862B75A68AC32B001</t>
  </si>
  <si>
    <t>523C92C671DC818FCD61F983318E6D536FC206E4FC21862B75A68AC32B001</t>
  </si>
  <si>
    <t xml:space="preserve"> [ 합          계 ]</t>
  </si>
  <si>
    <t>표시등    개     ( 호표 2 )</t>
  </si>
  <si>
    <t>호표 2</t>
  </si>
  <si>
    <t>523C5266A6366183C43DC888F0A79952AEB2D6C3EAE181062765838B9A08F391BB2A</t>
  </si>
  <si>
    <t>523C5266A6366183C43DC888F0A799536FC206E4FC21862B75A68AC32B001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</si>
  <si>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</si>
  <si>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</si>
  <si>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</si>
  <si>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</si>
  <si>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</si>
  <si>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</si>
  <si>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</si>
  <si>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</si>
  <si>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</si>
  <si>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</si>
  <si>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</si>
  <si>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</si>
  <si>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</si>
  <si>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노임 1</t>
  </si>
  <si>
    <t>B</t>
  </si>
  <si>
    <t>노임 2</t>
  </si>
  <si>
    <t>노임 3</t>
  </si>
  <si>
    <t>M079081</t>
  </si>
  <si>
    <t>자재 2</t>
  </si>
  <si>
    <t>M079083</t>
  </si>
  <si>
    <t>자재 3</t>
  </si>
  <si>
    <t>M079085</t>
  </si>
  <si>
    <t>자재 4</t>
  </si>
  <si>
    <t>M081270</t>
  </si>
  <si>
    <t>자재 5</t>
  </si>
  <si>
    <t>M080281</t>
  </si>
  <si>
    <t>자재 6</t>
  </si>
  <si>
    <t>M080537</t>
  </si>
  <si>
    <t>자재 7</t>
  </si>
  <si>
    <t>M079128</t>
  </si>
  <si>
    <t>자재 8</t>
  </si>
  <si>
    <t>M079130</t>
  </si>
  <si>
    <t>자재 9</t>
  </si>
  <si>
    <t>M080500</t>
  </si>
  <si>
    <t>자재 10</t>
  </si>
  <si>
    <t>M080445</t>
  </si>
  <si>
    <t>자재 11</t>
  </si>
  <si>
    <t>M080446</t>
  </si>
  <si>
    <t>자재 12</t>
  </si>
  <si>
    <t>M061231</t>
  </si>
  <si>
    <t>자재 13</t>
  </si>
  <si>
    <t>M060707</t>
  </si>
  <si>
    <t>자재 14</t>
  </si>
  <si>
    <t>M079103</t>
  </si>
  <si>
    <t>자재 15</t>
  </si>
  <si>
    <t>M079104</t>
  </si>
  <si>
    <t>자재 16</t>
  </si>
  <si>
    <t>M079105</t>
  </si>
  <si>
    <t>자재 17</t>
  </si>
  <si>
    <t>M079126</t>
  </si>
  <si>
    <t>자재 18</t>
  </si>
  <si>
    <t>M079041</t>
  </si>
  <si>
    <t>자재 19</t>
  </si>
  <si>
    <t>M081220</t>
  </si>
  <si>
    <t>자재 20</t>
  </si>
  <si>
    <t>M081274</t>
  </si>
  <si>
    <t>자재 21</t>
  </si>
  <si>
    <t>M081125</t>
  </si>
  <si>
    <t>자재 22</t>
  </si>
  <si>
    <t>M080545</t>
  </si>
  <si>
    <t>자재 23</t>
  </si>
  <si>
    <t>M079152</t>
  </si>
  <si>
    <t>자재 24</t>
  </si>
  <si>
    <t>M080631</t>
  </si>
  <si>
    <t>자재 25</t>
  </si>
  <si>
    <t>M081054</t>
  </si>
  <si>
    <t>자재 26</t>
  </si>
  <si>
    <t>M079102</t>
  </si>
  <si>
    <t>자재 27</t>
  </si>
  <si>
    <t>M080540</t>
  </si>
  <si>
    <t>자재 28</t>
  </si>
  <si>
    <t>M085170</t>
  </si>
  <si>
    <t>자재 29</t>
  </si>
  <si>
    <t>M080550</t>
  </si>
  <si>
    <t>자재 30</t>
  </si>
  <si>
    <t>공종명</t>
  </si>
  <si>
    <t>적용율(%)</t>
  </si>
  <si>
    <t>소수점이하자릿수</t>
  </si>
  <si>
    <t xml:space="preserve">      전기기계조립원</t>
  </si>
  <si>
    <t xml:space="preserve">      전선원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</si>
  <si>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</si>
  <si>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</si>
  <si>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</si>
  <si>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</si>
  <si>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</si>
  <si>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</si>
  <si>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</si>
  <si>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</si>
  <si>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</si>
  <si>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</si>
  <si>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</si>
  <si>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01 조작반 제작</t>
  </si>
  <si>
    <t>전기 5-19</t>
  </si>
  <si>
    <t>전기 3-34</t>
  </si>
  <si>
    <t>전기 5-23</t>
  </si>
  <si>
    <t>전기 5-21</t>
  </si>
  <si>
    <t>전기 5-40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</si>
  <si>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</si>
  <si>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</si>
  <si>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</si>
  <si>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</si>
  <si>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</si>
  <si>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</si>
  <si>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</si>
  <si>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</si>
  <si>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</si>
  <si>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산출재료비 * 100%</t>
  </si>
  <si>
    <t>A2</t>
  </si>
  <si>
    <t>간  접  재  료  비</t>
  </si>
  <si>
    <t>직접재료비 * 1.17%</t>
  </si>
  <si>
    <t>A3</t>
  </si>
  <si>
    <t>작업설, 부산물(△)</t>
  </si>
  <si>
    <t>AS</t>
  </si>
  <si>
    <t>[ 소          계 ]</t>
  </si>
  <si>
    <t>B1</t>
  </si>
  <si>
    <t>직  접  노  무  비</t>
  </si>
  <si>
    <t>산출노무비 * 120.25%</t>
  </si>
  <si>
    <t>B2</t>
  </si>
  <si>
    <t>간  접  노  무  비</t>
  </si>
  <si>
    <t>직접노무비 * 30.3%</t>
  </si>
  <si>
    <t>BS</t>
  </si>
  <si>
    <t>C2</t>
  </si>
  <si>
    <t>경              비</t>
  </si>
  <si>
    <t>재료비 * 9.07%</t>
  </si>
  <si>
    <t>CS</t>
  </si>
  <si>
    <t>S1</t>
  </si>
  <si>
    <t>D1</t>
  </si>
  <si>
    <t>일  반  관  리  비</t>
  </si>
  <si>
    <t>계 * 7%</t>
  </si>
  <si>
    <t>D2</t>
  </si>
  <si>
    <t>이              윤</t>
  </si>
  <si>
    <t>(노무비+경비+일반관리비) * 25%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</si>
  <si>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</si>
  <si>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</si>
  <si>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</si>
  <si>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</si>
  <si>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</si>
  <si>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</si>
  <si>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</si>
  <si>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</si>
  <si>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</si>
  <si>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</si>
  <si>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</si>
  <si>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</si>
  <si>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</si>
  <si>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</si>
  <si>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</si>
  <si>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</si>
  <si>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</si>
  <si>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</si>
  <si>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</si>
  <si>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</si>
  <si>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</si>
  <si>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</si>
  <si>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</si>
  <si>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</si>
  <si>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</si>
  <si>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</si>
  <si>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</si>
  <si>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</si>
  <si>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</si>
  <si>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</si>
  <si>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</si>
  <si>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</si>
  <si>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</si>
  <si>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</si>
  <si>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</si>
  <si>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</si>
  <si>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</si>
  <si>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</si>
  <si>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</si>
  <si>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</si>
  <si>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</si>
  <si>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</si>
  <si>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</si>
  <si>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</si>
  <si>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</si>
  <si>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</si>
  <si>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</si>
  <si>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</si>
  <si>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</si>
  <si>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</si>
  <si>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</si>
  <si>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</si>
  <si>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</si>
  <si>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</si>
  <si>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</si>
  <si>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</si>
  <si>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</si>
  <si>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금액 : 칠백이십오만구천오십구원(￦10,560,000)</t>
    <phoneticPr fontId="1" type="noConversion"/>
  </si>
  <si>
    <t>동력분전반 외함</t>
    <phoneticPr fontId="1" type="noConversion"/>
  </si>
  <si>
    <t>제 조 원 가 계 산 서</t>
    <phoneticPr fontId="1" type="noConversion"/>
  </si>
  <si>
    <t>공사명 : 구례양수장 분전반</t>
    <phoneticPr fontId="1" type="noConversion"/>
  </si>
  <si>
    <t>[ 구례양수장 분전반 ]</t>
    <phoneticPr fontId="1" type="noConversion"/>
  </si>
  <si>
    <t>01  구례양수장 분전반</t>
    <phoneticPr fontId="1" type="noConversion"/>
  </si>
  <si>
    <t>0101  분전반 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</si>
</sst>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179" fontId="3" fillId="0" borderId="1" xfId="0" applyNumberFormat="1" applyFont="1" applyBorder="1" applyAlignment="1">
      <alignment vertical="center" wrapText="1"/>
    </xf>
    <xf numFmtId="180" fontId="0" fillId="0" borderId="1" xfId="0" quotePrefix="1" applyNumberFormat="1" applyFont="1" applyBorder="1" applyAlignment="1">
      <alignment vertical="center" wrapText="1"/>
    </xf>
    <xf numFmtId="180" fontId="3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0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178" fontId="0" fillId="0" borderId="1" xfId="0" applyNumberFormat="1" applyFont="1" applyBorder="1" applyAlignment="1">
      <alignment vertical="center" wrapText="1"/>
    </xf>
    <xf numFmtId="179" fontId="0" fillId="0" borderId="1" xfId="0" applyNumberFormat="1" applyFont="1" applyBorder="1" applyAlignment="1">
      <alignment vertical="center" wrapText="1"/>
    </xf>
    <xf numFmtId="0" fontId="0" fillId="0" borderId="2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316B-0766-455A-B711-32022539CBF3}">
  <sheetPr>
    <pageSetUpPr fitToPage="1"/>
  </sheetPr>
  <dimension ref="A1:G19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3" t="s">
        <v>422</v>
      </c>
      <c r="C1" s="23"/>
      <c r="D1" s="23"/>
      <c r="E1" s="23"/>
      <c r="F1" s="23"/>
      <c r="G1" s="23"/>
    </row>
    <row r="2" spans="1:7" ht="21.95" customHeight="1" x14ac:dyDescent="0.3">
      <c r="B2" s="24" t="s">
        <v>423</v>
      </c>
      <c r="C2" s="24"/>
      <c r="D2" s="24"/>
      <c r="E2" s="24"/>
      <c r="F2" s="25" t="s">
        <v>420</v>
      </c>
      <c r="G2" s="25"/>
    </row>
    <row r="3" spans="1:7" ht="21.95" customHeight="1" x14ac:dyDescent="0.3">
      <c r="B3" s="22" t="s">
        <v>328</v>
      </c>
      <c r="C3" s="22"/>
      <c r="D3" s="22"/>
      <c r="E3" s="20" t="s">
        <v>329</v>
      </c>
      <c r="F3" s="20" t="s">
        <v>330</v>
      </c>
      <c r="G3" s="20" t="s">
        <v>201</v>
      </c>
    </row>
    <row r="4" spans="1:7" ht="21.95" customHeight="1" x14ac:dyDescent="0.3">
      <c r="A4" s="1" t="s">
        <v>335</v>
      </c>
      <c r="B4" s="26" t="s">
        <v>331</v>
      </c>
      <c r="C4" s="26" t="s">
        <v>332</v>
      </c>
      <c r="D4" s="20" t="s">
        <v>336</v>
      </c>
      <c r="E4" s="10">
        <f>TRUNC(공종별집계표!F5, 0)</f>
        <v>5428541</v>
      </c>
      <c r="F4" s="8" t="s">
        <v>337</v>
      </c>
      <c r="G4" s="8" t="s">
        <v>50</v>
      </c>
    </row>
    <row r="5" spans="1:7" ht="21.95" customHeight="1" x14ac:dyDescent="0.3">
      <c r="A5" s="1" t="s">
        <v>338</v>
      </c>
      <c r="B5" s="26"/>
      <c r="C5" s="26"/>
      <c r="D5" s="20" t="s">
        <v>339</v>
      </c>
      <c r="E5" s="10">
        <f>TRUNC(E4*0.0117, 0)</f>
        <v>63513</v>
      </c>
      <c r="F5" s="8" t="s">
        <v>340</v>
      </c>
      <c r="G5" s="8" t="s">
        <v>50</v>
      </c>
    </row>
    <row r="6" spans="1:7" ht="21.95" customHeight="1" x14ac:dyDescent="0.3">
      <c r="A6" s="1" t="s">
        <v>341</v>
      </c>
      <c r="B6" s="26"/>
      <c r="C6" s="26"/>
      <c r="D6" s="20" t="s">
        <v>342</v>
      </c>
      <c r="E6" s="10">
        <v>0</v>
      </c>
      <c r="F6" s="8" t="s">
        <v>50</v>
      </c>
      <c r="G6" s="8" t="s">
        <v>50</v>
      </c>
    </row>
    <row r="7" spans="1:7" ht="21.95" customHeight="1" x14ac:dyDescent="0.3">
      <c r="A7" s="1" t="s">
        <v>343</v>
      </c>
      <c r="B7" s="26"/>
      <c r="C7" s="26"/>
      <c r="D7" s="20" t="s">
        <v>344</v>
      </c>
      <c r="E7" s="10">
        <f>TRUNC(E4+E5-E6, 0)</f>
        <v>5492054</v>
      </c>
      <c r="F7" s="8" t="s">
        <v>50</v>
      </c>
      <c r="G7" s="8" t="s">
        <v>50</v>
      </c>
    </row>
    <row r="8" spans="1:7" ht="21.95" customHeight="1" x14ac:dyDescent="0.3">
      <c r="A8" s="1" t="s">
        <v>345</v>
      </c>
      <c r="B8" s="26"/>
      <c r="C8" s="26" t="s">
        <v>333</v>
      </c>
      <c r="D8" s="20" t="s">
        <v>346</v>
      </c>
      <c r="E8" s="10">
        <f>TRUNC((공종별집계표!H5)*1.2025, 0)</f>
        <v>1699654</v>
      </c>
      <c r="F8" s="8" t="s">
        <v>347</v>
      </c>
      <c r="G8" s="8" t="s">
        <v>50</v>
      </c>
    </row>
    <row r="9" spans="1:7" ht="21.95" customHeight="1" x14ac:dyDescent="0.3">
      <c r="A9" s="1" t="s">
        <v>348</v>
      </c>
      <c r="B9" s="26"/>
      <c r="C9" s="26"/>
      <c r="D9" s="20" t="s">
        <v>349</v>
      </c>
      <c r="E9" s="10">
        <f>TRUNC(E8*0.303, 0)</f>
        <v>514995</v>
      </c>
      <c r="F9" s="8" t="s">
        <v>350</v>
      </c>
      <c r="G9" s="8" t="s">
        <v>50</v>
      </c>
    </row>
    <row r="10" spans="1:7" ht="21.95" customHeight="1" x14ac:dyDescent="0.3">
      <c r="A10" s="1" t="s">
        <v>351</v>
      </c>
      <c r="B10" s="26"/>
      <c r="C10" s="26"/>
      <c r="D10" s="20" t="s">
        <v>344</v>
      </c>
      <c r="E10" s="10">
        <f>TRUNC(E8+E9, 0)</f>
        <v>2214649</v>
      </c>
      <c r="F10" s="8" t="s">
        <v>50</v>
      </c>
      <c r="G10" s="8" t="s">
        <v>50</v>
      </c>
    </row>
    <row r="11" spans="1:7" ht="21.95" customHeight="1" x14ac:dyDescent="0.3">
      <c r="A11" s="1" t="s">
        <v>352</v>
      </c>
      <c r="B11" s="26"/>
      <c r="C11" s="26" t="s">
        <v>334</v>
      </c>
      <c r="D11" s="20" t="s">
        <v>353</v>
      </c>
      <c r="E11" s="21">
        <f>TRUNC(E7*0.0907, 0)</f>
        <v>498129</v>
      </c>
      <c r="F11" s="8" t="s">
        <v>354</v>
      </c>
      <c r="G11" s="8" t="s">
        <v>50</v>
      </c>
    </row>
    <row r="12" spans="1:7" ht="21.95" customHeight="1" x14ac:dyDescent="0.3">
      <c r="A12" s="1" t="s">
        <v>355</v>
      </c>
      <c r="B12" s="26"/>
      <c r="C12" s="26"/>
      <c r="D12" s="20" t="s">
        <v>344</v>
      </c>
      <c r="E12" s="10">
        <f>TRUNC(E11, 0)</f>
        <v>498129</v>
      </c>
      <c r="F12" s="8" t="s">
        <v>50</v>
      </c>
      <c r="G12" s="8" t="s">
        <v>50</v>
      </c>
    </row>
    <row r="13" spans="1:7" ht="21.95" customHeight="1" x14ac:dyDescent="0.3">
      <c r="A13" s="1" t="s">
        <v>356</v>
      </c>
      <c r="B13" s="22" t="s">
        <v>320</v>
      </c>
      <c r="C13" s="22"/>
      <c r="D13" s="22"/>
      <c r="E13" s="10">
        <f>TRUNC(E7+E10+E12, 0)</f>
        <v>8204832</v>
      </c>
      <c r="F13" s="8" t="s">
        <v>50</v>
      </c>
      <c r="G13" s="8" t="s">
        <v>50</v>
      </c>
    </row>
    <row r="14" spans="1:7" ht="21.95" customHeight="1" x14ac:dyDescent="0.3">
      <c r="A14" s="1" t="s">
        <v>357</v>
      </c>
      <c r="B14" s="22" t="s">
        <v>358</v>
      </c>
      <c r="C14" s="22"/>
      <c r="D14" s="22"/>
      <c r="E14" s="10">
        <f>TRUNC(E13*0.07, 0)</f>
        <v>574338</v>
      </c>
      <c r="F14" s="8" t="s">
        <v>359</v>
      </c>
      <c r="G14" s="8" t="s">
        <v>50</v>
      </c>
    </row>
    <row r="15" spans="1:7" ht="21.95" customHeight="1" x14ac:dyDescent="0.3">
      <c r="A15" s="1" t="s">
        <v>360</v>
      </c>
      <c r="B15" s="22" t="s">
        <v>361</v>
      </c>
      <c r="C15" s="22"/>
      <c r="D15" s="22"/>
      <c r="E15" s="10">
        <f>TRUNC((E10+E12+E14)*0.25, 0)</f>
        <v>821779</v>
      </c>
      <c r="F15" s="8" t="s">
        <v>362</v>
      </c>
      <c r="G15" s="8" t="s">
        <v>50</v>
      </c>
    </row>
    <row r="16" spans="1:7" ht="21.95" customHeight="1" x14ac:dyDescent="0.3">
      <c r="A16" s="1" t="s">
        <v>363</v>
      </c>
      <c r="B16" s="22" t="s">
        <v>364</v>
      </c>
      <c r="C16" s="22"/>
      <c r="D16" s="22"/>
      <c r="E16" s="10">
        <f>TRUNC(E13+E14+E15, 0)</f>
        <v>9600949</v>
      </c>
      <c r="F16" s="8" t="s">
        <v>50</v>
      </c>
      <c r="G16" s="8" t="s">
        <v>50</v>
      </c>
    </row>
    <row r="17" spans="1:7" ht="21.95" customHeight="1" x14ac:dyDescent="0.3">
      <c r="A17" s="1" t="s">
        <v>365</v>
      </c>
      <c r="B17" s="22" t="s">
        <v>366</v>
      </c>
      <c r="C17" s="22"/>
      <c r="D17" s="22"/>
      <c r="E17" s="10">
        <f>TRUNC(E16*0.1, 0)</f>
        <v>960094</v>
      </c>
      <c r="F17" s="8" t="s">
        <v>367</v>
      </c>
      <c r="G17" s="8" t="s">
        <v>50</v>
      </c>
    </row>
    <row r="18" spans="1:7" ht="21.95" customHeight="1" x14ac:dyDescent="0.3">
      <c r="A18" s="1" t="s">
        <v>368</v>
      </c>
      <c r="B18" s="22" t="s">
        <v>369</v>
      </c>
      <c r="C18" s="22"/>
      <c r="D18" s="22"/>
      <c r="E18" s="10">
        <f>TRUNC(E16+E17, -4)</f>
        <v>10560000</v>
      </c>
      <c r="F18" s="8" t="s">
        <v>50</v>
      </c>
      <c r="G18" s="8" t="s">
        <v>50</v>
      </c>
    </row>
    <row r="19" spans="1:7" ht="21.95" customHeight="1" x14ac:dyDescent="0.3">
      <c r="A19" s="1" t="s">
        <v>370</v>
      </c>
      <c r="B19" s="22" t="s">
        <v>371</v>
      </c>
      <c r="C19" s="22"/>
      <c r="D19" s="22"/>
      <c r="E19" s="10">
        <f>TRUNC(E18+0, 0)</f>
        <v>10560000</v>
      </c>
      <c r="F19" s="8" t="s">
        <v>50</v>
      </c>
      <c r="G19" s="8" t="s">
        <v>50</v>
      </c>
    </row>
  </sheetData>
  <mergeCells count="15">
    <mergeCell ref="B1:G1"/>
    <mergeCell ref="B2:E2"/>
    <mergeCell ref="F2:G2"/>
    <mergeCell ref="B3:D3"/>
    <mergeCell ref="B4:B12"/>
    <mergeCell ref="C4:C7"/>
    <mergeCell ref="C8:C10"/>
    <mergeCell ref="C11:C12"/>
    <mergeCell ref="B19:D19"/>
    <mergeCell ref="B13:D13"/>
    <mergeCell ref="B14:D14"/>
    <mergeCell ref="B15:D15"/>
    <mergeCell ref="B16:D16"/>
    <mergeCell ref="B17:D17"/>
    <mergeCell ref="B18:D18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075A3-2AA3-4A24-92AE-D199B61EDDFB}">
  <sheetPr>
    <pageSetUpPr fitToPage="1"/>
  </sheetPr>
  <dimension ref="A1:T29"/>
  <sheetViews>
    <sheetView workbookViewId="0">
      <selection sqref="A1:M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 x14ac:dyDescent="0.3">
      <c r="A2" s="24" t="s">
        <v>424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0" ht="30" customHeight="1" x14ac:dyDescent="0.3">
      <c r="A3" s="28" t="s">
        <v>1</v>
      </c>
      <c r="B3" s="28" t="s">
        <v>2</v>
      </c>
      <c r="C3" s="28" t="s">
        <v>3</v>
      </c>
      <c r="D3" s="28" t="s">
        <v>4</v>
      </c>
      <c r="E3" s="28" t="s">
        <v>5</v>
      </c>
      <c r="F3" s="28"/>
      <c r="G3" s="28" t="s">
        <v>8</v>
      </c>
      <c r="H3" s="28"/>
      <c r="I3" s="28" t="s">
        <v>9</v>
      </c>
      <c r="J3" s="28"/>
      <c r="K3" s="28" t="s">
        <v>10</v>
      </c>
      <c r="L3" s="28"/>
      <c r="M3" s="28" t="s">
        <v>11</v>
      </c>
      <c r="N3" s="27" t="s">
        <v>12</v>
      </c>
      <c r="O3" s="27" t="s">
        <v>13</v>
      </c>
      <c r="P3" s="27" t="s">
        <v>14</v>
      </c>
      <c r="Q3" s="27" t="s">
        <v>15</v>
      </c>
      <c r="R3" s="27" t="s">
        <v>16</v>
      </c>
      <c r="S3" s="27" t="s">
        <v>17</v>
      </c>
      <c r="T3" s="27" t="s">
        <v>18</v>
      </c>
    </row>
    <row r="4" spans="1:20" ht="30" customHeight="1" x14ac:dyDescent="0.3">
      <c r="A4" s="29"/>
      <c r="B4" s="29"/>
      <c r="C4" s="29"/>
      <c r="D4" s="29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9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8" t="s">
        <v>425</v>
      </c>
      <c r="B5" s="8" t="s">
        <v>50</v>
      </c>
      <c r="C5" s="8" t="s">
        <v>50</v>
      </c>
      <c r="D5" s="9">
        <v>1</v>
      </c>
      <c r="E5" s="10">
        <f>F6</f>
        <v>5428541</v>
      </c>
      <c r="F5" s="10">
        <f>E5*D5</f>
        <v>5428541</v>
      </c>
      <c r="G5" s="10">
        <f>H6</f>
        <v>1413434</v>
      </c>
      <c r="H5" s="10">
        <f>G5*D5</f>
        <v>1413434</v>
      </c>
      <c r="I5" s="10">
        <f>J6</f>
        <v>0</v>
      </c>
      <c r="J5" s="10">
        <f>I5*D5</f>
        <v>0</v>
      </c>
      <c r="K5" s="10">
        <f>E5+G5+I5</f>
        <v>6841975</v>
      </c>
      <c r="L5" s="10">
        <f>F5+H5+J5</f>
        <v>6841975</v>
      </c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ht="30" customHeight="1" x14ac:dyDescent="0.3">
      <c r="A6" s="8" t="s">
        <v>426</v>
      </c>
      <c r="B6" s="8" t="s">
        <v>50</v>
      </c>
      <c r="C6" s="8" t="s">
        <v>50</v>
      </c>
      <c r="D6" s="9">
        <v>1</v>
      </c>
      <c r="E6" s="10">
        <f>공종별내역서!F55</f>
        <v>5428541</v>
      </c>
      <c r="F6" s="10">
        <f>E6*D6</f>
        <v>5428541</v>
      </c>
      <c r="G6" s="10">
        <f>공종별내역서!H55</f>
        <v>1413434</v>
      </c>
      <c r="H6" s="10">
        <f>G6*D6</f>
        <v>1413434</v>
      </c>
      <c r="I6" s="10">
        <f>공종별내역서!J55</f>
        <v>0</v>
      </c>
      <c r="J6" s="10">
        <f>I6*D6</f>
        <v>0</v>
      </c>
      <c r="K6" s="10">
        <f>E6+G6+I6</f>
        <v>6841975</v>
      </c>
      <c r="L6" s="10">
        <f>F6+H6+J6</f>
        <v>6841975</v>
      </c>
      <c r="M6" s="8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6"/>
    </row>
    <row r="7" spans="1:20" ht="30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T7" s="5"/>
    </row>
    <row r="8" spans="1:20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T8" s="5"/>
    </row>
    <row r="9" spans="1:20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5"/>
    </row>
    <row r="10" spans="1:20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5"/>
    </row>
    <row r="11" spans="1:20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5"/>
    </row>
    <row r="12" spans="1:20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5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5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5"/>
    </row>
    <row r="29" spans="1:20" ht="30" customHeight="1" x14ac:dyDescent="0.3">
      <c r="A29" s="8" t="s">
        <v>192</v>
      </c>
      <c r="B29" s="9"/>
      <c r="C29" s="9"/>
      <c r="D29" s="9"/>
      <c r="E29" s="9"/>
      <c r="F29" s="10">
        <f>F5</f>
        <v>5428541</v>
      </c>
      <c r="G29" s="9"/>
      <c r="H29" s="10">
        <f>H5</f>
        <v>1413434</v>
      </c>
      <c r="I29" s="9"/>
      <c r="J29" s="10">
        <f>J5</f>
        <v>0</v>
      </c>
      <c r="K29" s="9"/>
      <c r="L29" s="10">
        <f>L5</f>
        <v>6841975</v>
      </c>
      <c r="M29" s="9"/>
      <c r="T29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2821-040E-4670-BF43-7DF0ADEF7271}">
  <sheetPr>
    <pageSetUpPr fitToPage="1"/>
  </sheetPr>
  <dimension ref="A1:AV55"/>
  <sheetViews>
    <sheetView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4" t="s">
        <v>424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48" ht="30" customHeight="1" x14ac:dyDescent="0.3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/>
      <c r="G2" s="28" t="s">
        <v>8</v>
      </c>
      <c r="H2" s="28"/>
      <c r="I2" s="28" t="s">
        <v>9</v>
      </c>
      <c r="J2" s="28"/>
      <c r="K2" s="28" t="s">
        <v>10</v>
      </c>
      <c r="L2" s="28"/>
      <c r="M2" s="28" t="s">
        <v>11</v>
      </c>
      <c r="N2" s="27" t="s">
        <v>19</v>
      </c>
      <c r="O2" s="27" t="s">
        <v>13</v>
      </c>
      <c r="P2" s="27" t="s">
        <v>20</v>
      </c>
      <c r="Q2" s="27" t="s">
        <v>12</v>
      </c>
      <c r="R2" s="27" t="s">
        <v>21</v>
      </c>
      <c r="S2" s="27" t="s">
        <v>22</v>
      </c>
      <c r="T2" s="27" t="s">
        <v>23</v>
      </c>
      <c r="U2" s="27" t="s">
        <v>24</v>
      </c>
      <c r="V2" s="27" t="s">
        <v>25</v>
      </c>
      <c r="W2" s="27" t="s">
        <v>26</v>
      </c>
      <c r="X2" s="27" t="s">
        <v>27</v>
      </c>
      <c r="Y2" s="27" t="s">
        <v>28</v>
      </c>
      <c r="Z2" s="27" t="s">
        <v>29</v>
      </c>
      <c r="AA2" s="27" t="s">
        <v>30</v>
      </c>
      <c r="AB2" s="27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27" t="s">
        <v>39</v>
      </c>
      <c r="AK2" s="27" t="s">
        <v>40</v>
      </c>
      <c r="AL2" s="27" t="s">
        <v>41</v>
      </c>
      <c r="AM2" s="27" t="s">
        <v>42</v>
      </c>
      <c r="AN2" s="27" t="s">
        <v>43</v>
      </c>
      <c r="AO2" s="27" t="s">
        <v>44</v>
      </c>
      <c r="AP2" s="27" t="s">
        <v>45</v>
      </c>
      <c r="AQ2" s="27" t="s">
        <v>46</v>
      </c>
      <c r="AR2" s="27" t="s">
        <v>47</v>
      </c>
      <c r="AS2" s="27" t="s">
        <v>15</v>
      </c>
      <c r="AT2" s="27" t="s">
        <v>16</v>
      </c>
      <c r="AU2" s="27" t="s">
        <v>48</v>
      </c>
      <c r="AV2" s="27" t="s">
        <v>49</v>
      </c>
    </row>
    <row r="3" spans="1:48" ht="30" customHeight="1" x14ac:dyDescent="0.3">
      <c r="A3" s="28"/>
      <c r="B3" s="28"/>
      <c r="C3" s="28"/>
      <c r="D3" s="2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11" t="s">
        <v>52</v>
      </c>
      <c r="B4" s="11" t="s">
        <v>50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53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1" t="s">
        <v>421</v>
      </c>
      <c r="B5" s="11" t="s">
        <v>54</v>
      </c>
      <c r="C5" s="11" t="s">
        <v>55</v>
      </c>
      <c r="D5" s="9">
        <v>1</v>
      </c>
      <c r="E5" s="12">
        <f>TRUNC(단가대비표!O26,0)</f>
        <v>1692900</v>
      </c>
      <c r="F5" s="12">
        <f t="shared" ref="F5:F38" si="0">TRUNC(E5*D5, 0)</f>
        <v>1692900</v>
      </c>
      <c r="G5" s="12">
        <f>TRUNC(단가대비표!P26,0)</f>
        <v>0</v>
      </c>
      <c r="H5" s="12">
        <f t="shared" ref="H5:H38" si="1">TRUNC(G5*D5, 0)</f>
        <v>0</v>
      </c>
      <c r="I5" s="12">
        <f>TRUNC(단가대비표!V26,0)</f>
        <v>0</v>
      </c>
      <c r="J5" s="12">
        <f t="shared" ref="J5:J38" si="2">TRUNC(I5*D5, 0)</f>
        <v>0</v>
      </c>
      <c r="K5" s="12">
        <f t="shared" ref="K5:K38" si="3">TRUNC(E5+G5+I5, 0)</f>
        <v>1692900</v>
      </c>
      <c r="L5" s="12">
        <f t="shared" ref="L5:L38" si="4">TRUNC(F5+H5+J5, 0)</f>
        <v>1692900</v>
      </c>
      <c r="M5" s="11" t="s">
        <v>50</v>
      </c>
      <c r="N5" s="2" t="s">
        <v>56</v>
      </c>
      <c r="O5" s="2" t="s">
        <v>50</v>
      </c>
      <c r="P5" s="2" t="s">
        <v>50</v>
      </c>
      <c r="Q5" s="2" t="s">
        <v>53</v>
      </c>
      <c r="R5" s="2" t="s">
        <v>57</v>
      </c>
      <c r="S5" s="2" t="s">
        <v>57</v>
      </c>
      <c r="T5" s="2" t="s">
        <v>58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59</v>
      </c>
      <c r="AV5" s="3">
        <v>31</v>
      </c>
    </row>
    <row r="6" spans="1:48" ht="30" customHeight="1" x14ac:dyDescent="0.3">
      <c r="A6" s="11" t="s">
        <v>60</v>
      </c>
      <c r="B6" s="11" t="s">
        <v>61</v>
      </c>
      <c r="C6" s="11" t="s">
        <v>62</v>
      </c>
      <c r="D6" s="9">
        <v>1</v>
      </c>
      <c r="E6" s="12">
        <f>TRUNC(단가대비표!O9,0)</f>
        <v>4170</v>
      </c>
      <c r="F6" s="12">
        <f t="shared" si="0"/>
        <v>4170</v>
      </c>
      <c r="G6" s="12">
        <f>TRUNC(단가대비표!P9,0)</f>
        <v>0</v>
      </c>
      <c r="H6" s="12">
        <f t="shared" si="1"/>
        <v>0</v>
      </c>
      <c r="I6" s="12">
        <f>TRUNC(단가대비표!V9,0)</f>
        <v>0</v>
      </c>
      <c r="J6" s="12">
        <f t="shared" si="2"/>
        <v>0</v>
      </c>
      <c r="K6" s="12">
        <f t="shared" si="3"/>
        <v>4170</v>
      </c>
      <c r="L6" s="12">
        <f t="shared" si="4"/>
        <v>4170</v>
      </c>
      <c r="M6" s="11" t="s">
        <v>50</v>
      </c>
      <c r="N6" s="2" t="s">
        <v>63</v>
      </c>
      <c r="O6" s="2" t="s">
        <v>50</v>
      </c>
      <c r="P6" s="2" t="s">
        <v>50</v>
      </c>
      <c r="Q6" s="2" t="s">
        <v>53</v>
      </c>
      <c r="R6" s="2" t="s">
        <v>57</v>
      </c>
      <c r="S6" s="2" t="s">
        <v>57</v>
      </c>
      <c r="T6" s="2" t="s">
        <v>58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64</v>
      </c>
      <c r="AV6" s="3">
        <v>5</v>
      </c>
    </row>
    <row r="7" spans="1:48" ht="30" customHeight="1" x14ac:dyDescent="0.3">
      <c r="A7" s="11" t="s">
        <v>60</v>
      </c>
      <c r="B7" s="11" t="s">
        <v>65</v>
      </c>
      <c r="C7" s="11" t="s">
        <v>62</v>
      </c>
      <c r="D7" s="9">
        <v>1</v>
      </c>
      <c r="E7" s="12">
        <f>TRUNC(단가대비표!O10,0)</f>
        <v>2830</v>
      </c>
      <c r="F7" s="12">
        <f t="shared" si="0"/>
        <v>2830</v>
      </c>
      <c r="G7" s="12">
        <f>TRUNC(단가대비표!P10,0)</f>
        <v>0</v>
      </c>
      <c r="H7" s="12">
        <f t="shared" si="1"/>
        <v>0</v>
      </c>
      <c r="I7" s="12">
        <f>TRUNC(단가대비표!V10,0)</f>
        <v>0</v>
      </c>
      <c r="J7" s="12">
        <f t="shared" si="2"/>
        <v>0</v>
      </c>
      <c r="K7" s="12">
        <f t="shared" si="3"/>
        <v>2830</v>
      </c>
      <c r="L7" s="12">
        <f t="shared" si="4"/>
        <v>2830</v>
      </c>
      <c r="M7" s="11" t="s">
        <v>50</v>
      </c>
      <c r="N7" s="2" t="s">
        <v>66</v>
      </c>
      <c r="O7" s="2" t="s">
        <v>50</v>
      </c>
      <c r="P7" s="2" t="s">
        <v>50</v>
      </c>
      <c r="Q7" s="2" t="s">
        <v>53</v>
      </c>
      <c r="R7" s="2" t="s">
        <v>57</v>
      </c>
      <c r="S7" s="2" t="s">
        <v>57</v>
      </c>
      <c r="T7" s="2" t="s">
        <v>58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67</v>
      </c>
      <c r="AV7" s="3">
        <v>6</v>
      </c>
    </row>
    <row r="8" spans="1:48" ht="30" customHeight="1" x14ac:dyDescent="0.3">
      <c r="A8" s="11" t="s">
        <v>68</v>
      </c>
      <c r="B8" s="11" t="s">
        <v>69</v>
      </c>
      <c r="C8" s="11" t="s">
        <v>62</v>
      </c>
      <c r="D8" s="9">
        <v>1</v>
      </c>
      <c r="E8" s="12">
        <f>TRUNC(단가대비표!O11,0)</f>
        <v>10000</v>
      </c>
      <c r="F8" s="12">
        <f t="shared" si="0"/>
        <v>10000</v>
      </c>
      <c r="G8" s="12">
        <f>TRUNC(단가대비표!P11,0)</f>
        <v>0</v>
      </c>
      <c r="H8" s="12">
        <f t="shared" si="1"/>
        <v>0</v>
      </c>
      <c r="I8" s="12">
        <f>TRUNC(단가대비표!V11,0)</f>
        <v>0</v>
      </c>
      <c r="J8" s="12">
        <f t="shared" si="2"/>
        <v>0</v>
      </c>
      <c r="K8" s="12">
        <f t="shared" si="3"/>
        <v>10000</v>
      </c>
      <c r="L8" s="12">
        <f t="shared" si="4"/>
        <v>10000</v>
      </c>
      <c r="M8" s="11" t="s">
        <v>50</v>
      </c>
      <c r="N8" s="2" t="s">
        <v>70</v>
      </c>
      <c r="O8" s="2" t="s">
        <v>50</v>
      </c>
      <c r="P8" s="2" t="s">
        <v>50</v>
      </c>
      <c r="Q8" s="2" t="s">
        <v>53</v>
      </c>
      <c r="R8" s="2" t="s">
        <v>57</v>
      </c>
      <c r="S8" s="2" t="s">
        <v>57</v>
      </c>
      <c r="T8" s="2" t="s">
        <v>58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71</v>
      </c>
      <c r="AV8" s="3">
        <v>7</v>
      </c>
    </row>
    <row r="9" spans="1:48" ht="30" customHeight="1" x14ac:dyDescent="0.3">
      <c r="A9" s="11" t="s">
        <v>72</v>
      </c>
      <c r="B9" s="11" t="s">
        <v>73</v>
      </c>
      <c r="C9" s="11" t="s">
        <v>74</v>
      </c>
      <c r="D9" s="9">
        <v>4</v>
      </c>
      <c r="E9" s="12">
        <f>TRUNC(단가대비표!O12,0)</f>
        <v>12000</v>
      </c>
      <c r="F9" s="12">
        <f t="shared" si="0"/>
        <v>48000</v>
      </c>
      <c r="G9" s="12">
        <f>TRUNC(단가대비표!P12,0)</f>
        <v>0</v>
      </c>
      <c r="H9" s="12">
        <f t="shared" si="1"/>
        <v>0</v>
      </c>
      <c r="I9" s="12">
        <f>TRUNC(단가대비표!V12,0)</f>
        <v>0</v>
      </c>
      <c r="J9" s="12">
        <f t="shared" si="2"/>
        <v>0</v>
      </c>
      <c r="K9" s="12">
        <f t="shared" si="3"/>
        <v>12000</v>
      </c>
      <c r="L9" s="12">
        <f t="shared" si="4"/>
        <v>48000</v>
      </c>
      <c r="M9" s="11" t="s">
        <v>50</v>
      </c>
      <c r="N9" s="2" t="s">
        <v>75</v>
      </c>
      <c r="O9" s="2" t="s">
        <v>50</v>
      </c>
      <c r="P9" s="2" t="s">
        <v>50</v>
      </c>
      <c r="Q9" s="2" t="s">
        <v>53</v>
      </c>
      <c r="R9" s="2" t="s">
        <v>57</v>
      </c>
      <c r="S9" s="2" t="s">
        <v>57</v>
      </c>
      <c r="T9" s="2" t="s">
        <v>58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76</v>
      </c>
      <c r="AV9" s="3">
        <v>11</v>
      </c>
    </row>
    <row r="10" spans="1:48" ht="30" customHeight="1" x14ac:dyDescent="0.3">
      <c r="A10" s="11" t="s">
        <v>77</v>
      </c>
      <c r="B10" s="11" t="s">
        <v>78</v>
      </c>
      <c r="C10" s="11" t="s">
        <v>62</v>
      </c>
      <c r="D10" s="9">
        <v>1</v>
      </c>
      <c r="E10" s="12">
        <f>TRUNC(단가대비표!O13,0)</f>
        <v>125000</v>
      </c>
      <c r="F10" s="12">
        <f t="shared" si="0"/>
        <v>125000</v>
      </c>
      <c r="G10" s="12">
        <f>TRUNC(단가대비표!P13,0)</f>
        <v>0</v>
      </c>
      <c r="H10" s="12">
        <f t="shared" si="1"/>
        <v>0</v>
      </c>
      <c r="I10" s="12">
        <f>TRUNC(단가대비표!V13,0)</f>
        <v>0</v>
      </c>
      <c r="J10" s="12">
        <f t="shared" si="2"/>
        <v>0</v>
      </c>
      <c r="K10" s="12">
        <f t="shared" si="3"/>
        <v>125000</v>
      </c>
      <c r="L10" s="12">
        <f t="shared" si="4"/>
        <v>125000</v>
      </c>
      <c r="M10" s="11" t="s">
        <v>50</v>
      </c>
      <c r="N10" s="2" t="s">
        <v>79</v>
      </c>
      <c r="O10" s="2" t="s">
        <v>50</v>
      </c>
      <c r="P10" s="2" t="s">
        <v>50</v>
      </c>
      <c r="Q10" s="2" t="s">
        <v>53</v>
      </c>
      <c r="R10" s="2" t="s">
        <v>57</v>
      </c>
      <c r="S10" s="2" t="s">
        <v>57</v>
      </c>
      <c r="T10" s="2" t="s">
        <v>58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80</v>
      </c>
      <c r="AV10" s="3">
        <v>13</v>
      </c>
    </row>
    <row r="11" spans="1:48" ht="30" customHeight="1" x14ac:dyDescent="0.3">
      <c r="A11" s="11" t="s">
        <v>81</v>
      </c>
      <c r="B11" s="11" t="s">
        <v>82</v>
      </c>
      <c r="C11" s="11" t="s">
        <v>62</v>
      </c>
      <c r="D11" s="9">
        <v>1</v>
      </c>
      <c r="E11" s="12">
        <f>TRUNC(단가대비표!O14,0)</f>
        <v>350000</v>
      </c>
      <c r="F11" s="12">
        <f t="shared" si="0"/>
        <v>350000</v>
      </c>
      <c r="G11" s="12">
        <f>TRUNC(단가대비표!P14,0)</f>
        <v>0</v>
      </c>
      <c r="H11" s="12">
        <f t="shared" si="1"/>
        <v>0</v>
      </c>
      <c r="I11" s="12">
        <f>TRUNC(단가대비표!V14,0)</f>
        <v>0</v>
      </c>
      <c r="J11" s="12">
        <f t="shared" si="2"/>
        <v>0</v>
      </c>
      <c r="K11" s="12">
        <f t="shared" si="3"/>
        <v>350000</v>
      </c>
      <c r="L11" s="12">
        <f t="shared" si="4"/>
        <v>350000</v>
      </c>
      <c r="M11" s="11" t="s">
        <v>50</v>
      </c>
      <c r="N11" s="2" t="s">
        <v>83</v>
      </c>
      <c r="O11" s="2" t="s">
        <v>50</v>
      </c>
      <c r="P11" s="2" t="s">
        <v>50</v>
      </c>
      <c r="Q11" s="2" t="s">
        <v>53</v>
      </c>
      <c r="R11" s="2" t="s">
        <v>57</v>
      </c>
      <c r="S11" s="2" t="s">
        <v>57</v>
      </c>
      <c r="T11" s="2" t="s">
        <v>58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84</v>
      </c>
      <c r="AV11" s="3">
        <v>14</v>
      </c>
    </row>
    <row r="12" spans="1:48" ht="30" customHeight="1" x14ac:dyDescent="0.3">
      <c r="A12" s="11" t="s">
        <v>85</v>
      </c>
      <c r="B12" s="11" t="s">
        <v>86</v>
      </c>
      <c r="C12" s="11" t="s">
        <v>62</v>
      </c>
      <c r="D12" s="9">
        <v>2</v>
      </c>
      <c r="E12" s="12">
        <f>TRUNC(단가대비표!O15,0)</f>
        <v>2500</v>
      </c>
      <c r="F12" s="12">
        <f t="shared" si="0"/>
        <v>5000</v>
      </c>
      <c r="G12" s="12">
        <f>TRUNC(단가대비표!P15,0)</f>
        <v>0</v>
      </c>
      <c r="H12" s="12">
        <f t="shared" si="1"/>
        <v>0</v>
      </c>
      <c r="I12" s="12">
        <f>TRUNC(단가대비표!V15,0)</f>
        <v>0</v>
      </c>
      <c r="J12" s="12">
        <f t="shared" si="2"/>
        <v>0</v>
      </c>
      <c r="K12" s="12">
        <f t="shared" si="3"/>
        <v>2500</v>
      </c>
      <c r="L12" s="12">
        <f t="shared" si="4"/>
        <v>5000</v>
      </c>
      <c r="M12" s="11" t="s">
        <v>50</v>
      </c>
      <c r="N12" s="2" t="s">
        <v>87</v>
      </c>
      <c r="O12" s="2" t="s">
        <v>50</v>
      </c>
      <c r="P12" s="2" t="s">
        <v>50</v>
      </c>
      <c r="Q12" s="2" t="s">
        <v>53</v>
      </c>
      <c r="R12" s="2" t="s">
        <v>57</v>
      </c>
      <c r="S12" s="2" t="s">
        <v>57</v>
      </c>
      <c r="T12" s="2" t="s">
        <v>58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88</v>
      </c>
      <c r="AV12" s="3">
        <v>15</v>
      </c>
    </row>
    <row r="13" spans="1:48" ht="30" customHeight="1" x14ac:dyDescent="0.3">
      <c r="A13" s="11" t="s">
        <v>85</v>
      </c>
      <c r="B13" s="11" t="s">
        <v>89</v>
      </c>
      <c r="C13" s="11" t="s">
        <v>62</v>
      </c>
      <c r="D13" s="9">
        <v>2</v>
      </c>
      <c r="E13" s="12">
        <f>TRUNC(단가대비표!O16,0)</f>
        <v>1890</v>
      </c>
      <c r="F13" s="12">
        <f t="shared" si="0"/>
        <v>3780</v>
      </c>
      <c r="G13" s="12">
        <f>TRUNC(단가대비표!P16,0)</f>
        <v>0</v>
      </c>
      <c r="H13" s="12">
        <f t="shared" si="1"/>
        <v>0</v>
      </c>
      <c r="I13" s="12">
        <f>TRUNC(단가대비표!V16,0)</f>
        <v>0</v>
      </c>
      <c r="J13" s="12">
        <f t="shared" si="2"/>
        <v>0</v>
      </c>
      <c r="K13" s="12">
        <f t="shared" si="3"/>
        <v>1890</v>
      </c>
      <c r="L13" s="12">
        <f t="shared" si="4"/>
        <v>3780</v>
      </c>
      <c r="M13" s="11" t="s">
        <v>50</v>
      </c>
      <c r="N13" s="2" t="s">
        <v>90</v>
      </c>
      <c r="O13" s="2" t="s">
        <v>50</v>
      </c>
      <c r="P13" s="2" t="s">
        <v>50</v>
      </c>
      <c r="Q13" s="2" t="s">
        <v>53</v>
      </c>
      <c r="R13" s="2" t="s">
        <v>57</v>
      </c>
      <c r="S13" s="2" t="s">
        <v>57</v>
      </c>
      <c r="T13" s="2" t="s">
        <v>58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91</v>
      </c>
      <c r="AV13" s="3">
        <v>16</v>
      </c>
    </row>
    <row r="14" spans="1:48" ht="30" customHeight="1" x14ac:dyDescent="0.3">
      <c r="A14" s="11" t="s">
        <v>92</v>
      </c>
      <c r="B14" s="11" t="s">
        <v>93</v>
      </c>
      <c r="C14" s="11" t="s">
        <v>62</v>
      </c>
      <c r="D14" s="9">
        <v>1</v>
      </c>
      <c r="E14" s="12">
        <f>TRUNC(단가대비표!O17,0)</f>
        <v>13700</v>
      </c>
      <c r="F14" s="12">
        <f t="shared" si="0"/>
        <v>13700</v>
      </c>
      <c r="G14" s="12">
        <f>TRUNC(단가대비표!P17,0)</f>
        <v>0</v>
      </c>
      <c r="H14" s="12">
        <f t="shared" si="1"/>
        <v>0</v>
      </c>
      <c r="I14" s="12">
        <f>TRUNC(단가대비표!V17,0)</f>
        <v>0</v>
      </c>
      <c r="J14" s="12">
        <f t="shared" si="2"/>
        <v>0</v>
      </c>
      <c r="K14" s="12">
        <f t="shared" si="3"/>
        <v>13700</v>
      </c>
      <c r="L14" s="12">
        <f t="shared" si="4"/>
        <v>13700</v>
      </c>
      <c r="M14" s="11" t="s">
        <v>50</v>
      </c>
      <c r="N14" s="2" t="s">
        <v>94</v>
      </c>
      <c r="O14" s="2" t="s">
        <v>50</v>
      </c>
      <c r="P14" s="2" t="s">
        <v>50</v>
      </c>
      <c r="Q14" s="2" t="s">
        <v>53</v>
      </c>
      <c r="R14" s="2" t="s">
        <v>57</v>
      </c>
      <c r="S14" s="2" t="s">
        <v>57</v>
      </c>
      <c r="T14" s="2" t="s">
        <v>58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95</v>
      </c>
      <c r="AV14" s="3">
        <v>17</v>
      </c>
    </row>
    <row r="15" spans="1:48" ht="30" customHeight="1" x14ac:dyDescent="0.3">
      <c r="A15" s="11" t="s">
        <v>96</v>
      </c>
      <c r="B15" s="11" t="s">
        <v>97</v>
      </c>
      <c r="C15" s="11" t="s">
        <v>62</v>
      </c>
      <c r="D15" s="9">
        <v>3</v>
      </c>
      <c r="E15" s="12">
        <f>TRUNC(단가대비표!O18,0)</f>
        <v>3100</v>
      </c>
      <c r="F15" s="12">
        <f t="shared" si="0"/>
        <v>9300</v>
      </c>
      <c r="G15" s="12">
        <f>TRUNC(단가대비표!P18,0)</f>
        <v>0</v>
      </c>
      <c r="H15" s="12">
        <f t="shared" si="1"/>
        <v>0</v>
      </c>
      <c r="I15" s="12">
        <f>TRUNC(단가대비표!V18,0)</f>
        <v>0</v>
      </c>
      <c r="J15" s="12">
        <f t="shared" si="2"/>
        <v>0</v>
      </c>
      <c r="K15" s="12">
        <f t="shared" si="3"/>
        <v>3100</v>
      </c>
      <c r="L15" s="12">
        <f t="shared" si="4"/>
        <v>9300</v>
      </c>
      <c r="M15" s="11" t="s">
        <v>50</v>
      </c>
      <c r="N15" s="2" t="s">
        <v>98</v>
      </c>
      <c r="O15" s="2" t="s">
        <v>50</v>
      </c>
      <c r="P15" s="2" t="s">
        <v>50</v>
      </c>
      <c r="Q15" s="2" t="s">
        <v>53</v>
      </c>
      <c r="R15" s="2" t="s">
        <v>57</v>
      </c>
      <c r="S15" s="2" t="s">
        <v>57</v>
      </c>
      <c r="T15" s="2" t="s">
        <v>58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99</v>
      </c>
      <c r="AV15" s="3">
        <v>18</v>
      </c>
    </row>
    <row r="16" spans="1:48" ht="30" customHeight="1" x14ac:dyDescent="0.3">
      <c r="A16" s="11" t="s">
        <v>100</v>
      </c>
      <c r="B16" s="11" t="s">
        <v>101</v>
      </c>
      <c r="C16" s="11" t="s">
        <v>62</v>
      </c>
      <c r="D16" s="9">
        <v>4</v>
      </c>
      <c r="E16" s="12">
        <f>TRUNC(단가대비표!O19,0)</f>
        <v>5800</v>
      </c>
      <c r="F16" s="12">
        <f t="shared" si="0"/>
        <v>23200</v>
      </c>
      <c r="G16" s="12">
        <f>TRUNC(단가대비표!P19,0)</f>
        <v>0</v>
      </c>
      <c r="H16" s="12">
        <f t="shared" si="1"/>
        <v>0</v>
      </c>
      <c r="I16" s="12">
        <f>TRUNC(단가대비표!V19,0)</f>
        <v>0</v>
      </c>
      <c r="J16" s="12">
        <f t="shared" si="2"/>
        <v>0</v>
      </c>
      <c r="K16" s="12">
        <f t="shared" si="3"/>
        <v>5800</v>
      </c>
      <c r="L16" s="12">
        <f t="shared" si="4"/>
        <v>23200</v>
      </c>
      <c r="M16" s="11" t="s">
        <v>50</v>
      </c>
      <c r="N16" s="2" t="s">
        <v>102</v>
      </c>
      <c r="O16" s="2" t="s">
        <v>50</v>
      </c>
      <c r="P16" s="2" t="s">
        <v>50</v>
      </c>
      <c r="Q16" s="2" t="s">
        <v>53</v>
      </c>
      <c r="R16" s="2" t="s">
        <v>57</v>
      </c>
      <c r="S16" s="2" t="s">
        <v>57</v>
      </c>
      <c r="T16" s="2" t="s">
        <v>58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103</v>
      </c>
      <c r="AV16" s="3">
        <v>19</v>
      </c>
    </row>
    <row r="17" spans="1:48" ht="30" customHeight="1" x14ac:dyDescent="0.3">
      <c r="A17" s="11" t="s">
        <v>104</v>
      </c>
      <c r="B17" s="11" t="s">
        <v>105</v>
      </c>
      <c r="C17" s="11" t="s">
        <v>106</v>
      </c>
      <c r="D17" s="9">
        <v>1</v>
      </c>
      <c r="E17" s="12">
        <f>TRUNC(단가대비표!O20,0)</f>
        <v>1850000</v>
      </c>
      <c r="F17" s="12">
        <f t="shared" si="0"/>
        <v>1850000</v>
      </c>
      <c r="G17" s="12">
        <f>TRUNC(단가대비표!P20,0)</f>
        <v>0</v>
      </c>
      <c r="H17" s="12">
        <f t="shared" si="1"/>
        <v>0</v>
      </c>
      <c r="I17" s="12">
        <f>TRUNC(단가대비표!V20,0)</f>
        <v>0</v>
      </c>
      <c r="J17" s="12">
        <f t="shared" si="2"/>
        <v>0</v>
      </c>
      <c r="K17" s="12">
        <f t="shared" si="3"/>
        <v>1850000</v>
      </c>
      <c r="L17" s="12">
        <f t="shared" si="4"/>
        <v>1850000</v>
      </c>
      <c r="M17" s="11" t="s">
        <v>50</v>
      </c>
      <c r="N17" s="2" t="s">
        <v>107</v>
      </c>
      <c r="O17" s="2" t="s">
        <v>50</v>
      </c>
      <c r="P17" s="2" t="s">
        <v>50</v>
      </c>
      <c r="Q17" s="2" t="s">
        <v>53</v>
      </c>
      <c r="R17" s="2" t="s">
        <v>57</v>
      </c>
      <c r="S17" s="2" t="s">
        <v>57</v>
      </c>
      <c r="T17" s="2" t="s">
        <v>58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108</v>
      </c>
      <c r="AV17" s="3">
        <v>20</v>
      </c>
    </row>
    <row r="18" spans="1:48" ht="30" customHeight="1" x14ac:dyDescent="0.3">
      <c r="A18" s="11" t="s">
        <v>109</v>
      </c>
      <c r="B18" s="11" t="s">
        <v>110</v>
      </c>
      <c r="C18" s="11" t="s">
        <v>111</v>
      </c>
      <c r="D18" s="9">
        <v>50</v>
      </c>
      <c r="E18" s="12">
        <f>TRUNC(단가대비표!O21,0)</f>
        <v>524</v>
      </c>
      <c r="F18" s="12">
        <f t="shared" si="0"/>
        <v>26200</v>
      </c>
      <c r="G18" s="12">
        <f>TRUNC(단가대비표!P21,0)</f>
        <v>0</v>
      </c>
      <c r="H18" s="12">
        <f t="shared" si="1"/>
        <v>0</v>
      </c>
      <c r="I18" s="12">
        <f>TRUNC(단가대비표!V21,0)</f>
        <v>0</v>
      </c>
      <c r="J18" s="12">
        <f t="shared" si="2"/>
        <v>0</v>
      </c>
      <c r="K18" s="12">
        <f t="shared" si="3"/>
        <v>524</v>
      </c>
      <c r="L18" s="12">
        <f t="shared" si="4"/>
        <v>26200</v>
      </c>
      <c r="M18" s="11" t="s">
        <v>50</v>
      </c>
      <c r="N18" s="2" t="s">
        <v>112</v>
      </c>
      <c r="O18" s="2" t="s">
        <v>50</v>
      </c>
      <c r="P18" s="2" t="s">
        <v>50</v>
      </c>
      <c r="Q18" s="2" t="s">
        <v>53</v>
      </c>
      <c r="R18" s="2" t="s">
        <v>57</v>
      </c>
      <c r="S18" s="2" t="s">
        <v>57</v>
      </c>
      <c r="T18" s="2" t="s">
        <v>58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50</v>
      </c>
      <c r="AS18" s="2" t="s">
        <v>50</v>
      </c>
      <c r="AT18" s="3"/>
      <c r="AU18" s="2" t="s">
        <v>113</v>
      </c>
      <c r="AV18" s="3">
        <v>21</v>
      </c>
    </row>
    <row r="19" spans="1:48" ht="30" customHeight="1" x14ac:dyDescent="0.3">
      <c r="A19" s="11" t="s">
        <v>114</v>
      </c>
      <c r="B19" s="11" t="s">
        <v>115</v>
      </c>
      <c r="C19" s="11" t="s">
        <v>62</v>
      </c>
      <c r="D19" s="9">
        <v>1</v>
      </c>
      <c r="E19" s="12">
        <f>TRUNC(단가대비표!O22,0)</f>
        <v>30000</v>
      </c>
      <c r="F19" s="12">
        <f t="shared" si="0"/>
        <v>30000</v>
      </c>
      <c r="G19" s="12">
        <f>TRUNC(단가대비표!P22,0)</f>
        <v>0</v>
      </c>
      <c r="H19" s="12">
        <f t="shared" si="1"/>
        <v>0</v>
      </c>
      <c r="I19" s="12">
        <f>TRUNC(단가대비표!V22,0)</f>
        <v>0</v>
      </c>
      <c r="J19" s="12">
        <f t="shared" si="2"/>
        <v>0</v>
      </c>
      <c r="K19" s="12">
        <f t="shared" si="3"/>
        <v>30000</v>
      </c>
      <c r="L19" s="12">
        <f t="shared" si="4"/>
        <v>30000</v>
      </c>
      <c r="M19" s="11" t="s">
        <v>50</v>
      </c>
      <c r="N19" s="2" t="s">
        <v>116</v>
      </c>
      <c r="O19" s="2" t="s">
        <v>50</v>
      </c>
      <c r="P19" s="2" t="s">
        <v>50</v>
      </c>
      <c r="Q19" s="2" t="s">
        <v>53</v>
      </c>
      <c r="R19" s="2" t="s">
        <v>57</v>
      </c>
      <c r="S19" s="2" t="s">
        <v>57</v>
      </c>
      <c r="T19" s="2" t="s">
        <v>58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50</v>
      </c>
      <c r="AS19" s="2" t="s">
        <v>50</v>
      </c>
      <c r="AT19" s="3"/>
      <c r="AU19" s="2" t="s">
        <v>117</v>
      </c>
      <c r="AV19" s="3">
        <v>22</v>
      </c>
    </row>
    <row r="20" spans="1:48" ht="30" customHeight="1" x14ac:dyDescent="0.3">
      <c r="A20" s="11" t="s">
        <v>118</v>
      </c>
      <c r="B20" s="11" t="s">
        <v>119</v>
      </c>
      <c r="C20" s="11" t="s">
        <v>62</v>
      </c>
      <c r="D20" s="9">
        <v>1</v>
      </c>
      <c r="E20" s="12">
        <f>TRUNC(단가대비표!O23,0)</f>
        <v>13970</v>
      </c>
      <c r="F20" s="12">
        <f t="shared" si="0"/>
        <v>13970</v>
      </c>
      <c r="G20" s="12">
        <f>TRUNC(단가대비표!P23,0)</f>
        <v>0</v>
      </c>
      <c r="H20" s="12">
        <f t="shared" si="1"/>
        <v>0</v>
      </c>
      <c r="I20" s="12">
        <f>TRUNC(단가대비표!V23,0)</f>
        <v>0</v>
      </c>
      <c r="J20" s="12">
        <f t="shared" si="2"/>
        <v>0</v>
      </c>
      <c r="K20" s="12">
        <f t="shared" si="3"/>
        <v>13970</v>
      </c>
      <c r="L20" s="12">
        <f t="shared" si="4"/>
        <v>13970</v>
      </c>
      <c r="M20" s="11" t="s">
        <v>50</v>
      </c>
      <c r="N20" s="2" t="s">
        <v>120</v>
      </c>
      <c r="O20" s="2" t="s">
        <v>50</v>
      </c>
      <c r="P20" s="2" t="s">
        <v>50</v>
      </c>
      <c r="Q20" s="2" t="s">
        <v>53</v>
      </c>
      <c r="R20" s="2" t="s">
        <v>57</v>
      </c>
      <c r="S20" s="2" t="s">
        <v>57</v>
      </c>
      <c r="T20" s="2" t="s">
        <v>58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50</v>
      </c>
      <c r="AS20" s="2" t="s">
        <v>50</v>
      </c>
      <c r="AT20" s="3"/>
      <c r="AU20" s="2" t="s">
        <v>121</v>
      </c>
      <c r="AV20" s="3">
        <v>23</v>
      </c>
    </row>
    <row r="21" spans="1:48" ht="30" customHeight="1" x14ac:dyDescent="0.3">
      <c r="A21" s="11" t="s">
        <v>122</v>
      </c>
      <c r="B21" s="11" t="s">
        <v>123</v>
      </c>
      <c r="C21" s="11" t="s">
        <v>62</v>
      </c>
      <c r="D21" s="9">
        <v>2</v>
      </c>
      <c r="E21" s="12">
        <f>TRUNC(단가대비표!O24,0)</f>
        <v>15970</v>
      </c>
      <c r="F21" s="12">
        <f t="shared" si="0"/>
        <v>31940</v>
      </c>
      <c r="G21" s="12">
        <f>TRUNC(단가대비표!P24,0)</f>
        <v>0</v>
      </c>
      <c r="H21" s="12">
        <f t="shared" si="1"/>
        <v>0</v>
      </c>
      <c r="I21" s="12">
        <f>TRUNC(단가대비표!V24,0)</f>
        <v>0</v>
      </c>
      <c r="J21" s="12">
        <f t="shared" si="2"/>
        <v>0</v>
      </c>
      <c r="K21" s="12">
        <f t="shared" si="3"/>
        <v>15970</v>
      </c>
      <c r="L21" s="12">
        <f t="shared" si="4"/>
        <v>31940</v>
      </c>
      <c r="M21" s="11" t="s">
        <v>50</v>
      </c>
      <c r="N21" s="2" t="s">
        <v>124</v>
      </c>
      <c r="O21" s="2" t="s">
        <v>50</v>
      </c>
      <c r="P21" s="2" t="s">
        <v>50</v>
      </c>
      <c r="Q21" s="2" t="s">
        <v>53</v>
      </c>
      <c r="R21" s="2" t="s">
        <v>57</v>
      </c>
      <c r="S21" s="2" t="s">
        <v>57</v>
      </c>
      <c r="T21" s="2" t="s">
        <v>58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50</v>
      </c>
      <c r="AS21" s="2" t="s">
        <v>50</v>
      </c>
      <c r="AT21" s="3"/>
      <c r="AU21" s="2" t="s">
        <v>125</v>
      </c>
      <c r="AV21" s="3">
        <v>24</v>
      </c>
    </row>
    <row r="22" spans="1:48" ht="30" customHeight="1" x14ac:dyDescent="0.3">
      <c r="A22" s="11" t="s">
        <v>126</v>
      </c>
      <c r="B22" s="11" t="s">
        <v>127</v>
      </c>
      <c r="C22" s="11" t="s">
        <v>62</v>
      </c>
      <c r="D22" s="9">
        <v>3</v>
      </c>
      <c r="E22" s="12">
        <f>TRUNC(단가대비표!O25,0)</f>
        <v>3600</v>
      </c>
      <c r="F22" s="12">
        <f t="shared" si="0"/>
        <v>10800</v>
      </c>
      <c r="G22" s="12">
        <f>TRUNC(단가대비표!P25,0)</f>
        <v>0</v>
      </c>
      <c r="H22" s="12">
        <f t="shared" si="1"/>
        <v>0</v>
      </c>
      <c r="I22" s="12">
        <f>TRUNC(단가대비표!V25,0)</f>
        <v>0</v>
      </c>
      <c r="J22" s="12">
        <f t="shared" si="2"/>
        <v>0</v>
      </c>
      <c r="K22" s="12">
        <f t="shared" si="3"/>
        <v>3600</v>
      </c>
      <c r="L22" s="12">
        <f t="shared" si="4"/>
        <v>10800</v>
      </c>
      <c r="M22" s="11" t="s">
        <v>50</v>
      </c>
      <c r="N22" s="2" t="s">
        <v>128</v>
      </c>
      <c r="O22" s="2" t="s">
        <v>50</v>
      </c>
      <c r="P22" s="2" t="s">
        <v>50</v>
      </c>
      <c r="Q22" s="2" t="s">
        <v>53</v>
      </c>
      <c r="R22" s="2" t="s">
        <v>57</v>
      </c>
      <c r="S22" s="2" t="s">
        <v>57</v>
      </c>
      <c r="T22" s="2" t="s">
        <v>58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50</v>
      </c>
      <c r="AS22" s="2" t="s">
        <v>50</v>
      </c>
      <c r="AT22" s="3"/>
      <c r="AU22" s="2" t="s">
        <v>129</v>
      </c>
      <c r="AV22" s="3">
        <v>25</v>
      </c>
    </row>
    <row r="23" spans="1:48" ht="30" customHeight="1" x14ac:dyDescent="0.3">
      <c r="A23" s="11" t="s">
        <v>130</v>
      </c>
      <c r="B23" s="11" t="s">
        <v>131</v>
      </c>
      <c r="C23" s="11" t="s">
        <v>62</v>
      </c>
      <c r="D23" s="9">
        <v>3</v>
      </c>
      <c r="E23" s="12">
        <f>TRUNC(일위대가목록!E4,0)</f>
        <v>555</v>
      </c>
      <c r="F23" s="12">
        <f t="shared" si="0"/>
        <v>1665</v>
      </c>
      <c r="G23" s="12">
        <f>TRUNC(일위대가목록!F4,0)</f>
        <v>18517</v>
      </c>
      <c r="H23" s="12">
        <f t="shared" si="1"/>
        <v>55551</v>
      </c>
      <c r="I23" s="12">
        <f>TRUNC(일위대가목록!G4,0)</f>
        <v>0</v>
      </c>
      <c r="J23" s="12">
        <f t="shared" si="2"/>
        <v>0</v>
      </c>
      <c r="K23" s="12">
        <f t="shared" si="3"/>
        <v>19072</v>
      </c>
      <c r="L23" s="12">
        <f t="shared" si="4"/>
        <v>57216</v>
      </c>
      <c r="M23" s="11" t="s">
        <v>50</v>
      </c>
      <c r="N23" s="2" t="s">
        <v>132</v>
      </c>
      <c r="O23" s="2" t="s">
        <v>50</v>
      </c>
      <c r="P23" s="2" t="s">
        <v>50</v>
      </c>
      <c r="Q23" s="2" t="s">
        <v>53</v>
      </c>
      <c r="R23" s="2" t="s">
        <v>58</v>
      </c>
      <c r="S23" s="2" t="s">
        <v>57</v>
      </c>
      <c r="T23" s="2" t="s">
        <v>57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50</v>
      </c>
      <c r="AS23" s="2" t="s">
        <v>50</v>
      </c>
      <c r="AT23" s="3"/>
      <c r="AU23" s="2" t="s">
        <v>133</v>
      </c>
      <c r="AV23" s="3">
        <v>28</v>
      </c>
    </row>
    <row r="24" spans="1:48" ht="30" customHeight="1" x14ac:dyDescent="0.3">
      <c r="A24" s="11" t="s">
        <v>134</v>
      </c>
      <c r="B24" s="11" t="s">
        <v>50</v>
      </c>
      <c r="C24" s="11" t="s">
        <v>62</v>
      </c>
      <c r="D24" s="9">
        <v>4</v>
      </c>
      <c r="E24" s="12">
        <f>TRUNC(일위대가목록!E5,0)</f>
        <v>1709</v>
      </c>
      <c r="F24" s="12">
        <f t="shared" si="0"/>
        <v>6836</v>
      </c>
      <c r="G24" s="12">
        <f>TRUNC(일위대가목록!F5,0)</f>
        <v>56976</v>
      </c>
      <c r="H24" s="12">
        <f t="shared" si="1"/>
        <v>227904</v>
      </c>
      <c r="I24" s="12">
        <f>TRUNC(일위대가목록!G5,0)</f>
        <v>0</v>
      </c>
      <c r="J24" s="12">
        <f t="shared" si="2"/>
        <v>0</v>
      </c>
      <c r="K24" s="12">
        <f t="shared" si="3"/>
        <v>58685</v>
      </c>
      <c r="L24" s="12">
        <f t="shared" si="4"/>
        <v>234740</v>
      </c>
      <c r="M24" s="11" t="s">
        <v>50</v>
      </c>
      <c r="N24" s="2" t="s">
        <v>135</v>
      </c>
      <c r="O24" s="2" t="s">
        <v>50</v>
      </c>
      <c r="P24" s="2" t="s">
        <v>50</v>
      </c>
      <c r="Q24" s="2" t="s">
        <v>53</v>
      </c>
      <c r="R24" s="2" t="s">
        <v>58</v>
      </c>
      <c r="S24" s="2" t="s">
        <v>57</v>
      </c>
      <c r="T24" s="2" t="s">
        <v>57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50</v>
      </c>
      <c r="AS24" s="2" t="s">
        <v>50</v>
      </c>
      <c r="AT24" s="3"/>
      <c r="AU24" s="2" t="s">
        <v>136</v>
      </c>
      <c r="AV24" s="3">
        <v>29</v>
      </c>
    </row>
    <row r="25" spans="1:48" ht="30" customHeight="1" x14ac:dyDescent="0.3">
      <c r="A25" s="11" t="s">
        <v>137</v>
      </c>
      <c r="B25" s="11" t="s">
        <v>138</v>
      </c>
      <c r="C25" s="11" t="s">
        <v>62</v>
      </c>
      <c r="D25" s="9">
        <v>2</v>
      </c>
      <c r="E25" s="12">
        <f>TRUNC(단가대비표!O27,0)</f>
        <v>56200</v>
      </c>
      <c r="F25" s="12">
        <f t="shared" si="0"/>
        <v>112400</v>
      </c>
      <c r="G25" s="12">
        <f>TRUNC(단가대비표!P27,0)</f>
        <v>0</v>
      </c>
      <c r="H25" s="12">
        <f t="shared" si="1"/>
        <v>0</v>
      </c>
      <c r="I25" s="12">
        <f>TRUNC(단가대비표!V27,0)</f>
        <v>0</v>
      </c>
      <c r="J25" s="12">
        <f t="shared" si="2"/>
        <v>0</v>
      </c>
      <c r="K25" s="12">
        <f t="shared" si="3"/>
        <v>56200</v>
      </c>
      <c r="L25" s="12">
        <f t="shared" si="4"/>
        <v>112400</v>
      </c>
      <c r="M25" s="11" t="s">
        <v>50</v>
      </c>
      <c r="N25" s="2" t="s">
        <v>139</v>
      </c>
      <c r="O25" s="2" t="s">
        <v>50</v>
      </c>
      <c r="P25" s="2" t="s">
        <v>50</v>
      </c>
      <c r="Q25" s="2" t="s">
        <v>53</v>
      </c>
      <c r="R25" s="2" t="s">
        <v>57</v>
      </c>
      <c r="S25" s="2" t="s">
        <v>57</v>
      </c>
      <c r="T25" s="2" t="s">
        <v>58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50</v>
      </c>
      <c r="AS25" s="2" t="s">
        <v>50</v>
      </c>
      <c r="AT25" s="3"/>
      <c r="AU25" s="2" t="s">
        <v>140</v>
      </c>
      <c r="AV25" s="3">
        <v>32</v>
      </c>
    </row>
    <row r="26" spans="1:48" ht="30" customHeight="1" x14ac:dyDescent="0.3">
      <c r="A26" s="11" t="s">
        <v>72</v>
      </c>
      <c r="B26" s="11" t="s">
        <v>141</v>
      </c>
      <c r="C26" s="11" t="s">
        <v>62</v>
      </c>
      <c r="D26" s="9">
        <v>1</v>
      </c>
      <c r="E26" s="12">
        <f>TRUNC(단가대비표!O28,0)</f>
        <v>101200</v>
      </c>
      <c r="F26" s="12">
        <f t="shared" si="0"/>
        <v>101200</v>
      </c>
      <c r="G26" s="12">
        <f>TRUNC(단가대비표!P28,0)</f>
        <v>0</v>
      </c>
      <c r="H26" s="12">
        <f t="shared" si="1"/>
        <v>0</v>
      </c>
      <c r="I26" s="12">
        <f>TRUNC(단가대비표!V28,0)</f>
        <v>0</v>
      </c>
      <c r="J26" s="12">
        <f t="shared" si="2"/>
        <v>0</v>
      </c>
      <c r="K26" s="12">
        <f t="shared" si="3"/>
        <v>101200</v>
      </c>
      <c r="L26" s="12">
        <f t="shared" si="4"/>
        <v>101200</v>
      </c>
      <c r="M26" s="11" t="s">
        <v>50</v>
      </c>
      <c r="N26" s="2" t="s">
        <v>142</v>
      </c>
      <c r="O26" s="2" t="s">
        <v>50</v>
      </c>
      <c r="P26" s="2" t="s">
        <v>50</v>
      </c>
      <c r="Q26" s="2" t="s">
        <v>53</v>
      </c>
      <c r="R26" s="2" t="s">
        <v>57</v>
      </c>
      <c r="S26" s="2" t="s">
        <v>57</v>
      </c>
      <c r="T26" s="2" t="s">
        <v>58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50</v>
      </c>
      <c r="AS26" s="2" t="s">
        <v>50</v>
      </c>
      <c r="AT26" s="3"/>
      <c r="AU26" s="2" t="s">
        <v>143</v>
      </c>
      <c r="AV26" s="3">
        <v>33</v>
      </c>
    </row>
    <row r="27" spans="1:48" ht="30" customHeight="1" x14ac:dyDescent="0.3">
      <c r="A27" s="11" t="s">
        <v>144</v>
      </c>
      <c r="B27" s="11" t="s">
        <v>145</v>
      </c>
      <c r="C27" s="11" t="s">
        <v>62</v>
      </c>
      <c r="D27" s="9">
        <v>3</v>
      </c>
      <c r="E27" s="12">
        <f>TRUNC(단가대비표!O29,0)</f>
        <v>61700</v>
      </c>
      <c r="F27" s="12">
        <f t="shared" si="0"/>
        <v>185100</v>
      </c>
      <c r="G27" s="12">
        <f>TRUNC(단가대비표!P29,0)</f>
        <v>0</v>
      </c>
      <c r="H27" s="12">
        <f t="shared" si="1"/>
        <v>0</v>
      </c>
      <c r="I27" s="12">
        <f>TRUNC(단가대비표!V29,0)</f>
        <v>0</v>
      </c>
      <c r="J27" s="12">
        <f t="shared" si="2"/>
        <v>0</v>
      </c>
      <c r="K27" s="12">
        <f t="shared" si="3"/>
        <v>61700</v>
      </c>
      <c r="L27" s="12">
        <f t="shared" si="4"/>
        <v>185100</v>
      </c>
      <c r="M27" s="11" t="s">
        <v>50</v>
      </c>
      <c r="N27" s="2" t="s">
        <v>146</v>
      </c>
      <c r="O27" s="2" t="s">
        <v>50</v>
      </c>
      <c r="P27" s="2" t="s">
        <v>50</v>
      </c>
      <c r="Q27" s="2" t="s">
        <v>53</v>
      </c>
      <c r="R27" s="2" t="s">
        <v>57</v>
      </c>
      <c r="S27" s="2" t="s">
        <v>57</v>
      </c>
      <c r="T27" s="2" t="s">
        <v>58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147</v>
      </c>
      <c r="AV27" s="3">
        <v>34</v>
      </c>
    </row>
    <row r="28" spans="1:48" ht="30" customHeight="1" x14ac:dyDescent="0.3">
      <c r="A28" s="11" t="s">
        <v>148</v>
      </c>
      <c r="B28" s="11" t="s">
        <v>50</v>
      </c>
      <c r="C28" s="11" t="s">
        <v>62</v>
      </c>
      <c r="D28" s="9">
        <v>1</v>
      </c>
      <c r="E28" s="12">
        <f>TRUNC(단가대비표!O30,0)</f>
        <v>2100</v>
      </c>
      <c r="F28" s="12">
        <f t="shared" si="0"/>
        <v>2100</v>
      </c>
      <c r="G28" s="12">
        <f>TRUNC(단가대비표!P30,0)</f>
        <v>0</v>
      </c>
      <c r="H28" s="12">
        <f t="shared" si="1"/>
        <v>0</v>
      </c>
      <c r="I28" s="12">
        <f>TRUNC(단가대비표!V30,0)</f>
        <v>0</v>
      </c>
      <c r="J28" s="12">
        <f t="shared" si="2"/>
        <v>0</v>
      </c>
      <c r="K28" s="12">
        <f t="shared" si="3"/>
        <v>2100</v>
      </c>
      <c r="L28" s="12">
        <f t="shared" si="4"/>
        <v>2100</v>
      </c>
      <c r="M28" s="11" t="s">
        <v>50</v>
      </c>
      <c r="N28" s="2" t="s">
        <v>149</v>
      </c>
      <c r="O28" s="2" t="s">
        <v>50</v>
      </c>
      <c r="P28" s="2" t="s">
        <v>50</v>
      </c>
      <c r="Q28" s="2" t="s">
        <v>53</v>
      </c>
      <c r="R28" s="2" t="s">
        <v>57</v>
      </c>
      <c r="S28" s="2" t="s">
        <v>57</v>
      </c>
      <c r="T28" s="2" t="s">
        <v>58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150</v>
      </c>
      <c r="AV28" s="3">
        <v>35</v>
      </c>
    </row>
    <row r="29" spans="1:48" ht="30" customHeight="1" x14ac:dyDescent="0.3">
      <c r="A29" s="11" t="s">
        <v>151</v>
      </c>
      <c r="B29" s="11" t="s">
        <v>152</v>
      </c>
      <c r="C29" s="11" t="s">
        <v>62</v>
      </c>
      <c r="D29" s="9">
        <v>1</v>
      </c>
      <c r="E29" s="12">
        <f>TRUNC(단가대비표!O31,0)</f>
        <v>27150</v>
      </c>
      <c r="F29" s="12">
        <f t="shared" si="0"/>
        <v>27150</v>
      </c>
      <c r="G29" s="12">
        <f>TRUNC(단가대비표!P31,0)</f>
        <v>0</v>
      </c>
      <c r="H29" s="12">
        <f t="shared" si="1"/>
        <v>0</v>
      </c>
      <c r="I29" s="12">
        <f>TRUNC(단가대비표!V31,0)</f>
        <v>0</v>
      </c>
      <c r="J29" s="12">
        <f t="shared" si="2"/>
        <v>0</v>
      </c>
      <c r="K29" s="12">
        <f t="shared" si="3"/>
        <v>27150</v>
      </c>
      <c r="L29" s="12">
        <f t="shared" si="4"/>
        <v>27150</v>
      </c>
      <c r="M29" s="11" t="s">
        <v>50</v>
      </c>
      <c r="N29" s="2" t="s">
        <v>153</v>
      </c>
      <c r="O29" s="2" t="s">
        <v>50</v>
      </c>
      <c r="P29" s="2" t="s">
        <v>50</v>
      </c>
      <c r="Q29" s="2" t="s">
        <v>53</v>
      </c>
      <c r="R29" s="2" t="s">
        <v>57</v>
      </c>
      <c r="S29" s="2" t="s">
        <v>57</v>
      </c>
      <c r="T29" s="2" t="s">
        <v>58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154</v>
      </c>
      <c r="AV29" s="3">
        <v>36</v>
      </c>
    </row>
    <row r="30" spans="1:48" ht="30" customHeight="1" x14ac:dyDescent="0.3">
      <c r="A30" s="11" t="s">
        <v>155</v>
      </c>
      <c r="B30" s="11" t="s">
        <v>156</v>
      </c>
      <c r="C30" s="11" t="s">
        <v>74</v>
      </c>
      <c r="D30" s="9">
        <v>3</v>
      </c>
      <c r="E30" s="12">
        <f>TRUNC(단가대비표!O32,0)</f>
        <v>19000</v>
      </c>
      <c r="F30" s="12">
        <f t="shared" si="0"/>
        <v>57000</v>
      </c>
      <c r="G30" s="12">
        <f>TRUNC(단가대비표!P32,0)</f>
        <v>0</v>
      </c>
      <c r="H30" s="12">
        <f t="shared" si="1"/>
        <v>0</v>
      </c>
      <c r="I30" s="12">
        <f>TRUNC(단가대비표!V32,0)</f>
        <v>0</v>
      </c>
      <c r="J30" s="12">
        <f t="shared" si="2"/>
        <v>0</v>
      </c>
      <c r="K30" s="12">
        <f t="shared" si="3"/>
        <v>19000</v>
      </c>
      <c r="L30" s="12">
        <f t="shared" si="4"/>
        <v>57000</v>
      </c>
      <c r="M30" s="11" t="s">
        <v>50</v>
      </c>
      <c r="N30" s="2" t="s">
        <v>157</v>
      </c>
      <c r="O30" s="2" t="s">
        <v>50</v>
      </c>
      <c r="P30" s="2" t="s">
        <v>50</v>
      </c>
      <c r="Q30" s="2" t="s">
        <v>53</v>
      </c>
      <c r="R30" s="2" t="s">
        <v>57</v>
      </c>
      <c r="S30" s="2" t="s">
        <v>57</v>
      </c>
      <c r="T30" s="2" t="s">
        <v>58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158</v>
      </c>
      <c r="AV30" s="3">
        <v>37</v>
      </c>
    </row>
    <row r="31" spans="1:48" ht="30" customHeight="1" x14ac:dyDescent="0.3">
      <c r="A31" s="11" t="s">
        <v>159</v>
      </c>
      <c r="B31" s="11" t="s">
        <v>160</v>
      </c>
      <c r="C31" s="11" t="s">
        <v>74</v>
      </c>
      <c r="D31" s="9">
        <v>1</v>
      </c>
      <c r="E31" s="12">
        <f>TRUNC(단가대비표!O33,0)</f>
        <v>45400</v>
      </c>
      <c r="F31" s="12">
        <f t="shared" si="0"/>
        <v>45400</v>
      </c>
      <c r="G31" s="12">
        <f>TRUNC(단가대비표!P33,0)</f>
        <v>0</v>
      </c>
      <c r="H31" s="12">
        <f t="shared" si="1"/>
        <v>0</v>
      </c>
      <c r="I31" s="12">
        <f>TRUNC(단가대비표!V33,0)</f>
        <v>0</v>
      </c>
      <c r="J31" s="12">
        <f t="shared" si="2"/>
        <v>0</v>
      </c>
      <c r="K31" s="12">
        <f t="shared" si="3"/>
        <v>45400</v>
      </c>
      <c r="L31" s="12">
        <f t="shared" si="4"/>
        <v>45400</v>
      </c>
      <c r="M31" s="11" t="s">
        <v>50</v>
      </c>
      <c r="N31" s="2" t="s">
        <v>161</v>
      </c>
      <c r="O31" s="2" t="s">
        <v>50</v>
      </c>
      <c r="P31" s="2" t="s">
        <v>50</v>
      </c>
      <c r="Q31" s="2" t="s">
        <v>53</v>
      </c>
      <c r="R31" s="2" t="s">
        <v>57</v>
      </c>
      <c r="S31" s="2" t="s">
        <v>57</v>
      </c>
      <c r="T31" s="2" t="s">
        <v>58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162</v>
      </c>
      <c r="AV31" s="3">
        <v>38</v>
      </c>
    </row>
    <row r="32" spans="1:48" ht="30" customHeight="1" x14ac:dyDescent="0.3">
      <c r="A32" s="11" t="s">
        <v>163</v>
      </c>
      <c r="B32" s="11" t="s">
        <v>164</v>
      </c>
      <c r="C32" s="11" t="s">
        <v>62</v>
      </c>
      <c r="D32" s="9">
        <v>3</v>
      </c>
      <c r="E32" s="12">
        <f>TRUNC(단가대비표!O34,0)</f>
        <v>3000</v>
      </c>
      <c r="F32" s="12">
        <f t="shared" si="0"/>
        <v>9000</v>
      </c>
      <c r="G32" s="12">
        <f>TRUNC(단가대비표!P34,0)</f>
        <v>0</v>
      </c>
      <c r="H32" s="12">
        <f t="shared" si="1"/>
        <v>0</v>
      </c>
      <c r="I32" s="12">
        <f>TRUNC(단가대비표!V34,0)</f>
        <v>0</v>
      </c>
      <c r="J32" s="12">
        <f t="shared" si="2"/>
        <v>0</v>
      </c>
      <c r="K32" s="12">
        <f t="shared" si="3"/>
        <v>3000</v>
      </c>
      <c r="L32" s="12">
        <f t="shared" si="4"/>
        <v>9000</v>
      </c>
      <c r="M32" s="11" t="s">
        <v>50</v>
      </c>
      <c r="N32" s="2" t="s">
        <v>165</v>
      </c>
      <c r="O32" s="2" t="s">
        <v>50</v>
      </c>
      <c r="P32" s="2" t="s">
        <v>50</v>
      </c>
      <c r="Q32" s="2" t="s">
        <v>53</v>
      </c>
      <c r="R32" s="2" t="s">
        <v>57</v>
      </c>
      <c r="S32" s="2" t="s">
        <v>57</v>
      </c>
      <c r="T32" s="2" t="s">
        <v>58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166</v>
      </c>
      <c r="AV32" s="3">
        <v>39</v>
      </c>
    </row>
    <row r="33" spans="1:48" ht="30" customHeight="1" x14ac:dyDescent="0.3">
      <c r="A33" s="11" t="s">
        <v>167</v>
      </c>
      <c r="B33" s="11" t="s">
        <v>168</v>
      </c>
      <c r="C33" s="11" t="s">
        <v>62</v>
      </c>
      <c r="D33" s="9">
        <v>1</v>
      </c>
      <c r="E33" s="12">
        <f>TRUNC(단가대비표!O35,0)</f>
        <v>3800</v>
      </c>
      <c r="F33" s="12">
        <f t="shared" si="0"/>
        <v>3800</v>
      </c>
      <c r="G33" s="12">
        <f>TRUNC(단가대비표!P35,0)</f>
        <v>0</v>
      </c>
      <c r="H33" s="12">
        <f t="shared" si="1"/>
        <v>0</v>
      </c>
      <c r="I33" s="12">
        <f>TRUNC(단가대비표!V35,0)</f>
        <v>0</v>
      </c>
      <c r="J33" s="12">
        <f t="shared" si="2"/>
        <v>0</v>
      </c>
      <c r="K33" s="12">
        <f t="shared" si="3"/>
        <v>3800</v>
      </c>
      <c r="L33" s="12">
        <f t="shared" si="4"/>
        <v>3800</v>
      </c>
      <c r="M33" s="11" t="s">
        <v>50</v>
      </c>
      <c r="N33" s="2" t="s">
        <v>169</v>
      </c>
      <c r="O33" s="2" t="s">
        <v>50</v>
      </c>
      <c r="P33" s="2" t="s">
        <v>50</v>
      </c>
      <c r="Q33" s="2" t="s">
        <v>53</v>
      </c>
      <c r="R33" s="2" t="s">
        <v>57</v>
      </c>
      <c r="S33" s="2" t="s">
        <v>57</v>
      </c>
      <c r="T33" s="2" t="s">
        <v>58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170</v>
      </c>
      <c r="AV33" s="3">
        <v>40</v>
      </c>
    </row>
    <row r="34" spans="1:48" ht="30" customHeight="1" x14ac:dyDescent="0.3">
      <c r="A34" s="11" t="s">
        <v>171</v>
      </c>
      <c r="B34" s="11" t="s">
        <v>172</v>
      </c>
      <c r="C34" s="11" t="s">
        <v>106</v>
      </c>
      <c r="D34" s="9">
        <v>1</v>
      </c>
      <c r="E34" s="12">
        <f>TRUNC(단가대비표!O36,0)</f>
        <v>495000</v>
      </c>
      <c r="F34" s="12">
        <f t="shared" si="0"/>
        <v>495000</v>
      </c>
      <c r="G34" s="12">
        <f>TRUNC(단가대비표!P36,0)</f>
        <v>0</v>
      </c>
      <c r="H34" s="12">
        <f t="shared" si="1"/>
        <v>0</v>
      </c>
      <c r="I34" s="12">
        <f>TRUNC(단가대비표!V36,0)</f>
        <v>0</v>
      </c>
      <c r="J34" s="12">
        <f t="shared" si="2"/>
        <v>0</v>
      </c>
      <c r="K34" s="12">
        <f t="shared" si="3"/>
        <v>495000</v>
      </c>
      <c r="L34" s="12">
        <f t="shared" si="4"/>
        <v>495000</v>
      </c>
      <c r="M34" s="11" t="s">
        <v>50</v>
      </c>
      <c r="N34" s="2" t="s">
        <v>173</v>
      </c>
      <c r="O34" s="2" t="s">
        <v>50</v>
      </c>
      <c r="P34" s="2" t="s">
        <v>50</v>
      </c>
      <c r="Q34" s="2" t="s">
        <v>53</v>
      </c>
      <c r="R34" s="2" t="s">
        <v>57</v>
      </c>
      <c r="S34" s="2" t="s">
        <v>57</v>
      </c>
      <c r="T34" s="2" t="s">
        <v>58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174</v>
      </c>
      <c r="AV34" s="3">
        <v>41</v>
      </c>
    </row>
    <row r="35" spans="1:48" ht="30" customHeight="1" x14ac:dyDescent="0.3">
      <c r="A35" s="11" t="s">
        <v>175</v>
      </c>
      <c r="B35" s="11" t="s">
        <v>176</v>
      </c>
      <c r="C35" s="11" t="s">
        <v>62</v>
      </c>
      <c r="D35" s="9">
        <v>3</v>
      </c>
      <c r="E35" s="12">
        <f>TRUNC(단가대비표!O37,0)</f>
        <v>39500</v>
      </c>
      <c r="F35" s="12">
        <f t="shared" si="0"/>
        <v>118500</v>
      </c>
      <c r="G35" s="12">
        <f>TRUNC(단가대비표!P37,0)</f>
        <v>0</v>
      </c>
      <c r="H35" s="12">
        <f t="shared" si="1"/>
        <v>0</v>
      </c>
      <c r="I35" s="12">
        <f>TRUNC(단가대비표!V37,0)</f>
        <v>0</v>
      </c>
      <c r="J35" s="12">
        <f t="shared" si="2"/>
        <v>0</v>
      </c>
      <c r="K35" s="12">
        <f t="shared" si="3"/>
        <v>39500</v>
      </c>
      <c r="L35" s="12">
        <f t="shared" si="4"/>
        <v>118500</v>
      </c>
      <c r="M35" s="11" t="s">
        <v>50</v>
      </c>
      <c r="N35" s="2" t="s">
        <v>177</v>
      </c>
      <c r="O35" s="2" t="s">
        <v>50</v>
      </c>
      <c r="P35" s="2" t="s">
        <v>50</v>
      </c>
      <c r="Q35" s="2" t="s">
        <v>53</v>
      </c>
      <c r="R35" s="2" t="s">
        <v>57</v>
      </c>
      <c r="S35" s="2" t="s">
        <v>57</v>
      </c>
      <c r="T35" s="2" t="s">
        <v>58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50</v>
      </c>
      <c r="AS35" s="2" t="s">
        <v>50</v>
      </c>
      <c r="AT35" s="3"/>
      <c r="AU35" s="2" t="s">
        <v>178</v>
      </c>
      <c r="AV35" s="3">
        <v>42</v>
      </c>
    </row>
    <row r="36" spans="1:48" ht="30" customHeight="1" x14ac:dyDescent="0.3">
      <c r="A36" s="11" t="s">
        <v>179</v>
      </c>
      <c r="B36" s="11" t="s">
        <v>180</v>
      </c>
      <c r="C36" s="11" t="s">
        <v>62</v>
      </c>
      <c r="D36" s="9">
        <v>1</v>
      </c>
      <c r="E36" s="12">
        <f>TRUNC(단가대비표!O5,0)</f>
        <v>12600</v>
      </c>
      <c r="F36" s="12">
        <f t="shared" si="0"/>
        <v>12600</v>
      </c>
      <c r="G36" s="12">
        <f>TRUNC(단가대비표!P5,0)</f>
        <v>0</v>
      </c>
      <c r="H36" s="12">
        <f t="shared" si="1"/>
        <v>0</v>
      </c>
      <c r="I36" s="12">
        <f>TRUNC(단가대비표!V5,0)</f>
        <v>0</v>
      </c>
      <c r="J36" s="12">
        <f t="shared" si="2"/>
        <v>0</v>
      </c>
      <c r="K36" s="12">
        <f t="shared" si="3"/>
        <v>12600</v>
      </c>
      <c r="L36" s="12">
        <f t="shared" si="4"/>
        <v>12600</v>
      </c>
      <c r="M36" s="11" t="s">
        <v>50</v>
      </c>
      <c r="N36" s="2" t="s">
        <v>181</v>
      </c>
      <c r="O36" s="2" t="s">
        <v>50</v>
      </c>
      <c r="P36" s="2" t="s">
        <v>50</v>
      </c>
      <c r="Q36" s="2" t="s">
        <v>53</v>
      </c>
      <c r="R36" s="2" t="s">
        <v>57</v>
      </c>
      <c r="S36" s="2" t="s">
        <v>57</v>
      </c>
      <c r="T36" s="2" t="s">
        <v>58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50</v>
      </c>
      <c r="AS36" s="2" t="s">
        <v>50</v>
      </c>
      <c r="AT36" s="3"/>
      <c r="AU36" s="2" t="s">
        <v>182</v>
      </c>
      <c r="AV36" s="3">
        <v>43</v>
      </c>
    </row>
    <row r="37" spans="1:48" ht="30" customHeight="1" x14ac:dyDescent="0.3">
      <c r="A37" s="11" t="s">
        <v>183</v>
      </c>
      <c r="B37" s="11" t="s">
        <v>184</v>
      </c>
      <c r="C37" s="11" t="s">
        <v>185</v>
      </c>
      <c r="D37" s="9">
        <f>공량산출근거서!K22</f>
        <v>5.49</v>
      </c>
      <c r="E37" s="12">
        <f>TRUNC(단가대비표!O7,0)</f>
        <v>0</v>
      </c>
      <c r="F37" s="12">
        <f t="shared" si="0"/>
        <v>0</v>
      </c>
      <c r="G37" s="12">
        <f>TRUNC(단가대비표!P7,0)</f>
        <v>122522</v>
      </c>
      <c r="H37" s="12">
        <f t="shared" si="1"/>
        <v>672645</v>
      </c>
      <c r="I37" s="12">
        <f>TRUNC(단가대비표!V7,0)</f>
        <v>0</v>
      </c>
      <c r="J37" s="12">
        <f t="shared" si="2"/>
        <v>0</v>
      </c>
      <c r="K37" s="12">
        <f t="shared" si="3"/>
        <v>122522</v>
      </c>
      <c r="L37" s="12">
        <f t="shared" si="4"/>
        <v>672645</v>
      </c>
      <c r="M37" s="11" t="s">
        <v>186</v>
      </c>
      <c r="N37" s="2" t="s">
        <v>187</v>
      </c>
      <c r="O37" s="2" t="s">
        <v>50</v>
      </c>
      <c r="P37" s="2" t="s">
        <v>50</v>
      </c>
      <c r="Q37" s="2" t="s">
        <v>53</v>
      </c>
      <c r="R37" s="2" t="s">
        <v>57</v>
      </c>
      <c r="S37" s="2" t="s">
        <v>57</v>
      </c>
      <c r="T37" s="2" t="s">
        <v>58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50</v>
      </c>
      <c r="AS37" s="2" t="s">
        <v>50</v>
      </c>
      <c r="AT37" s="3"/>
      <c r="AU37" s="2" t="s">
        <v>188</v>
      </c>
      <c r="AV37" s="3">
        <v>44</v>
      </c>
    </row>
    <row r="38" spans="1:48" ht="30" customHeight="1" x14ac:dyDescent="0.3">
      <c r="A38" s="11" t="s">
        <v>189</v>
      </c>
      <c r="B38" s="11" t="s">
        <v>184</v>
      </c>
      <c r="C38" s="11" t="s">
        <v>185</v>
      </c>
      <c r="D38" s="9">
        <f>공량산출근거서!K23</f>
        <v>4.6079999999999997</v>
      </c>
      <c r="E38" s="12">
        <f>TRUNC(단가대비표!O8,0)</f>
        <v>0</v>
      </c>
      <c r="F38" s="12">
        <f t="shared" si="0"/>
        <v>0</v>
      </c>
      <c r="G38" s="12">
        <f>TRUNC(단가대비표!P8,0)</f>
        <v>99248</v>
      </c>
      <c r="H38" s="12">
        <f t="shared" si="1"/>
        <v>457334</v>
      </c>
      <c r="I38" s="12">
        <f>TRUNC(단가대비표!V8,0)</f>
        <v>0</v>
      </c>
      <c r="J38" s="12">
        <f t="shared" si="2"/>
        <v>0</v>
      </c>
      <c r="K38" s="12">
        <f t="shared" si="3"/>
        <v>99248</v>
      </c>
      <c r="L38" s="12">
        <f t="shared" si="4"/>
        <v>457334</v>
      </c>
      <c r="M38" s="11" t="s">
        <v>186</v>
      </c>
      <c r="N38" s="2" t="s">
        <v>190</v>
      </c>
      <c r="O38" s="2" t="s">
        <v>50</v>
      </c>
      <c r="P38" s="2" t="s">
        <v>50</v>
      </c>
      <c r="Q38" s="2" t="s">
        <v>53</v>
      </c>
      <c r="R38" s="2" t="s">
        <v>57</v>
      </c>
      <c r="S38" s="2" t="s">
        <v>57</v>
      </c>
      <c r="T38" s="2" t="s">
        <v>58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50</v>
      </c>
      <c r="AS38" s="2" t="s">
        <v>50</v>
      </c>
      <c r="AT38" s="3"/>
      <c r="AU38" s="2" t="s">
        <v>191</v>
      </c>
      <c r="AV38" s="3">
        <v>45</v>
      </c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4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4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4" ht="30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4" ht="30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4" ht="30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4" ht="30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4" ht="30" customHeight="1" x14ac:dyDescent="0.3">
      <c r="A55" s="11" t="s">
        <v>192</v>
      </c>
      <c r="B55" s="9"/>
      <c r="C55" s="9"/>
      <c r="D55" s="9"/>
      <c r="E55" s="9"/>
      <c r="F55" s="12">
        <f>SUM(F5:F54)</f>
        <v>5428541</v>
      </c>
      <c r="G55" s="9"/>
      <c r="H55" s="12">
        <f>SUM(H5:H54)</f>
        <v>1413434</v>
      </c>
      <c r="I55" s="9"/>
      <c r="J55" s="12">
        <f>SUM(J5:J54)</f>
        <v>0</v>
      </c>
      <c r="K55" s="9"/>
      <c r="L55" s="12">
        <f>SUM(L5:L54)</f>
        <v>6841975</v>
      </c>
      <c r="M55" s="9"/>
      <c r="N55" t="s">
        <v>193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EE304-B072-4EE7-8E92-C1603A9DABB4}">
  <sheetPr>
    <pageSetUpPr fitToPage="1"/>
  </sheetPr>
  <dimension ref="A1:N5"/>
  <sheetViews>
    <sheetView topLeftCell="B1" workbookViewId="0">
      <selection sqref="A1:M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0" t="s">
        <v>194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30" customHeight="1" x14ac:dyDescent="0.3">
      <c r="A2" s="24" t="s">
        <v>424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30" customHeight="1" x14ac:dyDescent="0.3">
      <c r="A3" s="4" t="s">
        <v>195</v>
      </c>
      <c r="B3" s="4" t="s">
        <v>1</v>
      </c>
      <c r="C3" s="4" t="s">
        <v>2</v>
      </c>
      <c r="D3" s="4" t="s">
        <v>3</v>
      </c>
      <c r="E3" s="4" t="s">
        <v>196</v>
      </c>
      <c r="F3" s="4" t="s">
        <v>197</v>
      </c>
      <c r="G3" s="4" t="s">
        <v>198</v>
      </c>
      <c r="H3" s="4" t="s">
        <v>199</v>
      </c>
      <c r="I3" s="4" t="s">
        <v>200</v>
      </c>
      <c r="J3" s="4" t="s">
        <v>201</v>
      </c>
      <c r="K3" s="4" t="s">
        <v>202</v>
      </c>
      <c r="L3" s="4" t="s">
        <v>203</v>
      </c>
      <c r="M3" s="4" t="s">
        <v>204</v>
      </c>
      <c r="N3" s="1" t="s">
        <v>205</v>
      </c>
    </row>
    <row r="4" spans="1:14" ht="30" customHeight="1" x14ac:dyDescent="0.3">
      <c r="A4" s="11" t="s">
        <v>132</v>
      </c>
      <c r="B4" s="11" t="s">
        <v>130</v>
      </c>
      <c r="C4" s="11" t="s">
        <v>131</v>
      </c>
      <c r="D4" s="11" t="s">
        <v>62</v>
      </c>
      <c r="E4" s="14">
        <f>일위대가!F7</f>
        <v>555</v>
      </c>
      <c r="F4" s="14">
        <f>일위대가!H7</f>
        <v>18517</v>
      </c>
      <c r="G4" s="14">
        <f>일위대가!J7</f>
        <v>0</v>
      </c>
      <c r="H4" s="14">
        <f>E4+F4+G4</f>
        <v>19072</v>
      </c>
      <c r="I4" s="11" t="s">
        <v>216</v>
      </c>
      <c r="J4" s="11" t="s">
        <v>50</v>
      </c>
      <c r="K4" s="11" t="s">
        <v>50</v>
      </c>
      <c r="L4" s="11" t="s">
        <v>50</v>
      </c>
      <c r="M4" s="11" t="s">
        <v>50</v>
      </c>
      <c r="N4" s="2" t="s">
        <v>50</v>
      </c>
    </row>
    <row r="5" spans="1:14" ht="30" customHeight="1" x14ac:dyDescent="0.3">
      <c r="A5" s="11" t="s">
        <v>135</v>
      </c>
      <c r="B5" s="11" t="s">
        <v>134</v>
      </c>
      <c r="C5" s="11" t="s">
        <v>50</v>
      </c>
      <c r="D5" s="11" t="s">
        <v>62</v>
      </c>
      <c r="E5" s="14">
        <f>일위대가!F12</f>
        <v>1709</v>
      </c>
      <c r="F5" s="14">
        <f>일위대가!H12</f>
        <v>56976</v>
      </c>
      <c r="G5" s="14">
        <f>일위대가!J12</f>
        <v>0</v>
      </c>
      <c r="H5" s="14">
        <f>E5+F5+G5</f>
        <v>58685</v>
      </c>
      <c r="I5" s="11" t="s">
        <v>228</v>
      </c>
      <c r="J5" s="11" t="s">
        <v>50</v>
      </c>
      <c r="K5" s="11" t="s">
        <v>50</v>
      </c>
      <c r="L5" s="11" t="s">
        <v>50</v>
      </c>
      <c r="M5" s="11" t="s">
        <v>50</v>
      </c>
      <c r="N5" s="2" t="s">
        <v>50</v>
      </c>
    </row>
  </sheetData>
  <mergeCells count="2">
    <mergeCell ref="A1:M1"/>
    <mergeCell ref="A2:M2"/>
  </mergeCells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001C-7D8C-4585-8A7C-42C56B09876E}">
  <sheetPr>
    <pageSetUpPr fitToPage="1"/>
  </sheetPr>
  <dimension ref="A1:AZ12"/>
  <sheetViews>
    <sheetView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24" t="s">
        <v>424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52" ht="30" customHeight="1" x14ac:dyDescent="0.3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/>
      <c r="G2" s="28" t="s">
        <v>8</v>
      </c>
      <c r="H2" s="28"/>
      <c r="I2" s="28" t="s">
        <v>9</v>
      </c>
      <c r="J2" s="28"/>
      <c r="K2" s="28" t="s">
        <v>10</v>
      </c>
      <c r="L2" s="28"/>
      <c r="M2" s="28" t="s">
        <v>11</v>
      </c>
      <c r="N2" s="27" t="s">
        <v>206</v>
      </c>
      <c r="O2" s="27" t="s">
        <v>19</v>
      </c>
      <c r="P2" s="27" t="s">
        <v>21</v>
      </c>
      <c r="Q2" s="27" t="s">
        <v>22</v>
      </c>
      <c r="R2" s="27" t="s">
        <v>23</v>
      </c>
      <c r="S2" s="27" t="s">
        <v>24</v>
      </c>
      <c r="T2" s="27" t="s">
        <v>25</v>
      </c>
      <c r="U2" s="27" t="s">
        <v>26</v>
      </c>
      <c r="V2" s="27" t="s">
        <v>27</v>
      </c>
      <c r="W2" s="27" t="s">
        <v>28</v>
      </c>
      <c r="X2" s="27" t="s">
        <v>29</v>
      </c>
      <c r="Y2" s="27" t="s">
        <v>30</v>
      </c>
      <c r="Z2" s="27" t="s">
        <v>31</v>
      </c>
      <c r="AA2" s="27" t="s">
        <v>32</v>
      </c>
      <c r="AB2" s="27" t="s">
        <v>33</v>
      </c>
      <c r="AC2" s="27" t="s">
        <v>34</v>
      </c>
      <c r="AD2" s="27" t="s">
        <v>35</v>
      </c>
      <c r="AE2" s="27" t="s">
        <v>36</v>
      </c>
      <c r="AF2" s="27" t="s">
        <v>37</v>
      </c>
      <c r="AG2" s="27" t="s">
        <v>38</v>
      </c>
      <c r="AH2" s="27" t="s">
        <v>39</v>
      </c>
      <c r="AI2" s="27" t="s">
        <v>40</v>
      </c>
      <c r="AJ2" s="27" t="s">
        <v>41</v>
      </c>
      <c r="AK2" s="27" t="s">
        <v>42</v>
      </c>
      <c r="AL2" s="27" t="s">
        <v>43</v>
      </c>
      <c r="AM2" s="27" t="s">
        <v>44</v>
      </c>
      <c r="AN2" s="27" t="s">
        <v>45</v>
      </c>
      <c r="AO2" s="27" t="s">
        <v>46</v>
      </c>
      <c r="AP2" s="27" t="s">
        <v>207</v>
      </c>
      <c r="AQ2" s="27" t="s">
        <v>208</v>
      </c>
      <c r="AR2" s="27" t="s">
        <v>209</v>
      </c>
      <c r="AS2" s="27" t="s">
        <v>210</v>
      </c>
      <c r="AT2" s="27" t="s">
        <v>211</v>
      </c>
      <c r="AU2" s="27" t="s">
        <v>212</v>
      </c>
      <c r="AV2" s="27" t="s">
        <v>47</v>
      </c>
      <c r="AW2" s="27" t="s">
        <v>213</v>
      </c>
      <c r="AX2" s="1" t="s">
        <v>205</v>
      </c>
      <c r="AY2" s="1" t="s">
        <v>20</v>
      </c>
      <c r="AZ2" s="1" t="s">
        <v>214</v>
      </c>
    </row>
    <row r="3" spans="1:52" ht="30" customHeight="1" x14ac:dyDescent="0.3">
      <c r="A3" s="28"/>
      <c r="B3" s="28"/>
      <c r="C3" s="28"/>
      <c r="D3" s="2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</row>
    <row r="4" spans="1:52" ht="30" customHeight="1" x14ac:dyDescent="0.3">
      <c r="A4" s="31" t="s">
        <v>215</v>
      </c>
      <c r="B4" s="31"/>
      <c r="C4" s="31"/>
      <c r="D4" s="31"/>
      <c r="E4" s="32"/>
      <c r="F4" s="33"/>
      <c r="G4" s="32"/>
      <c r="H4" s="33"/>
      <c r="I4" s="32"/>
      <c r="J4" s="33"/>
      <c r="K4" s="32"/>
      <c r="L4" s="33"/>
      <c r="M4" s="31"/>
      <c r="N4" s="1" t="s">
        <v>132</v>
      </c>
    </row>
    <row r="5" spans="1:52" ht="30" customHeight="1" x14ac:dyDescent="0.3">
      <c r="A5" s="8" t="s">
        <v>217</v>
      </c>
      <c r="B5" s="8" t="s">
        <v>218</v>
      </c>
      <c r="C5" s="8" t="s">
        <v>185</v>
      </c>
      <c r="D5" s="9">
        <v>6.5000000000000002E-2</v>
      </c>
      <c r="E5" s="13">
        <f>단가대비표!O6</f>
        <v>0</v>
      </c>
      <c r="F5" s="14">
        <f>TRUNC(E5*D5,1)</f>
        <v>0</v>
      </c>
      <c r="G5" s="13">
        <f>단가대비표!P6</f>
        <v>284880</v>
      </c>
      <c r="H5" s="14">
        <f>TRUNC(G5*D5,1)</f>
        <v>18517.2</v>
      </c>
      <c r="I5" s="13">
        <f>단가대비표!V6</f>
        <v>0</v>
      </c>
      <c r="J5" s="14">
        <f>TRUNC(I5*D5,1)</f>
        <v>0</v>
      </c>
      <c r="K5" s="13">
        <f>TRUNC(E5+G5+I5,1)</f>
        <v>284880</v>
      </c>
      <c r="L5" s="14">
        <f>TRUNC(F5+H5+J5,1)</f>
        <v>18517.2</v>
      </c>
      <c r="M5" s="8" t="s">
        <v>50</v>
      </c>
      <c r="N5" s="2" t="s">
        <v>132</v>
      </c>
      <c r="O5" s="2" t="s">
        <v>219</v>
      </c>
      <c r="P5" s="2" t="s">
        <v>57</v>
      </c>
      <c r="Q5" s="2" t="s">
        <v>57</v>
      </c>
      <c r="R5" s="2" t="s">
        <v>58</v>
      </c>
      <c r="S5" s="3"/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220</v>
      </c>
      <c r="AX5" s="2" t="s">
        <v>50</v>
      </c>
      <c r="AY5" s="2" t="s">
        <v>50</v>
      </c>
      <c r="AZ5" s="2" t="s">
        <v>50</v>
      </c>
    </row>
    <row r="6" spans="1:52" ht="30" customHeight="1" x14ac:dyDescent="0.3">
      <c r="A6" s="8" t="s">
        <v>221</v>
      </c>
      <c r="B6" s="8" t="s">
        <v>222</v>
      </c>
      <c r="C6" s="8" t="s">
        <v>223</v>
      </c>
      <c r="D6" s="9">
        <v>1</v>
      </c>
      <c r="E6" s="13">
        <f>TRUNC(SUMIF(V5:V6, RIGHTB(O6, 1), H5:H6)*U6, 2)</f>
        <v>555.51</v>
      </c>
      <c r="F6" s="14">
        <f>TRUNC(E6*D6,1)</f>
        <v>555.5</v>
      </c>
      <c r="G6" s="13">
        <v>0</v>
      </c>
      <c r="H6" s="14">
        <f>TRUNC(G6*D6,1)</f>
        <v>0</v>
      </c>
      <c r="I6" s="13">
        <v>0</v>
      </c>
      <c r="J6" s="14">
        <f>TRUNC(I6*D6,1)</f>
        <v>0</v>
      </c>
      <c r="K6" s="13">
        <f>TRUNC(E6+G6+I6,1)</f>
        <v>555.5</v>
      </c>
      <c r="L6" s="14">
        <f>TRUNC(F6+H6+J6,1)</f>
        <v>555.5</v>
      </c>
      <c r="M6" s="8" t="s">
        <v>50</v>
      </c>
      <c r="N6" s="2" t="s">
        <v>132</v>
      </c>
      <c r="O6" s="2" t="s">
        <v>224</v>
      </c>
      <c r="P6" s="2" t="s">
        <v>57</v>
      </c>
      <c r="Q6" s="2" t="s">
        <v>57</v>
      </c>
      <c r="R6" s="2" t="s">
        <v>57</v>
      </c>
      <c r="S6" s="3">
        <v>1</v>
      </c>
      <c r="T6" s="3">
        <v>0</v>
      </c>
      <c r="U6" s="3">
        <v>0.03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225</v>
      </c>
      <c r="AX6" s="2" t="s">
        <v>50</v>
      </c>
      <c r="AY6" s="2" t="s">
        <v>50</v>
      </c>
      <c r="AZ6" s="2" t="s">
        <v>50</v>
      </c>
    </row>
    <row r="7" spans="1:52" ht="30" customHeight="1" x14ac:dyDescent="0.3">
      <c r="A7" s="8" t="s">
        <v>226</v>
      </c>
      <c r="B7" s="8" t="s">
        <v>50</v>
      </c>
      <c r="C7" s="8" t="s">
        <v>50</v>
      </c>
      <c r="D7" s="9"/>
      <c r="E7" s="13"/>
      <c r="F7" s="14">
        <f>TRUNC(SUMIF(N5:N6, N4, F5:F6),0)</f>
        <v>555</v>
      </c>
      <c r="G7" s="13"/>
      <c r="H7" s="14">
        <f>TRUNC(SUMIF(N5:N6, N4, H5:H6),0)</f>
        <v>18517</v>
      </c>
      <c r="I7" s="13"/>
      <c r="J7" s="14">
        <f>TRUNC(SUMIF(N5:N6, N4, J5:J6),0)</f>
        <v>0</v>
      </c>
      <c r="K7" s="13"/>
      <c r="L7" s="14">
        <f>F7+H7+J7</f>
        <v>19072</v>
      </c>
      <c r="M7" s="8" t="s">
        <v>50</v>
      </c>
      <c r="N7" s="2" t="s">
        <v>193</v>
      </c>
      <c r="O7" s="2" t="s">
        <v>193</v>
      </c>
      <c r="P7" s="2" t="s">
        <v>50</v>
      </c>
      <c r="Q7" s="2" t="s">
        <v>50</v>
      </c>
      <c r="R7" s="2" t="s">
        <v>50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50</v>
      </c>
      <c r="AW7" s="2" t="s">
        <v>50</v>
      </c>
      <c r="AX7" s="2" t="s">
        <v>50</v>
      </c>
      <c r="AY7" s="2" t="s">
        <v>50</v>
      </c>
      <c r="AZ7" s="2" t="s">
        <v>50</v>
      </c>
    </row>
    <row r="8" spans="1:52" ht="30" customHeight="1" x14ac:dyDescent="0.3">
      <c r="A8" s="9"/>
      <c r="B8" s="9"/>
      <c r="C8" s="9"/>
      <c r="D8" s="9"/>
      <c r="E8" s="13"/>
      <c r="F8" s="14"/>
      <c r="G8" s="13"/>
      <c r="H8" s="14"/>
      <c r="I8" s="13"/>
      <c r="J8" s="14"/>
      <c r="K8" s="13"/>
      <c r="L8" s="14"/>
      <c r="M8" s="9"/>
    </row>
    <row r="9" spans="1:52" ht="30" customHeight="1" x14ac:dyDescent="0.3">
      <c r="A9" s="31" t="s">
        <v>227</v>
      </c>
      <c r="B9" s="31"/>
      <c r="C9" s="31"/>
      <c r="D9" s="31"/>
      <c r="E9" s="32"/>
      <c r="F9" s="33"/>
      <c r="G9" s="32"/>
      <c r="H9" s="33"/>
      <c r="I9" s="32"/>
      <c r="J9" s="33"/>
      <c r="K9" s="32"/>
      <c r="L9" s="33"/>
      <c r="M9" s="31"/>
      <c r="N9" s="1" t="s">
        <v>135</v>
      </c>
    </row>
    <row r="10" spans="1:52" ht="30" customHeight="1" x14ac:dyDescent="0.3">
      <c r="A10" s="8" t="s">
        <v>217</v>
      </c>
      <c r="B10" s="8" t="s">
        <v>218</v>
      </c>
      <c r="C10" s="8" t="s">
        <v>185</v>
      </c>
      <c r="D10" s="9">
        <v>0.2</v>
      </c>
      <c r="E10" s="13">
        <f>단가대비표!O6</f>
        <v>0</v>
      </c>
      <c r="F10" s="14">
        <f>TRUNC(E10*D10,1)</f>
        <v>0</v>
      </c>
      <c r="G10" s="13">
        <f>단가대비표!P6</f>
        <v>284880</v>
      </c>
      <c r="H10" s="14">
        <f>TRUNC(G10*D10,1)</f>
        <v>56976</v>
      </c>
      <c r="I10" s="13">
        <f>단가대비표!V6</f>
        <v>0</v>
      </c>
      <c r="J10" s="14">
        <f>TRUNC(I10*D10,1)</f>
        <v>0</v>
      </c>
      <c r="K10" s="13">
        <f>TRUNC(E10+G10+I10,1)</f>
        <v>284880</v>
      </c>
      <c r="L10" s="14">
        <f>TRUNC(F10+H10+J10,1)</f>
        <v>56976</v>
      </c>
      <c r="M10" s="8" t="s">
        <v>50</v>
      </c>
      <c r="N10" s="2" t="s">
        <v>135</v>
      </c>
      <c r="O10" s="2" t="s">
        <v>219</v>
      </c>
      <c r="P10" s="2" t="s">
        <v>57</v>
      </c>
      <c r="Q10" s="2" t="s">
        <v>57</v>
      </c>
      <c r="R10" s="2" t="s">
        <v>58</v>
      </c>
      <c r="S10" s="3"/>
      <c r="T10" s="3"/>
      <c r="U10" s="3"/>
      <c r="V10" s="3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50</v>
      </c>
      <c r="AW10" s="2" t="s">
        <v>229</v>
      </c>
      <c r="AX10" s="2" t="s">
        <v>50</v>
      </c>
      <c r="AY10" s="2" t="s">
        <v>50</v>
      </c>
      <c r="AZ10" s="2" t="s">
        <v>50</v>
      </c>
    </row>
    <row r="11" spans="1:52" ht="30" customHeight="1" x14ac:dyDescent="0.3">
      <c r="A11" s="8" t="s">
        <v>221</v>
      </c>
      <c r="B11" s="8" t="s">
        <v>222</v>
      </c>
      <c r="C11" s="8" t="s">
        <v>223</v>
      </c>
      <c r="D11" s="9">
        <v>1</v>
      </c>
      <c r="E11" s="13">
        <f>TRUNC(SUMIF(V10:V11, RIGHTB(O11, 1), H10:H11)*U11, 2)</f>
        <v>1709.28</v>
      </c>
      <c r="F11" s="14">
        <f>TRUNC(E11*D11,1)</f>
        <v>1709.2</v>
      </c>
      <c r="G11" s="13">
        <v>0</v>
      </c>
      <c r="H11" s="14">
        <f>TRUNC(G11*D11,1)</f>
        <v>0</v>
      </c>
      <c r="I11" s="13">
        <v>0</v>
      </c>
      <c r="J11" s="14">
        <f>TRUNC(I11*D11,1)</f>
        <v>0</v>
      </c>
      <c r="K11" s="13">
        <f>TRUNC(E11+G11+I11,1)</f>
        <v>1709.2</v>
      </c>
      <c r="L11" s="14">
        <f>TRUNC(F11+H11+J11,1)</f>
        <v>1709.2</v>
      </c>
      <c r="M11" s="8" t="s">
        <v>50</v>
      </c>
      <c r="N11" s="2" t="s">
        <v>135</v>
      </c>
      <c r="O11" s="2" t="s">
        <v>224</v>
      </c>
      <c r="P11" s="2" t="s">
        <v>57</v>
      </c>
      <c r="Q11" s="2" t="s">
        <v>57</v>
      </c>
      <c r="R11" s="2" t="s">
        <v>57</v>
      </c>
      <c r="S11" s="3">
        <v>1</v>
      </c>
      <c r="T11" s="3">
        <v>0</v>
      </c>
      <c r="U11" s="3">
        <v>0.03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50</v>
      </c>
      <c r="AW11" s="2" t="s">
        <v>230</v>
      </c>
      <c r="AX11" s="2" t="s">
        <v>50</v>
      </c>
      <c r="AY11" s="2" t="s">
        <v>50</v>
      </c>
      <c r="AZ11" s="2" t="s">
        <v>50</v>
      </c>
    </row>
    <row r="12" spans="1:52" ht="30" customHeight="1" x14ac:dyDescent="0.3">
      <c r="A12" s="8" t="s">
        <v>226</v>
      </c>
      <c r="B12" s="8" t="s">
        <v>50</v>
      </c>
      <c r="C12" s="8" t="s">
        <v>50</v>
      </c>
      <c r="D12" s="9"/>
      <c r="E12" s="13"/>
      <c r="F12" s="14">
        <f>TRUNC(SUMIF(N10:N11, N9, F10:F11),0)</f>
        <v>1709</v>
      </c>
      <c r="G12" s="13"/>
      <c r="H12" s="14">
        <f>TRUNC(SUMIF(N10:N11, N9, H10:H11),0)</f>
        <v>56976</v>
      </c>
      <c r="I12" s="13"/>
      <c r="J12" s="14">
        <f>TRUNC(SUMIF(N10:N11, N9, J10:J11),0)</f>
        <v>0</v>
      </c>
      <c r="K12" s="13"/>
      <c r="L12" s="14">
        <f>F12+H12+J12</f>
        <v>58685</v>
      </c>
      <c r="M12" s="8" t="s">
        <v>50</v>
      </c>
      <c r="N12" s="2" t="s">
        <v>193</v>
      </c>
      <c r="O12" s="2" t="s">
        <v>193</v>
      </c>
      <c r="P12" s="2" t="s">
        <v>50</v>
      </c>
      <c r="Q12" s="2" t="s">
        <v>50</v>
      </c>
      <c r="R12" s="2" t="s">
        <v>50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50</v>
      </c>
      <c r="AW12" s="2" t="s">
        <v>50</v>
      </c>
      <c r="AX12" s="2" t="s">
        <v>50</v>
      </c>
      <c r="AY12" s="2" t="s">
        <v>50</v>
      </c>
      <c r="AZ12" s="2" t="s">
        <v>50</v>
      </c>
    </row>
  </sheetData>
  <mergeCells count="48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4:M4"/>
    <mergeCell ref="A9:M9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9BE17-0194-4810-9AB0-DF8D63F4152D}">
  <sheetPr>
    <pageSetUpPr fitToPage="1"/>
  </sheetPr>
  <dimension ref="A1:AB37"/>
  <sheetViews>
    <sheetView topLeftCell="B1" workbookViewId="0">
      <selection sqref="A1:X1"/>
    </sheetView>
  </sheetViews>
  <sheetFormatPr defaultRowHeight="16.5" x14ac:dyDescent="0.3"/>
  <cols>
    <col min="1" max="1" width="45.625" hidden="1" customWidth="1"/>
    <col min="2" max="2" width="33.125" bestFit="1" customWidth="1"/>
    <col min="3" max="3" width="54.5" bestFit="1" customWidth="1"/>
    <col min="4" max="4" width="5.5" bestFit="1" customWidth="1"/>
    <col min="5" max="5" width="11.7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1.75" bestFit="1" customWidth="1"/>
    <col min="14" max="14" width="9.25" bestFit="1" customWidth="1"/>
    <col min="15" max="15" width="11.75" bestFit="1" customWidth="1"/>
    <col min="16" max="16" width="10.25" bestFit="1" customWidth="1"/>
    <col min="17" max="17" width="11.25" bestFit="1" customWidth="1"/>
    <col min="18" max="19" width="9.25" bestFit="1" customWidth="1"/>
    <col min="20" max="21" width="10.375" bestFit="1" customWidth="1"/>
    <col min="22" max="22" width="9.25" bestFit="1" customWidth="1"/>
    <col min="23" max="23" width="7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30" t="s">
        <v>231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8" ht="30" customHeight="1" x14ac:dyDescent="0.3">
      <c r="A2" s="24" t="s">
        <v>424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1:28" ht="30" customHeight="1" x14ac:dyDescent="0.3">
      <c r="A3" s="28" t="s">
        <v>195</v>
      </c>
      <c r="B3" s="28" t="s">
        <v>1</v>
      </c>
      <c r="C3" s="28" t="s">
        <v>232</v>
      </c>
      <c r="D3" s="28" t="s">
        <v>3</v>
      </c>
      <c r="E3" s="28" t="s">
        <v>5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 t="s">
        <v>197</v>
      </c>
      <c r="Q3" s="28" t="s">
        <v>198</v>
      </c>
      <c r="R3" s="28"/>
      <c r="S3" s="28"/>
      <c r="T3" s="28"/>
      <c r="U3" s="28"/>
      <c r="V3" s="28"/>
      <c r="W3" s="28" t="s">
        <v>200</v>
      </c>
      <c r="X3" s="28" t="s">
        <v>11</v>
      </c>
      <c r="Y3" s="27" t="s">
        <v>240</v>
      </c>
      <c r="Z3" s="27" t="s">
        <v>241</v>
      </c>
      <c r="AA3" s="27" t="s">
        <v>242</v>
      </c>
      <c r="AB3" s="27" t="s">
        <v>47</v>
      </c>
    </row>
    <row r="4" spans="1:28" ht="30" customHeight="1" x14ac:dyDescent="0.3">
      <c r="A4" s="28"/>
      <c r="B4" s="28"/>
      <c r="C4" s="28"/>
      <c r="D4" s="28"/>
      <c r="E4" s="4" t="s">
        <v>233</v>
      </c>
      <c r="F4" s="4" t="s">
        <v>234</v>
      </c>
      <c r="G4" s="4" t="s">
        <v>235</v>
      </c>
      <c r="H4" s="4" t="s">
        <v>234</v>
      </c>
      <c r="I4" s="4" t="s">
        <v>236</v>
      </c>
      <c r="J4" s="4" t="s">
        <v>234</v>
      </c>
      <c r="K4" s="4" t="s">
        <v>237</v>
      </c>
      <c r="L4" s="4" t="s">
        <v>234</v>
      </c>
      <c r="M4" s="4" t="s">
        <v>238</v>
      </c>
      <c r="N4" s="4" t="s">
        <v>234</v>
      </c>
      <c r="O4" s="4" t="s">
        <v>239</v>
      </c>
      <c r="P4" s="28"/>
      <c r="Q4" s="4" t="s">
        <v>233</v>
      </c>
      <c r="R4" s="4" t="s">
        <v>235</v>
      </c>
      <c r="S4" s="4" t="s">
        <v>236</v>
      </c>
      <c r="T4" s="4" t="s">
        <v>237</v>
      </c>
      <c r="U4" s="4" t="s">
        <v>238</v>
      </c>
      <c r="V4" s="4" t="s">
        <v>239</v>
      </c>
      <c r="W4" s="28"/>
      <c r="X4" s="28"/>
      <c r="Y4" s="27"/>
      <c r="Z4" s="27"/>
      <c r="AA4" s="27"/>
      <c r="AB4" s="27"/>
    </row>
    <row r="5" spans="1:28" ht="30" customHeight="1" x14ac:dyDescent="0.3">
      <c r="A5" s="11" t="s">
        <v>181</v>
      </c>
      <c r="B5" s="11" t="s">
        <v>179</v>
      </c>
      <c r="C5" s="11" t="s">
        <v>180</v>
      </c>
      <c r="D5" s="15" t="s">
        <v>62</v>
      </c>
      <c r="E5" s="16">
        <v>0</v>
      </c>
      <c r="F5" s="11" t="s">
        <v>50</v>
      </c>
      <c r="G5" s="16">
        <v>0</v>
      </c>
      <c r="H5" s="11" t="s">
        <v>50</v>
      </c>
      <c r="I5" s="16">
        <v>0</v>
      </c>
      <c r="J5" s="11" t="s">
        <v>50</v>
      </c>
      <c r="K5" s="16">
        <v>0</v>
      </c>
      <c r="L5" s="11" t="s">
        <v>50</v>
      </c>
      <c r="M5" s="16">
        <v>12600</v>
      </c>
      <c r="N5" s="11" t="s">
        <v>50</v>
      </c>
      <c r="O5" s="16">
        <f>SMALL(E5:M5,COUNTIF(E5:M5,0)+1)</f>
        <v>12600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1" t="s">
        <v>243</v>
      </c>
      <c r="X5" s="11" t="s">
        <v>50</v>
      </c>
      <c r="Y5" s="2" t="s">
        <v>50</v>
      </c>
      <c r="Z5" s="2" t="s">
        <v>50</v>
      </c>
      <c r="AA5" s="17"/>
      <c r="AB5" s="2" t="s">
        <v>50</v>
      </c>
    </row>
    <row r="6" spans="1:28" ht="30" customHeight="1" x14ac:dyDescent="0.3">
      <c r="A6" s="11" t="s">
        <v>219</v>
      </c>
      <c r="B6" s="11" t="s">
        <v>217</v>
      </c>
      <c r="C6" s="11" t="s">
        <v>218</v>
      </c>
      <c r="D6" s="15" t="s">
        <v>185</v>
      </c>
      <c r="E6" s="16">
        <v>0</v>
      </c>
      <c r="F6" s="11" t="s">
        <v>50</v>
      </c>
      <c r="G6" s="16">
        <v>0</v>
      </c>
      <c r="H6" s="11" t="s">
        <v>50</v>
      </c>
      <c r="I6" s="16">
        <v>0</v>
      </c>
      <c r="J6" s="11" t="s">
        <v>50</v>
      </c>
      <c r="K6" s="16">
        <v>0</v>
      </c>
      <c r="L6" s="11" t="s">
        <v>50</v>
      </c>
      <c r="M6" s="16">
        <v>0</v>
      </c>
      <c r="N6" s="11" t="s">
        <v>50</v>
      </c>
      <c r="O6" s="16">
        <v>0</v>
      </c>
      <c r="P6" s="16">
        <v>284880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1" t="s">
        <v>244</v>
      </c>
      <c r="X6" s="11" t="s">
        <v>50</v>
      </c>
      <c r="Y6" s="2" t="s">
        <v>245</v>
      </c>
      <c r="Z6" s="2" t="s">
        <v>50</v>
      </c>
      <c r="AA6" s="17"/>
      <c r="AB6" s="2" t="s">
        <v>50</v>
      </c>
    </row>
    <row r="7" spans="1:28" ht="30" customHeight="1" x14ac:dyDescent="0.3">
      <c r="A7" s="11" t="s">
        <v>187</v>
      </c>
      <c r="B7" s="11" t="s">
        <v>183</v>
      </c>
      <c r="C7" s="11" t="s">
        <v>184</v>
      </c>
      <c r="D7" s="15" t="s">
        <v>185</v>
      </c>
      <c r="E7" s="16">
        <v>0</v>
      </c>
      <c r="F7" s="11" t="s">
        <v>50</v>
      </c>
      <c r="G7" s="16">
        <v>0</v>
      </c>
      <c r="H7" s="11" t="s">
        <v>50</v>
      </c>
      <c r="I7" s="16">
        <v>0</v>
      </c>
      <c r="J7" s="11" t="s">
        <v>50</v>
      </c>
      <c r="K7" s="16">
        <v>0</v>
      </c>
      <c r="L7" s="11" t="s">
        <v>50</v>
      </c>
      <c r="M7" s="16">
        <v>0</v>
      </c>
      <c r="N7" s="11" t="s">
        <v>50</v>
      </c>
      <c r="O7" s="16">
        <v>0</v>
      </c>
      <c r="P7" s="16">
        <v>122522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1" t="s">
        <v>246</v>
      </c>
      <c r="X7" s="11" t="s">
        <v>186</v>
      </c>
      <c r="Y7" s="2" t="s">
        <v>245</v>
      </c>
      <c r="Z7" s="2" t="s">
        <v>50</v>
      </c>
      <c r="AA7" s="17"/>
      <c r="AB7" s="2" t="s">
        <v>50</v>
      </c>
    </row>
    <row r="8" spans="1:28" ht="30" customHeight="1" x14ac:dyDescent="0.3">
      <c r="A8" s="11" t="s">
        <v>190</v>
      </c>
      <c r="B8" s="11" t="s">
        <v>189</v>
      </c>
      <c r="C8" s="11" t="s">
        <v>184</v>
      </c>
      <c r="D8" s="15" t="s">
        <v>185</v>
      </c>
      <c r="E8" s="16">
        <v>0</v>
      </c>
      <c r="F8" s="11" t="s">
        <v>50</v>
      </c>
      <c r="G8" s="16">
        <v>0</v>
      </c>
      <c r="H8" s="11" t="s">
        <v>50</v>
      </c>
      <c r="I8" s="16">
        <v>0</v>
      </c>
      <c r="J8" s="11" t="s">
        <v>50</v>
      </c>
      <c r="K8" s="16">
        <v>0</v>
      </c>
      <c r="L8" s="11" t="s">
        <v>50</v>
      </c>
      <c r="M8" s="16">
        <v>0</v>
      </c>
      <c r="N8" s="11" t="s">
        <v>50</v>
      </c>
      <c r="O8" s="16">
        <v>0</v>
      </c>
      <c r="P8" s="16">
        <v>99248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1" t="s">
        <v>247</v>
      </c>
      <c r="X8" s="11" t="s">
        <v>186</v>
      </c>
      <c r="Y8" s="2" t="s">
        <v>245</v>
      </c>
      <c r="Z8" s="2" t="s">
        <v>50</v>
      </c>
      <c r="AA8" s="17"/>
      <c r="AB8" s="2" t="s">
        <v>50</v>
      </c>
    </row>
    <row r="9" spans="1:28" ht="30" customHeight="1" x14ac:dyDescent="0.3">
      <c r="A9" s="11" t="s">
        <v>63</v>
      </c>
      <c r="B9" s="11" t="s">
        <v>60</v>
      </c>
      <c r="C9" s="11" t="s">
        <v>61</v>
      </c>
      <c r="D9" s="15" t="s">
        <v>62</v>
      </c>
      <c r="E9" s="16">
        <v>0</v>
      </c>
      <c r="F9" s="11" t="s">
        <v>50</v>
      </c>
      <c r="G9" s="16">
        <v>0</v>
      </c>
      <c r="H9" s="11" t="s">
        <v>50</v>
      </c>
      <c r="I9" s="16">
        <v>0</v>
      </c>
      <c r="J9" s="11" t="s">
        <v>50</v>
      </c>
      <c r="K9" s="16">
        <v>0</v>
      </c>
      <c r="L9" s="11" t="s">
        <v>50</v>
      </c>
      <c r="M9" s="16">
        <v>4170</v>
      </c>
      <c r="N9" s="11" t="s">
        <v>248</v>
      </c>
      <c r="O9" s="16">
        <f t="shared" ref="O9:O37" si="0">SMALL(E9:M9,COUNTIF(E9:M9,0)+1)</f>
        <v>4170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1" t="s">
        <v>249</v>
      </c>
      <c r="X9" s="11" t="s">
        <v>50</v>
      </c>
      <c r="Y9" s="2" t="s">
        <v>50</v>
      </c>
      <c r="Z9" s="2" t="s">
        <v>50</v>
      </c>
      <c r="AA9" s="17"/>
      <c r="AB9" s="2" t="s">
        <v>50</v>
      </c>
    </row>
    <row r="10" spans="1:28" ht="30" customHeight="1" x14ac:dyDescent="0.3">
      <c r="A10" s="11" t="s">
        <v>66</v>
      </c>
      <c r="B10" s="11" t="s">
        <v>60</v>
      </c>
      <c r="C10" s="11" t="s">
        <v>65</v>
      </c>
      <c r="D10" s="15" t="s">
        <v>62</v>
      </c>
      <c r="E10" s="16">
        <v>0</v>
      </c>
      <c r="F10" s="11" t="s">
        <v>50</v>
      </c>
      <c r="G10" s="16">
        <v>0</v>
      </c>
      <c r="H10" s="11" t="s">
        <v>50</v>
      </c>
      <c r="I10" s="16">
        <v>0</v>
      </c>
      <c r="J10" s="11" t="s">
        <v>50</v>
      </c>
      <c r="K10" s="16">
        <v>0</v>
      </c>
      <c r="L10" s="11" t="s">
        <v>50</v>
      </c>
      <c r="M10" s="16">
        <v>2830</v>
      </c>
      <c r="N10" s="11" t="s">
        <v>250</v>
      </c>
      <c r="O10" s="16">
        <f t="shared" si="0"/>
        <v>2830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1" t="s">
        <v>251</v>
      </c>
      <c r="X10" s="11" t="s">
        <v>50</v>
      </c>
      <c r="Y10" s="2" t="s">
        <v>50</v>
      </c>
      <c r="Z10" s="2" t="s">
        <v>50</v>
      </c>
      <c r="AA10" s="17"/>
      <c r="AB10" s="2" t="s">
        <v>50</v>
      </c>
    </row>
    <row r="11" spans="1:28" ht="30" customHeight="1" x14ac:dyDescent="0.3">
      <c r="A11" s="11" t="s">
        <v>70</v>
      </c>
      <c r="B11" s="11" t="s">
        <v>68</v>
      </c>
      <c r="C11" s="11" t="s">
        <v>69</v>
      </c>
      <c r="D11" s="15" t="s">
        <v>62</v>
      </c>
      <c r="E11" s="16">
        <v>0</v>
      </c>
      <c r="F11" s="11" t="s">
        <v>50</v>
      </c>
      <c r="G11" s="16">
        <v>0</v>
      </c>
      <c r="H11" s="11" t="s">
        <v>50</v>
      </c>
      <c r="I11" s="16">
        <v>0</v>
      </c>
      <c r="J11" s="11" t="s">
        <v>50</v>
      </c>
      <c r="K11" s="16">
        <v>0</v>
      </c>
      <c r="L11" s="11" t="s">
        <v>50</v>
      </c>
      <c r="M11" s="16">
        <v>10000</v>
      </c>
      <c r="N11" s="11" t="s">
        <v>252</v>
      </c>
      <c r="O11" s="16">
        <f t="shared" si="0"/>
        <v>10000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1" t="s">
        <v>253</v>
      </c>
      <c r="X11" s="11" t="s">
        <v>50</v>
      </c>
      <c r="Y11" s="2" t="s">
        <v>50</v>
      </c>
      <c r="Z11" s="2" t="s">
        <v>50</v>
      </c>
      <c r="AA11" s="17"/>
      <c r="AB11" s="2" t="s">
        <v>50</v>
      </c>
    </row>
    <row r="12" spans="1:28" ht="30" customHeight="1" x14ac:dyDescent="0.3">
      <c r="A12" s="11" t="s">
        <v>75</v>
      </c>
      <c r="B12" s="11" t="s">
        <v>72</v>
      </c>
      <c r="C12" s="11" t="s">
        <v>73</v>
      </c>
      <c r="D12" s="15" t="s">
        <v>74</v>
      </c>
      <c r="E12" s="16">
        <v>0</v>
      </c>
      <c r="F12" s="11" t="s">
        <v>50</v>
      </c>
      <c r="G12" s="16">
        <v>0</v>
      </c>
      <c r="H12" s="11" t="s">
        <v>50</v>
      </c>
      <c r="I12" s="16">
        <v>0</v>
      </c>
      <c r="J12" s="11" t="s">
        <v>50</v>
      </c>
      <c r="K12" s="16">
        <v>0</v>
      </c>
      <c r="L12" s="11" t="s">
        <v>50</v>
      </c>
      <c r="M12" s="16">
        <v>12000</v>
      </c>
      <c r="N12" s="11" t="s">
        <v>254</v>
      </c>
      <c r="O12" s="16">
        <f t="shared" si="0"/>
        <v>12000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1" t="s">
        <v>255</v>
      </c>
      <c r="X12" s="11" t="s">
        <v>50</v>
      </c>
      <c r="Y12" s="2" t="s">
        <v>50</v>
      </c>
      <c r="Z12" s="2" t="s">
        <v>50</v>
      </c>
      <c r="AA12" s="17"/>
      <c r="AB12" s="2" t="s">
        <v>50</v>
      </c>
    </row>
    <row r="13" spans="1:28" ht="30" customHeight="1" x14ac:dyDescent="0.3">
      <c r="A13" s="11" t="s">
        <v>79</v>
      </c>
      <c r="B13" s="11" t="s">
        <v>77</v>
      </c>
      <c r="C13" s="11" t="s">
        <v>78</v>
      </c>
      <c r="D13" s="15" t="s">
        <v>62</v>
      </c>
      <c r="E13" s="16">
        <v>0</v>
      </c>
      <c r="F13" s="11" t="s">
        <v>50</v>
      </c>
      <c r="G13" s="16">
        <v>0</v>
      </c>
      <c r="H13" s="11" t="s">
        <v>50</v>
      </c>
      <c r="I13" s="16">
        <v>0</v>
      </c>
      <c r="J13" s="11" t="s">
        <v>50</v>
      </c>
      <c r="K13" s="16">
        <v>0</v>
      </c>
      <c r="L13" s="11" t="s">
        <v>50</v>
      </c>
      <c r="M13" s="16">
        <v>125000</v>
      </c>
      <c r="N13" s="11" t="s">
        <v>256</v>
      </c>
      <c r="O13" s="16">
        <f t="shared" si="0"/>
        <v>125000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1" t="s">
        <v>257</v>
      </c>
      <c r="X13" s="11" t="s">
        <v>50</v>
      </c>
      <c r="Y13" s="2" t="s">
        <v>50</v>
      </c>
      <c r="Z13" s="2" t="s">
        <v>50</v>
      </c>
      <c r="AA13" s="17"/>
      <c r="AB13" s="2" t="s">
        <v>50</v>
      </c>
    </row>
    <row r="14" spans="1:28" ht="30" customHeight="1" x14ac:dyDescent="0.3">
      <c r="A14" s="11" t="s">
        <v>83</v>
      </c>
      <c r="B14" s="11" t="s">
        <v>81</v>
      </c>
      <c r="C14" s="11" t="s">
        <v>82</v>
      </c>
      <c r="D14" s="15" t="s">
        <v>62</v>
      </c>
      <c r="E14" s="16">
        <v>0</v>
      </c>
      <c r="F14" s="11" t="s">
        <v>50</v>
      </c>
      <c r="G14" s="16">
        <v>0</v>
      </c>
      <c r="H14" s="11" t="s">
        <v>50</v>
      </c>
      <c r="I14" s="16">
        <v>0</v>
      </c>
      <c r="J14" s="11" t="s">
        <v>50</v>
      </c>
      <c r="K14" s="16">
        <v>0</v>
      </c>
      <c r="L14" s="11" t="s">
        <v>50</v>
      </c>
      <c r="M14" s="16">
        <v>350000</v>
      </c>
      <c r="N14" s="11" t="s">
        <v>258</v>
      </c>
      <c r="O14" s="16">
        <f t="shared" si="0"/>
        <v>350000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1" t="s">
        <v>259</v>
      </c>
      <c r="X14" s="11" t="s">
        <v>50</v>
      </c>
      <c r="Y14" s="2" t="s">
        <v>50</v>
      </c>
      <c r="Z14" s="2" t="s">
        <v>50</v>
      </c>
      <c r="AA14" s="17"/>
      <c r="AB14" s="2" t="s">
        <v>50</v>
      </c>
    </row>
    <row r="15" spans="1:28" ht="30" customHeight="1" x14ac:dyDescent="0.3">
      <c r="A15" s="11" t="s">
        <v>87</v>
      </c>
      <c r="B15" s="11" t="s">
        <v>85</v>
      </c>
      <c r="C15" s="11" t="s">
        <v>86</v>
      </c>
      <c r="D15" s="15" t="s">
        <v>62</v>
      </c>
      <c r="E15" s="16">
        <v>0</v>
      </c>
      <c r="F15" s="11" t="s">
        <v>50</v>
      </c>
      <c r="G15" s="16">
        <v>0</v>
      </c>
      <c r="H15" s="11" t="s">
        <v>50</v>
      </c>
      <c r="I15" s="16">
        <v>0</v>
      </c>
      <c r="J15" s="11" t="s">
        <v>50</v>
      </c>
      <c r="K15" s="16">
        <v>0</v>
      </c>
      <c r="L15" s="11" t="s">
        <v>50</v>
      </c>
      <c r="M15" s="16">
        <v>2500</v>
      </c>
      <c r="N15" s="11" t="s">
        <v>260</v>
      </c>
      <c r="O15" s="16">
        <f t="shared" si="0"/>
        <v>2500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1" t="s">
        <v>261</v>
      </c>
      <c r="X15" s="11" t="s">
        <v>50</v>
      </c>
      <c r="Y15" s="2" t="s">
        <v>50</v>
      </c>
      <c r="Z15" s="2" t="s">
        <v>50</v>
      </c>
      <c r="AA15" s="17"/>
      <c r="AB15" s="2" t="s">
        <v>50</v>
      </c>
    </row>
    <row r="16" spans="1:28" ht="30" customHeight="1" x14ac:dyDescent="0.3">
      <c r="A16" s="11" t="s">
        <v>90</v>
      </c>
      <c r="B16" s="11" t="s">
        <v>85</v>
      </c>
      <c r="C16" s="11" t="s">
        <v>89</v>
      </c>
      <c r="D16" s="15" t="s">
        <v>62</v>
      </c>
      <c r="E16" s="16">
        <v>0</v>
      </c>
      <c r="F16" s="11" t="s">
        <v>50</v>
      </c>
      <c r="G16" s="16">
        <v>0</v>
      </c>
      <c r="H16" s="11" t="s">
        <v>50</v>
      </c>
      <c r="I16" s="16">
        <v>0</v>
      </c>
      <c r="J16" s="11" t="s">
        <v>50</v>
      </c>
      <c r="K16" s="16">
        <v>0</v>
      </c>
      <c r="L16" s="11" t="s">
        <v>50</v>
      </c>
      <c r="M16" s="16">
        <v>1890</v>
      </c>
      <c r="N16" s="11" t="s">
        <v>262</v>
      </c>
      <c r="O16" s="16">
        <f t="shared" si="0"/>
        <v>1890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1" t="s">
        <v>263</v>
      </c>
      <c r="X16" s="11" t="s">
        <v>50</v>
      </c>
      <c r="Y16" s="2" t="s">
        <v>50</v>
      </c>
      <c r="Z16" s="2" t="s">
        <v>50</v>
      </c>
      <c r="AA16" s="17"/>
      <c r="AB16" s="2" t="s">
        <v>50</v>
      </c>
    </row>
    <row r="17" spans="1:28" ht="30" customHeight="1" x14ac:dyDescent="0.3">
      <c r="A17" s="11" t="s">
        <v>94</v>
      </c>
      <c r="B17" s="11" t="s">
        <v>92</v>
      </c>
      <c r="C17" s="11" t="s">
        <v>93</v>
      </c>
      <c r="D17" s="15" t="s">
        <v>62</v>
      </c>
      <c r="E17" s="16">
        <v>0</v>
      </c>
      <c r="F17" s="11" t="s">
        <v>50</v>
      </c>
      <c r="G17" s="16">
        <v>0</v>
      </c>
      <c r="H17" s="11" t="s">
        <v>50</v>
      </c>
      <c r="I17" s="16">
        <v>0</v>
      </c>
      <c r="J17" s="11" t="s">
        <v>50</v>
      </c>
      <c r="K17" s="16">
        <v>0</v>
      </c>
      <c r="L17" s="11" t="s">
        <v>50</v>
      </c>
      <c r="M17" s="16">
        <v>13700</v>
      </c>
      <c r="N17" s="11" t="s">
        <v>264</v>
      </c>
      <c r="O17" s="16">
        <f t="shared" si="0"/>
        <v>13700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1" t="s">
        <v>265</v>
      </c>
      <c r="X17" s="11" t="s">
        <v>50</v>
      </c>
      <c r="Y17" s="2" t="s">
        <v>50</v>
      </c>
      <c r="Z17" s="2" t="s">
        <v>50</v>
      </c>
      <c r="AA17" s="17"/>
      <c r="AB17" s="2" t="s">
        <v>50</v>
      </c>
    </row>
    <row r="18" spans="1:28" ht="30" customHeight="1" x14ac:dyDescent="0.3">
      <c r="A18" s="11" t="s">
        <v>98</v>
      </c>
      <c r="B18" s="11" t="s">
        <v>96</v>
      </c>
      <c r="C18" s="11" t="s">
        <v>97</v>
      </c>
      <c r="D18" s="15" t="s">
        <v>62</v>
      </c>
      <c r="E18" s="16">
        <v>0</v>
      </c>
      <c r="F18" s="11" t="s">
        <v>50</v>
      </c>
      <c r="G18" s="16">
        <v>0</v>
      </c>
      <c r="H18" s="11" t="s">
        <v>50</v>
      </c>
      <c r="I18" s="16">
        <v>0</v>
      </c>
      <c r="J18" s="11" t="s">
        <v>50</v>
      </c>
      <c r="K18" s="16">
        <v>0</v>
      </c>
      <c r="L18" s="11" t="s">
        <v>50</v>
      </c>
      <c r="M18" s="16">
        <v>3100</v>
      </c>
      <c r="N18" s="11" t="s">
        <v>266</v>
      </c>
      <c r="O18" s="16">
        <f t="shared" si="0"/>
        <v>3100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1" t="s">
        <v>267</v>
      </c>
      <c r="X18" s="11" t="s">
        <v>50</v>
      </c>
      <c r="Y18" s="2" t="s">
        <v>50</v>
      </c>
      <c r="Z18" s="2" t="s">
        <v>50</v>
      </c>
      <c r="AA18" s="17"/>
      <c r="AB18" s="2" t="s">
        <v>50</v>
      </c>
    </row>
    <row r="19" spans="1:28" ht="30" customHeight="1" x14ac:dyDescent="0.3">
      <c r="A19" s="11" t="s">
        <v>102</v>
      </c>
      <c r="B19" s="11" t="s">
        <v>100</v>
      </c>
      <c r="C19" s="11" t="s">
        <v>101</v>
      </c>
      <c r="D19" s="15" t="s">
        <v>62</v>
      </c>
      <c r="E19" s="16">
        <v>0</v>
      </c>
      <c r="F19" s="11" t="s">
        <v>50</v>
      </c>
      <c r="G19" s="16">
        <v>0</v>
      </c>
      <c r="H19" s="11" t="s">
        <v>50</v>
      </c>
      <c r="I19" s="16">
        <v>0</v>
      </c>
      <c r="J19" s="11" t="s">
        <v>50</v>
      </c>
      <c r="K19" s="16">
        <v>0</v>
      </c>
      <c r="L19" s="11" t="s">
        <v>50</v>
      </c>
      <c r="M19" s="16">
        <v>5800</v>
      </c>
      <c r="N19" s="11" t="s">
        <v>268</v>
      </c>
      <c r="O19" s="16">
        <f t="shared" si="0"/>
        <v>5800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1" t="s">
        <v>269</v>
      </c>
      <c r="X19" s="11" t="s">
        <v>50</v>
      </c>
      <c r="Y19" s="2" t="s">
        <v>50</v>
      </c>
      <c r="Z19" s="2" t="s">
        <v>50</v>
      </c>
      <c r="AA19" s="17"/>
      <c r="AB19" s="2" t="s">
        <v>50</v>
      </c>
    </row>
    <row r="20" spans="1:28" ht="30" customHeight="1" x14ac:dyDescent="0.3">
      <c r="A20" s="11" t="s">
        <v>107</v>
      </c>
      <c r="B20" s="11" t="s">
        <v>104</v>
      </c>
      <c r="C20" s="11" t="s">
        <v>105</v>
      </c>
      <c r="D20" s="15" t="s">
        <v>106</v>
      </c>
      <c r="E20" s="16">
        <v>0</v>
      </c>
      <c r="F20" s="11" t="s">
        <v>50</v>
      </c>
      <c r="G20" s="16">
        <v>0</v>
      </c>
      <c r="H20" s="11" t="s">
        <v>50</v>
      </c>
      <c r="I20" s="16">
        <v>0</v>
      </c>
      <c r="J20" s="11" t="s">
        <v>50</v>
      </c>
      <c r="K20" s="16">
        <v>0</v>
      </c>
      <c r="L20" s="11" t="s">
        <v>50</v>
      </c>
      <c r="M20" s="16">
        <v>1850000</v>
      </c>
      <c r="N20" s="11" t="s">
        <v>270</v>
      </c>
      <c r="O20" s="16">
        <f t="shared" si="0"/>
        <v>1850000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1" t="s">
        <v>271</v>
      </c>
      <c r="X20" s="11" t="s">
        <v>50</v>
      </c>
      <c r="Y20" s="2" t="s">
        <v>50</v>
      </c>
      <c r="Z20" s="2" t="s">
        <v>50</v>
      </c>
      <c r="AA20" s="17"/>
      <c r="AB20" s="2" t="s">
        <v>50</v>
      </c>
    </row>
    <row r="21" spans="1:28" ht="30" customHeight="1" x14ac:dyDescent="0.3">
      <c r="A21" s="11" t="s">
        <v>112</v>
      </c>
      <c r="B21" s="11" t="s">
        <v>109</v>
      </c>
      <c r="C21" s="11" t="s">
        <v>110</v>
      </c>
      <c r="D21" s="15" t="s">
        <v>111</v>
      </c>
      <c r="E21" s="16">
        <v>0</v>
      </c>
      <c r="F21" s="11" t="s">
        <v>50</v>
      </c>
      <c r="G21" s="16">
        <v>0</v>
      </c>
      <c r="H21" s="11" t="s">
        <v>50</v>
      </c>
      <c r="I21" s="16">
        <v>0</v>
      </c>
      <c r="J21" s="11" t="s">
        <v>50</v>
      </c>
      <c r="K21" s="16">
        <v>0</v>
      </c>
      <c r="L21" s="11" t="s">
        <v>50</v>
      </c>
      <c r="M21" s="16">
        <v>524</v>
      </c>
      <c r="N21" s="11" t="s">
        <v>272</v>
      </c>
      <c r="O21" s="16">
        <f t="shared" si="0"/>
        <v>524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1" t="s">
        <v>273</v>
      </c>
      <c r="X21" s="11" t="s">
        <v>50</v>
      </c>
      <c r="Y21" s="2" t="s">
        <v>50</v>
      </c>
      <c r="Z21" s="2" t="s">
        <v>50</v>
      </c>
      <c r="AA21" s="17"/>
      <c r="AB21" s="2" t="s">
        <v>50</v>
      </c>
    </row>
    <row r="22" spans="1:28" ht="30" customHeight="1" x14ac:dyDescent="0.3">
      <c r="A22" s="11" t="s">
        <v>116</v>
      </c>
      <c r="B22" s="11" t="s">
        <v>114</v>
      </c>
      <c r="C22" s="11" t="s">
        <v>115</v>
      </c>
      <c r="D22" s="15" t="s">
        <v>62</v>
      </c>
      <c r="E22" s="16">
        <v>0</v>
      </c>
      <c r="F22" s="11" t="s">
        <v>50</v>
      </c>
      <c r="G22" s="16">
        <v>0</v>
      </c>
      <c r="H22" s="11" t="s">
        <v>50</v>
      </c>
      <c r="I22" s="16">
        <v>0</v>
      </c>
      <c r="J22" s="11" t="s">
        <v>50</v>
      </c>
      <c r="K22" s="16">
        <v>0</v>
      </c>
      <c r="L22" s="11" t="s">
        <v>50</v>
      </c>
      <c r="M22" s="16">
        <v>30000</v>
      </c>
      <c r="N22" s="11" t="s">
        <v>274</v>
      </c>
      <c r="O22" s="16">
        <f t="shared" si="0"/>
        <v>30000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1" t="s">
        <v>275</v>
      </c>
      <c r="X22" s="11" t="s">
        <v>50</v>
      </c>
      <c r="Y22" s="2" t="s">
        <v>50</v>
      </c>
      <c r="Z22" s="2" t="s">
        <v>50</v>
      </c>
      <c r="AA22" s="17"/>
      <c r="AB22" s="2" t="s">
        <v>50</v>
      </c>
    </row>
    <row r="23" spans="1:28" ht="30" customHeight="1" x14ac:dyDescent="0.3">
      <c r="A23" s="11" t="s">
        <v>120</v>
      </c>
      <c r="B23" s="11" t="s">
        <v>118</v>
      </c>
      <c r="C23" s="11" t="s">
        <v>119</v>
      </c>
      <c r="D23" s="15" t="s">
        <v>62</v>
      </c>
      <c r="E23" s="16">
        <v>0</v>
      </c>
      <c r="F23" s="11" t="s">
        <v>50</v>
      </c>
      <c r="G23" s="16">
        <v>0</v>
      </c>
      <c r="H23" s="11" t="s">
        <v>50</v>
      </c>
      <c r="I23" s="16">
        <v>0</v>
      </c>
      <c r="J23" s="11" t="s">
        <v>50</v>
      </c>
      <c r="K23" s="16">
        <v>0</v>
      </c>
      <c r="L23" s="11" t="s">
        <v>50</v>
      </c>
      <c r="M23" s="16">
        <v>13970</v>
      </c>
      <c r="N23" s="11" t="s">
        <v>276</v>
      </c>
      <c r="O23" s="16">
        <f t="shared" si="0"/>
        <v>13970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1" t="s">
        <v>277</v>
      </c>
      <c r="X23" s="11" t="s">
        <v>50</v>
      </c>
      <c r="Y23" s="2" t="s">
        <v>50</v>
      </c>
      <c r="Z23" s="2" t="s">
        <v>50</v>
      </c>
      <c r="AA23" s="17"/>
      <c r="AB23" s="2" t="s">
        <v>50</v>
      </c>
    </row>
    <row r="24" spans="1:28" ht="30" customHeight="1" x14ac:dyDescent="0.3">
      <c r="A24" s="11" t="s">
        <v>124</v>
      </c>
      <c r="B24" s="11" t="s">
        <v>122</v>
      </c>
      <c r="C24" s="11" t="s">
        <v>123</v>
      </c>
      <c r="D24" s="15" t="s">
        <v>62</v>
      </c>
      <c r="E24" s="16">
        <v>0</v>
      </c>
      <c r="F24" s="11" t="s">
        <v>50</v>
      </c>
      <c r="G24" s="16">
        <v>0</v>
      </c>
      <c r="H24" s="11" t="s">
        <v>50</v>
      </c>
      <c r="I24" s="16">
        <v>0</v>
      </c>
      <c r="J24" s="11" t="s">
        <v>50</v>
      </c>
      <c r="K24" s="16">
        <v>0</v>
      </c>
      <c r="L24" s="11" t="s">
        <v>50</v>
      </c>
      <c r="M24" s="16">
        <v>15970</v>
      </c>
      <c r="N24" s="11" t="s">
        <v>278</v>
      </c>
      <c r="O24" s="16">
        <f t="shared" si="0"/>
        <v>15970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1" t="s">
        <v>279</v>
      </c>
      <c r="X24" s="11" t="s">
        <v>50</v>
      </c>
      <c r="Y24" s="2" t="s">
        <v>50</v>
      </c>
      <c r="Z24" s="2" t="s">
        <v>50</v>
      </c>
      <c r="AA24" s="17"/>
      <c r="AB24" s="2" t="s">
        <v>50</v>
      </c>
    </row>
    <row r="25" spans="1:28" ht="30" customHeight="1" x14ac:dyDescent="0.3">
      <c r="A25" s="11" t="s">
        <v>128</v>
      </c>
      <c r="B25" s="11" t="s">
        <v>126</v>
      </c>
      <c r="C25" s="11" t="s">
        <v>127</v>
      </c>
      <c r="D25" s="15" t="s">
        <v>62</v>
      </c>
      <c r="E25" s="16">
        <v>0</v>
      </c>
      <c r="F25" s="11" t="s">
        <v>50</v>
      </c>
      <c r="G25" s="16">
        <v>0</v>
      </c>
      <c r="H25" s="11" t="s">
        <v>50</v>
      </c>
      <c r="I25" s="16">
        <v>0</v>
      </c>
      <c r="J25" s="11" t="s">
        <v>50</v>
      </c>
      <c r="K25" s="16">
        <v>0</v>
      </c>
      <c r="L25" s="11" t="s">
        <v>50</v>
      </c>
      <c r="M25" s="16">
        <v>3600</v>
      </c>
      <c r="N25" s="11" t="s">
        <v>280</v>
      </c>
      <c r="O25" s="16">
        <f t="shared" si="0"/>
        <v>3600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1" t="s">
        <v>281</v>
      </c>
      <c r="X25" s="11" t="s">
        <v>50</v>
      </c>
      <c r="Y25" s="2" t="s">
        <v>50</v>
      </c>
      <c r="Z25" s="2" t="s">
        <v>50</v>
      </c>
      <c r="AA25" s="17"/>
      <c r="AB25" s="2" t="s">
        <v>50</v>
      </c>
    </row>
    <row r="26" spans="1:28" ht="30" customHeight="1" x14ac:dyDescent="0.3">
      <c r="A26" s="11" t="s">
        <v>56</v>
      </c>
      <c r="B26" s="11" t="s">
        <v>421</v>
      </c>
      <c r="C26" s="11" t="s">
        <v>54</v>
      </c>
      <c r="D26" s="15" t="s">
        <v>55</v>
      </c>
      <c r="E26" s="16"/>
      <c r="F26" s="11" t="s">
        <v>50</v>
      </c>
      <c r="G26" s="16">
        <v>0</v>
      </c>
      <c r="H26" s="11" t="s">
        <v>50</v>
      </c>
      <c r="I26" s="16">
        <v>0</v>
      </c>
      <c r="J26" s="11" t="s">
        <v>50</v>
      </c>
      <c r="K26" s="16">
        <v>0</v>
      </c>
      <c r="L26" s="11" t="s">
        <v>50</v>
      </c>
      <c r="M26" s="16">
        <v>1692900</v>
      </c>
      <c r="N26" s="11" t="s">
        <v>282</v>
      </c>
      <c r="O26" s="16">
        <f t="shared" si="0"/>
        <v>1692900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1" t="s">
        <v>283</v>
      </c>
      <c r="X26" s="11" t="s">
        <v>50</v>
      </c>
      <c r="Y26" s="2" t="s">
        <v>50</v>
      </c>
      <c r="Z26" s="2" t="s">
        <v>50</v>
      </c>
      <c r="AA26" s="17"/>
      <c r="AB26" s="2" t="s">
        <v>50</v>
      </c>
    </row>
    <row r="27" spans="1:28" ht="30" customHeight="1" x14ac:dyDescent="0.3">
      <c r="A27" s="11" t="s">
        <v>139</v>
      </c>
      <c r="B27" s="11" t="s">
        <v>137</v>
      </c>
      <c r="C27" s="11" t="s">
        <v>138</v>
      </c>
      <c r="D27" s="15" t="s">
        <v>62</v>
      </c>
      <c r="E27" s="16">
        <v>0</v>
      </c>
      <c r="F27" s="11" t="s">
        <v>50</v>
      </c>
      <c r="G27" s="16">
        <v>0</v>
      </c>
      <c r="H27" s="11" t="s">
        <v>50</v>
      </c>
      <c r="I27" s="16">
        <v>0</v>
      </c>
      <c r="J27" s="11" t="s">
        <v>50</v>
      </c>
      <c r="K27" s="16">
        <v>0</v>
      </c>
      <c r="L27" s="11" t="s">
        <v>50</v>
      </c>
      <c r="M27" s="16">
        <v>56200</v>
      </c>
      <c r="N27" s="11" t="s">
        <v>284</v>
      </c>
      <c r="O27" s="16">
        <f t="shared" si="0"/>
        <v>56200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1" t="s">
        <v>285</v>
      </c>
      <c r="X27" s="11" t="s">
        <v>50</v>
      </c>
      <c r="Y27" s="2" t="s">
        <v>50</v>
      </c>
      <c r="Z27" s="2" t="s">
        <v>50</v>
      </c>
      <c r="AA27" s="17"/>
      <c r="AB27" s="2" t="s">
        <v>50</v>
      </c>
    </row>
    <row r="28" spans="1:28" ht="30" customHeight="1" x14ac:dyDescent="0.3">
      <c r="A28" s="11" t="s">
        <v>142</v>
      </c>
      <c r="B28" s="11" t="s">
        <v>72</v>
      </c>
      <c r="C28" s="11" t="s">
        <v>141</v>
      </c>
      <c r="D28" s="15" t="s">
        <v>62</v>
      </c>
      <c r="E28" s="16">
        <v>0</v>
      </c>
      <c r="F28" s="11" t="s">
        <v>50</v>
      </c>
      <c r="G28" s="16">
        <v>0</v>
      </c>
      <c r="H28" s="11" t="s">
        <v>50</v>
      </c>
      <c r="I28" s="16">
        <v>0</v>
      </c>
      <c r="J28" s="11" t="s">
        <v>50</v>
      </c>
      <c r="K28" s="16">
        <v>0</v>
      </c>
      <c r="L28" s="11" t="s">
        <v>50</v>
      </c>
      <c r="M28" s="16">
        <v>101200</v>
      </c>
      <c r="N28" s="11" t="s">
        <v>286</v>
      </c>
      <c r="O28" s="16">
        <f t="shared" si="0"/>
        <v>101200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1" t="s">
        <v>287</v>
      </c>
      <c r="X28" s="11" t="s">
        <v>50</v>
      </c>
      <c r="Y28" s="2" t="s">
        <v>50</v>
      </c>
      <c r="Z28" s="2" t="s">
        <v>50</v>
      </c>
      <c r="AA28" s="17"/>
      <c r="AB28" s="2" t="s">
        <v>50</v>
      </c>
    </row>
    <row r="29" spans="1:28" ht="30" customHeight="1" x14ac:dyDescent="0.3">
      <c r="A29" s="11" t="s">
        <v>146</v>
      </c>
      <c r="B29" s="11" t="s">
        <v>144</v>
      </c>
      <c r="C29" s="11" t="s">
        <v>145</v>
      </c>
      <c r="D29" s="15" t="s">
        <v>62</v>
      </c>
      <c r="E29" s="16">
        <v>0</v>
      </c>
      <c r="F29" s="11" t="s">
        <v>50</v>
      </c>
      <c r="G29" s="16">
        <v>0</v>
      </c>
      <c r="H29" s="11" t="s">
        <v>50</v>
      </c>
      <c r="I29" s="16">
        <v>0</v>
      </c>
      <c r="J29" s="11" t="s">
        <v>50</v>
      </c>
      <c r="K29" s="16">
        <v>0</v>
      </c>
      <c r="L29" s="11" t="s">
        <v>50</v>
      </c>
      <c r="M29" s="16">
        <v>61700</v>
      </c>
      <c r="N29" s="11" t="s">
        <v>288</v>
      </c>
      <c r="O29" s="16">
        <f t="shared" si="0"/>
        <v>61700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1" t="s">
        <v>289</v>
      </c>
      <c r="X29" s="11" t="s">
        <v>50</v>
      </c>
      <c r="Y29" s="2" t="s">
        <v>50</v>
      </c>
      <c r="Z29" s="2" t="s">
        <v>50</v>
      </c>
      <c r="AA29" s="17"/>
      <c r="AB29" s="2" t="s">
        <v>50</v>
      </c>
    </row>
    <row r="30" spans="1:28" ht="30" customHeight="1" x14ac:dyDescent="0.3">
      <c r="A30" s="11" t="s">
        <v>149</v>
      </c>
      <c r="B30" s="11" t="s">
        <v>148</v>
      </c>
      <c r="C30" s="11" t="s">
        <v>50</v>
      </c>
      <c r="D30" s="15" t="s">
        <v>62</v>
      </c>
      <c r="E30" s="16">
        <v>0</v>
      </c>
      <c r="F30" s="11" t="s">
        <v>50</v>
      </c>
      <c r="G30" s="16">
        <v>0</v>
      </c>
      <c r="H30" s="11" t="s">
        <v>50</v>
      </c>
      <c r="I30" s="16">
        <v>0</v>
      </c>
      <c r="J30" s="11" t="s">
        <v>50</v>
      </c>
      <c r="K30" s="16">
        <v>0</v>
      </c>
      <c r="L30" s="11" t="s">
        <v>50</v>
      </c>
      <c r="M30" s="16">
        <v>2100</v>
      </c>
      <c r="N30" s="11" t="s">
        <v>290</v>
      </c>
      <c r="O30" s="16">
        <f t="shared" si="0"/>
        <v>2100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1" t="s">
        <v>291</v>
      </c>
      <c r="X30" s="11" t="s">
        <v>50</v>
      </c>
      <c r="Y30" s="2" t="s">
        <v>50</v>
      </c>
      <c r="Z30" s="2" t="s">
        <v>50</v>
      </c>
      <c r="AA30" s="17"/>
      <c r="AB30" s="2" t="s">
        <v>50</v>
      </c>
    </row>
    <row r="31" spans="1:28" ht="30" customHeight="1" x14ac:dyDescent="0.3">
      <c r="A31" s="11" t="s">
        <v>153</v>
      </c>
      <c r="B31" s="11" t="s">
        <v>151</v>
      </c>
      <c r="C31" s="11" t="s">
        <v>152</v>
      </c>
      <c r="D31" s="15" t="s">
        <v>62</v>
      </c>
      <c r="E31" s="16">
        <v>0</v>
      </c>
      <c r="F31" s="11" t="s">
        <v>50</v>
      </c>
      <c r="G31" s="16">
        <v>0</v>
      </c>
      <c r="H31" s="11" t="s">
        <v>50</v>
      </c>
      <c r="I31" s="16">
        <v>0</v>
      </c>
      <c r="J31" s="11" t="s">
        <v>50</v>
      </c>
      <c r="K31" s="16">
        <v>0</v>
      </c>
      <c r="L31" s="11" t="s">
        <v>50</v>
      </c>
      <c r="M31" s="16">
        <v>27150</v>
      </c>
      <c r="N31" s="11" t="s">
        <v>292</v>
      </c>
      <c r="O31" s="16">
        <f t="shared" si="0"/>
        <v>27150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1" t="s">
        <v>293</v>
      </c>
      <c r="X31" s="11" t="s">
        <v>50</v>
      </c>
      <c r="Y31" s="2" t="s">
        <v>50</v>
      </c>
      <c r="Z31" s="2" t="s">
        <v>50</v>
      </c>
      <c r="AA31" s="17"/>
      <c r="AB31" s="2" t="s">
        <v>50</v>
      </c>
    </row>
    <row r="32" spans="1:28" ht="30" customHeight="1" x14ac:dyDescent="0.3">
      <c r="A32" s="11" t="s">
        <v>157</v>
      </c>
      <c r="B32" s="11" t="s">
        <v>155</v>
      </c>
      <c r="C32" s="11" t="s">
        <v>156</v>
      </c>
      <c r="D32" s="15" t="s">
        <v>74</v>
      </c>
      <c r="E32" s="16">
        <v>0</v>
      </c>
      <c r="F32" s="11" t="s">
        <v>50</v>
      </c>
      <c r="G32" s="16">
        <v>0</v>
      </c>
      <c r="H32" s="11" t="s">
        <v>50</v>
      </c>
      <c r="I32" s="16">
        <v>0</v>
      </c>
      <c r="J32" s="11" t="s">
        <v>50</v>
      </c>
      <c r="K32" s="16">
        <v>0</v>
      </c>
      <c r="L32" s="11" t="s">
        <v>50</v>
      </c>
      <c r="M32" s="16">
        <v>19000</v>
      </c>
      <c r="N32" s="11" t="s">
        <v>294</v>
      </c>
      <c r="O32" s="16">
        <f t="shared" si="0"/>
        <v>19000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1" t="s">
        <v>295</v>
      </c>
      <c r="X32" s="11" t="s">
        <v>50</v>
      </c>
      <c r="Y32" s="2" t="s">
        <v>50</v>
      </c>
      <c r="Z32" s="2" t="s">
        <v>50</v>
      </c>
      <c r="AA32" s="17"/>
      <c r="AB32" s="2" t="s">
        <v>50</v>
      </c>
    </row>
    <row r="33" spans="1:28" ht="30" customHeight="1" x14ac:dyDescent="0.3">
      <c r="A33" s="11" t="s">
        <v>161</v>
      </c>
      <c r="B33" s="11" t="s">
        <v>159</v>
      </c>
      <c r="C33" s="11" t="s">
        <v>160</v>
      </c>
      <c r="D33" s="15" t="s">
        <v>74</v>
      </c>
      <c r="E33" s="16">
        <v>0</v>
      </c>
      <c r="F33" s="11" t="s">
        <v>50</v>
      </c>
      <c r="G33" s="16">
        <v>0</v>
      </c>
      <c r="H33" s="11" t="s">
        <v>50</v>
      </c>
      <c r="I33" s="16">
        <v>0</v>
      </c>
      <c r="J33" s="11" t="s">
        <v>50</v>
      </c>
      <c r="K33" s="16">
        <v>0</v>
      </c>
      <c r="L33" s="11" t="s">
        <v>50</v>
      </c>
      <c r="M33" s="16">
        <v>45400</v>
      </c>
      <c r="N33" s="11" t="s">
        <v>296</v>
      </c>
      <c r="O33" s="16">
        <f t="shared" si="0"/>
        <v>45400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1" t="s">
        <v>297</v>
      </c>
      <c r="X33" s="11" t="s">
        <v>50</v>
      </c>
      <c r="Y33" s="2" t="s">
        <v>50</v>
      </c>
      <c r="Z33" s="2" t="s">
        <v>50</v>
      </c>
      <c r="AA33" s="17"/>
      <c r="AB33" s="2" t="s">
        <v>50</v>
      </c>
    </row>
    <row r="34" spans="1:28" ht="30" customHeight="1" x14ac:dyDescent="0.3">
      <c r="A34" s="11" t="s">
        <v>165</v>
      </c>
      <c r="B34" s="11" t="s">
        <v>163</v>
      </c>
      <c r="C34" s="11" t="s">
        <v>164</v>
      </c>
      <c r="D34" s="15" t="s">
        <v>62</v>
      </c>
      <c r="E34" s="16">
        <v>0</v>
      </c>
      <c r="F34" s="11" t="s">
        <v>50</v>
      </c>
      <c r="G34" s="16">
        <v>0</v>
      </c>
      <c r="H34" s="11" t="s">
        <v>50</v>
      </c>
      <c r="I34" s="16">
        <v>0</v>
      </c>
      <c r="J34" s="11" t="s">
        <v>50</v>
      </c>
      <c r="K34" s="16">
        <v>0</v>
      </c>
      <c r="L34" s="11" t="s">
        <v>50</v>
      </c>
      <c r="M34" s="16">
        <v>3000</v>
      </c>
      <c r="N34" s="11" t="s">
        <v>298</v>
      </c>
      <c r="O34" s="16">
        <f t="shared" si="0"/>
        <v>3000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1" t="s">
        <v>299</v>
      </c>
      <c r="X34" s="11" t="s">
        <v>50</v>
      </c>
      <c r="Y34" s="2" t="s">
        <v>50</v>
      </c>
      <c r="Z34" s="2" t="s">
        <v>50</v>
      </c>
      <c r="AA34" s="17"/>
      <c r="AB34" s="2" t="s">
        <v>50</v>
      </c>
    </row>
    <row r="35" spans="1:28" ht="30" customHeight="1" x14ac:dyDescent="0.3">
      <c r="A35" s="11" t="s">
        <v>169</v>
      </c>
      <c r="B35" s="11" t="s">
        <v>167</v>
      </c>
      <c r="C35" s="11" t="s">
        <v>168</v>
      </c>
      <c r="D35" s="15" t="s">
        <v>62</v>
      </c>
      <c r="E35" s="16">
        <v>0</v>
      </c>
      <c r="F35" s="11" t="s">
        <v>50</v>
      </c>
      <c r="G35" s="16">
        <v>0</v>
      </c>
      <c r="H35" s="11" t="s">
        <v>50</v>
      </c>
      <c r="I35" s="16">
        <v>0</v>
      </c>
      <c r="J35" s="11" t="s">
        <v>50</v>
      </c>
      <c r="K35" s="16">
        <v>0</v>
      </c>
      <c r="L35" s="11" t="s">
        <v>50</v>
      </c>
      <c r="M35" s="16">
        <v>3800</v>
      </c>
      <c r="N35" s="11" t="s">
        <v>300</v>
      </c>
      <c r="O35" s="16">
        <f t="shared" si="0"/>
        <v>3800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1" t="s">
        <v>301</v>
      </c>
      <c r="X35" s="11" t="s">
        <v>50</v>
      </c>
      <c r="Y35" s="2" t="s">
        <v>50</v>
      </c>
      <c r="Z35" s="2" t="s">
        <v>50</v>
      </c>
      <c r="AA35" s="17"/>
      <c r="AB35" s="2" t="s">
        <v>50</v>
      </c>
    </row>
    <row r="36" spans="1:28" ht="30" customHeight="1" x14ac:dyDescent="0.3">
      <c r="A36" s="11" t="s">
        <v>173</v>
      </c>
      <c r="B36" s="11" t="s">
        <v>171</v>
      </c>
      <c r="C36" s="11" t="s">
        <v>172</v>
      </c>
      <c r="D36" s="15" t="s">
        <v>106</v>
      </c>
      <c r="E36" s="16">
        <v>0</v>
      </c>
      <c r="F36" s="11" t="s">
        <v>50</v>
      </c>
      <c r="G36" s="16">
        <v>0</v>
      </c>
      <c r="H36" s="11" t="s">
        <v>50</v>
      </c>
      <c r="I36" s="16">
        <v>0</v>
      </c>
      <c r="J36" s="11" t="s">
        <v>50</v>
      </c>
      <c r="K36" s="16">
        <v>0</v>
      </c>
      <c r="L36" s="11" t="s">
        <v>50</v>
      </c>
      <c r="M36" s="16">
        <v>495000</v>
      </c>
      <c r="N36" s="11" t="s">
        <v>302</v>
      </c>
      <c r="O36" s="16">
        <f t="shared" si="0"/>
        <v>495000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1" t="s">
        <v>303</v>
      </c>
      <c r="X36" s="11" t="s">
        <v>50</v>
      </c>
      <c r="Y36" s="2" t="s">
        <v>50</v>
      </c>
      <c r="Z36" s="2" t="s">
        <v>50</v>
      </c>
      <c r="AA36" s="17"/>
      <c r="AB36" s="2" t="s">
        <v>50</v>
      </c>
    </row>
    <row r="37" spans="1:28" ht="30" customHeight="1" x14ac:dyDescent="0.3">
      <c r="A37" s="11" t="s">
        <v>177</v>
      </c>
      <c r="B37" s="11" t="s">
        <v>175</v>
      </c>
      <c r="C37" s="11" t="s">
        <v>176</v>
      </c>
      <c r="D37" s="15" t="s">
        <v>62</v>
      </c>
      <c r="E37" s="16">
        <v>0</v>
      </c>
      <c r="F37" s="11" t="s">
        <v>50</v>
      </c>
      <c r="G37" s="16">
        <v>0</v>
      </c>
      <c r="H37" s="11" t="s">
        <v>50</v>
      </c>
      <c r="I37" s="16">
        <v>0</v>
      </c>
      <c r="J37" s="11" t="s">
        <v>50</v>
      </c>
      <c r="K37" s="16">
        <v>0</v>
      </c>
      <c r="L37" s="11" t="s">
        <v>50</v>
      </c>
      <c r="M37" s="16">
        <v>39500</v>
      </c>
      <c r="N37" s="11" t="s">
        <v>304</v>
      </c>
      <c r="O37" s="16">
        <f t="shared" si="0"/>
        <v>39500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1" t="s">
        <v>305</v>
      </c>
      <c r="X37" s="11" t="s">
        <v>50</v>
      </c>
      <c r="Y37" s="2" t="s">
        <v>50</v>
      </c>
      <c r="Z37" s="2" t="s">
        <v>50</v>
      </c>
      <c r="AA37" s="17"/>
      <c r="AB37" s="2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4DA7-1614-466A-92DE-CF1807056167}">
  <sheetPr>
    <pageSetUpPr fitToPage="1"/>
  </sheetPr>
  <dimension ref="A1:W23"/>
  <sheetViews>
    <sheetView topLeftCell="B1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23" t="s">
        <v>311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23" ht="30" customHeight="1" x14ac:dyDescent="0.3">
      <c r="A2" s="24" t="s">
        <v>424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23" ht="30" customHeight="1" x14ac:dyDescent="0.3">
      <c r="A3" s="4" t="s">
        <v>195</v>
      </c>
      <c r="B3" s="4" t="s">
        <v>1</v>
      </c>
      <c r="C3" s="4" t="s">
        <v>2</v>
      </c>
      <c r="D3" s="4" t="s">
        <v>3</v>
      </c>
      <c r="E3" s="4" t="s">
        <v>312</v>
      </c>
      <c r="F3" s="4" t="s">
        <v>313</v>
      </c>
      <c r="G3" s="4" t="s">
        <v>203</v>
      </c>
      <c r="H3" s="4" t="s">
        <v>314</v>
      </c>
      <c r="I3" s="4" t="s">
        <v>315</v>
      </c>
      <c r="J3" s="4" t="s">
        <v>316</v>
      </c>
      <c r="K3" s="4" t="s">
        <v>317</v>
      </c>
      <c r="L3" s="4" t="s">
        <v>318</v>
      </c>
      <c r="M3" s="4" t="s">
        <v>319</v>
      </c>
      <c r="N3" s="4" t="s">
        <v>320</v>
      </c>
      <c r="O3" s="4" t="s">
        <v>200</v>
      </c>
      <c r="P3" s="4" t="s">
        <v>321</v>
      </c>
      <c r="Q3" s="1" t="s">
        <v>50</v>
      </c>
      <c r="R3" s="1" t="s">
        <v>50</v>
      </c>
      <c r="S3" s="1" t="s">
        <v>50</v>
      </c>
      <c r="T3" s="1" t="s">
        <v>48</v>
      </c>
      <c r="V3" t="s">
        <v>189</v>
      </c>
      <c r="W3" t="s">
        <v>183</v>
      </c>
    </row>
    <row r="4" spans="1:23" ht="30" customHeight="1" x14ac:dyDescent="0.3">
      <c r="A4" s="18"/>
      <c r="B4" s="34" t="s">
        <v>322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23" ht="30" customHeight="1" x14ac:dyDescent="0.3">
      <c r="A5" s="19" t="s">
        <v>75</v>
      </c>
      <c r="B5" s="19" t="s">
        <v>72</v>
      </c>
      <c r="C5" s="19" t="s">
        <v>73</v>
      </c>
      <c r="D5" s="19" t="s">
        <v>74</v>
      </c>
      <c r="E5" s="19" t="s">
        <v>323</v>
      </c>
      <c r="F5" s="18">
        <v>4</v>
      </c>
      <c r="G5" s="18">
        <v>0</v>
      </c>
      <c r="H5" s="18"/>
      <c r="I5" s="18"/>
      <c r="J5" s="18"/>
      <c r="K5" s="18">
        <v>4</v>
      </c>
      <c r="L5" s="19" t="s">
        <v>189</v>
      </c>
      <c r="M5" s="18">
        <f>0.133*(H5+100)/100*(I5+100)/100*(J5+100)/100</f>
        <v>0.13300000000000001</v>
      </c>
      <c r="N5" s="18">
        <f t="shared" ref="N5:N21" si="0">F5*M5</f>
        <v>0.53200000000000003</v>
      </c>
      <c r="O5" s="19" t="s">
        <v>247</v>
      </c>
      <c r="P5" s="19" t="s">
        <v>50</v>
      </c>
      <c r="Q5" s="1" t="s">
        <v>53</v>
      </c>
      <c r="R5" s="1" t="s">
        <v>190</v>
      </c>
      <c r="S5">
        <v>0.13300000000000001</v>
      </c>
      <c r="T5" s="1" t="s">
        <v>76</v>
      </c>
      <c r="V5">
        <f>N5</f>
        <v>0.53200000000000003</v>
      </c>
    </row>
    <row r="6" spans="1:23" ht="30" customHeight="1" x14ac:dyDescent="0.3">
      <c r="A6" s="19" t="s">
        <v>79</v>
      </c>
      <c r="B6" s="19" t="s">
        <v>77</v>
      </c>
      <c r="C6" s="19" t="s">
        <v>78</v>
      </c>
      <c r="D6" s="19" t="s">
        <v>62</v>
      </c>
      <c r="E6" s="19" t="s">
        <v>324</v>
      </c>
      <c r="F6" s="18">
        <v>1</v>
      </c>
      <c r="G6" s="18">
        <v>0</v>
      </c>
      <c r="H6" s="18"/>
      <c r="I6" s="18"/>
      <c r="J6" s="18"/>
      <c r="K6" s="18">
        <v>1</v>
      </c>
      <c r="L6" s="19" t="s">
        <v>183</v>
      </c>
      <c r="M6" s="18">
        <f>0.27*(H6+100)/100*(I6+100)/100*(J6+100)/100</f>
        <v>0.27</v>
      </c>
      <c r="N6" s="18">
        <f t="shared" si="0"/>
        <v>0.27</v>
      </c>
      <c r="O6" s="19" t="s">
        <v>246</v>
      </c>
      <c r="P6" s="19" t="s">
        <v>50</v>
      </c>
      <c r="Q6" s="1" t="s">
        <v>53</v>
      </c>
      <c r="R6" s="1" t="s">
        <v>187</v>
      </c>
      <c r="S6">
        <v>0.27</v>
      </c>
      <c r="T6" s="1" t="s">
        <v>80</v>
      </c>
      <c r="W6">
        <f>N6</f>
        <v>0.27</v>
      </c>
    </row>
    <row r="7" spans="1:23" ht="30" customHeight="1" x14ac:dyDescent="0.3">
      <c r="A7" s="19" t="s">
        <v>83</v>
      </c>
      <c r="B7" s="19" t="s">
        <v>81</v>
      </c>
      <c r="C7" s="19" t="s">
        <v>82</v>
      </c>
      <c r="D7" s="19" t="s">
        <v>62</v>
      </c>
      <c r="E7" s="19" t="s">
        <v>324</v>
      </c>
      <c r="F7" s="18">
        <v>1</v>
      </c>
      <c r="G7" s="18">
        <v>0</v>
      </c>
      <c r="H7" s="18"/>
      <c r="I7" s="18"/>
      <c r="J7" s="18"/>
      <c r="K7" s="18">
        <v>1</v>
      </c>
      <c r="L7" s="19" t="s">
        <v>183</v>
      </c>
      <c r="M7" s="18">
        <f>0.38*(H7+100)/100*(I7+100)/100*(J7+100)/100</f>
        <v>0.38</v>
      </c>
      <c r="N7" s="18">
        <f t="shared" si="0"/>
        <v>0.38</v>
      </c>
      <c r="O7" s="19" t="s">
        <v>246</v>
      </c>
      <c r="P7" s="19" t="s">
        <v>50</v>
      </c>
      <c r="Q7" s="1" t="s">
        <v>53</v>
      </c>
      <c r="R7" s="1" t="s">
        <v>187</v>
      </c>
      <c r="S7">
        <v>0.38</v>
      </c>
      <c r="T7" s="1" t="s">
        <v>84</v>
      </c>
      <c r="W7">
        <f>N7</f>
        <v>0.38</v>
      </c>
    </row>
    <row r="8" spans="1:23" ht="30" customHeight="1" x14ac:dyDescent="0.3">
      <c r="A8" s="19" t="s">
        <v>94</v>
      </c>
      <c r="B8" s="19" t="s">
        <v>92</v>
      </c>
      <c r="C8" s="19" t="s">
        <v>93</v>
      </c>
      <c r="D8" s="19" t="s">
        <v>62</v>
      </c>
      <c r="E8" s="19" t="s">
        <v>324</v>
      </c>
      <c r="F8" s="18">
        <v>1</v>
      </c>
      <c r="G8" s="18">
        <v>0</v>
      </c>
      <c r="H8" s="18"/>
      <c r="I8" s="18"/>
      <c r="J8" s="18"/>
      <c r="K8" s="18">
        <v>1</v>
      </c>
      <c r="L8" s="19" t="s">
        <v>183</v>
      </c>
      <c r="M8" s="18">
        <f>0.09*(H8+100)/100*(I8+100)/100*(J8+100)/100</f>
        <v>0.09</v>
      </c>
      <c r="N8" s="18">
        <f t="shared" si="0"/>
        <v>0.09</v>
      </c>
      <c r="O8" s="19" t="s">
        <v>246</v>
      </c>
      <c r="P8" s="19" t="s">
        <v>50</v>
      </c>
      <c r="Q8" s="1" t="s">
        <v>53</v>
      </c>
      <c r="R8" s="1" t="s">
        <v>187</v>
      </c>
      <c r="S8">
        <v>0.09</v>
      </c>
      <c r="T8" s="1" t="s">
        <v>95</v>
      </c>
      <c r="W8">
        <f>N8</f>
        <v>0.09</v>
      </c>
    </row>
    <row r="9" spans="1:23" ht="30" customHeight="1" x14ac:dyDescent="0.3">
      <c r="A9" s="19" t="s">
        <v>112</v>
      </c>
      <c r="B9" s="19" t="s">
        <v>109</v>
      </c>
      <c r="C9" s="19" t="s">
        <v>110</v>
      </c>
      <c r="D9" s="19" t="s">
        <v>111</v>
      </c>
      <c r="E9" s="19" t="s">
        <v>324</v>
      </c>
      <c r="F9" s="18">
        <v>50</v>
      </c>
      <c r="G9" s="18">
        <v>0</v>
      </c>
      <c r="H9" s="18"/>
      <c r="I9" s="18"/>
      <c r="J9" s="18"/>
      <c r="K9" s="18">
        <v>50</v>
      </c>
      <c r="L9" s="19" t="s">
        <v>183</v>
      </c>
      <c r="M9" s="18">
        <f>0.055*(H9+100)/100*(I9+100)/100*(J9+100)/100</f>
        <v>5.5E-2</v>
      </c>
      <c r="N9" s="18">
        <f t="shared" si="0"/>
        <v>2.75</v>
      </c>
      <c r="O9" s="19" t="s">
        <v>246</v>
      </c>
      <c r="P9" s="19" t="s">
        <v>50</v>
      </c>
      <c r="Q9" s="1" t="s">
        <v>53</v>
      </c>
      <c r="R9" s="1" t="s">
        <v>187</v>
      </c>
      <c r="S9">
        <v>5.5E-2</v>
      </c>
      <c r="T9" s="1" t="s">
        <v>113</v>
      </c>
      <c r="W9">
        <f>N9</f>
        <v>2.75</v>
      </c>
    </row>
    <row r="10" spans="1:23" ht="30" customHeight="1" x14ac:dyDescent="0.3">
      <c r="A10" s="19" t="s">
        <v>139</v>
      </c>
      <c r="B10" s="19" t="s">
        <v>137</v>
      </c>
      <c r="C10" s="19" t="s">
        <v>138</v>
      </c>
      <c r="D10" s="19" t="s">
        <v>62</v>
      </c>
      <c r="E10" s="19" t="s">
        <v>323</v>
      </c>
      <c r="F10" s="18">
        <v>2</v>
      </c>
      <c r="G10" s="18">
        <v>0</v>
      </c>
      <c r="H10" s="18"/>
      <c r="I10" s="18"/>
      <c r="J10" s="18"/>
      <c r="K10" s="18">
        <v>2</v>
      </c>
      <c r="L10" s="19" t="s">
        <v>189</v>
      </c>
      <c r="M10" s="18">
        <f>0.468*(H10+100)/100*(I10+100)/100*(J10+100)/100</f>
        <v>0.46800000000000003</v>
      </c>
      <c r="N10" s="18">
        <f t="shared" si="0"/>
        <v>0.93600000000000005</v>
      </c>
      <c r="O10" s="19" t="s">
        <v>247</v>
      </c>
      <c r="P10" s="19" t="s">
        <v>50</v>
      </c>
      <c r="Q10" s="1" t="s">
        <v>53</v>
      </c>
      <c r="R10" s="1" t="s">
        <v>190</v>
      </c>
      <c r="S10">
        <v>0.46800000000000003</v>
      </c>
      <c r="T10" s="1" t="s">
        <v>140</v>
      </c>
      <c r="V10">
        <f>N10</f>
        <v>0.93600000000000005</v>
      </c>
    </row>
    <row r="11" spans="1:23" ht="30" customHeight="1" x14ac:dyDescent="0.3">
      <c r="A11" s="19" t="s">
        <v>142</v>
      </c>
      <c r="B11" s="19" t="s">
        <v>72</v>
      </c>
      <c r="C11" s="19" t="s">
        <v>141</v>
      </c>
      <c r="D11" s="19" t="s">
        <v>62</v>
      </c>
      <c r="E11" s="19" t="s">
        <v>323</v>
      </c>
      <c r="F11" s="18">
        <v>1</v>
      </c>
      <c r="G11" s="18">
        <v>0</v>
      </c>
      <c r="H11" s="18"/>
      <c r="I11" s="18"/>
      <c r="J11" s="18"/>
      <c r="K11" s="18">
        <v>1</v>
      </c>
      <c r="L11" s="19" t="s">
        <v>189</v>
      </c>
      <c r="M11" s="18">
        <f>0.36*(H11+100)/100*(I11+100)/100*(J11+100)/100</f>
        <v>0.36</v>
      </c>
      <c r="N11" s="18">
        <f t="shared" si="0"/>
        <v>0.36</v>
      </c>
      <c r="O11" s="19" t="s">
        <v>247</v>
      </c>
      <c r="P11" s="19" t="s">
        <v>50</v>
      </c>
      <c r="Q11" s="1" t="s">
        <v>53</v>
      </c>
      <c r="R11" s="1" t="s">
        <v>190</v>
      </c>
      <c r="S11">
        <v>0.36</v>
      </c>
      <c r="T11" s="1" t="s">
        <v>143</v>
      </c>
      <c r="V11">
        <f>N11</f>
        <v>0.36</v>
      </c>
    </row>
    <row r="12" spans="1:23" ht="30" customHeight="1" x14ac:dyDescent="0.3">
      <c r="A12" s="19" t="s">
        <v>146</v>
      </c>
      <c r="B12" s="19" t="s">
        <v>144</v>
      </c>
      <c r="C12" s="19" t="s">
        <v>145</v>
      </c>
      <c r="D12" s="19" t="s">
        <v>62</v>
      </c>
      <c r="E12" s="19" t="s">
        <v>323</v>
      </c>
      <c r="F12" s="18">
        <v>3</v>
      </c>
      <c r="G12" s="18">
        <v>0</v>
      </c>
      <c r="H12" s="18"/>
      <c r="I12" s="18"/>
      <c r="J12" s="18"/>
      <c r="K12" s="18">
        <v>3</v>
      </c>
      <c r="L12" s="19" t="s">
        <v>189</v>
      </c>
      <c r="M12" s="18">
        <f>0.45*(H12+100)/100*(I12+100)/100*(J12+100)/100</f>
        <v>0.45</v>
      </c>
      <c r="N12" s="18">
        <f t="shared" si="0"/>
        <v>1.35</v>
      </c>
      <c r="O12" s="19" t="s">
        <v>247</v>
      </c>
      <c r="P12" s="19" t="s">
        <v>50</v>
      </c>
      <c r="Q12" s="1" t="s">
        <v>53</v>
      </c>
      <c r="R12" s="1" t="s">
        <v>190</v>
      </c>
      <c r="S12">
        <v>0.45</v>
      </c>
      <c r="T12" s="1" t="s">
        <v>147</v>
      </c>
      <c r="V12">
        <f>N12</f>
        <v>1.35</v>
      </c>
    </row>
    <row r="13" spans="1:23" ht="30" customHeight="1" x14ac:dyDescent="0.3">
      <c r="A13" s="19" t="s">
        <v>149</v>
      </c>
      <c r="B13" s="19" t="s">
        <v>148</v>
      </c>
      <c r="C13" s="19" t="s">
        <v>50</v>
      </c>
      <c r="D13" s="19" t="s">
        <v>62</v>
      </c>
      <c r="E13" s="19" t="s">
        <v>325</v>
      </c>
      <c r="F13" s="18">
        <v>1</v>
      </c>
      <c r="G13" s="18">
        <v>0</v>
      </c>
      <c r="H13" s="18"/>
      <c r="I13" s="18"/>
      <c r="J13" s="18"/>
      <c r="K13" s="18">
        <v>1</v>
      </c>
      <c r="L13" s="19" t="s">
        <v>189</v>
      </c>
      <c r="M13" s="18">
        <f>0.1*(H13+100)/100*(I13+100)/100*(J13+100)/100</f>
        <v>0.1</v>
      </c>
      <c r="N13" s="18">
        <f t="shared" si="0"/>
        <v>0.1</v>
      </c>
      <c r="O13" s="19" t="s">
        <v>247</v>
      </c>
      <c r="P13" s="19" t="s">
        <v>50</v>
      </c>
      <c r="Q13" s="1" t="s">
        <v>53</v>
      </c>
      <c r="R13" s="1" t="s">
        <v>190</v>
      </c>
      <c r="S13">
        <v>0.1</v>
      </c>
      <c r="T13" s="1" t="s">
        <v>150</v>
      </c>
      <c r="V13">
        <f>N13</f>
        <v>0.1</v>
      </c>
    </row>
    <row r="14" spans="1:23" ht="30" customHeight="1" x14ac:dyDescent="0.3">
      <c r="A14" s="19" t="s">
        <v>153</v>
      </c>
      <c r="B14" s="19" t="s">
        <v>151</v>
      </c>
      <c r="C14" s="19" t="s">
        <v>152</v>
      </c>
      <c r="D14" s="19" t="s">
        <v>62</v>
      </c>
      <c r="E14" s="19" t="s">
        <v>324</v>
      </c>
      <c r="F14" s="18">
        <v>1</v>
      </c>
      <c r="G14" s="18">
        <v>0</v>
      </c>
      <c r="H14" s="18"/>
      <c r="I14" s="18"/>
      <c r="J14" s="18"/>
      <c r="K14" s="18">
        <v>1</v>
      </c>
      <c r="L14" s="19" t="s">
        <v>183</v>
      </c>
      <c r="M14" s="18">
        <f>0.2*(H14+100)/100*(I14+100)/100*(J14+100)/100</f>
        <v>0.2</v>
      </c>
      <c r="N14" s="18">
        <f t="shared" si="0"/>
        <v>0.2</v>
      </c>
      <c r="O14" s="19" t="s">
        <v>246</v>
      </c>
      <c r="P14" s="19" t="s">
        <v>50</v>
      </c>
      <c r="Q14" s="1" t="s">
        <v>53</v>
      </c>
      <c r="R14" s="1" t="s">
        <v>187</v>
      </c>
      <c r="S14">
        <v>0.2</v>
      </c>
      <c r="T14" s="1" t="s">
        <v>154</v>
      </c>
      <c r="W14">
        <f>N14</f>
        <v>0.2</v>
      </c>
    </row>
    <row r="15" spans="1:23" ht="30" customHeight="1" x14ac:dyDescent="0.3">
      <c r="A15" s="19" t="s">
        <v>157</v>
      </c>
      <c r="B15" s="19" t="s">
        <v>155</v>
      </c>
      <c r="C15" s="19" t="s">
        <v>156</v>
      </c>
      <c r="D15" s="19" t="s">
        <v>74</v>
      </c>
      <c r="E15" s="19" t="s">
        <v>326</v>
      </c>
      <c r="F15" s="18">
        <v>3</v>
      </c>
      <c r="G15" s="18">
        <v>0</v>
      </c>
      <c r="H15" s="18"/>
      <c r="I15" s="18"/>
      <c r="J15" s="18"/>
      <c r="K15" s="18">
        <v>3</v>
      </c>
      <c r="L15" s="19" t="s">
        <v>189</v>
      </c>
      <c r="M15" s="18">
        <f>0.4*(H15+100)/100*(I15+100)/100*(J15+100)/100</f>
        <v>0.4</v>
      </c>
      <c r="N15" s="18">
        <f t="shared" si="0"/>
        <v>1.2000000000000002</v>
      </c>
      <c r="O15" s="19" t="s">
        <v>247</v>
      </c>
      <c r="P15" s="19" t="s">
        <v>50</v>
      </c>
      <c r="Q15" s="1" t="s">
        <v>53</v>
      </c>
      <c r="R15" s="1" t="s">
        <v>190</v>
      </c>
      <c r="S15">
        <v>0.4</v>
      </c>
      <c r="T15" s="1" t="s">
        <v>158</v>
      </c>
      <c r="V15">
        <f>N15</f>
        <v>1.2000000000000002</v>
      </c>
    </row>
    <row r="16" spans="1:23" ht="30" customHeight="1" x14ac:dyDescent="0.3">
      <c r="A16" s="19" t="s">
        <v>161</v>
      </c>
      <c r="B16" s="19" t="s">
        <v>159</v>
      </c>
      <c r="C16" s="19" t="s">
        <v>160</v>
      </c>
      <c r="D16" s="19" t="s">
        <v>74</v>
      </c>
      <c r="E16" s="19" t="s">
        <v>327</v>
      </c>
      <c r="F16" s="18">
        <v>1</v>
      </c>
      <c r="G16" s="18">
        <v>0</v>
      </c>
      <c r="H16" s="18"/>
      <c r="I16" s="18"/>
      <c r="J16" s="18"/>
      <c r="K16" s="18">
        <v>1</v>
      </c>
      <c r="L16" s="19" t="s">
        <v>189</v>
      </c>
      <c r="M16" s="18">
        <f>0.13*(H16+100)/100*(I16+100)/100*(J16+100)/100</f>
        <v>0.13</v>
      </c>
      <c r="N16" s="18">
        <f t="shared" si="0"/>
        <v>0.13</v>
      </c>
      <c r="O16" s="19" t="s">
        <v>247</v>
      </c>
      <c r="P16" s="19" t="s">
        <v>50</v>
      </c>
      <c r="Q16" s="1" t="s">
        <v>53</v>
      </c>
      <c r="R16" s="1" t="s">
        <v>190</v>
      </c>
      <c r="S16">
        <v>0.13</v>
      </c>
      <c r="T16" s="1" t="s">
        <v>162</v>
      </c>
      <c r="V16">
        <f>N16</f>
        <v>0.13</v>
      </c>
    </row>
    <row r="17" spans="1:23" ht="30" customHeight="1" x14ac:dyDescent="0.3">
      <c r="A17" s="19" t="s">
        <v>165</v>
      </c>
      <c r="B17" s="19" t="s">
        <v>163</v>
      </c>
      <c r="C17" s="19" t="s">
        <v>164</v>
      </c>
      <c r="D17" s="19" t="s">
        <v>62</v>
      </c>
      <c r="E17" s="19" t="s">
        <v>324</v>
      </c>
      <c r="F17" s="18">
        <v>3</v>
      </c>
      <c r="G17" s="18">
        <v>0</v>
      </c>
      <c r="H17" s="18"/>
      <c r="I17" s="18"/>
      <c r="J17" s="18"/>
      <c r="K17" s="18">
        <v>3</v>
      </c>
      <c r="L17" s="19" t="s">
        <v>183</v>
      </c>
      <c r="M17" s="18">
        <f>0.2*(H17+100)/100*(I17+100)/100*(J17+100)/100</f>
        <v>0.2</v>
      </c>
      <c r="N17" s="18">
        <f t="shared" si="0"/>
        <v>0.60000000000000009</v>
      </c>
      <c r="O17" s="19" t="s">
        <v>246</v>
      </c>
      <c r="P17" s="19" t="s">
        <v>50</v>
      </c>
      <c r="Q17" s="1" t="s">
        <v>53</v>
      </c>
      <c r="R17" s="1" t="s">
        <v>187</v>
      </c>
      <c r="S17">
        <v>0.2</v>
      </c>
      <c r="T17" s="1" t="s">
        <v>166</v>
      </c>
      <c r="W17">
        <f>N17</f>
        <v>0.60000000000000009</v>
      </c>
    </row>
    <row r="18" spans="1:23" ht="30" customHeight="1" x14ac:dyDescent="0.3">
      <c r="A18" s="19" t="s">
        <v>169</v>
      </c>
      <c r="B18" s="19" t="s">
        <v>167</v>
      </c>
      <c r="C18" s="19" t="s">
        <v>168</v>
      </c>
      <c r="D18" s="19" t="s">
        <v>62</v>
      </c>
      <c r="E18" s="19" t="s">
        <v>324</v>
      </c>
      <c r="F18" s="18">
        <v>1</v>
      </c>
      <c r="G18" s="18">
        <v>0</v>
      </c>
      <c r="H18" s="18"/>
      <c r="I18" s="18"/>
      <c r="J18" s="18"/>
      <c r="K18" s="18">
        <v>1</v>
      </c>
      <c r="L18" s="19" t="s">
        <v>183</v>
      </c>
      <c r="M18" s="18">
        <f>0.2*(H18+100)/100*(I18+100)/100*(J18+100)/100</f>
        <v>0.2</v>
      </c>
      <c r="N18" s="18">
        <f t="shared" si="0"/>
        <v>0.2</v>
      </c>
      <c r="O18" s="19" t="s">
        <v>246</v>
      </c>
      <c r="P18" s="19" t="s">
        <v>50</v>
      </c>
      <c r="Q18" s="1" t="s">
        <v>53</v>
      </c>
      <c r="R18" s="1" t="s">
        <v>187</v>
      </c>
      <c r="S18">
        <v>0.2</v>
      </c>
      <c r="T18" s="1" t="s">
        <v>170</v>
      </c>
      <c r="W18">
        <f>N18</f>
        <v>0.2</v>
      </c>
    </row>
    <row r="19" spans="1:23" ht="30" customHeight="1" x14ac:dyDescent="0.3">
      <c r="A19" s="19" t="s">
        <v>173</v>
      </c>
      <c r="B19" s="19" t="s">
        <v>171</v>
      </c>
      <c r="C19" s="19" t="s">
        <v>172</v>
      </c>
      <c r="D19" s="19" t="s">
        <v>106</v>
      </c>
      <c r="E19" s="19" t="s">
        <v>324</v>
      </c>
      <c r="F19" s="18">
        <v>1</v>
      </c>
      <c r="G19" s="18">
        <v>0</v>
      </c>
      <c r="H19" s="18"/>
      <c r="I19" s="18"/>
      <c r="J19" s="18"/>
      <c r="K19" s="18">
        <v>1</v>
      </c>
      <c r="L19" s="19" t="s">
        <v>183</v>
      </c>
      <c r="M19" s="18">
        <f>0.2*(H19+100)/100*(I19+100)/100*(J19+100)/100</f>
        <v>0.2</v>
      </c>
      <c r="N19" s="18">
        <f t="shared" si="0"/>
        <v>0.2</v>
      </c>
      <c r="O19" s="19" t="s">
        <v>246</v>
      </c>
      <c r="P19" s="19" t="s">
        <v>50</v>
      </c>
      <c r="Q19" s="1" t="s">
        <v>53</v>
      </c>
      <c r="R19" s="1" t="s">
        <v>187</v>
      </c>
      <c r="S19">
        <v>0.2</v>
      </c>
      <c r="T19" s="1" t="s">
        <v>174</v>
      </c>
      <c r="W19">
        <f>N19</f>
        <v>0.2</v>
      </c>
    </row>
    <row r="20" spans="1:23" ht="30" customHeight="1" x14ac:dyDescent="0.3">
      <c r="A20" s="19" t="s">
        <v>177</v>
      </c>
      <c r="B20" s="19" t="s">
        <v>175</v>
      </c>
      <c r="C20" s="19" t="s">
        <v>176</v>
      </c>
      <c r="D20" s="19" t="s">
        <v>62</v>
      </c>
      <c r="E20" s="19" t="s">
        <v>324</v>
      </c>
      <c r="F20" s="18">
        <v>3</v>
      </c>
      <c r="G20" s="18">
        <v>0</v>
      </c>
      <c r="H20" s="18"/>
      <c r="I20" s="18"/>
      <c r="J20" s="18"/>
      <c r="K20" s="18">
        <v>3</v>
      </c>
      <c r="L20" s="19" t="s">
        <v>183</v>
      </c>
      <c r="M20" s="18">
        <f>0.2*(H20+100)/100*(I20+100)/100*(J20+100)/100</f>
        <v>0.2</v>
      </c>
      <c r="N20" s="18">
        <f t="shared" si="0"/>
        <v>0.60000000000000009</v>
      </c>
      <c r="O20" s="19" t="s">
        <v>246</v>
      </c>
      <c r="P20" s="19" t="s">
        <v>50</v>
      </c>
      <c r="Q20" s="1" t="s">
        <v>53</v>
      </c>
      <c r="R20" s="1" t="s">
        <v>187</v>
      </c>
      <c r="S20">
        <v>0.2</v>
      </c>
      <c r="T20" s="1" t="s">
        <v>178</v>
      </c>
      <c r="W20">
        <f>N20</f>
        <v>0.60000000000000009</v>
      </c>
    </row>
    <row r="21" spans="1:23" ht="30" customHeight="1" x14ac:dyDescent="0.3">
      <c r="A21" s="19" t="s">
        <v>181</v>
      </c>
      <c r="B21" s="19" t="s">
        <v>179</v>
      </c>
      <c r="C21" s="19" t="s">
        <v>180</v>
      </c>
      <c r="D21" s="19" t="s">
        <v>62</v>
      </c>
      <c r="E21" s="19" t="s">
        <v>324</v>
      </c>
      <c r="F21" s="18">
        <v>1</v>
      </c>
      <c r="G21" s="18">
        <v>0</v>
      </c>
      <c r="H21" s="18"/>
      <c r="I21" s="18"/>
      <c r="J21" s="18"/>
      <c r="K21" s="18">
        <v>1</v>
      </c>
      <c r="L21" s="19" t="s">
        <v>183</v>
      </c>
      <c r="M21" s="18">
        <f>0.2*(H21+100)/100*(I21+100)/100*(J21+100)/100</f>
        <v>0.2</v>
      </c>
      <c r="N21" s="18">
        <f t="shared" si="0"/>
        <v>0.2</v>
      </c>
      <c r="O21" s="19" t="s">
        <v>246</v>
      </c>
      <c r="P21" s="19" t="s">
        <v>50</v>
      </c>
      <c r="Q21" s="1" t="s">
        <v>53</v>
      </c>
      <c r="R21" s="1" t="s">
        <v>187</v>
      </c>
      <c r="S21">
        <v>0.2</v>
      </c>
      <c r="T21" s="1" t="s">
        <v>182</v>
      </c>
      <c r="W21">
        <f>N21</f>
        <v>0.2</v>
      </c>
    </row>
    <row r="22" spans="1:23" ht="30" customHeight="1" x14ac:dyDescent="0.3">
      <c r="A22" s="19" t="s">
        <v>187</v>
      </c>
      <c r="B22" s="19" t="s">
        <v>183</v>
      </c>
      <c r="C22" s="19" t="s">
        <v>184</v>
      </c>
      <c r="D22" s="19" t="s">
        <v>185</v>
      </c>
      <c r="E22" s="19" t="s">
        <v>50</v>
      </c>
      <c r="F22" s="18">
        <f>SUM(W5:W21)</f>
        <v>5.4900000000000011</v>
      </c>
      <c r="G22" s="18"/>
      <c r="H22" s="18"/>
      <c r="I22" s="18"/>
      <c r="J22" s="18"/>
      <c r="K22" s="18">
        <f>TRUNC(ROUNDDOWN(F22,공량설정!C3+1)*공량설정!B2/100, 공량설정!C3)</f>
        <v>5.49</v>
      </c>
      <c r="L22" s="19" t="s">
        <v>50</v>
      </c>
      <c r="M22" s="18"/>
      <c r="N22" s="18"/>
      <c r="O22" s="18" t="s">
        <v>246</v>
      </c>
      <c r="P22" s="19" t="s">
        <v>50</v>
      </c>
      <c r="Q22" s="1" t="s">
        <v>53</v>
      </c>
      <c r="R22" s="1" t="s">
        <v>50</v>
      </c>
      <c r="T22" s="1" t="s">
        <v>188</v>
      </c>
    </row>
    <row r="23" spans="1:23" ht="30" customHeight="1" x14ac:dyDescent="0.3">
      <c r="A23" s="19" t="s">
        <v>190</v>
      </c>
      <c r="B23" s="19" t="s">
        <v>189</v>
      </c>
      <c r="C23" s="19" t="s">
        <v>184</v>
      </c>
      <c r="D23" s="19" t="s">
        <v>185</v>
      </c>
      <c r="E23" s="19" t="s">
        <v>50</v>
      </c>
      <c r="F23" s="18">
        <f>SUM(V5:V21)</f>
        <v>4.6079999999999997</v>
      </c>
      <c r="G23" s="18"/>
      <c r="H23" s="18"/>
      <c r="I23" s="18"/>
      <c r="J23" s="18"/>
      <c r="K23" s="18">
        <f>TRUNC(ROUNDDOWN(F23,공량설정!C4+1)*공량설정!B2/100, 공량설정!C4)</f>
        <v>4.6079999999999997</v>
      </c>
      <c r="L23" s="19" t="s">
        <v>50</v>
      </c>
      <c r="M23" s="18"/>
      <c r="N23" s="18"/>
      <c r="O23" s="18" t="s">
        <v>247</v>
      </c>
      <c r="P23" s="19" t="s">
        <v>50</v>
      </c>
      <c r="Q23" s="1" t="s">
        <v>53</v>
      </c>
      <c r="R23" s="1" t="s">
        <v>50</v>
      </c>
      <c r="T23" s="1" t="s">
        <v>191</v>
      </c>
    </row>
  </sheetData>
  <mergeCells count="3">
    <mergeCell ref="A1:P1"/>
    <mergeCell ref="A2:P2"/>
    <mergeCell ref="B4:P4"/>
  </mergeCells>
  <phoneticPr fontId="1" type="noConversion"/>
  <pageMargins left="0.78740157480314954" right="0" top="0.39370078740157477" bottom="0.39370078740157477" header="0" footer="0"/>
  <pageSetup paperSize="9" scale="56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4776-4BDC-4190-BA90-3D434DE49F41}">
  <dimension ref="A1:D4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306</v>
      </c>
      <c r="B1" t="s">
        <v>307</v>
      </c>
      <c r="C1" t="s">
        <v>308</v>
      </c>
      <c r="D1" t="s">
        <v>12</v>
      </c>
    </row>
    <row r="2" spans="1:4" x14ac:dyDescent="0.3">
      <c r="A2" s="1" t="s">
        <v>52</v>
      </c>
      <c r="B2">
        <v>100</v>
      </c>
      <c r="D2" s="1" t="s">
        <v>53</v>
      </c>
    </row>
    <row r="3" spans="1:4" x14ac:dyDescent="0.3">
      <c r="A3" t="s">
        <v>309</v>
      </c>
      <c r="C3">
        <v>2</v>
      </c>
      <c r="D3" s="1" t="s">
        <v>188</v>
      </c>
    </row>
    <row r="4" spans="1:4" x14ac:dyDescent="0.3">
      <c r="A4" t="s">
        <v>310</v>
      </c>
      <c r="C4">
        <v>3</v>
      </c>
      <c r="D4" s="1" t="s">
        <v>191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0215-B8A9-4DA6-831A-505FD4CFDB2F}">
  <dimension ref="A1:M40"/>
  <sheetViews>
    <sheetView workbookViewId="0"/>
  </sheetViews>
  <sheetFormatPr defaultRowHeight="16.5" x14ac:dyDescent="0.3"/>
  <sheetData>
    <row r="1" spans="1:7" x14ac:dyDescent="0.3">
      <c r="A1" t="s">
        <v>372</v>
      </c>
    </row>
    <row r="2" spans="1:7" x14ac:dyDescent="0.3">
      <c r="A2" s="1" t="s">
        <v>373</v>
      </c>
      <c r="B2" t="s">
        <v>374</v>
      </c>
      <c r="C2" s="1" t="s">
        <v>375</v>
      </c>
    </row>
    <row r="3" spans="1:7" x14ac:dyDescent="0.3">
      <c r="A3" s="1" t="s">
        <v>376</v>
      </c>
      <c r="B3" t="s">
        <v>377</v>
      </c>
    </row>
    <row r="4" spans="1:7" x14ac:dyDescent="0.3">
      <c r="A4" s="1" t="s">
        <v>378</v>
      </c>
      <c r="B4">
        <v>5</v>
      </c>
    </row>
    <row r="5" spans="1:7" x14ac:dyDescent="0.3">
      <c r="A5" s="1" t="s">
        <v>379</v>
      </c>
      <c r="B5">
        <v>5</v>
      </c>
    </row>
    <row r="6" spans="1:7" x14ac:dyDescent="0.3">
      <c r="A6" s="1" t="s">
        <v>380</v>
      </c>
      <c r="B6" t="s">
        <v>381</v>
      </c>
    </row>
    <row r="7" spans="1:7" x14ac:dyDescent="0.3">
      <c r="A7" s="1" t="s">
        <v>382</v>
      </c>
      <c r="B7" t="s">
        <v>383</v>
      </c>
      <c r="C7">
        <v>1</v>
      </c>
    </row>
    <row r="8" spans="1:7" x14ac:dyDescent="0.3">
      <c r="A8" s="1" t="s">
        <v>384</v>
      </c>
      <c r="B8" t="s">
        <v>383</v>
      </c>
      <c r="C8">
        <v>2</v>
      </c>
    </row>
    <row r="9" spans="1:7" x14ac:dyDescent="0.3">
      <c r="A9" s="1" t="s">
        <v>385</v>
      </c>
      <c r="B9" t="s">
        <v>233</v>
      </c>
      <c r="C9" t="s">
        <v>235</v>
      </c>
      <c r="D9" t="s">
        <v>236</v>
      </c>
      <c r="E9" t="s">
        <v>237</v>
      </c>
      <c r="F9" t="s">
        <v>238</v>
      </c>
      <c r="G9" t="s">
        <v>386</v>
      </c>
    </row>
    <row r="10" spans="1:7" x14ac:dyDescent="0.3">
      <c r="A10" s="1" t="s">
        <v>387</v>
      </c>
      <c r="B10">
        <v>0</v>
      </c>
      <c r="C10">
        <v>0</v>
      </c>
      <c r="D10">
        <v>0</v>
      </c>
    </row>
    <row r="11" spans="1:7" x14ac:dyDescent="0.3">
      <c r="A11" s="1" t="s">
        <v>388</v>
      </c>
      <c r="B11" t="s">
        <v>389</v>
      </c>
      <c r="C11">
        <v>3</v>
      </c>
    </row>
    <row r="12" spans="1:7" x14ac:dyDescent="0.3">
      <c r="A12" s="1" t="s">
        <v>390</v>
      </c>
      <c r="B12" t="s">
        <v>389</v>
      </c>
      <c r="C12">
        <v>3</v>
      </c>
    </row>
    <row r="13" spans="1:7" x14ac:dyDescent="0.3">
      <c r="A13" s="1" t="s">
        <v>391</v>
      </c>
      <c r="B13" t="s">
        <v>389</v>
      </c>
      <c r="C13">
        <v>2</v>
      </c>
    </row>
    <row r="14" spans="1:7" x14ac:dyDescent="0.3">
      <c r="A14" s="1" t="s">
        <v>392</v>
      </c>
      <c r="B14" t="s">
        <v>383</v>
      </c>
      <c r="C14">
        <v>5</v>
      </c>
    </row>
    <row r="15" spans="1:7" x14ac:dyDescent="0.3">
      <c r="A15" s="1" t="s">
        <v>393</v>
      </c>
      <c r="B15" t="s">
        <v>374</v>
      </c>
      <c r="C15" t="s">
        <v>394</v>
      </c>
      <c r="D15" t="s">
        <v>394</v>
      </c>
      <c r="E15" t="s">
        <v>394</v>
      </c>
      <c r="F15">
        <v>1</v>
      </c>
    </row>
    <row r="16" spans="1:7" x14ac:dyDescent="0.3">
      <c r="A16" s="1" t="s">
        <v>395</v>
      </c>
      <c r="B16">
        <v>0</v>
      </c>
      <c r="C16">
        <v>0</v>
      </c>
    </row>
    <row r="17" spans="1:13" x14ac:dyDescent="0.3">
      <c r="A17" s="1" t="s">
        <v>396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397</v>
      </c>
      <c r="B18">
        <v>0</v>
      </c>
      <c r="C18">
        <v>0</v>
      </c>
    </row>
    <row r="19" spans="1:13" x14ac:dyDescent="0.3">
      <c r="A19" s="1" t="s">
        <v>398</v>
      </c>
    </row>
    <row r="20" spans="1:13" x14ac:dyDescent="0.3">
      <c r="A20" s="1" t="s">
        <v>399</v>
      </c>
      <c r="B20" s="1" t="s">
        <v>50</v>
      </c>
      <c r="C20">
        <v>1</v>
      </c>
    </row>
    <row r="21" spans="1:13" x14ac:dyDescent="0.3">
      <c r="A21" t="s">
        <v>400</v>
      </c>
      <c r="B21" t="s">
        <v>401</v>
      </c>
      <c r="C21" t="s">
        <v>402</v>
      </c>
    </row>
    <row r="22" spans="1:13" x14ac:dyDescent="0.3">
      <c r="A22">
        <v>1</v>
      </c>
      <c r="B22" s="1" t="s">
        <v>403</v>
      </c>
      <c r="C22" s="1" t="s">
        <v>341</v>
      </c>
    </row>
    <row r="23" spans="1:13" x14ac:dyDescent="0.3">
      <c r="A23">
        <v>2</v>
      </c>
      <c r="B23" s="1" t="s">
        <v>404</v>
      </c>
      <c r="C23" s="1" t="s">
        <v>405</v>
      </c>
    </row>
    <row r="24" spans="1:13" x14ac:dyDescent="0.3">
      <c r="A24">
        <v>3</v>
      </c>
      <c r="B24" s="1" t="s">
        <v>406</v>
      </c>
      <c r="C24" s="1" t="s">
        <v>407</v>
      </c>
    </row>
    <row r="25" spans="1:13" x14ac:dyDescent="0.3">
      <c r="A25">
        <v>4</v>
      </c>
      <c r="B25" s="1" t="s">
        <v>408</v>
      </c>
      <c r="C25" s="1" t="s">
        <v>409</v>
      </c>
    </row>
    <row r="26" spans="1:13" x14ac:dyDescent="0.3">
      <c r="A26">
        <v>5</v>
      </c>
      <c r="B26" s="1" t="s">
        <v>410</v>
      </c>
      <c r="C26" s="1" t="s">
        <v>50</v>
      </c>
    </row>
    <row r="27" spans="1:13" x14ac:dyDescent="0.3">
      <c r="A27">
        <v>6</v>
      </c>
      <c r="B27" s="1" t="s">
        <v>411</v>
      </c>
      <c r="C27" s="1" t="s">
        <v>50</v>
      </c>
    </row>
    <row r="28" spans="1:13" x14ac:dyDescent="0.3">
      <c r="A28">
        <v>7</v>
      </c>
      <c r="B28" s="1" t="s">
        <v>411</v>
      </c>
      <c r="C28" s="1" t="s">
        <v>50</v>
      </c>
    </row>
    <row r="29" spans="1:13" x14ac:dyDescent="0.3">
      <c r="A29">
        <v>8</v>
      </c>
      <c r="B29" s="1" t="s">
        <v>411</v>
      </c>
      <c r="C29" s="1" t="s">
        <v>50</v>
      </c>
    </row>
    <row r="30" spans="1:13" x14ac:dyDescent="0.3">
      <c r="A30">
        <v>9</v>
      </c>
      <c r="B30" s="1" t="s">
        <v>411</v>
      </c>
      <c r="C30" s="1" t="s">
        <v>50</v>
      </c>
    </row>
    <row r="31" spans="1:13" x14ac:dyDescent="0.3">
      <c r="A31" t="s">
        <v>374</v>
      </c>
      <c r="B31" s="1" t="s">
        <v>412</v>
      </c>
      <c r="C31" s="1" t="s">
        <v>50</v>
      </c>
    </row>
    <row r="32" spans="1:13" x14ac:dyDescent="0.3">
      <c r="A32" t="s">
        <v>245</v>
      </c>
      <c r="B32" s="1" t="s">
        <v>413</v>
      </c>
      <c r="C32" s="1" t="s">
        <v>50</v>
      </c>
    </row>
    <row r="33" spans="1:3" x14ac:dyDescent="0.3">
      <c r="A33" t="s">
        <v>383</v>
      </c>
      <c r="B33" s="1" t="s">
        <v>412</v>
      </c>
      <c r="C33" s="1" t="s">
        <v>50</v>
      </c>
    </row>
    <row r="34" spans="1:3" x14ac:dyDescent="0.3">
      <c r="A34" t="s">
        <v>414</v>
      </c>
      <c r="B34" s="1" t="s">
        <v>412</v>
      </c>
      <c r="C34" s="1" t="s">
        <v>50</v>
      </c>
    </row>
    <row r="35" spans="1:3" x14ac:dyDescent="0.3">
      <c r="A35" t="s">
        <v>415</v>
      </c>
      <c r="B35" s="1" t="s">
        <v>412</v>
      </c>
      <c r="C35" s="1" t="s">
        <v>50</v>
      </c>
    </row>
    <row r="36" spans="1:3" x14ac:dyDescent="0.3">
      <c r="A36" t="s">
        <v>57</v>
      </c>
      <c r="B36" s="1" t="s">
        <v>412</v>
      </c>
      <c r="C36" s="1" t="s">
        <v>50</v>
      </c>
    </row>
    <row r="37" spans="1:3" x14ac:dyDescent="0.3">
      <c r="A37" t="s">
        <v>416</v>
      </c>
      <c r="B37" s="1" t="s">
        <v>412</v>
      </c>
      <c r="C37" s="1" t="s">
        <v>50</v>
      </c>
    </row>
    <row r="38" spans="1:3" x14ac:dyDescent="0.3">
      <c r="A38" t="s">
        <v>417</v>
      </c>
      <c r="B38" s="1" t="s">
        <v>412</v>
      </c>
      <c r="C38" s="1" t="s">
        <v>50</v>
      </c>
    </row>
    <row r="39" spans="1:3" x14ac:dyDescent="0.3">
      <c r="A39" t="s">
        <v>418</v>
      </c>
      <c r="B39" s="1" t="s">
        <v>412</v>
      </c>
      <c r="C39" s="1" t="s">
        <v>50</v>
      </c>
    </row>
    <row r="40" spans="1:3" x14ac:dyDescent="0.3">
      <c r="A40" t="s">
        <v>419</v>
      </c>
      <c r="B40" s="1" t="s">
        <v>412</v>
      </c>
      <c r="C40" s="1" t="s">
        <v>50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7AF1-8FA8-4B22-BC0D-729ADD907BA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13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공량산출근거서</vt:lpstr>
      <vt:lpstr>공량설정</vt:lpstr>
      <vt:lpstr> 공사설정 </vt:lpstr>
      <vt:lpstr>Sheet1</vt:lpstr>
      <vt:lpstr>공량산출근거서!Print_Area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공량산출근거서!Print_Titles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2026-07-25T04:45:58Z</dcterms:created>
  <dcterms:modified xsi:type="dcterms:W3CDTF">2026-07-28T00:11:12Z</dcterms:modified>
</cp:coreProperties>
</file>